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S:\REAJUSTE\Concessionárias de Distribuição\2022\08 - D56 - Forcel (Michelle)\Estrutura\"/>
    </mc:Choice>
  </mc:AlternateContent>
  <xr:revisionPtr revIDLastSave="0" documentId="13_ncr:1_{AF5B7BF2-97E1-41F1-9F41-503523B2AD2B}" xr6:coauthVersionLast="47" xr6:coauthVersionMax="47" xr10:uidLastSave="{00000000-0000-0000-0000-000000000000}"/>
  <bookViews>
    <workbookView xWindow="-120" yWindow="-120" windowWidth="15600" windowHeight="11160" tabRatio="917" activeTab="5" xr2:uid="{90120C38-67FF-4702-B5DE-070B084D915A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35" r:id="rId20"/>
    <sheet name="CONSISTENCIA" sheetId="21" r:id="rId21"/>
    <sheet name="TUSD" sheetId="28" r:id="rId22"/>
    <sheet name="TE" sheetId="29" r:id="rId23"/>
    <sheet name="RESUMO TUSD" sheetId="30" r:id="rId24"/>
    <sheet name="RESUMO TE" sheetId="31" r:id="rId25"/>
    <sheet name="TAR FIN COPEL" sheetId="33" r:id="rId26"/>
    <sheet name="TUSD BF_350" sheetId="24" r:id="rId27"/>
    <sheet name="TE BF_350" sheetId="25" r:id="rId28"/>
    <sheet name="TabDinEfeito_350" sheetId="27" r:id="rId29"/>
    <sheet name="EFEITO_350" sheetId="26" r:id="rId30"/>
    <sheet name="TarifaMedia" sheetId="23" r:id="rId31"/>
    <sheet name="Descontos" sheetId="20" r:id="rId32"/>
    <sheet name="ERD" sheetId="34" r:id="rId33"/>
    <sheet name="TA - Aplicação" sheetId="36" r:id="rId34"/>
    <sheet name="TA - BE" sheetId="37" r:id="rId35"/>
    <sheet name="TA - CVA" sheetId="38" r:id="rId36"/>
  </sheets>
  <definedNames>
    <definedName name="_xlnm._FilterDatabase" localSheetId="2" hidden="1">'TAR FIN'!$A$1:$AX$88</definedName>
    <definedName name="_xlnm._FilterDatabase" localSheetId="25" hidden="1">'TAR FIN COPEL'!$A$1:$AX$219</definedName>
    <definedName name="DadosExternos_1" localSheetId="33" hidden="1">'TA - Aplicação'!$B$3:$AR$50</definedName>
    <definedName name="DadosExternos_1" localSheetId="34" hidden="1">'TA - BE'!$B$3:$AR$50</definedName>
    <definedName name="DadosExternos_1" localSheetId="35" hidden="1">'TA - CVA'!$B$3:$AR$50</definedName>
  </definedNames>
  <calcPr calcId="191029" iterate="1"/>
  <pivotCaches>
    <pivotCache cacheId="10" r:id="rId37"/>
    <pivotCache cacheId="11" r:id="rId38"/>
    <pivotCache cacheId="12" r:id="rId3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35" l="1"/>
  <c r="V32" i="35"/>
  <c r="V31" i="35"/>
  <c r="V30" i="35"/>
  <c r="V29" i="35"/>
  <c r="V28" i="35"/>
  <c r="V27" i="35"/>
  <c r="V26" i="35"/>
  <c r="V21" i="35"/>
  <c r="V16" i="35"/>
  <c r="V25" i="35"/>
  <c r="V20" i="35"/>
  <c r="V15" i="35"/>
  <c r="V24" i="35"/>
  <c r="V23" i="35"/>
  <c r="V22" i="35"/>
  <c r="V19" i="35"/>
  <c r="V18" i="35"/>
  <c r="V17" i="35"/>
  <c r="V14" i="35"/>
  <c r="V13" i="35"/>
  <c r="V12" i="35"/>
  <c r="V11" i="35"/>
  <c r="V9" i="35"/>
  <c r="V10" i="35"/>
  <c r="V8" i="35"/>
  <c r="V7" i="35"/>
  <c r="V6" i="35"/>
  <c r="V5" i="35"/>
  <c r="J11" i="35"/>
  <c r="J10" i="35"/>
  <c r="J6" i="35"/>
  <c r="J5" i="35"/>
  <c r="I3" i="34"/>
  <c r="B2" i="34"/>
  <c r="C2" i="34"/>
  <c r="D2" i="34"/>
  <c r="E2" i="34"/>
  <c r="F2" i="34"/>
  <c r="G2" i="34"/>
  <c r="H2" i="34"/>
  <c r="I2" i="34"/>
  <c r="J2" i="34"/>
  <c r="K2" i="34"/>
  <c r="L2" i="34"/>
  <c r="B11" i="34"/>
  <c r="O3" i="15" l="1"/>
  <c r="O6" i="15"/>
  <c r="O9" i="15"/>
  <c r="O11" i="15"/>
  <c r="O14" i="15"/>
  <c r="O16" i="15"/>
  <c r="O19" i="15"/>
  <c r="O22" i="15"/>
  <c r="O25" i="15"/>
  <c r="O27" i="15"/>
  <c r="O31" i="15"/>
  <c r="O32" i="15"/>
  <c r="O33" i="15"/>
  <c r="O34" i="15"/>
  <c r="O70" i="15"/>
  <c r="O71" i="15"/>
  <c r="O72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S7" i="15"/>
  <c r="S6" i="15"/>
  <c r="S5" i="15"/>
  <c r="S4" i="15"/>
  <c r="S3" i="15"/>
  <c r="S2" i="15"/>
  <c r="S219" i="33"/>
  <c r="R219" i="33"/>
  <c r="S218" i="33"/>
  <c r="R218" i="33"/>
  <c r="S217" i="33"/>
  <c r="R217" i="33"/>
  <c r="S216" i="33"/>
  <c r="R216" i="33"/>
  <c r="S215" i="33"/>
  <c r="R215" i="33"/>
  <c r="S214" i="33"/>
  <c r="R214" i="33"/>
  <c r="S213" i="33"/>
  <c r="R213" i="33"/>
  <c r="S212" i="33"/>
  <c r="R212" i="33"/>
  <c r="S211" i="33"/>
  <c r="R211" i="33"/>
  <c r="S210" i="33"/>
  <c r="R210" i="33"/>
  <c r="S209" i="33"/>
  <c r="R209" i="33"/>
  <c r="S208" i="33"/>
  <c r="R208" i="33"/>
  <c r="S207" i="33"/>
  <c r="R207" i="33"/>
  <c r="S206" i="33"/>
  <c r="R206" i="33"/>
  <c r="S205" i="33"/>
  <c r="R205" i="33"/>
  <c r="S204" i="33"/>
  <c r="R204" i="33"/>
  <c r="S203" i="33"/>
  <c r="R203" i="33"/>
  <c r="S202" i="33"/>
  <c r="R202" i="33"/>
  <c r="S201" i="33"/>
  <c r="R201" i="33"/>
  <c r="S200" i="33"/>
  <c r="R200" i="33"/>
  <c r="S199" i="33"/>
  <c r="R199" i="33"/>
  <c r="S198" i="33"/>
  <c r="R198" i="33"/>
  <c r="S197" i="33"/>
  <c r="R197" i="33"/>
  <c r="S196" i="33"/>
  <c r="R196" i="33"/>
  <c r="S195" i="33"/>
  <c r="R195" i="33"/>
  <c r="S194" i="33"/>
  <c r="R194" i="33"/>
  <c r="S193" i="33"/>
  <c r="R193" i="33"/>
  <c r="S192" i="33"/>
  <c r="R192" i="33"/>
  <c r="S191" i="33"/>
  <c r="R191" i="33"/>
  <c r="S190" i="33"/>
  <c r="R190" i="33"/>
  <c r="S189" i="33"/>
  <c r="R189" i="33"/>
  <c r="S188" i="33"/>
  <c r="R188" i="33"/>
  <c r="S187" i="33"/>
  <c r="R187" i="33"/>
  <c r="S186" i="33"/>
  <c r="R186" i="33"/>
  <c r="S185" i="33"/>
  <c r="R185" i="33"/>
  <c r="S184" i="33"/>
  <c r="R184" i="33"/>
  <c r="S183" i="33"/>
  <c r="R183" i="33"/>
  <c r="S182" i="33"/>
  <c r="R182" i="33"/>
  <c r="S181" i="33"/>
  <c r="R181" i="33"/>
  <c r="S180" i="33"/>
  <c r="R180" i="33"/>
  <c r="S179" i="33"/>
  <c r="R179" i="33"/>
  <c r="S178" i="33"/>
  <c r="R178" i="33"/>
  <c r="S177" i="33"/>
  <c r="R177" i="33"/>
  <c r="S176" i="33"/>
  <c r="R176" i="33"/>
  <c r="S175" i="33"/>
  <c r="R175" i="33"/>
  <c r="S174" i="33"/>
  <c r="R174" i="33"/>
  <c r="S173" i="33"/>
  <c r="R173" i="33"/>
  <c r="S172" i="33"/>
  <c r="R172" i="33"/>
  <c r="S171" i="33"/>
  <c r="R171" i="33"/>
  <c r="S170" i="33"/>
  <c r="R170" i="33"/>
  <c r="S169" i="33"/>
  <c r="R169" i="33"/>
  <c r="S168" i="33"/>
  <c r="R168" i="33"/>
  <c r="S167" i="33"/>
  <c r="R167" i="33"/>
  <c r="S166" i="33"/>
  <c r="R166" i="33"/>
  <c r="S165" i="33"/>
  <c r="R165" i="33"/>
  <c r="S164" i="33"/>
  <c r="R164" i="33"/>
  <c r="S163" i="33"/>
  <c r="R163" i="33"/>
  <c r="S162" i="33"/>
  <c r="R162" i="33"/>
  <c r="S161" i="33"/>
  <c r="R161" i="33"/>
  <c r="S160" i="33"/>
  <c r="R160" i="33"/>
  <c r="S159" i="33"/>
  <c r="R159" i="33"/>
  <c r="S158" i="33"/>
  <c r="R158" i="33"/>
  <c r="S157" i="33"/>
  <c r="R157" i="33"/>
  <c r="S156" i="33"/>
  <c r="R156" i="33"/>
  <c r="S155" i="33"/>
  <c r="R155" i="33"/>
  <c r="S154" i="33"/>
  <c r="R154" i="33"/>
  <c r="S153" i="33"/>
  <c r="R153" i="33"/>
  <c r="S152" i="33"/>
  <c r="R152" i="33"/>
  <c r="S151" i="33"/>
  <c r="R151" i="33"/>
  <c r="S150" i="33"/>
  <c r="R150" i="33"/>
  <c r="S149" i="33"/>
  <c r="R149" i="33"/>
  <c r="S148" i="33"/>
  <c r="R148" i="33"/>
  <c r="S147" i="33"/>
  <c r="R147" i="33"/>
  <c r="S146" i="33"/>
  <c r="R146" i="33"/>
  <c r="S145" i="33"/>
  <c r="R145" i="33"/>
  <c r="S144" i="33"/>
  <c r="R144" i="33"/>
  <c r="S143" i="33"/>
  <c r="R143" i="33"/>
  <c r="S142" i="33"/>
  <c r="R142" i="33"/>
  <c r="S141" i="33"/>
  <c r="R141" i="33"/>
  <c r="S140" i="33"/>
  <c r="R140" i="33"/>
  <c r="S139" i="33"/>
  <c r="R139" i="33"/>
  <c r="S138" i="33"/>
  <c r="R138" i="33"/>
  <c r="S137" i="33"/>
  <c r="R137" i="33"/>
  <c r="S136" i="33"/>
  <c r="R136" i="33"/>
  <c r="S135" i="33"/>
  <c r="R135" i="33"/>
  <c r="S134" i="33"/>
  <c r="R134" i="33"/>
  <c r="S133" i="33"/>
  <c r="R133" i="33"/>
  <c r="S132" i="33"/>
  <c r="R132" i="33"/>
  <c r="S131" i="33"/>
  <c r="R131" i="33"/>
  <c r="S130" i="33"/>
  <c r="R130" i="33"/>
  <c r="S129" i="33"/>
  <c r="R129" i="33"/>
  <c r="S128" i="33"/>
  <c r="R128" i="33"/>
  <c r="S127" i="33"/>
  <c r="R127" i="33"/>
  <c r="S126" i="33"/>
  <c r="R126" i="33"/>
  <c r="S125" i="33"/>
  <c r="R125" i="33"/>
  <c r="S124" i="33"/>
  <c r="R124" i="33"/>
  <c r="S123" i="33"/>
  <c r="R123" i="33"/>
  <c r="S122" i="33"/>
  <c r="R122" i="33"/>
  <c r="S121" i="33"/>
  <c r="R121" i="33"/>
  <c r="S120" i="33"/>
  <c r="R120" i="33"/>
  <c r="S119" i="33"/>
  <c r="R119" i="33"/>
  <c r="S118" i="33"/>
  <c r="R118" i="33"/>
  <c r="S117" i="33"/>
  <c r="R117" i="33"/>
  <c r="S116" i="33"/>
  <c r="R116" i="33"/>
  <c r="S115" i="33"/>
  <c r="R115" i="33"/>
  <c r="S114" i="33"/>
  <c r="R114" i="33"/>
  <c r="S113" i="33"/>
  <c r="R113" i="33"/>
  <c r="S112" i="33"/>
  <c r="R112" i="33"/>
  <c r="S111" i="33"/>
  <c r="R111" i="33"/>
  <c r="S110" i="33"/>
  <c r="R110" i="33"/>
  <c r="S109" i="33"/>
  <c r="R109" i="33"/>
  <c r="S108" i="33"/>
  <c r="R108" i="33"/>
  <c r="S107" i="33"/>
  <c r="R107" i="33"/>
  <c r="S106" i="33"/>
  <c r="R106" i="33"/>
  <c r="S105" i="33"/>
  <c r="R105" i="33"/>
  <c r="S104" i="33"/>
  <c r="R104" i="33"/>
  <c r="S103" i="33"/>
  <c r="R103" i="33"/>
  <c r="S102" i="33"/>
  <c r="R102" i="33"/>
  <c r="S101" i="33"/>
  <c r="R101" i="33"/>
  <c r="S100" i="33"/>
  <c r="R100" i="33"/>
  <c r="S99" i="33"/>
  <c r="R99" i="33"/>
  <c r="S98" i="33"/>
  <c r="R98" i="33"/>
  <c r="S97" i="33"/>
  <c r="R97" i="33"/>
  <c r="S96" i="33"/>
  <c r="R96" i="33"/>
  <c r="S95" i="33"/>
  <c r="R95" i="33"/>
  <c r="S94" i="33"/>
  <c r="R94" i="33"/>
  <c r="S93" i="33"/>
  <c r="R93" i="33"/>
  <c r="S92" i="33"/>
  <c r="R92" i="33"/>
  <c r="S91" i="33"/>
  <c r="R91" i="33"/>
  <c r="S90" i="33"/>
  <c r="R90" i="33"/>
  <c r="S89" i="33"/>
  <c r="R89" i="33"/>
  <c r="S88" i="33"/>
  <c r="R88" i="33"/>
  <c r="S87" i="33"/>
  <c r="R87" i="33"/>
  <c r="S86" i="33"/>
  <c r="R86" i="33"/>
  <c r="S85" i="33"/>
  <c r="R85" i="33"/>
  <c r="S84" i="33"/>
  <c r="R84" i="33"/>
  <c r="S83" i="33"/>
  <c r="R83" i="33"/>
  <c r="S82" i="33"/>
  <c r="R82" i="33"/>
  <c r="S81" i="33"/>
  <c r="R81" i="33"/>
  <c r="S80" i="33"/>
  <c r="R80" i="33"/>
  <c r="S79" i="33"/>
  <c r="R79" i="33"/>
  <c r="S78" i="33"/>
  <c r="R78" i="33"/>
  <c r="S77" i="33"/>
  <c r="R77" i="33"/>
  <c r="S76" i="33"/>
  <c r="R76" i="33"/>
  <c r="S75" i="33"/>
  <c r="R75" i="33"/>
  <c r="S74" i="33"/>
  <c r="R74" i="33"/>
  <c r="S73" i="33"/>
  <c r="R73" i="33"/>
  <c r="S72" i="33"/>
  <c r="R72" i="33"/>
  <c r="S71" i="33"/>
  <c r="R71" i="33"/>
  <c r="S70" i="33"/>
  <c r="R70" i="33"/>
  <c r="S69" i="33"/>
  <c r="R69" i="33"/>
  <c r="S68" i="33"/>
  <c r="R68" i="33"/>
  <c r="S67" i="33"/>
  <c r="R67" i="33"/>
  <c r="S66" i="33"/>
  <c r="R66" i="33"/>
  <c r="S65" i="33"/>
  <c r="R65" i="33"/>
  <c r="S64" i="33"/>
  <c r="R64" i="33"/>
  <c r="S63" i="33"/>
  <c r="R63" i="33"/>
  <c r="S62" i="33"/>
  <c r="R62" i="33"/>
  <c r="S61" i="33"/>
  <c r="R61" i="33"/>
  <c r="S60" i="33"/>
  <c r="R60" i="33"/>
  <c r="S59" i="33"/>
  <c r="R59" i="33"/>
  <c r="S58" i="33"/>
  <c r="R58" i="33"/>
  <c r="S57" i="33"/>
  <c r="R57" i="33"/>
  <c r="S56" i="33"/>
  <c r="R56" i="33"/>
  <c r="S55" i="33"/>
  <c r="R55" i="33"/>
  <c r="S54" i="33"/>
  <c r="R54" i="33"/>
  <c r="S53" i="33"/>
  <c r="R53" i="33"/>
  <c r="S52" i="33"/>
  <c r="R52" i="33"/>
  <c r="S51" i="33"/>
  <c r="R51" i="33"/>
  <c r="S50" i="33"/>
  <c r="R50" i="33"/>
  <c r="S49" i="33"/>
  <c r="R49" i="33"/>
  <c r="S48" i="33"/>
  <c r="R48" i="33"/>
  <c r="S47" i="33"/>
  <c r="R47" i="33"/>
  <c r="S46" i="33"/>
  <c r="R46" i="33"/>
  <c r="S45" i="33"/>
  <c r="R45" i="33"/>
  <c r="S44" i="33"/>
  <c r="R44" i="33"/>
  <c r="S43" i="33"/>
  <c r="R43" i="33"/>
  <c r="S42" i="33"/>
  <c r="R42" i="33"/>
  <c r="S41" i="33"/>
  <c r="R41" i="33"/>
  <c r="S40" i="33"/>
  <c r="R40" i="33"/>
  <c r="S39" i="33"/>
  <c r="R39" i="33"/>
  <c r="S38" i="33"/>
  <c r="R38" i="33"/>
  <c r="S37" i="33"/>
  <c r="R37" i="33"/>
  <c r="S36" i="33"/>
  <c r="R36" i="33"/>
  <c r="S35" i="33"/>
  <c r="R35" i="33"/>
  <c r="S34" i="33"/>
  <c r="R34" i="33"/>
  <c r="S33" i="33"/>
  <c r="R33" i="33"/>
  <c r="S32" i="33"/>
  <c r="R32" i="33"/>
  <c r="S31" i="33"/>
  <c r="R31" i="33"/>
  <c r="S30" i="33"/>
  <c r="R30" i="33"/>
  <c r="S29" i="33"/>
  <c r="R29" i="33"/>
  <c r="S28" i="33"/>
  <c r="R28" i="33"/>
  <c r="S27" i="33"/>
  <c r="R27" i="33"/>
  <c r="S26" i="33"/>
  <c r="R26" i="33"/>
  <c r="S25" i="33"/>
  <c r="R25" i="33"/>
  <c r="S24" i="33"/>
  <c r="R24" i="33"/>
  <c r="S23" i="33"/>
  <c r="R23" i="33"/>
  <c r="S22" i="33"/>
  <c r="R22" i="33"/>
  <c r="S21" i="33"/>
  <c r="R21" i="33"/>
  <c r="S20" i="33"/>
  <c r="R20" i="33"/>
  <c r="S19" i="33"/>
  <c r="R19" i="33"/>
  <c r="S18" i="33"/>
  <c r="R18" i="33"/>
  <c r="S17" i="33"/>
  <c r="R17" i="33"/>
  <c r="S16" i="33"/>
  <c r="R16" i="33"/>
  <c r="S15" i="33"/>
  <c r="R15" i="33"/>
  <c r="S14" i="33"/>
  <c r="R14" i="33"/>
  <c r="S13" i="33"/>
  <c r="R13" i="33"/>
  <c r="S12" i="33"/>
  <c r="R12" i="33"/>
  <c r="S11" i="33"/>
  <c r="R11" i="33"/>
  <c r="S10" i="33"/>
  <c r="R10" i="33"/>
  <c r="S9" i="33"/>
  <c r="R9" i="33"/>
  <c r="S8" i="33"/>
  <c r="R8" i="33"/>
  <c r="S7" i="33"/>
  <c r="R7" i="33"/>
  <c r="S6" i="33"/>
  <c r="R6" i="33"/>
  <c r="S5" i="33"/>
  <c r="R5" i="33"/>
  <c r="S4" i="33"/>
  <c r="R4" i="33"/>
  <c r="S3" i="33"/>
  <c r="R3" i="33"/>
  <c r="S2" i="33"/>
  <c r="R2" i="33"/>
  <c r="T4" i="15" l="1"/>
  <c r="O4" i="15" s="1"/>
  <c r="T8" i="15"/>
  <c r="O8" i="15" s="1"/>
  <c r="T12" i="15"/>
  <c r="O12" i="15" s="1"/>
  <c r="T16" i="15"/>
  <c r="T20" i="15"/>
  <c r="O20" i="15" s="1"/>
  <c r="T24" i="15"/>
  <c r="O24" i="15" s="1"/>
  <c r="T28" i="15"/>
  <c r="O28" i="15" s="1"/>
  <c r="T32" i="15"/>
  <c r="T36" i="15"/>
  <c r="O36" i="15" s="1"/>
  <c r="T40" i="15"/>
  <c r="O40" i="15" s="1"/>
  <c r="T44" i="15"/>
  <c r="O44" i="15" s="1"/>
  <c r="T48" i="15"/>
  <c r="O48" i="15" s="1"/>
  <c r="T52" i="15"/>
  <c r="O52" i="15" s="1"/>
  <c r="T56" i="15"/>
  <c r="O56" i="15" s="1"/>
  <c r="T60" i="15"/>
  <c r="O60" i="15" s="1"/>
  <c r="T64" i="15"/>
  <c r="O64" i="15" s="1"/>
  <c r="T68" i="15"/>
  <c r="O68" i="15" s="1"/>
  <c r="T72" i="15"/>
  <c r="T76" i="15"/>
  <c r="O76" i="15" s="1"/>
  <c r="T80" i="15"/>
  <c r="O80" i="15" s="1"/>
  <c r="T84" i="15"/>
  <c r="O84" i="15" s="1"/>
  <c r="T88" i="15"/>
  <c r="O88" i="15" s="1"/>
  <c r="T5" i="15"/>
  <c r="O5" i="15" s="1"/>
  <c r="T9" i="15"/>
  <c r="T13" i="15"/>
  <c r="O13" i="15" s="1"/>
  <c r="T17" i="15"/>
  <c r="O17" i="15" s="1"/>
  <c r="T21" i="15"/>
  <c r="O21" i="15" s="1"/>
  <c r="T25" i="15"/>
  <c r="T29" i="15"/>
  <c r="O29" i="15" s="1"/>
  <c r="T33" i="15"/>
  <c r="T37" i="15"/>
  <c r="O37" i="15" s="1"/>
  <c r="T41" i="15"/>
  <c r="O41" i="15" s="1"/>
  <c r="T45" i="15"/>
  <c r="O45" i="15" s="1"/>
  <c r="T49" i="15"/>
  <c r="O49" i="15" s="1"/>
  <c r="T53" i="15"/>
  <c r="O53" i="15" s="1"/>
  <c r="T57" i="15"/>
  <c r="O57" i="15" s="1"/>
  <c r="T61" i="15"/>
  <c r="O61" i="15" s="1"/>
  <c r="T65" i="15"/>
  <c r="O65" i="15" s="1"/>
  <c r="T69" i="15"/>
  <c r="O69" i="15" s="1"/>
  <c r="T73" i="15"/>
  <c r="O73" i="15" s="1"/>
  <c r="T77" i="15"/>
  <c r="O77" i="15" s="1"/>
  <c r="T81" i="15"/>
  <c r="O81" i="15" s="1"/>
  <c r="T85" i="15"/>
  <c r="O85" i="15" s="1"/>
  <c r="T2" i="15"/>
  <c r="O2" i="15" s="1"/>
  <c r="T6" i="15"/>
  <c r="T10" i="15"/>
  <c r="O10" i="15" s="1"/>
  <c r="T14" i="15"/>
  <c r="T18" i="15"/>
  <c r="O18" i="15" s="1"/>
  <c r="T22" i="15"/>
  <c r="T26" i="15"/>
  <c r="O26" i="15" s="1"/>
  <c r="T30" i="15"/>
  <c r="O30" i="15" s="1"/>
  <c r="T34" i="15"/>
  <c r="T38" i="15"/>
  <c r="O38" i="15" s="1"/>
  <c r="T42" i="15"/>
  <c r="O42" i="15" s="1"/>
  <c r="T46" i="15"/>
  <c r="O46" i="15" s="1"/>
  <c r="T50" i="15"/>
  <c r="O50" i="15" s="1"/>
  <c r="T54" i="15"/>
  <c r="O54" i="15" s="1"/>
  <c r="T58" i="15"/>
  <c r="O58" i="15" s="1"/>
  <c r="T62" i="15"/>
  <c r="O62" i="15" s="1"/>
  <c r="T66" i="15"/>
  <c r="O66" i="15" s="1"/>
  <c r="T70" i="15"/>
  <c r="T74" i="15"/>
  <c r="O74" i="15" s="1"/>
  <c r="T78" i="15"/>
  <c r="O78" i="15" s="1"/>
  <c r="T82" i="15"/>
  <c r="O82" i="15" s="1"/>
  <c r="T86" i="15"/>
  <c r="O86" i="15" s="1"/>
  <c r="T3" i="15"/>
  <c r="T7" i="15"/>
  <c r="O7" i="15" s="1"/>
  <c r="T11" i="15"/>
  <c r="T15" i="15"/>
  <c r="O15" i="15" s="1"/>
  <c r="T19" i="15"/>
  <c r="T23" i="15"/>
  <c r="O23" i="15" s="1"/>
  <c r="T27" i="15"/>
  <c r="T31" i="15"/>
  <c r="T35" i="15"/>
  <c r="O35" i="15" s="1"/>
  <c r="T39" i="15"/>
  <c r="O39" i="15" s="1"/>
  <c r="T43" i="15"/>
  <c r="O43" i="15" s="1"/>
  <c r="T47" i="15"/>
  <c r="O47" i="15" s="1"/>
  <c r="T51" i="15"/>
  <c r="O51" i="15" s="1"/>
  <c r="T55" i="15"/>
  <c r="O55" i="15" s="1"/>
  <c r="T59" i="15"/>
  <c r="O59" i="15" s="1"/>
  <c r="T63" i="15"/>
  <c r="O63" i="15" s="1"/>
  <c r="T67" i="15"/>
  <c r="O67" i="15" s="1"/>
  <c r="T71" i="15"/>
  <c r="T75" i="15"/>
  <c r="O75" i="15" s="1"/>
  <c r="T79" i="15"/>
  <c r="O79" i="15" s="1"/>
  <c r="T83" i="15"/>
  <c r="O83" i="15" s="1"/>
  <c r="T87" i="15"/>
  <c r="O87" i="15" s="1"/>
  <c r="L5" i="31"/>
  <c r="K5" i="31"/>
  <c r="J5" i="31"/>
  <c r="I5" i="31"/>
  <c r="H5" i="31"/>
  <c r="G5" i="31"/>
  <c r="F5" i="31"/>
  <c r="E5" i="31"/>
  <c r="D5" i="31"/>
  <c r="C5" i="31"/>
  <c r="B5" i="31"/>
  <c r="I2" i="31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I2" i="30"/>
  <c r="AE475" i="26"/>
  <c r="X475" i="26"/>
  <c r="AD475" i="26" s="1"/>
  <c r="W475" i="26"/>
  <c r="AC475" i="26" s="1"/>
  <c r="V475" i="26"/>
  <c r="AB475" i="26" s="1"/>
  <c r="AE474" i="26"/>
  <c r="X474" i="26"/>
  <c r="AD474" i="26" s="1"/>
  <c r="W474" i="26"/>
  <c r="AC474" i="26" s="1"/>
  <c r="V474" i="26"/>
  <c r="AB474" i="26" s="1"/>
  <c r="AE473" i="26"/>
  <c r="X473" i="26"/>
  <c r="AD473" i="26" s="1"/>
  <c r="W473" i="26"/>
  <c r="AC473" i="26" s="1"/>
  <c r="V473" i="26"/>
  <c r="AB473" i="26" s="1"/>
  <c r="AE472" i="26"/>
  <c r="X472" i="26"/>
  <c r="AD472" i="26" s="1"/>
  <c r="W472" i="26"/>
  <c r="AC472" i="26" s="1"/>
  <c r="V472" i="26"/>
  <c r="AB472" i="26" s="1"/>
  <c r="AE471" i="26"/>
  <c r="X471" i="26"/>
  <c r="AD471" i="26" s="1"/>
  <c r="W471" i="26"/>
  <c r="AC471" i="26" s="1"/>
  <c r="V471" i="26"/>
  <c r="AB471" i="26" s="1"/>
  <c r="AE470" i="26"/>
  <c r="X470" i="26"/>
  <c r="AD470" i="26" s="1"/>
  <c r="W470" i="26"/>
  <c r="AC470" i="26" s="1"/>
  <c r="V470" i="26"/>
  <c r="AB470" i="26" s="1"/>
  <c r="AE469" i="26"/>
  <c r="X469" i="26"/>
  <c r="AD469" i="26" s="1"/>
  <c r="W469" i="26"/>
  <c r="AC469" i="26" s="1"/>
  <c r="V469" i="26"/>
  <c r="AB469" i="26" s="1"/>
  <c r="AE468" i="26"/>
  <c r="X468" i="26"/>
  <c r="AD468" i="26" s="1"/>
  <c r="W468" i="26"/>
  <c r="AC468" i="26" s="1"/>
  <c r="V468" i="26"/>
  <c r="AB468" i="26" s="1"/>
  <c r="AE467" i="26"/>
  <c r="X467" i="26"/>
  <c r="AD467" i="26" s="1"/>
  <c r="W467" i="26"/>
  <c r="AC467" i="26" s="1"/>
  <c r="V467" i="26"/>
  <c r="AB467" i="26" s="1"/>
  <c r="AE466" i="26"/>
  <c r="X466" i="26"/>
  <c r="AD466" i="26" s="1"/>
  <c r="W466" i="26"/>
  <c r="AC466" i="26" s="1"/>
  <c r="V466" i="26"/>
  <c r="AB466" i="26" s="1"/>
  <c r="AE465" i="26"/>
  <c r="X465" i="26"/>
  <c r="AD465" i="26" s="1"/>
  <c r="W465" i="26"/>
  <c r="AC465" i="26" s="1"/>
  <c r="V465" i="26"/>
  <c r="AB465" i="26" s="1"/>
  <c r="AE464" i="26"/>
  <c r="X464" i="26"/>
  <c r="AD464" i="26" s="1"/>
  <c r="W464" i="26"/>
  <c r="AC464" i="26" s="1"/>
  <c r="V464" i="26"/>
  <c r="AB464" i="26" s="1"/>
  <c r="AE463" i="26"/>
  <c r="X463" i="26"/>
  <c r="AD463" i="26" s="1"/>
  <c r="W463" i="26"/>
  <c r="AC463" i="26" s="1"/>
  <c r="V463" i="26"/>
  <c r="AB463" i="26" s="1"/>
  <c r="AE462" i="26"/>
  <c r="X462" i="26"/>
  <c r="AD462" i="26" s="1"/>
  <c r="W462" i="26"/>
  <c r="AC462" i="26" s="1"/>
  <c r="V462" i="26"/>
  <c r="AB462" i="26" s="1"/>
  <c r="AE461" i="26"/>
  <c r="X461" i="26"/>
  <c r="AD461" i="26" s="1"/>
  <c r="W461" i="26"/>
  <c r="AC461" i="26" s="1"/>
  <c r="V461" i="26"/>
  <c r="AB461" i="26" s="1"/>
  <c r="AE460" i="26"/>
  <c r="X460" i="26"/>
  <c r="AD460" i="26" s="1"/>
  <c r="W460" i="26"/>
  <c r="AC460" i="26" s="1"/>
  <c r="V460" i="26"/>
  <c r="AB460" i="26" s="1"/>
  <c r="AE459" i="26"/>
  <c r="X459" i="26"/>
  <c r="AD459" i="26" s="1"/>
  <c r="W459" i="26"/>
  <c r="AC459" i="26" s="1"/>
  <c r="V459" i="26"/>
  <c r="AB459" i="26" s="1"/>
  <c r="AE458" i="26"/>
  <c r="X458" i="26"/>
  <c r="AD458" i="26" s="1"/>
  <c r="W458" i="26"/>
  <c r="AC458" i="26" s="1"/>
  <c r="V458" i="26"/>
  <c r="AB458" i="26" s="1"/>
  <c r="AE457" i="26"/>
  <c r="X457" i="26"/>
  <c r="AD457" i="26" s="1"/>
  <c r="W457" i="26"/>
  <c r="AC457" i="26" s="1"/>
  <c r="V457" i="26"/>
  <c r="AB457" i="26" s="1"/>
  <c r="AE456" i="26"/>
  <c r="X456" i="26"/>
  <c r="AD456" i="26" s="1"/>
  <c r="W456" i="26"/>
  <c r="AC456" i="26" s="1"/>
  <c r="V456" i="26"/>
  <c r="AB456" i="26" s="1"/>
  <c r="AE455" i="26"/>
  <c r="X455" i="26"/>
  <c r="AD455" i="26" s="1"/>
  <c r="W455" i="26"/>
  <c r="AC455" i="26" s="1"/>
  <c r="V455" i="26"/>
  <c r="AB455" i="26" s="1"/>
  <c r="AE454" i="26"/>
  <c r="X454" i="26"/>
  <c r="AD454" i="26" s="1"/>
  <c r="W454" i="26"/>
  <c r="AC454" i="26" s="1"/>
  <c r="V454" i="26"/>
  <c r="AB454" i="26" s="1"/>
  <c r="AE453" i="26"/>
  <c r="X453" i="26"/>
  <c r="AD453" i="26" s="1"/>
  <c r="W453" i="26"/>
  <c r="AC453" i="26" s="1"/>
  <c r="V453" i="26"/>
  <c r="AB453" i="26" s="1"/>
  <c r="AE452" i="26"/>
  <c r="X452" i="26"/>
  <c r="AD452" i="26" s="1"/>
  <c r="W452" i="26"/>
  <c r="AC452" i="26" s="1"/>
  <c r="V452" i="26"/>
  <c r="AB452" i="26" s="1"/>
  <c r="AE451" i="26"/>
  <c r="X451" i="26"/>
  <c r="AD451" i="26" s="1"/>
  <c r="W451" i="26"/>
  <c r="AC451" i="26" s="1"/>
  <c r="V451" i="26"/>
  <c r="AB451" i="26" s="1"/>
  <c r="AE450" i="26"/>
  <c r="X450" i="26"/>
  <c r="AD450" i="26" s="1"/>
  <c r="W450" i="26"/>
  <c r="AC450" i="26" s="1"/>
  <c r="V450" i="26"/>
  <c r="AB450" i="26" s="1"/>
  <c r="AE449" i="26"/>
  <c r="X449" i="26"/>
  <c r="AD449" i="26" s="1"/>
  <c r="W449" i="26"/>
  <c r="AC449" i="26" s="1"/>
  <c r="V449" i="26"/>
  <c r="AB449" i="26" s="1"/>
  <c r="AE448" i="26"/>
  <c r="X448" i="26"/>
  <c r="AD448" i="26" s="1"/>
  <c r="W448" i="26"/>
  <c r="AC448" i="26" s="1"/>
  <c r="V448" i="26"/>
  <c r="AB448" i="26" s="1"/>
  <c r="AE447" i="26"/>
  <c r="X447" i="26"/>
  <c r="AD447" i="26" s="1"/>
  <c r="W447" i="26"/>
  <c r="AC447" i="26" s="1"/>
  <c r="V447" i="26"/>
  <c r="AB447" i="26" s="1"/>
  <c r="AE446" i="26"/>
  <c r="AB446" i="26"/>
  <c r="X446" i="26"/>
  <c r="AD446" i="26" s="1"/>
  <c r="W446" i="26"/>
  <c r="AC446" i="26" s="1"/>
  <c r="V446" i="26"/>
  <c r="AE445" i="26"/>
  <c r="X445" i="26"/>
  <c r="AD445" i="26" s="1"/>
  <c r="W445" i="26"/>
  <c r="AC445" i="26" s="1"/>
  <c r="V445" i="26"/>
  <c r="AB445" i="26" s="1"/>
  <c r="AE444" i="26"/>
  <c r="X444" i="26"/>
  <c r="AD444" i="26" s="1"/>
  <c r="W444" i="26"/>
  <c r="AC444" i="26" s="1"/>
  <c r="V444" i="26"/>
  <c r="AB444" i="26" s="1"/>
  <c r="AE443" i="26"/>
  <c r="X443" i="26"/>
  <c r="AD443" i="26" s="1"/>
  <c r="W443" i="26"/>
  <c r="AC443" i="26" s="1"/>
  <c r="V443" i="26"/>
  <c r="AB443" i="26" s="1"/>
  <c r="AE442" i="26"/>
  <c r="X442" i="26"/>
  <c r="AD442" i="26" s="1"/>
  <c r="W442" i="26"/>
  <c r="AC442" i="26" s="1"/>
  <c r="V442" i="26"/>
  <c r="AB442" i="26" s="1"/>
  <c r="AE441" i="26"/>
  <c r="X441" i="26"/>
  <c r="AD441" i="26" s="1"/>
  <c r="W441" i="26"/>
  <c r="AC441" i="26" s="1"/>
  <c r="V441" i="26"/>
  <c r="AB441" i="26" s="1"/>
  <c r="AE440" i="26"/>
  <c r="X440" i="26"/>
  <c r="AD440" i="26" s="1"/>
  <c r="W440" i="26"/>
  <c r="AC440" i="26" s="1"/>
  <c r="V440" i="26"/>
  <c r="AB440" i="26" s="1"/>
  <c r="AE439" i="26"/>
  <c r="X439" i="26"/>
  <c r="AD439" i="26" s="1"/>
  <c r="W439" i="26"/>
  <c r="AC439" i="26" s="1"/>
  <c r="V439" i="26"/>
  <c r="AB439" i="26" s="1"/>
  <c r="AE438" i="26"/>
  <c r="X438" i="26"/>
  <c r="AD438" i="26" s="1"/>
  <c r="W438" i="26"/>
  <c r="AC438" i="26" s="1"/>
  <c r="V438" i="26"/>
  <c r="AB438" i="26" s="1"/>
  <c r="AE437" i="26"/>
  <c r="X437" i="26"/>
  <c r="AD437" i="26" s="1"/>
  <c r="W437" i="26"/>
  <c r="AC437" i="26" s="1"/>
  <c r="V437" i="26"/>
  <c r="AB437" i="26" s="1"/>
  <c r="AE436" i="26"/>
  <c r="X436" i="26"/>
  <c r="AD436" i="26" s="1"/>
  <c r="W436" i="26"/>
  <c r="AC436" i="26" s="1"/>
  <c r="V436" i="26"/>
  <c r="AB436" i="26" s="1"/>
  <c r="AE435" i="26"/>
  <c r="X435" i="26"/>
  <c r="AD435" i="26" s="1"/>
  <c r="W435" i="26"/>
  <c r="AC435" i="26" s="1"/>
  <c r="V435" i="26"/>
  <c r="AB435" i="26" s="1"/>
  <c r="AE434" i="26"/>
  <c r="X434" i="26"/>
  <c r="AD434" i="26" s="1"/>
  <c r="W434" i="26"/>
  <c r="AC434" i="26" s="1"/>
  <c r="V434" i="26"/>
  <c r="AB434" i="26" s="1"/>
  <c r="AE433" i="26"/>
  <c r="AB433" i="26"/>
  <c r="X433" i="26"/>
  <c r="AD433" i="26" s="1"/>
  <c r="W433" i="26"/>
  <c r="AC433" i="26" s="1"/>
  <c r="V433" i="26"/>
  <c r="AE432" i="26"/>
  <c r="X432" i="26"/>
  <c r="AD432" i="26" s="1"/>
  <c r="W432" i="26"/>
  <c r="AC432" i="26" s="1"/>
  <c r="V432" i="26"/>
  <c r="AB432" i="26" s="1"/>
  <c r="AE431" i="26"/>
  <c r="X431" i="26"/>
  <c r="AD431" i="26" s="1"/>
  <c r="W431" i="26"/>
  <c r="AC431" i="26" s="1"/>
  <c r="V431" i="26"/>
  <c r="AB431" i="26" s="1"/>
  <c r="AE430" i="26"/>
  <c r="X430" i="26"/>
  <c r="AD430" i="26" s="1"/>
  <c r="W430" i="26"/>
  <c r="AC430" i="26" s="1"/>
  <c r="V430" i="26"/>
  <c r="AB430" i="26" s="1"/>
  <c r="AE429" i="26"/>
  <c r="X429" i="26"/>
  <c r="AD429" i="26" s="1"/>
  <c r="W429" i="26"/>
  <c r="AC429" i="26" s="1"/>
  <c r="V429" i="26"/>
  <c r="AB429" i="26" s="1"/>
  <c r="AE428" i="26"/>
  <c r="X428" i="26"/>
  <c r="AD428" i="26" s="1"/>
  <c r="W428" i="26"/>
  <c r="AC428" i="26" s="1"/>
  <c r="V428" i="26"/>
  <c r="AB428" i="26" s="1"/>
  <c r="AE427" i="26"/>
  <c r="X427" i="26"/>
  <c r="AD427" i="26" s="1"/>
  <c r="W427" i="26"/>
  <c r="AC427" i="26" s="1"/>
  <c r="V427" i="26"/>
  <c r="AB427" i="26" s="1"/>
  <c r="AE426" i="26"/>
  <c r="X426" i="26"/>
  <c r="AD426" i="26" s="1"/>
  <c r="W426" i="26"/>
  <c r="AC426" i="26" s="1"/>
  <c r="V426" i="26"/>
  <c r="AB426" i="26" s="1"/>
  <c r="AE425" i="26"/>
  <c r="X425" i="26"/>
  <c r="AD425" i="26" s="1"/>
  <c r="W425" i="26"/>
  <c r="AC425" i="26" s="1"/>
  <c r="V425" i="26"/>
  <c r="AB425" i="26" s="1"/>
  <c r="AE424" i="26"/>
  <c r="X424" i="26"/>
  <c r="AD424" i="26" s="1"/>
  <c r="W424" i="26"/>
  <c r="AC424" i="26" s="1"/>
  <c r="V424" i="26"/>
  <c r="AB424" i="26" s="1"/>
  <c r="AE423" i="26"/>
  <c r="X423" i="26"/>
  <c r="AD423" i="26" s="1"/>
  <c r="W423" i="26"/>
  <c r="AC423" i="26" s="1"/>
  <c r="V423" i="26"/>
  <c r="AB423" i="26" s="1"/>
  <c r="AE422" i="26"/>
  <c r="X422" i="26"/>
  <c r="AD422" i="26" s="1"/>
  <c r="W422" i="26"/>
  <c r="AC422" i="26" s="1"/>
  <c r="V422" i="26"/>
  <c r="AB422" i="26" s="1"/>
  <c r="AE421" i="26"/>
  <c r="X421" i="26"/>
  <c r="AD421" i="26" s="1"/>
  <c r="W421" i="26"/>
  <c r="AC421" i="26" s="1"/>
  <c r="V421" i="26"/>
  <c r="AB421" i="26" s="1"/>
  <c r="AE420" i="26"/>
  <c r="X420" i="26"/>
  <c r="AD420" i="26" s="1"/>
  <c r="W420" i="26"/>
  <c r="AC420" i="26" s="1"/>
  <c r="V420" i="26"/>
  <c r="AB420" i="26" s="1"/>
  <c r="AE419" i="26"/>
  <c r="X419" i="26"/>
  <c r="AD419" i="26" s="1"/>
  <c r="W419" i="26"/>
  <c r="AC419" i="26" s="1"/>
  <c r="V419" i="26"/>
  <c r="AB419" i="26" s="1"/>
  <c r="AE418" i="26"/>
  <c r="X418" i="26"/>
  <c r="AD418" i="26" s="1"/>
  <c r="W418" i="26"/>
  <c r="AC418" i="26" s="1"/>
  <c r="V418" i="26"/>
  <c r="AB418" i="26" s="1"/>
  <c r="AE417" i="26"/>
  <c r="X417" i="26"/>
  <c r="AD417" i="26" s="1"/>
  <c r="W417" i="26"/>
  <c r="AC417" i="26" s="1"/>
  <c r="V417" i="26"/>
  <c r="AB417" i="26" s="1"/>
  <c r="AE416" i="26"/>
  <c r="X416" i="26"/>
  <c r="AD416" i="26" s="1"/>
  <c r="W416" i="26"/>
  <c r="AC416" i="26" s="1"/>
  <c r="V416" i="26"/>
  <c r="AB416" i="26" s="1"/>
  <c r="AE415" i="26"/>
  <c r="X415" i="26"/>
  <c r="AD415" i="26" s="1"/>
  <c r="W415" i="26"/>
  <c r="AC415" i="26" s="1"/>
  <c r="V415" i="26"/>
  <c r="AB415" i="26" s="1"/>
  <c r="AE414" i="26"/>
  <c r="X414" i="26"/>
  <c r="AD414" i="26" s="1"/>
  <c r="W414" i="26"/>
  <c r="AC414" i="26" s="1"/>
  <c r="V414" i="26"/>
  <c r="AB414" i="26" s="1"/>
  <c r="AE413" i="26"/>
  <c r="X413" i="26"/>
  <c r="AD413" i="26" s="1"/>
  <c r="W413" i="26"/>
  <c r="AC413" i="26" s="1"/>
  <c r="V413" i="26"/>
  <c r="AB413" i="26" s="1"/>
  <c r="AE412" i="26"/>
  <c r="X412" i="26"/>
  <c r="AD412" i="26" s="1"/>
  <c r="W412" i="26"/>
  <c r="AC412" i="26" s="1"/>
  <c r="V412" i="26"/>
  <c r="AB412" i="26" s="1"/>
  <c r="AE411" i="26"/>
  <c r="X411" i="26"/>
  <c r="AD411" i="26" s="1"/>
  <c r="W411" i="26"/>
  <c r="AC411" i="26" s="1"/>
  <c r="V411" i="26"/>
  <c r="AB411" i="26" s="1"/>
  <c r="AE410" i="26"/>
  <c r="X410" i="26"/>
  <c r="AD410" i="26" s="1"/>
  <c r="W410" i="26"/>
  <c r="AC410" i="26" s="1"/>
  <c r="V410" i="26"/>
  <c r="AB410" i="26" s="1"/>
  <c r="AE409" i="26"/>
  <c r="X409" i="26"/>
  <c r="AD409" i="26" s="1"/>
  <c r="W409" i="26"/>
  <c r="AC409" i="26" s="1"/>
  <c r="V409" i="26"/>
  <c r="AB409" i="26" s="1"/>
  <c r="AE408" i="26"/>
  <c r="X408" i="26"/>
  <c r="AD408" i="26" s="1"/>
  <c r="W408" i="26"/>
  <c r="AC408" i="26" s="1"/>
  <c r="V408" i="26"/>
  <c r="AB408" i="26" s="1"/>
  <c r="AE407" i="26"/>
  <c r="X407" i="26"/>
  <c r="AD407" i="26" s="1"/>
  <c r="W407" i="26"/>
  <c r="AC407" i="26" s="1"/>
  <c r="V407" i="26"/>
  <c r="AB407" i="26" s="1"/>
  <c r="AE406" i="26"/>
  <c r="X406" i="26"/>
  <c r="AD406" i="26" s="1"/>
  <c r="W406" i="26"/>
  <c r="AC406" i="26" s="1"/>
  <c r="V406" i="26"/>
  <c r="AB406" i="26" s="1"/>
  <c r="AE405" i="26"/>
  <c r="X405" i="26"/>
  <c r="AD405" i="26" s="1"/>
  <c r="W405" i="26"/>
  <c r="AC405" i="26" s="1"/>
  <c r="V405" i="26"/>
  <c r="AB405" i="26" s="1"/>
  <c r="AE404" i="26"/>
  <c r="X404" i="26"/>
  <c r="AD404" i="26" s="1"/>
  <c r="W404" i="26"/>
  <c r="AC404" i="26" s="1"/>
  <c r="V404" i="26"/>
  <c r="AB404" i="26" s="1"/>
  <c r="AE403" i="26"/>
  <c r="X403" i="26"/>
  <c r="AD403" i="26" s="1"/>
  <c r="W403" i="26"/>
  <c r="AC403" i="26" s="1"/>
  <c r="V403" i="26"/>
  <c r="AB403" i="26" s="1"/>
  <c r="AE402" i="26"/>
  <c r="X402" i="26"/>
  <c r="AD402" i="26" s="1"/>
  <c r="W402" i="26"/>
  <c r="AC402" i="26" s="1"/>
  <c r="V402" i="26"/>
  <c r="AB402" i="26" s="1"/>
  <c r="AE401" i="26"/>
  <c r="X401" i="26"/>
  <c r="AD401" i="26" s="1"/>
  <c r="W401" i="26"/>
  <c r="AC401" i="26" s="1"/>
  <c r="V401" i="26"/>
  <c r="AB401" i="26" s="1"/>
  <c r="AE400" i="26"/>
  <c r="X400" i="26"/>
  <c r="AD400" i="26" s="1"/>
  <c r="W400" i="26"/>
  <c r="AC400" i="26" s="1"/>
  <c r="V400" i="26"/>
  <c r="AB400" i="26" s="1"/>
  <c r="AE399" i="26"/>
  <c r="X399" i="26"/>
  <c r="AD399" i="26" s="1"/>
  <c r="W399" i="26"/>
  <c r="AC399" i="26" s="1"/>
  <c r="V399" i="26"/>
  <c r="AB399" i="26" s="1"/>
  <c r="AE398" i="26"/>
  <c r="X398" i="26"/>
  <c r="AD398" i="26" s="1"/>
  <c r="W398" i="26"/>
  <c r="AC398" i="26" s="1"/>
  <c r="V398" i="26"/>
  <c r="AB398" i="26" s="1"/>
  <c r="AE397" i="26"/>
  <c r="X397" i="26"/>
  <c r="AD397" i="26" s="1"/>
  <c r="W397" i="26"/>
  <c r="AC397" i="26" s="1"/>
  <c r="V397" i="26"/>
  <c r="AB397" i="26" s="1"/>
  <c r="AE396" i="26"/>
  <c r="X396" i="26"/>
  <c r="AD396" i="26" s="1"/>
  <c r="W396" i="26"/>
  <c r="AC396" i="26" s="1"/>
  <c r="V396" i="26"/>
  <c r="AB396" i="26" s="1"/>
  <c r="AE395" i="26"/>
  <c r="X395" i="26"/>
  <c r="AD395" i="26" s="1"/>
  <c r="W395" i="26"/>
  <c r="AC395" i="26" s="1"/>
  <c r="V395" i="26"/>
  <c r="AB395" i="26" s="1"/>
  <c r="AE394" i="26"/>
  <c r="X394" i="26"/>
  <c r="AD394" i="26" s="1"/>
  <c r="W394" i="26"/>
  <c r="AC394" i="26" s="1"/>
  <c r="V394" i="26"/>
  <c r="AB394" i="26" s="1"/>
  <c r="AE393" i="26"/>
  <c r="X393" i="26"/>
  <c r="AD393" i="26" s="1"/>
  <c r="W393" i="26"/>
  <c r="AC393" i="26" s="1"/>
  <c r="V393" i="26"/>
  <c r="AB393" i="26" s="1"/>
  <c r="AE392" i="26"/>
  <c r="X392" i="26"/>
  <c r="AD392" i="26" s="1"/>
  <c r="W392" i="26"/>
  <c r="AC392" i="26" s="1"/>
  <c r="V392" i="26"/>
  <c r="AB392" i="26" s="1"/>
  <c r="AE391" i="26"/>
  <c r="X391" i="26"/>
  <c r="AD391" i="26" s="1"/>
  <c r="W391" i="26"/>
  <c r="AC391" i="26" s="1"/>
  <c r="V391" i="26"/>
  <c r="AB391" i="26" s="1"/>
  <c r="AE390" i="26"/>
  <c r="X390" i="26"/>
  <c r="AD390" i="26" s="1"/>
  <c r="W390" i="26"/>
  <c r="AC390" i="26" s="1"/>
  <c r="V390" i="26"/>
  <c r="AB390" i="26" s="1"/>
  <c r="AE389" i="26"/>
  <c r="X389" i="26"/>
  <c r="AD389" i="26" s="1"/>
  <c r="W389" i="26"/>
  <c r="AC389" i="26" s="1"/>
  <c r="V389" i="26"/>
  <c r="AB389" i="26" s="1"/>
  <c r="AE388" i="26"/>
  <c r="X388" i="26"/>
  <c r="AD388" i="26" s="1"/>
  <c r="W388" i="26"/>
  <c r="AC388" i="26" s="1"/>
  <c r="V388" i="26"/>
  <c r="AB388" i="26" s="1"/>
  <c r="AE387" i="26"/>
  <c r="X387" i="26"/>
  <c r="AD387" i="26" s="1"/>
  <c r="W387" i="26"/>
  <c r="AC387" i="26" s="1"/>
  <c r="V387" i="26"/>
  <c r="AB387" i="26" s="1"/>
  <c r="AE386" i="26"/>
  <c r="X386" i="26"/>
  <c r="AD386" i="26" s="1"/>
  <c r="W386" i="26"/>
  <c r="AC386" i="26" s="1"/>
  <c r="V386" i="26"/>
  <c r="AB386" i="26" s="1"/>
  <c r="AE385" i="26"/>
  <c r="X385" i="26"/>
  <c r="AD385" i="26" s="1"/>
  <c r="W385" i="26"/>
  <c r="AC385" i="26" s="1"/>
  <c r="V385" i="26"/>
  <c r="AB385" i="26" s="1"/>
  <c r="AE384" i="26"/>
  <c r="X384" i="26"/>
  <c r="AD384" i="26" s="1"/>
  <c r="W384" i="26"/>
  <c r="AC384" i="26" s="1"/>
  <c r="V384" i="26"/>
  <c r="AB384" i="26" s="1"/>
  <c r="AE383" i="26"/>
  <c r="X383" i="26"/>
  <c r="AD383" i="26" s="1"/>
  <c r="W383" i="26"/>
  <c r="AC383" i="26" s="1"/>
  <c r="V383" i="26"/>
  <c r="AB383" i="26" s="1"/>
  <c r="AE382" i="26"/>
  <c r="X382" i="26"/>
  <c r="AD382" i="26" s="1"/>
  <c r="W382" i="26"/>
  <c r="AC382" i="26" s="1"/>
  <c r="V382" i="26"/>
  <c r="AB382" i="26" s="1"/>
  <c r="AE381" i="26"/>
  <c r="X381" i="26"/>
  <c r="AD381" i="26" s="1"/>
  <c r="W381" i="26"/>
  <c r="AC381" i="26" s="1"/>
  <c r="V381" i="26"/>
  <c r="AB381" i="26" s="1"/>
  <c r="AE380" i="26"/>
  <c r="X380" i="26"/>
  <c r="AD380" i="26" s="1"/>
  <c r="W380" i="26"/>
  <c r="AC380" i="26" s="1"/>
  <c r="V380" i="26"/>
  <c r="AB380" i="26" s="1"/>
  <c r="AE379" i="26"/>
  <c r="X379" i="26"/>
  <c r="AD379" i="26" s="1"/>
  <c r="W379" i="26"/>
  <c r="AC379" i="26" s="1"/>
  <c r="V379" i="26"/>
  <c r="AB379" i="26" s="1"/>
  <c r="AE378" i="26"/>
  <c r="X378" i="26"/>
  <c r="AD378" i="26" s="1"/>
  <c r="W378" i="26"/>
  <c r="AC378" i="26" s="1"/>
  <c r="V378" i="26"/>
  <c r="AB378" i="26" s="1"/>
  <c r="AE377" i="26"/>
  <c r="X377" i="26"/>
  <c r="AD377" i="26" s="1"/>
  <c r="W377" i="26"/>
  <c r="AC377" i="26" s="1"/>
  <c r="V377" i="26"/>
  <c r="AB377" i="26" s="1"/>
  <c r="AE376" i="26"/>
  <c r="X376" i="26"/>
  <c r="AD376" i="26" s="1"/>
  <c r="W376" i="26"/>
  <c r="AC376" i="26" s="1"/>
  <c r="V376" i="26"/>
  <c r="AB376" i="26" s="1"/>
  <c r="AE375" i="26"/>
  <c r="X375" i="26"/>
  <c r="AD375" i="26" s="1"/>
  <c r="W375" i="26"/>
  <c r="AC375" i="26" s="1"/>
  <c r="V375" i="26"/>
  <c r="AB375" i="26" s="1"/>
  <c r="AE374" i="26"/>
  <c r="X374" i="26"/>
  <c r="AD374" i="26" s="1"/>
  <c r="W374" i="26"/>
  <c r="AC374" i="26" s="1"/>
  <c r="V374" i="26"/>
  <c r="AB374" i="26" s="1"/>
  <c r="AE373" i="26"/>
  <c r="X373" i="26"/>
  <c r="AD373" i="26" s="1"/>
  <c r="W373" i="26"/>
  <c r="AC373" i="26" s="1"/>
  <c r="V373" i="26"/>
  <c r="AB373" i="26" s="1"/>
  <c r="AE372" i="26"/>
  <c r="X372" i="26"/>
  <c r="AD372" i="26" s="1"/>
  <c r="W372" i="26"/>
  <c r="AC372" i="26" s="1"/>
  <c r="V372" i="26"/>
  <c r="AB372" i="26" s="1"/>
  <c r="AE371" i="26"/>
  <c r="X371" i="26"/>
  <c r="AD371" i="26" s="1"/>
  <c r="W371" i="26"/>
  <c r="AC371" i="26" s="1"/>
  <c r="V371" i="26"/>
  <c r="AB371" i="26" s="1"/>
  <c r="AE370" i="26"/>
  <c r="X370" i="26"/>
  <c r="AD370" i="26" s="1"/>
  <c r="W370" i="26"/>
  <c r="AC370" i="26" s="1"/>
  <c r="V370" i="26"/>
  <c r="AB370" i="26" s="1"/>
  <c r="AE369" i="26"/>
  <c r="X369" i="26"/>
  <c r="AD369" i="26" s="1"/>
  <c r="W369" i="26"/>
  <c r="AC369" i="26" s="1"/>
  <c r="V369" i="26"/>
  <c r="AB369" i="26" s="1"/>
  <c r="AE368" i="26"/>
  <c r="X368" i="26"/>
  <c r="AD368" i="26" s="1"/>
  <c r="W368" i="26"/>
  <c r="AC368" i="26" s="1"/>
  <c r="V368" i="26"/>
  <c r="AB368" i="26" s="1"/>
  <c r="AE367" i="26"/>
  <c r="X367" i="26"/>
  <c r="AD367" i="26" s="1"/>
  <c r="W367" i="26"/>
  <c r="AC367" i="26" s="1"/>
  <c r="V367" i="26"/>
  <c r="AB367" i="26" s="1"/>
  <c r="AE366" i="26"/>
  <c r="X366" i="26"/>
  <c r="AD366" i="26" s="1"/>
  <c r="W366" i="26"/>
  <c r="AC366" i="26" s="1"/>
  <c r="V366" i="26"/>
  <c r="AB366" i="26" s="1"/>
  <c r="AE365" i="26"/>
  <c r="X365" i="26"/>
  <c r="AD365" i="26" s="1"/>
  <c r="W365" i="26"/>
  <c r="AC365" i="26" s="1"/>
  <c r="V365" i="26"/>
  <c r="AB365" i="26" s="1"/>
  <c r="AE364" i="26"/>
  <c r="X364" i="26"/>
  <c r="AD364" i="26" s="1"/>
  <c r="W364" i="26"/>
  <c r="AC364" i="26" s="1"/>
  <c r="V364" i="26"/>
  <c r="AB364" i="26" s="1"/>
  <c r="AE363" i="26"/>
  <c r="X363" i="26"/>
  <c r="AD363" i="26" s="1"/>
  <c r="W363" i="26"/>
  <c r="AC363" i="26" s="1"/>
  <c r="V363" i="26"/>
  <c r="AB363" i="26" s="1"/>
  <c r="AE362" i="26"/>
  <c r="X362" i="26"/>
  <c r="AD362" i="26" s="1"/>
  <c r="W362" i="26"/>
  <c r="AC362" i="26" s="1"/>
  <c r="V362" i="26"/>
  <c r="AB362" i="26" s="1"/>
  <c r="AE361" i="26"/>
  <c r="X361" i="26"/>
  <c r="AD361" i="26" s="1"/>
  <c r="W361" i="26"/>
  <c r="AC361" i="26" s="1"/>
  <c r="V361" i="26"/>
  <c r="AB361" i="26" s="1"/>
  <c r="AE360" i="26"/>
  <c r="X360" i="26"/>
  <c r="AD360" i="26" s="1"/>
  <c r="W360" i="26"/>
  <c r="AC360" i="26" s="1"/>
  <c r="V360" i="26"/>
  <c r="AB360" i="26" s="1"/>
  <c r="AE359" i="26"/>
  <c r="X359" i="26"/>
  <c r="AD359" i="26" s="1"/>
  <c r="W359" i="26"/>
  <c r="AC359" i="26" s="1"/>
  <c r="V359" i="26"/>
  <c r="AB359" i="26" s="1"/>
  <c r="AE358" i="26"/>
  <c r="X358" i="26"/>
  <c r="AD358" i="26" s="1"/>
  <c r="W358" i="26"/>
  <c r="AC358" i="26" s="1"/>
  <c r="V358" i="26"/>
  <c r="AB358" i="26" s="1"/>
  <c r="AE357" i="26"/>
  <c r="X357" i="26"/>
  <c r="AD357" i="26" s="1"/>
  <c r="W357" i="26"/>
  <c r="AC357" i="26" s="1"/>
  <c r="V357" i="26"/>
  <c r="AB357" i="26" s="1"/>
  <c r="AE356" i="26"/>
  <c r="X356" i="26"/>
  <c r="AD356" i="26" s="1"/>
  <c r="W356" i="26"/>
  <c r="AC356" i="26" s="1"/>
  <c r="V356" i="26"/>
  <c r="AB356" i="26" s="1"/>
  <c r="AE355" i="26"/>
  <c r="X355" i="26"/>
  <c r="AD355" i="26" s="1"/>
  <c r="W355" i="26"/>
  <c r="AC355" i="26" s="1"/>
  <c r="V355" i="26"/>
  <c r="AB355" i="26" s="1"/>
  <c r="AE354" i="26"/>
  <c r="X354" i="26"/>
  <c r="AD354" i="26" s="1"/>
  <c r="W354" i="26"/>
  <c r="AC354" i="26" s="1"/>
  <c r="V354" i="26"/>
  <c r="AB354" i="26" s="1"/>
  <c r="AE353" i="26"/>
  <c r="X353" i="26"/>
  <c r="AD353" i="26" s="1"/>
  <c r="W353" i="26"/>
  <c r="AC353" i="26" s="1"/>
  <c r="V353" i="26"/>
  <c r="AB353" i="26" s="1"/>
  <c r="AE352" i="26"/>
  <c r="X352" i="26"/>
  <c r="AD352" i="26" s="1"/>
  <c r="W352" i="26"/>
  <c r="AC352" i="26" s="1"/>
  <c r="V352" i="26"/>
  <c r="AB352" i="26" s="1"/>
  <c r="AE351" i="26"/>
  <c r="X351" i="26"/>
  <c r="AD351" i="26" s="1"/>
  <c r="W351" i="26"/>
  <c r="AC351" i="26" s="1"/>
  <c r="V351" i="26"/>
  <c r="AB351" i="26" s="1"/>
  <c r="AE350" i="26"/>
  <c r="X350" i="26"/>
  <c r="AD350" i="26" s="1"/>
  <c r="W350" i="26"/>
  <c r="AC350" i="26" s="1"/>
  <c r="V350" i="26"/>
  <c r="AB350" i="26" s="1"/>
  <c r="AE349" i="26"/>
  <c r="X349" i="26"/>
  <c r="AD349" i="26" s="1"/>
  <c r="W349" i="26"/>
  <c r="AC349" i="26" s="1"/>
  <c r="V349" i="26"/>
  <c r="AB349" i="26" s="1"/>
  <c r="AE348" i="26"/>
  <c r="X348" i="26"/>
  <c r="AD348" i="26" s="1"/>
  <c r="W348" i="26"/>
  <c r="AC348" i="26" s="1"/>
  <c r="V348" i="26"/>
  <c r="AB348" i="26" s="1"/>
  <c r="AE347" i="26"/>
  <c r="X347" i="26"/>
  <c r="AD347" i="26" s="1"/>
  <c r="W347" i="26"/>
  <c r="AC347" i="26" s="1"/>
  <c r="V347" i="26"/>
  <c r="AB347" i="26" s="1"/>
  <c r="AE346" i="26"/>
  <c r="X346" i="26"/>
  <c r="AD346" i="26" s="1"/>
  <c r="W346" i="26"/>
  <c r="AC346" i="26" s="1"/>
  <c r="V346" i="26"/>
  <c r="AB346" i="26" s="1"/>
  <c r="AE345" i="26"/>
  <c r="X345" i="26"/>
  <c r="AD345" i="26" s="1"/>
  <c r="W345" i="26"/>
  <c r="AC345" i="26" s="1"/>
  <c r="V345" i="26"/>
  <c r="AB345" i="26" s="1"/>
  <c r="AE344" i="26"/>
  <c r="X344" i="26"/>
  <c r="AD344" i="26" s="1"/>
  <c r="W344" i="26"/>
  <c r="AC344" i="26" s="1"/>
  <c r="V344" i="26"/>
  <c r="AB344" i="26" s="1"/>
  <c r="AE343" i="26"/>
  <c r="X343" i="26"/>
  <c r="AD343" i="26" s="1"/>
  <c r="W343" i="26"/>
  <c r="AC343" i="26" s="1"/>
  <c r="V343" i="26"/>
  <c r="AB343" i="26" s="1"/>
  <c r="AE342" i="26"/>
  <c r="X342" i="26"/>
  <c r="AD342" i="26" s="1"/>
  <c r="W342" i="26"/>
  <c r="AC342" i="26" s="1"/>
  <c r="V342" i="26"/>
  <c r="AB342" i="26" s="1"/>
  <c r="AE341" i="26"/>
  <c r="X341" i="26"/>
  <c r="AD341" i="26" s="1"/>
  <c r="W341" i="26"/>
  <c r="AC341" i="26" s="1"/>
  <c r="V341" i="26"/>
  <c r="AB341" i="26" s="1"/>
  <c r="AE340" i="26"/>
  <c r="X340" i="26"/>
  <c r="AD340" i="26" s="1"/>
  <c r="W340" i="26"/>
  <c r="AC340" i="26" s="1"/>
  <c r="V340" i="26"/>
  <c r="AB340" i="26" s="1"/>
  <c r="AE339" i="26"/>
  <c r="X339" i="26"/>
  <c r="AD339" i="26" s="1"/>
  <c r="W339" i="26"/>
  <c r="AC339" i="26" s="1"/>
  <c r="V339" i="26"/>
  <c r="AB339" i="26" s="1"/>
  <c r="AE338" i="26"/>
  <c r="X338" i="26"/>
  <c r="AD338" i="26" s="1"/>
  <c r="W338" i="26"/>
  <c r="AC338" i="26" s="1"/>
  <c r="V338" i="26"/>
  <c r="AB338" i="26" s="1"/>
  <c r="AE337" i="26"/>
  <c r="X337" i="26"/>
  <c r="AD337" i="26" s="1"/>
  <c r="W337" i="26"/>
  <c r="AC337" i="26" s="1"/>
  <c r="V337" i="26"/>
  <c r="AB337" i="26" s="1"/>
  <c r="AE336" i="26"/>
  <c r="X336" i="26"/>
  <c r="AD336" i="26" s="1"/>
  <c r="W336" i="26"/>
  <c r="AC336" i="26" s="1"/>
  <c r="V336" i="26"/>
  <c r="AB336" i="26" s="1"/>
  <c r="AE335" i="26"/>
  <c r="X335" i="26"/>
  <c r="AD335" i="26" s="1"/>
  <c r="W335" i="26"/>
  <c r="AC335" i="26" s="1"/>
  <c r="V335" i="26"/>
  <c r="AB335" i="26" s="1"/>
  <c r="AE334" i="26"/>
  <c r="X334" i="26"/>
  <c r="AD334" i="26" s="1"/>
  <c r="W334" i="26"/>
  <c r="AC334" i="26" s="1"/>
  <c r="V334" i="26"/>
  <c r="AB334" i="26" s="1"/>
  <c r="AE333" i="26"/>
  <c r="X333" i="26"/>
  <c r="AD333" i="26" s="1"/>
  <c r="W333" i="26"/>
  <c r="AC333" i="26" s="1"/>
  <c r="V333" i="26"/>
  <c r="AB333" i="26" s="1"/>
  <c r="AE332" i="26"/>
  <c r="X332" i="26"/>
  <c r="AD332" i="26" s="1"/>
  <c r="W332" i="26"/>
  <c r="AC332" i="26" s="1"/>
  <c r="V332" i="26"/>
  <c r="AB332" i="26" s="1"/>
  <c r="AE331" i="26"/>
  <c r="X331" i="26"/>
  <c r="AD331" i="26" s="1"/>
  <c r="W331" i="26"/>
  <c r="AC331" i="26" s="1"/>
  <c r="V331" i="26"/>
  <c r="AB331" i="26" s="1"/>
  <c r="AE330" i="26"/>
  <c r="X330" i="26"/>
  <c r="AD330" i="26" s="1"/>
  <c r="W330" i="26"/>
  <c r="AC330" i="26" s="1"/>
  <c r="V330" i="26"/>
  <c r="AB330" i="26" s="1"/>
  <c r="AE329" i="26"/>
  <c r="X329" i="26"/>
  <c r="AD329" i="26" s="1"/>
  <c r="W329" i="26"/>
  <c r="AC329" i="26" s="1"/>
  <c r="V329" i="26"/>
  <c r="AB329" i="26" s="1"/>
  <c r="AE328" i="26"/>
  <c r="X328" i="26"/>
  <c r="AD328" i="26" s="1"/>
  <c r="W328" i="26"/>
  <c r="AC328" i="26" s="1"/>
  <c r="V328" i="26"/>
  <c r="AB328" i="26" s="1"/>
  <c r="AE327" i="26"/>
  <c r="X327" i="26"/>
  <c r="AD327" i="26" s="1"/>
  <c r="W327" i="26"/>
  <c r="AC327" i="26" s="1"/>
  <c r="V327" i="26"/>
  <c r="AB327" i="26" s="1"/>
  <c r="AE326" i="26"/>
  <c r="X326" i="26"/>
  <c r="AD326" i="26" s="1"/>
  <c r="W326" i="26"/>
  <c r="AC326" i="26" s="1"/>
  <c r="V326" i="26"/>
  <c r="AB326" i="26" s="1"/>
  <c r="AE325" i="26"/>
  <c r="X325" i="26"/>
  <c r="AD325" i="26" s="1"/>
  <c r="W325" i="26"/>
  <c r="AC325" i="26" s="1"/>
  <c r="V325" i="26"/>
  <c r="AB325" i="26" s="1"/>
  <c r="AE324" i="26"/>
  <c r="X324" i="26"/>
  <c r="AD324" i="26" s="1"/>
  <c r="W324" i="26"/>
  <c r="AC324" i="26" s="1"/>
  <c r="V324" i="26"/>
  <c r="AB324" i="26" s="1"/>
  <c r="AE323" i="26"/>
  <c r="X323" i="26"/>
  <c r="AD323" i="26" s="1"/>
  <c r="W323" i="26"/>
  <c r="AC323" i="26" s="1"/>
  <c r="V323" i="26"/>
  <c r="AB323" i="26" s="1"/>
  <c r="AE322" i="26"/>
  <c r="X322" i="26"/>
  <c r="AD322" i="26" s="1"/>
  <c r="W322" i="26"/>
  <c r="AC322" i="26" s="1"/>
  <c r="V322" i="26"/>
  <c r="AB322" i="26" s="1"/>
  <c r="AE321" i="26"/>
  <c r="X321" i="26"/>
  <c r="AD321" i="26" s="1"/>
  <c r="W321" i="26"/>
  <c r="AC321" i="26" s="1"/>
  <c r="V321" i="26"/>
  <c r="AB321" i="26" s="1"/>
  <c r="AE320" i="26"/>
  <c r="X320" i="26"/>
  <c r="AD320" i="26" s="1"/>
  <c r="W320" i="26"/>
  <c r="AC320" i="26" s="1"/>
  <c r="V320" i="26"/>
  <c r="AB320" i="26" s="1"/>
  <c r="AE319" i="26"/>
  <c r="X319" i="26"/>
  <c r="AD319" i="26" s="1"/>
  <c r="W319" i="26"/>
  <c r="AC319" i="26" s="1"/>
  <c r="V319" i="26"/>
  <c r="AB319" i="26" s="1"/>
  <c r="AE318" i="26"/>
  <c r="X318" i="26"/>
  <c r="AD318" i="26" s="1"/>
  <c r="W318" i="26"/>
  <c r="AC318" i="26" s="1"/>
  <c r="V318" i="26"/>
  <c r="AB318" i="26" s="1"/>
  <c r="AE317" i="26"/>
  <c r="X317" i="26"/>
  <c r="AD317" i="26" s="1"/>
  <c r="W317" i="26"/>
  <c r="AC317" i="26" s="1"/>
  <c r="V317" i="26"/>
  <c r="AB317" i="26" s="1"/>
  <c r="AE316" i="26"/>
  <c r="X316" i="26"/>
  <c r="AD316" i="26" s="1"/>
  <c r="W316" i="26"/>
  <c r="AC316" i="26" s="1"/>
  <c r="V316" i="26"/>
  <c r="AB316" i="26" s="1"/>
  <c r="AE315" i="26"/>
  <c r="X315" i="26"/>
  <c r="AD315" i="26" s="1"/>
  <c r="W315" i="26"/>
  <c r="AC315" i="26" s="1"/>
  <c r="V315" i="26"/>
  <c r="AB315" i="26" s="1"/>
  <c r="AE314" i="26"/>
  <c r="X314" i="26"/>
  <c r="AD314" i="26" s="1"/>
  <c r="W314" i="26"/>
  <c r="AC314" i="26" s="1"/>
  <c r="V314" i="26"/>
  <c r="AB314" i="26" s="1"/>
  <c r="AE313" i="26"/>
  <c r="X313" i="26"/>
  <c r="AD313" i="26" s="1"/>
  <c r="W313" i="26"/>
  <c r="AC313" i="26" s="1"/>
  <c r="V313" i="26"/>
  <c r="AB313" i="26" s="1"/>
  <c r="AE312" i="26"/>
  <c r="X312" i="26"/>
  <c r="AD312" i="26" s="1"/>
  <c r="W312" i="26"/>
  <c r="AC312" i="26" s="1"/>
  <c r="V312" i="26"/>
  <c r="AB312" i="26" s="1"/>
  <c r="AE311" i="26"/>
  <c r="X311" i="26"/>
  <c r="AD311" i="26" s="1"/>
  <c r="W311" i="26"/>
  <c r="AC311" i="26" s="1"/>
  <c r="V311" i="26"/>
  <c r="AB311" i="26" s="1"/>
  <c r="AE310" i="26"/>
  <c r="X310" i="26"/>
  <c r="AD310" i="26" s="1"/>
  <c r="W310" i="26"/>
  <c r="AC310" i="26" s="1"/>
  <c r="V310" i="26"/>
  <c r="AB310" i="26" s="1"/>
  <c r="AE309" i="26"/>
  <c r="X309" i="26"/>
  <c r="AD309" i="26" s="1"/>
  <c r="W309" i="26"/>
  <c r="AC309" i="26" s="1"/>
  <c r="V309" i="26"/>
  <c r="AB309" i="26" s="1"/>
  <c r="AE308" i="26"/>
  <c r="X308" i="26"/>
  <c r="AD308" i="26" s="1"/>
  <c r="W308" i="26"/>
  <c r="AC308" i="26" s="1"/>
  <c r="V308" i="26"/>
  <c r="AB308" i="26" s="1"/>
  <c r="AE307" i="26"/>
  <c r="X307" i="26"/>
  <c r="AD307" i="26" s="1"/>
  <c r="W307" i="26"/>
  <c r="AC307" i="26" s="1"/>
  <c r="V307" i="26"/>
  <c r="AB307" i="26" s="1"/>
  <c r="AE306" i="26"/>
  <c r="X306" i="26"/>
  <c r="AD306" i="26" s="1"/>
  <c r="W306" i="26"/>
  <c r="AC306" i="26" s="1"/>
  <c r="V306" i="26"/>
  <c r="AB306" i="26" s="1"/>
  <c r="AE305" i="26"/>
  <c r="X305" i="26"/>
  <c r="AD305" i="26" s="1"/>
  <c r="W305" i="26"/>
  <c r="AC305" i="26" s="1"/>
  <c r="V305" i="26"/>
  <c r="AB305" i="26" s="1"/>
  <c r="AE304" i="26"/>
  <c r="X304" i="26"/>
  <c r="AD304" i="26" s="1"/>
  <c r="W304" i="26"/>
  <c r="AC304" i="26" s="1"/>
  <c r="V304" i="26"/>
  <c r="AB304" i="26" s="1"/>
  <c r="AE303" i="26"/>
  <c r="X303" i="26"/>
  <c r="AD303" i="26" s="1"/>
  <c r="W303" i="26"/>
  <c r="AC303" i="26" s="1"/>
  <c r="V303" i="26"/>
  <c r="AB303" i="26" s="1"/>
  <c r="AE302" i="26"/>
  <c r="X302" i="26"/>
  <c r="AD302" i="26" s="1"/>
  <c r="W302" i="26"/>
  <c r="AC302" i="26" s="1"/>
  <c r="V302" i="26"/>
  <c r="AB302" i="26" s="1"/>
  <c r="AE301" i="26"/>
  <c r="X301" i="26"/>
  <c r="AD301" i="26" s="1"/>
  <c r="W301" i="26"/>
  <c r="AC301" i="26" s="1"/>
  <c r="V301" i="26"/>
  <c r="AB301" i="26" s="1"/>
  <c r="AE300" i="26"/>
  <c r="X300" i="26"/>
  <c r="AD300" i="26" s="1"/>
  <c r="W300" i="26"/>
  <c r="AC300" i="26" s="1"/>
  <c r="V300" i="26"/>
  <c r="AB300" i="26" s="1"/>
  <c r="AE299" i="26"/>
  <c r="X299" i="26"/>
  <c r="AD299" i="26" s="1"/>
  <c r="W299" i="26"/>
  <c r="AC299" i="26" s="1"/>
  <c r="V299" i="26"/>
  <c r="AB299" i="26" s="1"/>
  <c r="AE298" i="26"/>
  <c r="X298" i="26"/>
  <c r="AD298" i="26" s="1"/>
  <c r="W298" i="26"/>
  <c r="AC298" i="26" s="1"/>
  <c r="V298" i="26"/>
  <c r="AB298" i="26" s="1"/>
  <c r="AE297" i="26"/>
  <c r="X297" i="26"/>
  <c r="AD297" i="26" s="1"/>
  <c r="W297" i="26"/>
  <c r="AC297" i="26" s="1"/>
  <c r="V297" i="26"/>
  <c r="AB297" i="26" s="1"/>
  <c r="AE296" i="26"/>
  <c r="X296" i="26"/>
  <c r="AD296" i="26" s="1"/>
  <c r="W296" i="26"/>
  <c r="AC296" i="26" s="1"/>
  <c r="V296" i="26"/>
  <c r="AB296" i="26" s="1"/>
  <c r="AE295" i="26"/>
  <c r="X295" i="26"/>
  <c r="AD295" i="26" s="1"/>
  <c r="W295" i="26"/>
  <c r="AC295" i="26" s="1"/>
  <c r="V295" i="26"/>
  <c r="AB295" i="26" s="1"/>
  <c r="AE294" i="26"/>
  <c r="X294" i="26"/>
  <c r="AD294" i="26" s="1"/>
  <c r="W294" i="26"/>
  <c r="AC294" i="26" s="1"/>
  <c r="V294" i="26"/>
  <c r="AB294" i="26" s="1"/>
  <c r="AE293" i="26"/>
  <c r="X293" i="26"/>
  <c r="AD293" i="26" s="1"/>
  <c r="W293" i="26"/>
  <c r="AC293" i="26" s="1"/>
  <c r="V293" i="26"/>
  <c r="AB293" i="26" s="1"/>
  <c r="AE292" i="26"/>
  <c r="X292" i="26"/>
  <c r="AD292" i="26" s="1"/>
  <c r="W292" i="26"/>
  <c r="AC292" i="26" s="1"/>
  <c r="V292" i="26"/>
  <c r="AB292" i="26" s="1"/>
  <c r="AE291" i="26"/>
  <c r="X291" i="26"/>
  <c r="AD291" i="26" s="1"/>
  <c r="W291" i="26"/>
  <c r="AC291" i="26" s="1"/>
  <c r="V291" i="26"/>
  <c r="AB291" i="26" s="1"/>
  <c r="AE290" i="26"/>
  <c r="X290" i="26"/>
  <c r="AD290" i="26" s="1"/>
  <c r="W290" i="26"/>
  <c r="AC290" i="26" s="1"/>
  <c r="V290" i="26"/>
  <c r="AB290" i="26" s="1"/>
  <c r="AE289" i="26"/>
  <c r="X289" i="26"/>
  <c r="AD289" i="26" s="1"/>
  <c r="W289" i="26"/>
  <c r="AC289" i="26" s="1"/>
  <c r="V289" i="26"/>
  <c r="AB289" i="26" s="1"/>
  <c r="AE288" i="26"/>
  <c r="X288" i="26"/>
  <c r="AD288" i="26" s="1"/>
  <c r="W288" i="26"/>
  <c r="AC288" i="26" s="1"/>
  <c r="V288" i="26"/>
  <c r="AB288" i="26" s="1"/>
  <c r="AE287" i="26"/>
  <c r="X287" i="26"/>
  <c r="AD287" i="26" s="1"/>
  <c r="W287" i="26"/>
  <c r="AC287" i="26" s="1"/>
  <c r="V287" i="26"/>
  <c r="AB287" i="26" s="1"/>
  <c r="AE286" i="26"/>
  <c r="X286" i="26"/>
  <c r="AD286" i="26" s="1"/>
  <c r="W286" i="26"/>
  <c r="AC286" i="26" s="1"/>
  <c r="V286" i="26"/>
  <c r="AB286" i="26" s="1"/>
  <c r="AE285" i="26"/>
  <c r="X285" i="26"/>
  <c r="AD285" i="26" s="1"/>
  <c r="W285" i="26"/>
  <c r="AC285" i="26" s="1"/>
  <c r="V285" i="26"/>
  <c r="AB285" i="26" s="1"/>
  <c r="AE284" i="26"/>
  <c r="X284" i="26"/>
  <c r="AD284" i="26" s="1"/>
  <c r="W284" i="26"/>
  <c r="AC284" i="26" s="1"/>
  <c r="V284" i="26"/>
  <c r="AB284" i="26" s="1"/>
  <c r="AE283" i="26"/>
  <c r="X283" i="26"/>
  <c r="AD283" i="26" s="1"/>
  <c r="W283" i="26"/>
  <c r="AC283" i="26" s="1"/>
  <c r="V283" i="26"/>
  <c r="AB283" i="26" s="1"/>
  <c r="AE282" i="26"/>
  <c r="X282" i="26"/>
  <c r="AD282" i="26" s="1"/>
  <c r="W282" i="26"/>
  <c r="AC282" i="26" s="1"/>
  <c r="V282" i="26"/>
  <c r="AB282" i="26" s="1"/>
  <c r="AE281" i="26"/>
  <c r="X281" i="26"/>
  <c r="AD281" i="26" s="1"/>
  <c r="W281" i="26"/>
  <c r="AC281" i="26" s="1"/>
  <c r="V281" i="26"/>
  <c r="AB281" i="26" s="1"/>
  <c r="AE280" i="26"/>
  <c r="X280" i="26"/>
  <c r="AD280" i="26" s="1"/>
  <c r="W280" i="26"/>
  <c r="AC280" i="26" s="1"/>
  <c r="V280" i="26"/>
  <c r="AB280" i="26" s="1"/>
  <c r="AE279" i="26"/>
  <c r="X279" i="26"/>
  <c r="AD279" i="26" s="1"/>
  <c r="W279" i="26"/>
  <c r="AC279" i="26" s="1"/>
  <c r="V279" i="26"/>
  <c r="AB279" i="26" s="1"/>
  <c r="AE278" i="26"/>
  <c r="X278" i="26"/>
  <c r="AD278" i="26" s="1"/>
  <c r="W278" i="26"/>
  <c r="AC278" i="26" s="1"/>
  <c r="V278" i="26"/>
  <c r="AB278" i="26" s="1"/>
  <c r="AE277" i="26"/>
  <c r="X277" i="26"/>
  <c r="AD277" i="26" s="1"/>
  <c r="W277" i="26"/>
  <c r="AC277" i="26" s="1"/>
  <c r="V277" i="26"/>
  <c r="AB277" i="26" s="1"/>
  <c r="AE276" i="26"/>
  <c r="X276" i="26"/>
  <c r="AD276" i="26" s="1"/>
  <c r="W276" i="26"/>
  <c r="AC276" i="26" s="1"/>
  <c r="V276" i="26"/>
  <c r="AB276" i="26" s="1"/>
  <c r="AE275" i="26"/>
  <c r="X275" i="26"/>
  <c r="AD275" i="26" s="1"/>
  <c r="W275" i="26"/>
  <c r="AC275" i="26" s="1"/>
  <c r="V275" i="26"/>
  <c r="AB275" i="26" s="1"/>
  <c r="AE274" i="26"/>
  <c r="X274" i="26"/>
  <c r="AD274" i="26" s="1"/>
  <c r="W274" i="26"/>
  <c r="AC274" i="26" s="1"/>
  <c r="V274" i="26"/>
  <c r="AB274" i="26" s="1"/>
  <c r="AE273" i="26"/>
  <c r="X273" i="26"/>
  <c r="AD273" i="26" s="1"/>
  <c r="W273" i="26"/>
  <c r="AC273" i="26" s="1"/>
  <c r="V273" i="26"/>
  <c r="AB273" i="26" s="1"/>
  <c r="AE272" i="26"/>
  <c r="X272" i="26"/>
  <c r="AD272" i="26" s="1"/>
  <c r="W272" i="26"/>
  <c r="AC272" i="26" s="1"/>
  <c r="V272" i="26"/>
  <c r="AB272" i="26" s="1"/>
  <c r="AE271" i="26"/>
  <c r="X271" i="26"/>
  <c r="AD271" i="26" s="1"/>
  <c r="W271" i="26"/>
  <c r="AC271" i="26" s="1"/>
  <c r="V271" i="26"/>
  <c r="AB271" i="26" s="1"/>
  <c r="AE270" i="26"/>
  <c r="X270" i="26"/>
  <c r="AD270" i="26" s="1"/>
  <c r="W270" i="26"/>
  <c r="AC270" i="26" s="1"/>
  <c r="V270" i="26"/>
  <c r="AB270" i="26" s="1"/>
  <c r="AE269" i="26"/>
  <c r="X269" i="26"/>
  <c r="AD269" i="26" s="1"/>
  <c r="W269" i="26"/>
  <c r="AC269" i="26" s="1"/>
  <c r="V269" i="26"/>
  <c r="AB269" i="26" s="1"/>
  <c r="AE268" i="26"/>
  <c r="X268" i="26"/>
  <c r="AD268" i="26" s="1"/>
  <c r="W268" i="26"/>
  <c r="AC268" i="26" s="1"/>
  <c r="V268" i="26"/>
  <c r="AB268" i="26" s="1"/>
  <c r="AE267" i="26"/>
  <c r="X267" i="26"/>
  <c r="AD267" i="26" s="1"/>
  <c r="W267" i="26"/>
  <c r="AC267" i="26" s="1"/>
  <c r="V267" i="26"/>
  <c r="AB267" i="26" s="1"/>
  <c r="AE266" i="26"/>
  <c r="X266" i="26"/>
  <c r="AD266" i="26" s="1"/>
  <c r="W266" i="26"/>
  <c r="AC266" i="26" s="1"/>
  <c r="V266" i="26"/>
  <c r="AB266" i="26" s="1"/>
  <c r="AE265" i="26"/>
  <c r="X265" i="26"/>
  <c r="AD265" i="26" s="1"/>
  <c r="W265" i="26"/>
  <c r="AC265" i="26" s="1"/>
  <c r="V265" i="26"/>
  <c r="AB265" i="26" s="1"/>
  <c r="AE264" i="26"/>
  <c r="X264" i="26"/>
  <c r="AD264" i="26" s="1"/>
  <c r="W264" i="26"/>
  <c r="AC264" i="26" s="1"/>
  <c r="V264" i="26"/>
  <c r="AB264" i="26" s="1"/>
  <c r="AE263" i="26"/>
  <c r="X263" i="26"/>
  <c r="AD263" i="26" s="1"/>
  <c r="W263" i="26"/>
  <c r="AC263" i="26" s="1"/>
  <c r="V263" i="26"/>
  <c r="AB263" i="26" s="1"/>
  <c r="AE262" i="26"/>
  <c r="X262" i="26"/>
  <c r="AD262" i="26" s="1"/>
  <c r="W262" i="26"/>
  <c r="AC262" i="26" s="1"/>
  <c r="V262" i="26"/>
  <c r="AB262" i="26" s="1"/>
  <c r="AE261" i="26"/>
  <c r="X261" i="26"/>
  <c r="AD261" i="26" s="1"/>
  <c r="W261" i="26"/>
  <c r="AC261" i="26" s="1"/>
  <c r="V261" i="26"/>
  <c r="AB261" i="26" s="1"/>
  <c r="AE260" i="26"/>
  <c r="X260" i="26"/>
  <c r="AD260" i="26" s="1"/>
  <c r="W260" i="26"/>
  <c r="AC260" i="26" s="1"/>
  <c r="V260" i="26"/>
  <c r="AB260" i="26" s="1"/>
  <c r="AE259" i="26"/>
  <c r="X259" i="26"/>
  <c r="AD259" i="26" s="1"/>
  <c r="W259" i="26"/>
  <c r="AC259" i="26" s="1"/>
  <c r="V259" i="26"/>
  <c r="AB259" i="26" s="1"/>
  <c r="AE258" i="26"/>
  <c r="X258" i="26"/>
  <c r="AD258" i="26" s="1"/>
  <c r="W258" i="26"/>
  <c r="AC258" i="26" s="1"/>
  <c r="V258" i="26"/>
  <c r="AB258" i="26" s="1"/>
  <c r="AE257" i="26"/>
  <c r="X257" i="26"/>
  <c r="AD257" i="26" s="1"/>
  <c r="W257" i="26"/>
  <c r="AC257" i="26" s="1"/>
  <c r="V257" i="26"/>
  <c r="AB257" i="26" s="1"/>
  <c r="AE256" i="26"/>
  <c r="X256" i="26"/>
  <c r="AD256" i="26" s="1"/>
  <c r="W256" i="26"/>
  <c r="AC256" i="26" s="1"/>
  <c r="V256" i="26"/>
  <c r="AB256" i="26" s="1"/>
  <c r="AE255" i="26"/>
  <c r="X255" i="26"/>
  <c r="AD255" i="26" s="1"/>
  <c r="W255" i="26"/>
  <c r="AC255" i="26" s="1"/>
  <c r="V255" i="26"/>
  <c r="AB255" i="26" s="1"/>
  <c r="AE254" i="26"/>
  <c r="X254" i="26"/>
  <c r="AD254" i="26" s="1"/>
  <c r="W254" i="26"/>
  <c r="AC254" i="26" s="1"/>
  <c r="V254" i="26"/>
  <c r="AB254" i="26" s="1"/>
  <c r="AE253" i="26"/>
  <c r="X253" i="26"/>
  <c r="AD253" i="26" s="1"/>
  <c r="W253" i="26"/>
  <c r="AC253" i="26" s="1"/>
  <c r="V253" i="26"/>
  <c r="AB253" i="26" s="1"/>
  <c r="AE252" i="26"/>
  <c r="X252" i="26"/>
  <c r="AD252" i="26" s="1"/>
  <c r="W252" i="26"/>
  <c r="AC252" i="26" s="1"/>
  <c r="V252" i="26"/>
  <c r="AB252" i="26" s="1"/>
  <c r="AE251" i="26"/>
  <c r="X251" i="26"/>
  <c r="AD251" i="26" s="1"/>
  <c r="W251" i="26"/>
  <c r="AC251" i="26" s="1"/>
  <c r="V251" i="26"/>
  <c r="AB251" i="26" s="1"/>
  <c r="AE250" i="26"/>
  <c r="X250" i="26"/>
  <c r="AD250" i="26" s="1"/>
  <c r="W250" i="26"/>
  <c r="AC250" i="26" s="1"/>
  <c r="V250" i="26"/>
  <c r="AB250" i="26" s="1"/>
  <c r="AE249" i="26"/>
  <c r="X249" i="26"/>
  <c r="AD249" i="26" s="1"/>
  <c r="W249" i="26"/>
  <c r="AC249" i="26" s="1"/>
  <c r="V249" i="26"/>
  <c r="AB249" i="26" s="1"/>
  <c r="AE248" i="26"/>
  <c r="X248" i="26"/>
  <c r="AD248" i="26" s="1"/>
  <c r="W248" i="26"/>
  <c r="AC248" i="26" s="1"/>
  <c r="V248" i="26"/>
  <c r="AB248" i="26" s="1"/>
  <c r="AE247" i="26"/>
  <c r="X247" i="26"/>
  <c r="AD247" i="26" s="1"/>
  <c r="W247" i="26"/>
  <c r="AC247" i="26" s="1"/>
  <c r="V247" i="26"/>
  <c r="AB247" i="26" s="1"/>
  <c r="AE246" i="26"/>
  <c r="X246" i="26"/>
  <c r="AD246" i="26" s="1"/>
  <c r="W246" i="26"/>
  <c r="AC246" i="26" s="1"/>
  <c r="V246" i="26"/>
  <c r="AB246" i="26" s="1"/>
  <c r="AE245" i="26"/>
  <c r="X245" i="26"/>
  <c r="AD245" i="26" s="1"/>
  <c r="W245" i="26"/>
  <c r="AC245" i="26" s="1"/>
  <c r="V245" i="26"/>
  <c r="AB245" i="26" s="1"/>
  <c r="AE244" i="26"/>
  <c r="X244" i="26"/>
  <c r="AD244" i="26" s="1"/>
  <c r="W244" i="26"/>
  <c r="AC244" i="26" s="1"/>
  <c r="V244" i="26"/>
  <c r="AB244" i="26" s="1"/>
  <c r="AE243" i="26"/>
  <c r="X243" i="26"/>
  <c r="AD243" i="26" s="1"/>
  <c r="W243" i="26"/>
  <c r="AC243" i="26" s="1"/>
  <c r="V243" i="26"/>
  <c r="AB243" i="26" s="1"/>
  <c r="AE242" i="26"/>
  <c r="X242" i="26"/>
  <c r="AD242" i="26" s="1"/>
  <c r="W242" i="26"/>
  <c r="AC242" i="26" s="1"/>
  <c r="V242" i="26"/>
  <c r="AB242" i="26" s="1"/>
  <c r="AE241" i="26"/>
  <c r="X241" i="26"/>
  <c r="AD241" i="26" s="1"/>
  <c r="W241" i="26"/>
  <c r="AC241" i="26" s="1"/>
  <c r="V241" i="26"/>
  <c r="AB241" i="26" s="1"/>
  <c r="AE240" i="26"/>
  <c r="X240" i="26"/>
  <c r="AD240" i="26" s="1"/>
  <c r="W240" i="26"/>
  <c r="AC240" i="26" s="1"/>
  <c r="V240" i="26"/>
  <c r="AB240" i="26" s="1"/>
  <c r="AE239" i="26"/>
  <c r="X239" i="26"/>
  <c r="AD239" i="26" s="1"/>
  <c r="W239" i="26"/>
  <c r="AC239" i="26" s="1"/>
  <c r="V239" i="26"/>
  <c r="AB239" i="26" s="1"/>
  <c r="AE238" i="26"/>
  <c r="X238" i="26"/>
  <c r="AD238" i="26" s="1"/>
  <c r="W238" i="26"/>
  <c r="AC238" i="26" s="1"/>
  <c r="V238" i="26"/>
  <c r="AB238" i="26" s="1"/>
  <c r="AE237" i="26"/>
  <c r="X237" i="26"/>
  <c r="AD237" i="26" s="1"/>
  <c r="W237" i="26"/>
  <c r="AC237" i="26" s="1"/>
  <c r="V237" i="26"/>
  <c r="AB237" i="26" s="1"/>
  <c r="AE236" i="26"/>
  <c r="X236" i="26"/>
  <c r="AD236" i="26" s="1"/>
  <c r="W236" i="26"/>
  <c r="AC236" i="26" s="1"/>
  <c r="V236" i="26"/>
  <c r="AB236" i="26" s="1"/>
  <c r="AE235" i="26"/>
  <c r="X235" i="26"/>
  <c r="AD235" i="26" s="1"/>
  <c r="W235" i="26"/>
  <c r="AC235" i="26" s="1"/>
  <c r="V235" i="26"/>
  <c r="AB235" i="26" s="1"/>
  <c r="AE234" i="26"/>
  <c r="X234" i="26"/>
  <c r="AD234" i="26" s="1"/>
  <c r="W234" i="26"/>
  <c r="AC234" i="26" s="1"/>
  <c r="V234" i="26"/>
  <c r="AB234" i="26" s="1"/>
  <c r="AE233" i="26"/>
  <c r="X233" i="26"/>
  <c r="AD233" i="26" s="1"/>
  <c r="W233" i="26"/>
  <c r="AC233" i="26" s="1"/>
  <c r="V233" i="26"/>
  <c r="AB233" i="26" s="1"/>
  <c r="AE232" i="26"/>
  <c r="X232" i="26"/>
  <c r="AD232" i="26" s="1"/>
  <c r="W232" i="26"/>
  <c r="AC232" i="26" s="1"/>
  <c r="V232" i="26"/>
  <c r="AB232" i="26" s="1"/>
  <c r="AE231" i="26"/>
  <c r="X231" i="26"/>
  <c r="AD231" i="26" s="1"/>
  <c r="W231" i="26"/>
  <c r="AC231" i="26" s="1"/>
  <c r="V231" i="26"/>
  <c r="AB231" i="26" s="1"/>
  <c r="AE230" i="26"/>
  <c r="X230" i="26"/>
  <c r="AD230" i="26" s="1"/>
  <c r="W230" i="26"/>
  <c r="AC230" i="26" s="1"/>
  <c r="V230" i="26"/>
  <c r="AB230" i="26" s="1"/>
  <c r="AE229" i="26"/>
  <c r="X229" i="26"/>
  <c r="AD229" i="26" s="1"/>
  <c r="W229" i="26"/>
  <c r="AC229" i="26" s="1"/>
  <c r="V229" i="26"/>
  <c r="AB229" i="26" s="1"/>
  <c r="AE228" i="26"/>
  <c r="X228" i="26"/>
  <c r="AD228" i="26" s="1"/>
  <c r="W228" i="26"/>
  <c r="AC228" i="26" s="1"/>
  <c r="V228" i="26"/>
  <c r="AB228" i="26" s="1"/>
  <c r="AE227" i="26"/>
  <c r="X227" i="26"/>
  <c r="AD227" i="26" s="1"/>
  <c r="W227" i="26"/>
  <c r="AC227" i="26" s="1"/>
  <c r="V227" i="26"/>
  <c r="AB227" i="26" s="1"/>
  <c r="AE226" i="26"/>
  <c r="X226" i="26"/>
  <c r="AD226" i="26" s="1"/>
  <c r="W226" i="26"/>
  <c r="AC226" i="26" s="1"/>
  <c r="V226" i="26"/>
  <c r="AB226" i="26" s="1"/>
  <c r="AE225" i="26"/>
  <c r="X225" i="26"/>
  <c r="AD225" i="26" s="1"/>
  <c r="W225" i="26"/>
  <c r="AC225" i="26" s="1"/>
  <c r="V225" i="26"/>
  <c r="AB225" i="26" s="1"/>
  <c r="AE224" i="26"/>
  <c r="X224" i="26"/>
  <c r="AD224" i="26" s="1"/>
  <c r="W224" i="26"/>
  <c r="AC224" i="26" s="1"/>
  <c r="V224" i="26"/>
  <c r="AB224" i="26" s="1"/>
  <c r="AE223" i="26"/>
  <c r="X223" i="26"/>
  <c r="AD223" i="26" s="1"/>
  <c r="W223" i="26"/>
  <c r="AC223" i="26" s="1"/>
  <c r="V223" i="26"/>
  <c r="AB223" i="26" s="1"/>
  <c r="AE222" i="26"/>
  <c r="X222" i="26"/>
  <c r="AD222" i="26" s="1"/>
  <c r="W222" i="26"/>
  <c r="AC222" i="26" s="1"/>
  <c r="V222" i="26"/>
  <c r="AB222" i="26" s="1"/>
  <c r="AE221" i="26"/>
  <c r="X221" i="26"/>
  <c r="AD221" i="26" s="1"/>
  <c r="W221" i="26"/>
  <c r="AC221" i="26" s="1"/>
  <c r="V221" i="26"/>
  <c r="AB221" i="26" s="1"/>
  <c r="AE220" i="26"/>
  <c r="X220" i="26"/>
  <c r="AD220" i="26" s="1"/>
  <c r="W220" i="26"/>
  <c r="AC220" i="26" s="1"/>
  <c r="V220" i="26"/>
  <c r="AB220" i="26" s="1"/>
  <c r="AE219" i="26"/>
  <c r="X219" i="26"/>
  <c r="AD219" i="26" s="1"/>
  <c r="W219" i="26"/>
  <c r="AC219" i="26" s="1"/>
  <c r="V219" i="26"/>
  <c r="AB219" i="26" s="1"/>
  <c r="AE218" i="26"/>
  <c r="X218" i="26"/>
  <c r="AD218" i="26" s="1"/>
  <c r="W218" i="26"/>
  <c r="AC218" i="26" s="1"/>
  <c r="V218" i="26"/>
  <c r="AB218" i="26" s="1"/>
  <c r="AE217" i="26"/>
  <c r="X217" i="26"/>
  <c r="AD217" i="26" s="1"/>
  <c r="W217" i="26"/>
  <c r="AC217" i="26" s="1"/>
  <c r="V217" i="26"/>
  <c r="AB217" i="26" s="1"/>
  <c r="AE216" i="26"/>
  <c r="X216" i="26"/>
  <c r="AD216" i="26" s="1"/>
  <c r="W216" i="26"/>
  <c r="AC216" i="26" s="1"/>
  <c r="V216" i="26"/>
  <c r="AB216" i="26" s="1"/>
  <c r="AE215" i="26"/>
  <c r="X215" i="26"/>
  <c r="AD215" i="26" s="1"/>
  <c r="W215" i="26"/>
  <c r="AC215" i="26" s="1"/>
  <c r="V215" i="26"/>
  <c r="AB215" i="26" s="1"/>
  <c r="AE214" i="26"/>
  <c r="X214" i="26"/>
  <c r="AD214" i="26" s="1"/>
  <c r="W214" i="26"/>
  <c r="AC214" i="26" s="1"/>
  <c r="V214" i="26"/>
  <c r="AB214" i="26" s="1"/>
  <c r="AE213" i="26"/>
  <c r="X213" i="26"/>
  <c r="AD213" i="26" s="1"/>
  <c r="W213" i="26"/>
  <c r="AC213" i="26" s="1"/>
  <c r="V213" i="26"/>
  <c r="AB213" i="26" s="1"/>
  <c r="AE212" i="26"/>
  <c r="X212" i="26"/>
  <c r="AD212" i="26" s="1"/>
  <c r="W212" i="26"/>
  <c r="AC212" i="26" s="1"/>
  <c r="V212" i="26"/>
  <c r="AB212" i="26" s="1"/>
  <c r="AE211" i="26"/>
  <c r="X211" i="26"/>
  <c r="AD211" i="26" s="1"/>
  <c r="W211" i="26"/>
  <c r="AC211" i="26" s="1"/>
  <c r="V211" i="26"/>
  <c r="AB211" i="26" s="1"/>
  <c r="AE210" i="26"/>
  <c r="X210" i="26"/>
  <c r="AD210" i="26" s="1"/>
  <c r="W210" i="26"/>
  <c r="AC210" i="26" s="1"/>
  <c r="V210" i="26"/>
  <c r="AB210" i="26" s="1"/>
  <c r="AE209" i="26"/>
  <c r="X209" i="26"/>
  <c r="AD209" i="26" s="1"/>
  <c r="W209" i="26"/>
  <c r="AC209" i="26" s="1"/>
  <c r="V209" i="26"/>
  <c r="AB209" i="26" s="1"/>
  <c r="AE208" i="26"/>
  <c r="X208" i="26"/>
  <c r="AD208" i="26" s="1"/>
  <c r="W208" i="26"/>
  <c r="AC208" i="26" s="1"/>
  <c r="V208" i="26"/>
  <c r="AB208" i="26" s="1"/>
  <c r="AE207" i="26"/>
  <c r="X207" i="26"/>
  <c r="AD207" i="26" s="1"/>
  <c r="W207" i="26"/>
  <c r="AC207" i="26" s="1"/>
  <c r="V207" i="26"/>
  <c r="AB207" i="26" s="1"/>
  <c r="AE206" i="26"/>
  <c r="X206" i="26"/>
  <c r="AD206" i="26" s="1"/>
  <c r="W206" i="26"/>
  <c r="AC206" i="26" s="1"/>
  <c r="V206" i="26"/>
  <c r="AB206" i="26" s="1"/>
  <c r="AE205" i="26"/>
  <c r="AB205" i="26"/>
  <c r="X205" i="26"/>
  <c r="AD205" i="26" s="1"/>
  <c r="W205" i="26"/>
  <c r="AC205" i="26" s="1"/>
  <c r="V205" i="26"/>
  <c r="AE204" i="26"/>
  <c r="X204" i="26"/>
  <c r="AD204" i="26" s="1"/>
  <c r="W204" i="26"/>
  <c r="AC204" i="26" s="1"/>
  <c r="V204" i="26"/>
  <c r="AB204" i="26" s="1"/>
  <c r="AE203" i="26"/>
  <c r="X203" i="26"/>
  <c r="AD203" i="26" s="1"/>
  <c r="W203" i="26"/>
  <c r="AC203" i="26" s="1"/>
  <c r="V203" i="26"/>
  <c r="AB203" i="26" s="1"/>
  <c r="AE202" i="26"/>
  <c r="X202" i="26"/>
  <c r="AD202" i="26" s="1"/>
  <c r="W202" i="26"/>
  <c r="AC202" i="26" s="1"/>
  <c r="V202" i="26"/>
  <c r="AB202" i="26" s="1"/>
  <c r="AE201" i="26"/>
  <c r="X201" i="26"/>
  <c r="AD201" i="26" s="1"/>
  <c r="W201" i="26"/>
  <c r="AC201" i="26" s="1"/>
  <c r="V201" i="26"/>
  <c r="AB201" i="26" s="1"/>
  <c r="AE200" i="26"/>
  <c r="X200" i="26"/>
  <c r="AD200" i="26" s="1"/>
  <c r="W200" i="26"/>
  <c r="AC200" i="26" s="1"/>
  <c r="V200" i="26"/>
  <c r="AB200" i="26" s="1"/>
  <c r="AE199" i="26"/>
  <c r="X199" i="26"/>
  <c r="AD199" i="26" s="1"/>
  <c r="W199" i="26"/>
  <c r="AC199" i="26" s="1"/>
  <c r="V199" i="26"/>
  <c r="AB199" i="26" s="1"/>
  <c r="AE198" i="26"/>
  <c r="X198" i="26"/>
  <c r="AD198" i="26" s="1"/>
  <c r="W198" i="26"/>
  <c r="AC198" i="26" s="1"/>
  <c r="V198" i="26"/>
  <c r="AB198" i="26" s="1"/>
  <c r="AE197" i="26"/>
  <c r="X197" i="26"/>
  <c r="AD197" i="26" s="1"/>
  <c r="W197" i="26"/>
  <c r="AC197" i="26" s="1"/>
  <c r="V197" i="26"/>
  <c r="AB197" i="26" s="1"/>
  <c r="AE196" i="26"/>
  <c r="X196" i="26"/>
  <c r="AD196" i="26" s="1"/>
  <c r="W196" i="26"/>
  <c r="AC196" i="26" s="1"/>
  <c r="V196" i="26"/>
  <c r="AB196" i="26" s="1"/>
  <c r="AE195" i="26"/>
  <c r="X195" i="26"/>
  <c r="AD195" i="26" s="1"/>
  <c r="W195" i="26"/>
  <c r="AC195" i="26" s="1"/>
  <c r="V195" i="26"/>
  <c r="AB195" i="26" s="1"/>
  <c r="AE194" i="26"/>
  <c r="X194" i="26"/>
  <c r="AD194" i="26" s="1"/>
  <c r="W194" i="26"/>
  <c r="AC194" i="26" s="1"/>
  <c r="V194" i="26"/>
  <c r="AB194" i="26" s="1"/>
  <c r="AE193" i="26"/>
  <c r="X193" i="26"/>
  <c r="AD193" i="26" s="1"/>
  <c r="W193" i="26"/>
  <c r="AC193" i="26" s="1"/>
  <c r="V193" i="26"/>
  <c r="AB193" i="26" s="1"/>
  <c r="AE192" i="26"/>
  <c r="X192" i="26"/>
  <c r="AD192" i="26" s="1"/>
  <c r="W192" i="26"/>
  <c r="AC192" i="26" s="1"/>
  <c r="V192" i="26"/>
  <c r="AB192" i="26" s="1"/>
  <c r="AE191" i="26"/>
  <c r="X191" i="26"/>
  <c r="AD191" i="26" s="1"/>
  <c r="W191" i="26"/>
  <c r="AC191" i="26" s="1"/>
  <c r="V191" i="26"/>
  <c r="AB191" i="26" s="1"/>
  <c r="AE190" i="26"/>
  <c r="X190" i="26"/>
  <c r="AD190" i="26" s="1"/>
  <c r="W190" i="26"/>
  <c r="AC190" i="26" s="1"/>
  <c r="V190" i="26"/>
  <c r="AB190" i="26" s="1"/>
  <c r="AE189" i="26"/>
  <c r="X189" i="26"/>
  <c r="AD189" i="26" s="1"/>
  <c r="W189" i="26"/>
  <c r="AC189" i="26" s="1"/>
  <c r="V189" i="26"/>
  <c r="AB189" i="26" s="1"/>
  <c r="AE188" i="26"/>
  <c r="X188" i="26"/>
  <c r="AD188" i="26" s="1"/>
  <c r="W188" i="26"/>
  <c r="AC188" i="26" s="1"/>
  <c r="V188" i="26"/>
  <c r="AB188" i="26" s="1"/>
  <c r="AE187" i="26"/>
  <c r="X187" i="26"/>
  <c r="AD187" i="26" s="1"/>
  <c r="W187" i="26"/>
  <c r="AC187" i="26" s="1"/>
  <c r="V187" i="26"/>
  <c r="AB187" i="26" s="1"/>
  <c r="AE186" i="26"/>
  <c r="X186" i="26"/>
  <c r="AD186" i="26" s="1"/>
  <c r="W186" i="26"/>
  <c r="AC186" i="26" s="1"/>
  <c r="V186" i="26"/>
  <c r="AB186" i="26" s="1"/>
  <c r="AE185" i="26"/>
  <c r="X185" i="26"/>
  <c r="AD185" i="26" s="1"/>
  <c r="W185" i="26"/>
  <c r="AC185" i="26" s="1"/>
  <c r="V185" i="26"/>
  <c r="AB185" i="26" s="1"/>
  <c r="AE184" i="26"/>
  <c r="X184" i="26"/>
  <c r="AD184" i="26" s="1"/>
  <c r="W184" i="26"/>
  <c r="AC184" i="26" s="1"/>
  <c r="V184" i="26"/>
  <c r="AB184" i="26" s="1"/>
  <c r="AE183" i="26"/>
  <c r="X183" i="26"/>
  <c r="AD183" i="26" s="1"/>
  <c r="W183" i="26"/>
  <c r="AC183" i="26" s="1"/>
  <c r="V183" i="26"/>
  <c r="AB183" i="26" s="1"/>
  <c r="AE182" i="26"/>
  <c r="X182" i="26"/>
  <c r="AD182" i="26" s="1"/>
  <c r="W182" i="26"/>
  <c r="AC182" i="26" s="1"/>
  <c r="V182" i="26"/>
  <c r="AB182" i="26" s="1"/>
  <c r="AE181" i="26"/>
  <c r="X181" i="26"/>
  <c r="AD181" i="26" s="1"/>
  <c r="W181" i="26"/>
  <c r="AC181" i="26" s="1"/>
  <c r="V181" i="26"/>
  <c r="AB181" i="26" s="1"/>
  <c r="AE180" i="26"/>
  <c r="X180" i="26"/>
  <c r="AD180" i="26" s="1"/>
  <c r="W180" i="26"/>
  <c r="AC180" i="26" s="1"/>
  <c r="V180" i="26"/>
  <c r="AB180" i="26" s="1"/>
  <c r="AE179" i="26"/>
  <c r="X179" i="26"/>
  <c r="AD179" i="26" s="1"/>
  <c r="W179" i="26"/>
  <c r="AC179" i="26" s="1"/>
  <c r="V179" i="26"/>
  <c r="AB179" i="26" s="1"/>
  <c r="AE178" i="26"/>
  <c r="X178" i="26"/>
  <c r="AD178" i="26" s="1"/>
  <c r="W178" i="26"/>
  <c r="AC178" i="26" s="1"/>
  <c r="V178" i="26"/>
  <c r="AB178" i="26" s="1"/>
  <c r="AE177" i="26"/>
  <c r="X177" i="26"/>
  <c r="AD177" i="26" s="1"/>
  <c r="W177" i="26"/>
  <c r="AC177" i="26" s="1"/>
  <c r="V177" i="26"/>
  <c r="AB177" i="26" s="1"/>
  <c r="AE176" i="26"/>
  <c r="X176" i="26"/>
  <c r="AD176" i="26" s="1"/>
  <c r="W176" i="26"/>
  <c r="AC176" i="26" s="1"/>
  <c r="V176" i="26"/>
  <c r="AB176" i="26" s="1"/>
  <c r="AE175" i="26"/>
  <c r="X175" i="26"/>
  <c r="AD175" i="26" s="1"/>
  <c r="W175" i="26"/>
  <c r="AC175" i="26" s="1"/>
  <c r="V175" i="26"/>
  <c r="AB175" i="26" s="1"/>
  <c r="AE174" i="26"/>
  <c r="X174" i="26"/>
  <c r="AD174" i="26" s="1"/>
  <c r="W174" i="26"/>
  <c r="AC174" i="26" s="1"/>
  <c r="V174" i="26"/>
  <c r="AB174" i="26" s="1"/>
  <c r="AE173" i="26"/>
  <c r="X173" i="26"/>
  <c r="AD173" i="26" s="1"/>
  <c r="W173" i="26"/>
  <c r="AC173" i="26" s="1"/>
  <c r="V173" i="26"/>
  <c r="AB173" i="26" s="1"/>
  <c r="AE172" i="26"/>
  <c r="X172" i="26"/>
  <c r="AD172" i="26" s="1"/>
  <c r="W172" i="26"/>
  <c r="AC172" i="26" s="1"/>
  <c r="V172" i="26"/>
  <c r="AB172" i="26" s="1"/>
  <c r="AE171" i="26"/>
  <c r="X171" i="26"/>
  <c r="AD171" i="26" s="1"/>
  <c r="W171" i="26"/>
  <c r="AC171" i="26" s="1"/>
  <c r="V171" i="26"/>
  <c r="AB171" i="26" s="1"/>
  <c r="AE170" i="26"/>
  <c r="X170" i="26"/>
  <c r="AD170" i="26" s="1"/>
  <c r="W170" i="26"/>
  <c r="AC170" i="26" s="1"/>
  <c r="V170" i="26"/>
  <c r="AB170" i="26" s="1"/>
  <c r="AG169" i="26"/>
  <c r="AF169" i="26"/>
  <c r="X169" i="26"/>
  <c r="AD169" i="26" s="1"/>
  <c r="W169" i="26"/>
  <c r="AC169" i="26" s="1"/>
  <c r="V169" i="26"/>
  <c r="AB169" i="26" s="1"/>
  <c r="AG168" i="26"/>
  <c r="AF168" i="26"/>
  <c r="X168" i="26"/>
  <c r="AD168" i="26" s="1"/>
  <c r="W168" i="26"/>
  <c r="AC168" i="26" s="1"/>
  <c r="V168" i="26"/>
  <c r="AB168" i="26" s="1"/>
  <c r="AG167" i="26"/>
  <c r="AF167" i="26"/>
  <c r="X167" i="26"/>
  <c r="AD167" i="26" s="1"/>
  <c r="W167" i="26"/>
  <c r="AC167" i="26" s="1"/>
  <c r="V167" i="26"/>
  <c r="AB167" i="26" s="1"/>
  <c r="AG166" i="26"/>
  <c r="AF166" i="26"/>
  <c r="X166" i="26"/>
  <c r="AD166" i="26" s="1"/>
  <c r="W166" i="26"/>
  <c r="AC166" i="26" s="1"/>
  <c r="V166" i="26"/>
  <c r="AB166" i="26" s="1"/>
  <c r="AG165" i="26"/>
  <c r="AF165" i="26"/>
  <c r="X165" i="26"/>
  <c r="AD165" i="26" s="1"/>
  <c r="W165" i="26"/>
  <c r="AC165" i="26" s="1"/>
  <c r="V165" i="26"/>
  <c r="AB165" i="26" s="1"/>
  <c r="AG164" i="26"/>
  <c r="AF164" i="26"/>
  <c r="X164" i="26"/>
  <c r="AD164" i="26" s="1"/>
  <c r="W164" i="26"/>
  <c r="AC164" i="26" s="1"/>
  <c r="V164" i="26"/>
  <c r="AB164" i="26" s="1"/>
  <c r="AG163" i="26"/>
  <c r="AF163" i="26"/>
  <c r="X163" i="26"/>
  <c r="AD163" i="26" s="1"/>
  <c r="W163" i="26"/>
  <c r="AC163" i="26" s="1"/>
  <c r="V163" i="26"/>
  <c r="AB163" i="26" s="1"/>
  <c r="AG162" i="26"/>
  <c r="AF162" i="26"/>
  <c r="X162" i="26"/>
  <c r="AD162" i="26" s="1"/>
  <c r="W162" i="26"/>
  <c r="AC162" i="26" s="1"/>
  <c r="V162" i="26"/>
  <c r="AB162" i="26" s="1"/>
  <c r="AG161" i="26"/>
  <c r="AF161" i="26"/>
  <c r="X161" i="26"/>
  <c r="AD161" i="26" s="1"/>
  <c r="W161" i="26"/>
  <c r="AC161" i="26" s="1"/>
  <c r="V161" i="26"/>
  <c r="AB161" i="26" s="1"/>
  <c r="AG160" i="26"/>
  <c r="AF160" i="26"/>
  <c r="X160" i="26"/>
  <c r="AD160" i="26" s="1"/>
  <c r="W160" i="26"/>
  <c r="AC160" i="26" s="1"/>
  <c r="V160" i="26"/>
  <c r="AB160" i="26" s="1"/>
  <c r="AG159" i="26"/>
  <c r="AF159" i="26"/>
  <c r="X159" i="26"/>
  <c r="AD159" i="26" s="1"/>
  <c r="W159" i="26"/>
  <c r="AC159" i="26" s="1"/>
  <c r="V159" i="26"/>
  <c r="AB159" i="26" s="1"/>
  <c r="AG158" i="26"/>
  <c r="AF158" i="26"/>
  <c r="X158" i="26"/>
  <c r="AD158" i="26" s="1"/>
  <c r="W158" i="26"/>
  <c r="AC158" i="26" s="1"/>
  <c r="V158" i="26"/>
  <c r="AB158" i="26" s="1"/>
  <c r="AE157" i="26"/>
  <c r="X157" i="26"/>
  <c r="AD157" i="26" s="1"/>
  <c r="W157" i="26"/>
  <c r="AC157" i="26" s="1"/>
  <c r="V157" i="26"/>
  <c r="AB157" i="26" s="1"/>
  <c r="AE156" i="26"/>
  <c r="X156" i="26"/>
  <c r="AD156" i="26" s="1"/>
  <c r="W156" i="26"/>
  <c r="AC156" i="26" s="1"/>
  <c r="V156" i="26"/>
  <c r="AB156" i="26" s="1"/>
  <c r="AE155" i="26"/>
  <c r="X155" i="26"/>
  <c r="AD155" i="26" s="1"/>
  <c r="W155" i="26"/>
  <c r="AC155" i="26" s="1"/>
  <c r="V155" i="26"/>
  <c r="AB155" i="26" s="1"/>
  <c r="AE154" i="26"/>
  <c r="X154" i="26"/>
  <c r="AD154" i="26" s="1"/>
  <c r="W154" i="26"/>
  <c r="AC154" i="26" s="1"/>
  <c r="V154" i="26"/>
  <c r="AB154" i="26" s="1"/>
  <c r="AE153" i="26"/>
  <c r="X153" i="26"/>
  <c r="AD153" i="26" s="1"/>
  <c r="W153" i="26"/>
  <c r="AC153" i="26" s="1"/>
  <c r="V153" i="26"/>
  <c r="AB153" i="26" s="1"/>
  <c r="AE152" i="26"/>
  <c r="X152" i="26"/>
  <c r="AD152" i="26" s="1"/>
  <c r="W152" i="26"/>
  <c r="AC152" i="26" s="1"/>
  <c r="V152" i="26"/>
  <c r="AB152" i="26" s="1"/>
  <c r="AE151" i="26"/>
  <c r="X151" i="26"/>
  <c r="AD151" i="26" s="1"/>
  <c r="W151" i="26"/>
  <c r="AC151" i="26" s="1"/>
  <c r="V151" i="26"/>
  <c r="AB151" i="26" s="1"/>
  <c r="AE150" i="26"/>
  <c r="X150" i="26"/>
  <c r="AD150" i="26" s="1"/>
  <c r="W150" i="26"/>
  <c r="AC150" i="26" s="1"/>
  <c r="V150" i="26"/>
  <c r="AB150" i="26" s="1"/>
  <c r="AE149" i="26"/>
  <c r="X149" i="26"/>
  <c r="AD149" i="26" s="1"/>
  <c r="W149" i="26"/>
  <c r="AC149" i="26" s="1"/>
  <c r="V149" i="26"/>
  <c r="AB149" i="26" s="1"/>
  <c r="AE148" i="26"/>
  <c r="X148" i="26"/>
  <c r="AD148" i="26" s="1"/>
  <c r="W148" i="26"/>
  <c r="AC148" i="26" s="1"/>
  <c r="V148" i="26"/>
  <c r="AB148" i="26" s="1"/>
  <c r="AE147" i="26"/>
  <c r="X147" i="26"/>
  <c r="AD147" i="26" s="1"/>
  <c r="W147" i="26"/>
  <c r="AC147" i="26" s="1"/>
  <c r="V147" i="26"/>
  <c r="AB147" i="26" s="1"/>
  <c r="AE146" i="26"/>
  <c r="X146" i="26"/>
  <c r="AD146" i="26" s="1"/>
  <c r="W146" i="26"/>
  <c r="AC146" i="26" s="1"/>
  <c r="V146" i="26"/>
  <c r="AB146" i="26" s="1"/>
  <c r="AE145" i="26"/>
  <c r="X145" i="26"/>
  <c r="AD145" i="26" s="1"/>
  <c r="W145" i="26"/>
  <c r="AC145" i="26" s="1"/>
  <c r="V145" i="26"/>
  <c r="AB145" i="26" s="1"/>
  <c r="AE144" i="26"/>
  <c r="X144" i="26"/>
  <c r="AD144" i="26" s="1"/>
  <c r="W144" i="26"/>
  <c r="AC144" i="26" s="1"/>
  <c r="V144" i="26"/>
  <c r="AB144" i="26" s="1"/>
  <c r="AE143" i="26"/>
  <c r="X143" i="26"/>
  <c r="AD143" i="26" s="1"/>
  <c r="W143" i="26"/>
  <c r="AC143" i="26" s="1"/>
  <c r="V143" i="26"/>
  <c r="AB143" i="26" s="1"/>
  <c r="AE142" i="26"/>
  <c r="X142" i="26"/>
  <c r="AD142" i="26" s="1"/>
  <c r="W142" i="26"/>
  <c r="AC142" i="26" s="1"/>
  <c r="V142" i="26"/>
  <c r="AB142" i="26" s="1"/>
  <c r="AE141" i="26"/>
  <c r="X141" i="26"/>
  <c r="AD141" i="26" s="1"/>
  <c r="W141" i="26"/>
  <c r="AC141" i="26" s="1"/>
  <c r="V141" i="26"/>
  <c r="AB141" i="26" s="1"/>
  <c r="AE140" i="26"/>
  <c r="X140" i="26"/>
  <c r="AD140" i="26" s="1"/>
  <c r="W140" i="26"/>
  <c r="AC140" i="26" s="1"/>
  <c r="V140" i="26"/>
  <c r="AB140" i="26" s="1"/>
  <c r="AE139" i="26"/>
  <c r="X139" i="26"/>
  <c r="AD139" i="26" s="1"/>
  <c r="W139" i="26"/>
  <c r="AC139" i="26" s="1"/>
  <c r="V139" i="26"/>
  <c r="AB139" i="26" s="1"/>
  <c r="AE138" i="26"/>
  <c r="X138" i="26"/>
  <c r="AD138" i="26" s="1"/>
  <c r="W138" i="26"/>
  <c r="AC138" i="26" s="1"/>
  <c r="V138" i="26"/>
  <c r="AB138" i="26" s="1"/>
  <c r="AE137" i="26"/>
  <c r="X137" i="26"/>
  <c r="AD137" i="26" s="1"/>
  <c r="W137" i="26"/>
  <c r="AC137" i="26" s="1"/>
  <c r="V137" i="26"/>
  <c r="AB137" i="26" s="1"/>
  <c r="AE136" i="26"/>
  <c r="X136" i="26"/>
  <c r="AD136" i="26" s="1"/>
  <c r="W136" i="26"/>
  <c r="AC136" i="26" s="1"/>
  <c r="V136" i="26"/>
  <c r="AB136" i="26" s="1"/>
  <c r="AE135" i="26"/>
  <c r="X135" i="26"/>
  <c r="AD135" i="26" s="1"/>
  <c r="W135" i="26"/>
  <c r="AC135" i="26" s="1"/>
  <c r="V135" i="26"/>
  <c r="AB135" i="26" s="1"/>
  <c r="AE134" i="26"/>
  <c r="X134" i="26"/>
  <c r="AD134" i="26" s="1"/>
  <c r="W134" i="26"/>
  <c r="AC134" i="26" s="1"/>
  <c r="V134" i="26"/>
  <c r="AB134" i="26" s="1"/>
  <c r="AG133" i="26"/>
  <c r="AF133" i="26"/>
  <c r="X133" i="26"/>
  <c r="AD133" i="26" s="1"/>
  <c r="W133" i="26"/>
  <c r="AC133" i="26" s="1"/>
  <c r="V133" i="26"/>
  <c r="AB133" i="26" s="1"/>
  <c r="AG132" i="26"/>
  <c r="AF132" i="26"/>
  <c r="X132" i="26"/>
  <c r="AD132" i="26" s="1"/>
  <c r="W132" i="26"/>
  <c r="AC132" i="26" s="1"/>
  <c r="V132" i="26"/>
  <c r="AB132" i="26" s="1"/>
  <c r="AG131" i="26"/>
  <c r="AF131" i="26"/>
  <c r="X131" i="26"/>
  <c r="AD131" i="26" s="1"/>
  <c r="W131" i="26"/>
  <c r="AC131" i="26" s="1"/>
  <c r="V131" i="26"/>
  <c r="AB131" i="26" s="1"/>
  <c r="AG130" i="26"/>
  <c r="AF130" i="26"/>
  <c r="X130" i="26"/>
  <c r="AD130" i="26" s="1"/>
  <c r="W130" i="26"/>
  <c r="AC130" i="26" s="1"/>
  <c r="V130" i="26"/>
  <c r="AB130" i="26" s="1"/>
  <c r="AG129" i="26"/>
  <c r="AF129" i="26"/>
  <c r="X129" i="26"/>
  <c r="AD129" i="26" s="1"/>
  <c r="W129" i="26"/>
  <c r="AC129" i="26" s="1"/>
  <c r="V129" i="26"/>
  <c r="AB129" i="26" s="1"/>
  <c r="AG128" i="26"/>
  <c r="AF128" i="26"/>
  <c r="X128" i="26"/>
  <c r="AD128" i="26" s="1"/>
  <c r="W128" i="26"/>
  <c r="AC128" i="26" s="1"/>
  <c r="V128" i="26"/>
  <c r="AB128" i="26" s="1"/>
  <c r="AG127" i="26"/>
  <c r="AF127" i="26"/>
  <c r="X127" i="26"/>
  <c r="AD127" i="26" s="1"/>
  <c r="W127" i="26"/>
  <c r="AC127" i="26" s="1"/>
  <c r="V127" i="26"/>
  <c r="AB127" i="26" s="1"/>
  <c r="AG126" i="26"/>
  <c r="AF126" i="26"/>
  <c r="X126" i="26"/>
  <c r="AD126" i="26" s="1"/>
  <c r="W126" i="26"/>
  <c r="AC126" i="26" s="1"/>
  <c r="V126" i="26"/>
  <c r="AB126" i="26" s="1"/>
  <c r="AG125" i="26"/>
  <c r="AF125" i="26"/>
  <c r="X125" i="26"/>
  <c r="AD125" i="26" s="1"/>
  <c r="W125" i="26"/>
  <c r="AC125" i="26" s="1"/>
  <c r="V125" i="26"/>
  <c r="AB125" i="26" s="1"/>
  <c r="AG124" i="26"/>
  <c r="AF124" i="26"/>
  <c r="X124" i="26"/>
  <c r="AD124" i="26" s="1"/>
  <c r="W124" i="26"/>
  <c r="AC124" i="26" s="1"/>
  <c r="V124" i="26"/>
  <c r="AB124" i="26" s="1"/>
  <c r="AG123" i="26"/>
  <c r="AF123" i="26"/>
  <c r="X123" i="26"/>
  <c r="AD123" i="26" s="1"/>
  <c r="W123" i="26"/>
  <c r="AC123" i="26" s="1"/>
  <c r="V123" i="26"/>
  <c r="AB123" i="26" s="1"/>
  <c r="AG122" i="26"/>
  <c r="AF122" i="26"/>
  <c r="X122" i="26"/>
  <c r="AD122" i="26" s="1"/>
  <c r="W122" i="26"/>
  <c r="AC122" i="26" s="1"/>
  <c r="V122" i="26"/>
  <c r="AB122" i="26" s="1"/>
  <c r="AE121" i="26"/>
  <c r="X121" i="26"/>
  <c r="AD121" i="26" s="1"/>
  <c r="W121" i="26"/>
  <c r="AC121" i="26" s="1"/>
  <c r="V121" i="26"/>
  <c r="AB121" i="26" s="1"/>
  <c r="AE120" i="26"/>
  <c r="X120" i="26"/>
  <c r="AD120" i="26" s="1"/>
  <c r="W120" i="26"/>
  <c r="AC120" i="26" s="1"/>
  <c r="V120" i="26"/>
  <c r="AB120" i="26" s="1"/>
  <c r="AE119" i="26"/>
  <c r="X119" i="26"/>
  <c r="AD119" i="26" s="1"/>
  <c r="W119" i="26"/>
  <c r="AC119" i="26" s="1"/>
  <c r="V119" i="26"/>
  <c r="AB119" i="26" s="1"/>
  <c r="AE118" i="26"/>
  <c r="X118" i="26"/>
  <c r="AD118" i="26" s="1"/>
  <c r="W118" i="26"/>
  <c r="AC118" i="26" s="1"/>
  <c r="V118" i="26"/>
  <c r="AB118" i="26" s="1"/>
  <c r="AE117" i="26"/>
  <c r="X117" i="26"/>
  <c r="AD117" i="26" s="1"/>
  <c r="W117" i="26"/>
  <c r="AC117" i="26" s="1"/>
  <c r="V117" i="26"/>
  <c r="AB117" i="26" s="1"/>
  <c r="AE116" i="26"/>
  <c r="X116" i="26"/>
  <c r="AD116" i="26" s="1"/>
  <c r="W116" i="26"/>
  <c r="AC116" i="26" s="1"/>
  <c r="V116" i="26"/>
  <c r="AB116" i="26" s="1"/>
  <c r="AE115" i="26"/>
  <c r="X115" i="26"/>
  <c r="AD115" i="26" s="1"/>
  <c r="W115" i="26"/>
  <c r="AC115" i="26" s="1"/>
  <c r="V115" i="26"/>
  <c r="AB115" i="26" s="1"/>
  <c r="AE114" i="26"/>
  <c r="X114" i="26"/>
  <c r="AD114" i="26" s="1"/>
  <c r="W114" i="26"/>
  <c r="AC114" i="26" s="1"/>
  <c r="V114" i="26"/>
  <c r="AB114" i="26" s="1"/>
  <c r="AE113" i="26"/>
  <c r="X113" i="26"/>
  <c r="AD113" i="26" s="1"/>
  <c r="W113" i="26"/>
  <c r="AC113" i="26" s="1"/>
  <c r="V113" i="26"/>
  <c r="AB113" i="26" s="1"/>
  <c r="AE112" i="26"/>
  <c r="X112" i="26"/>
  <c r="AD112" i="26" s="1"/>
  <c r="W112" i="26"/>
  <c r="AC112" i="26" s="1"/>
  <c r="V112" i="26"/>
  <c r="AB112" i="26" s="1"/>
  <c r="AE111" i="26"/>
  <c r="X111" i="26"/>
  <c r="AD111" i="26" s="1"/>
  <c r="W111" i="26"/>
  <c r="AC111" i="26" s="1"/>
  <c r="V111" i="26"/>
  <c r="AB111" i="26" s="1"/>
  <c r="AE110" i="26"/>
  <c r="X110" i="26"/>
  <c r="AD110" i="26" s="1"/>
  <c r="W110" i="26"/>
  <c r="AC110" i="26" s="1"/>
  <c r="V110" i="26"/>
  <c r="AB110" i="26" s="1"/>
  <c r="AE109" i="26"/>
  <c r="X109" i="26"/>
  <c r="AD109" i="26" s="1"/>
  <c r="W109" i="26"/>
  <c r="AC109" i="26" s="1"/>
  <c r="V109" i="26"/>
  <c r="AB109" i="26" s="1"/>
  <c r="AE108" i="26"/>
  <c r="X108" i="26"/>
  <c r="AD108" i="26" s="1"/>
  <c r="W108" i="26"/>
  <c r="AC108" i="26" s="1"/>
  <c r="V108" i="26"/>
  <c r="AB108" i="26" s="1"/>
  <c r="AE107" i="26"/>
  <c r="X107" i="26"/>
  <c r="AD107" i="26" s="1"/>
  <c r="W107" i="26"/>
  <c r="AC107" i="26" s="1"/>
  <c r="V107" i="26"/>
  <c r="AB107" i="26" s="1"/>
  <c r="AE106" i="26"/>
  <c r="X106" i="26"/>
  <c r="AD106" i="26" s="1"/>
  <c r="W106" i="26"/>
  <c r="AC106" i="26" s="1"/>
  <c r="V106" i="26"/>
  <c r="AB106" i="26" s="1"/>
  <c r="AE105" i="26"/>
  <c r="X105" i="26"/>
  <c r="AD105" i="26" s="1"/>
  <c r="W105" i="26"/>
  <c r="AC105" i="26" s="1"/>
  <c r="V105" i="26"/>
  <c r="AB105" i="26" s="1"/>
  <c r="AE104" i="26"/>
  <c r="X104" i="26"/>
  <c r="AD104" i="26" s="1"/>
  <c r="W104" i="26"/>
  <c r="AC104" i="26" s="1"/>
  <c r="V104" i="26"/>
  <c r="AB104" i="26" s="1"/>
  <c r="AE103" i="26"/>
  <c r="X103" i="26"/>
  <c r="AD103" i="26" s="1"/>
  <c r="W103" i="26"/>
  <c r="AC103" i="26" s="1"/>
  <c r="V103" i="26"/>
  <c r="AB103" i="26" s="1"/>
  <c r="AE102" i="26"/>
  <c r="X102" i="26"/>
  <c r="AD102" i="26" s="1"/>
  <c r="W102" i="26"/>
  <c r="AC102" i="26" s="1"/>
  <c r="V102" i="26"/>
  <c r="AB102" i="26" s="1"/>
  <c r="AE101" i="26"/>
  <c r="X101" i="26"/>
  <c r="AD101" i="26" s="1"/>
  <c r="W101" i="26"/>
  <c r="AC101" i="26" s="1"/>
  <c r="V101" i="26"/>
  <c r="AB101" i="26" s="1"/>
  <c r="AE100" i="26"/>
  <c r="X100" i="26"/>
  <c r="AD100" i="26" s="1"/>
  <c r="W100" i="26"/>
  <c r="AC100" i="26" s="1"/>
  <c r="V100" i="26"/>
  <c r="AB100" i="26" s="1"/>
  <c r="AE99" i="26"/>
  <c r="X99" i="26"/>
  <c r="AD99" i="26" s="1"/>
  <c r="W99" i="26"/>
  <c r="AC99" i="26" s="1"/>
  <c r="V99" i="26"/>
  <c r="AB99" i="26" s="1"/>
  <c r="AE98" i="26"/>
  <c r="X98" i="26"/>
  <c r="AD98" i="26" s="1"/>
  <c r="W98" i="26"/>
  <c r="AC98" i="26" s="1"/>
  <c r="V98" i="26"/>
  <c r="AB98" i="26" s="1"/>
  <c r="AG97" i="26"/>
  <c r="AF97" i="26"/>
  <c r="X97" i="26"/>
  <c r="AD97" i="26" s="1"/>
  <c r="W97" i="26"/>
  <c r="AC97" i="26" s="1"/>
  <c r="V97" i="26"/>
  <c r="AB97" i="26" s="1"/>
  <c r="AG96" i="26"/>
  <c r="AF96" i="26"/>
  <c r="X96" i="26"/>
  <c r="AD96" i="26" s="1"/>
  <c r="W96" i="26"/>
  <c r="AC96" i="26" s="1"/>
  <c r="V96" i="26"/>
  <c r="AB96" i="26" s="1"/>
  <c r="AG95" i="26"/>
  <c r="AF95" i="26"/>
  <c r="X95" i="26"/>
  <c r="AD95" i="26" s="1"/>
  <c r="W95" i="26"/>
  <c r="AC95" i="26" s="1"/>
  <c r="V95" i="26"/>
  <c r="AB95" i="26" s="1"/>
  <c r="AG94" i="26"/>
  <c r="AF94" i="26"/>
  <c r="X94" i="26"/>
  <c r="AD94" i="26" s="1"/>
  <c r="W94" i="26"/>
  <c r="AC94" i="26" s="1"/>
  <c r="V94" i="26"/>
  <c r="AB94" i="26" s="1"/>
  <c r="AG93" i="26"/>
  <c r="AF93" i="26"/>
  <c r="X93" i="26"/>
  <c r="AD93" i="26" s="1"/>
  <c r="W93" i="26"/>
  <c r="AC93" i="26" s="1"/>
  <c r="V93" i="26"/>
  <c r="AB93" i="26" s="1"/>
  <c r="AG92" i="26"/>
  <c r="AF92" i="26"/>
  <c r="X92" i="26"/>
  <c r="AD92" i="26" s="1"/>
  <c r="W92" i="26"/>
  <c r="AC92" i="26" s="1"/>
  <c r="V92" i="26"/>
  <c r="AB92" i="26" s="1"/>
  <c r="AG91" i="26"/>
  <c r="AF91" i="26"/>
  <c r="X91" i="26"/>
  <c r="AD91" i="26" s="1"/>
  <c r="W91" i="26"/>
  <c r="AC91" i="26" s="1"/>
  <c r="V91" i="26"/>
  <c r="AB91" i="26" s="1"/>
  <c r="AG90" i="26"/>
  <c r="AF90" i="26"/>
  <c r="X90" i="26"/>
  <c r="AD90" i="26" s="1"/>
  <c r="W90" i="26"/>
  <c r="AC90" i="26" s="1"/>
  <c r="V90" i="26"/>
  <c r="AB90" i="26" s="1"/>
  <c r="AG89" i="26"/>
  <c r="AF89" i="26"/>
  <c r="X89" i="26"/>
  <c r="AD89" i="26" s="1"/>
  <c r="W89" i="26"/>
  <c r="AC89" i="26" s="1"/>
  <c r="V89" i="26"/>
  <c r="AB89" i="26" s="1"/>
  <c r="AG88" i="26"/>
  <c r="AF88" i="26"/>
  <c r="X88" i="26"/>
  <c r="AD88" i="26" s="1"/>
  <c r="W88" i="26"/>
  <c r="AC88" i="26" s="1"/>
  <c r="V88" i="26"/>
  <c r="AB88" i="26" s="1"/>
  <c r="AG87" i="26"/>
  <c r="AF87" i="26"/>
  <c r="X87" i="26"/>
  <c r="AD87" i="26" s="1"/>
  <c r="W87" i="26"/>
  <c r="AC87" i="26" s="1"/>
  <c r="V87" i="26"/>
  <c r="AB87" i="26" s="1"/>
  <c r="AG86" i="26"/>
  <c r="AF86" i="26"/>
  <c r="X86" i="26"/>
  <c r="AD86" i="26" s="1"/>
  <c r="W86" i="26"/>
  <c r="AC86" i="26" s="1"/>
  <c r="V86" i="26"/>
  <c r="AB86" i="26" s="1"/>
  <c r="AE85" i="26"/>
  <c r="X85" i="26"/>
  <c r="AD85" i="26" s="1"/>
  <c r="W85" i="26"/>
  <c r="AC85" i="26" s="1"/>
  <c r="V85" i="26"/>
  <c r="AB85" i="26" s="1"/>
  <c r="AE84" i="26"/>
  <c r="X84" i="26"/>
  <c r="AD84" i="26" s="1"/>
  <c r="W84" i="26"/>
  <c r="AC84" i="26" s="1"/>
  <c r="V84" i="26"/>
  <c r="AB84" i="26" s="1"/>
  <c r="AE83" i="26"/>
  <c r="X83" i="26"/>
  <c r="AD83" i="26" s="1"/>
  <c r="W83" i="26"/>
  <c r="AC83" i="26" s="1"/>
  <c r="V83" i="26"/>
  <c r="AB83" i="26" s="1"/>
  <c r="AE82" i="26"/>
  <c r="X82" i="26"/>
  <c r="AD82" i="26" s="1"/>
  <c r="W82" i="26"/>
  <c r="AC82" i="26" s="1"/>
  <c r="V82" i="26"/>
  <c r="AB82" i="26" s="1"/>
  <c r="AE81" i="26"/>
  <c r="X81" i="26"/>
  <c r="AD81" i="26" s="1"/>
  <c r="W81" i="26"/>
  <c r="AC81" i="26" s="1"/>
  <c r="V81" i="26"/>
  <c r="AB81" i="26" s="1"/>
  <c r="AE80" i="26"/>
  <c r="X80" i="26"/>
  <c r="AD80" i="26" s="1"/>
  <c r="W80" i="26"/>
  <c r="AC80" i="26" s="1"/>
  <c r="V80" i="26"/>
  <c r="AB80" i="26" s="1"/>
  <c r="AE79" i="26"/>
  <c r="X79" i="26"/>
  <c r="AD79" i="26" s="1"/>
  <c r="W79" i="26"/>
  <c r="AC79" i="26" s="1"/>
  <c r="V79" i="26"/>
  <c r="AB79" i="26" s="1"/>
  <c r="AE78" i="26"/>
  <c r="X78" i="26"/>
  <c r="AD78" i="26" s="1"/>
  <c r="W78" i="26"/>
  <c r="AC78" i="26" s="1"/>
  <c r="V78" i="26"/>
  <c r="AB78" i="26" s="1"/>
  <c r="AE77" i="26"/>
  <c r="X77" i="26"/>
  <c r="AD77" i="26" s="1"/>
  <c r="W77" i="26"/>
  <c r="AC77" i="26" s="1"/>
  <c r="V77" i="26"/>
  <c r="AB77" i="26" s="1"/>
  <c r="AE76" i="26"/>
  <c r="X76" i="26"/>
  <c r="AD76" i="26" s="1"/>
  <c r="W76" i="26"/>
  <c r="AC76" i="26" s="1"/>
  <c r="V76" i="26"/>
  <c r="AB76" i="26" s="1"/>
  <c r="AE75" i="26"/>
  <c r="X75" i="26"/>
  <c r="AD75" i="26" s="1"/>
  <c r="W75" i="26"/>
  <c r="AC75" i="26" s="1"/>
  <c r="V75" i="26"/>
  <c r="AB75" i="26" s="1"/>
  <c r="AE74" i="26"/>
  <c r="X74" i="26"/>
  <c r="AD74" i="26" s="1"/>
  <c r="W74" i="26"/>
  <c r="AC74" i="26" s="1"/>
  <c r="V74" i="26"/>
  <c r="AB74" i="26" s="1"/>
  <c r="AE73" i="26"/>
  <c r="X73" i="26"/>
  <c r="AD73" i="26" s="1"/>
  <c r="W73" i="26"/>
  <c r="AC73" i="26" s="1"/>
  <c r="V73" i="26"/>
  <c r="AB73" i="26" s="1"/>
  <c r="AE72" i="26"/>
  <c r="X72" i="26"/>
  <c r="AD72" i="26" s="1"/>
  <c r="W72" i="26"/>
  <c r="AC72" i="26" s="1"/>
  <c r="V72" i="26"/>
  <c r="AB72" i="26" s="1"/>
  <c r="AE71" i="26"/>
  <c r="X71" i="26"/>
  <c r="AD71" i="26" s="1"/>
  <c r="W71" i="26"/>
  <c r="AC71" i="26" s="1"/>
  <c r="V71" i="26"/>
  <c r="AB71" i="26" s="1"/>
  <c r="AE70" i="26"/>
  <c r="X70" i="26"/>
  <c r="AD70" i="26" s="1"/>
  <c r="W70" i="26"/>
  <c r="AC70" i="26" s="1"/>
  <c r="V70" i="26"/>
  <c r="AB70" i="26" s="1"/>
  <c r="AE69" i="26"/>
  <c r="X69" i="26"/>
  <c r="AD69" i="26" s="1"/>
  <c r="W69" i="26"/>
  <c r="AC69" i="26" s="1"/>
  <c r="V69" i="26"/>
  <c r="AB69" i="26" s="1"/>
  <c r="AE68" i="26"/>
  <c r="X68" i="26"/>
  <c r="AD68" i="26" s="1"/>
  <c r="W68" i="26"/>
  <c r="AC68" i="26" s="1"/>
  <c r="V68" i="26"/>
  <c r="AB68" i="26" s="1"/>
  <c r="AE67" i="26"/>
  <c r="X67" i="26"/>
  <c r="AD67" i="26" s="1"/>
  <c r="W67" i="26"/>
  <c r="AC67" i="26" s="1"/>
  <c r="V67" i="26"/>
  <c r="AB67" i="26" s="1"/>
  <c r="AE66" i="26"/>
  <c r="X66" i="26"/>
  <c r="AD66" i="26" s="1"/>
  <c r="W66" i="26"/>
  <c r="AC66" i="26" s="1"/>
  <c r="V66" i="26"/>
  <c r="AB66" i="26" s="1"/>
  <c r="AE65" i="26"/>
  <c r="X65" i="26"/>
  <c r="AD65" i="26" s="1"/>
  <c r="W65" i="26"/>
  <c r="AC65" i="26" s="1"/>
  <c r="V65" i="26"/>
  <c r="AB65" i="26" s="1"/>
  <c r="AE64" i="26"/>
  <c r="X64" i="26"/>
  <c r="AD64" i="26" s="1"/>
  <c r="W64" i="26"/>
  <c r="AC64" i="26" s="1"/>
  <c r="V64" i="26"/>
  <c r="AB64" i="26" s="1"/>
  <c r="AE63" i="26"/>
  <c r="X63" i="26"/>
  <c r="AD63" i="26" s="1"/>
  <c r="W63" i="26"/>
  <c r="AC63" i="26" s="1"/>
  <c r="V63" i="26"/>
  <c r="AB63" i="26" s="1"/>
  <c r="AE62" i="26"/>
  <c r="X62" i="26"/>
  <c r="AD62" i="26" s="1"/>
  <c r="W62" i="26"/>
  <c r="AC62" i="26" s="1"/>
  <c r="V62" i="26"/>
  <c r="AB62" i="26" s="1"/>
  <c r="AG61" i="26"/>
  <c r="AF61" i="26"/>
  <c r="X61" i="26"/>
  <c r="AD61" i="26" s="1"/>
  <c r="W61" i="26"/>
  <c r="AC61" i="26" s="1"/>
  <c r="V61" i="26"/>
  <c r="AB61" i="26" s="1"/>
  <c r="AG60" i="26"/>
  <c r="AF60" i="26"/>
  <c r="X60" i="26"/>
  <c r="AD60" i="26" s="1"/>
  <c r="W60" i="26"/>
  <c r="AC60" i="26" s="1"/>
  <c r="V60" i="26"/>
  <c r="AB60" i="26" s="1"/>
  <c r="AG59" i="26"/>
  <c r="AF59" i="26"/>
  <c r="X59" i="26"/>
  <c r="AD59" i="26" s="1"/>
  <c r="W59" i="26"/>
  <c r="AC59" i="26" s="1"/>
  <c r="V59" i="26"/>
  <c r="AB59" i="26" s="1"/>
  <c r="AG58" i="26"/>
  <c r="AF58" i="26"/>
  <c r="X58" i="26"/>
  <c r="AD58" i="26" s="1"/>
  <c r="W58" i="26"/>
  <c r="AC58" i="26" s="1"/>
  <c r="V58" i="26"/>
  <c r="AB58" i="26" s="1"/>
  <c r="AG57" i="26"/>
  <c r="AF57" i="26"/>
  <c r="X57" i="26"/>
  <c r="AD57" i="26" s="1"/>
  <c r="W57" i="26"/>
  <c r="AC57" i="26" s="1"/>
  <c r="V57" i="26"/>
  <c r="AB57" i="26" s="1"/>
  <c r="AG56" i="26"/>
  <c r="AF56" i="26"/>
  <c r="X56" i="26"/>
  <c r="AD56" i="26" s="1"/>
  <c r="W56" i="26"/>
  <c r="AC56" i="26" s="1"/>
  <c r="V56" i="26"/>
  <c r="AB56" i="26" s="1"/>
  <c r="AG55" i="26"/>
  <c r="AF55" i="26"/>
  <c r="X55" i="26"/>
  <c r="AD55" i="26" s="1"/>
  <c r="W55" i="26"/>
  <c r="AC55" i="26" s="1"/>
  <c r="V55" i="26"/>
  <c r="AB55" i="26" s="1"/>
  <c r="AG54" i="26"/>
  <c r="AF54" i="26"/>
  <c r="X54" i="26"/>
  <c r="AD54" i="26" s="1"/>
  <c r="W54" i="26"/>
  <c r="AC54" i="26" s="1"/>
  <c r="V54" i="26"/>
  <c r="AB54" i="26" s="1"/>
  <c r="AG53" i="26"/>
  <c r="AF53" i="26"/>
  <c r="X53" i="26"/>
  <c r="AD53" i="26" s="1"/>
  <c r="W53" i="26"/>
  <c r="AC53" i="26" s="1"/>
  <c r="V53" i="26"/>
  <c r="AB53" i="26" s="1"/>
  <c r="AG52" i="26"/>
  <c r="AF52" i="26"/>
  <c r="X52" i="26"/>
  <c r="AD52" i="26" s="1"/>
  <c r="W52" i="26"/>
  <c r="AC52" i="26" s="1"/>
  <c r="V52" i="26"/>
  <c r="AB52" i="26" s="1"/>
  <c r="AG51" i="26"/>
  <c r="AF51" i="26"/>
  <c r="X51" i="26"/>
  <c r="AD51" i="26" s="1"/>
  <c r="W51" i="26"/>
  <c r="AC51" i="26" s="1"/>
  <c r="V51" i="26"/>
  <c r="AB51" i="26" s="1"/>
  <c r="AG50" i="26"/>
  <c r="AF50" i="26"/>
  <c r="X50" i="26"/>
  <c r="AD50" i="26" s="1"/>
  <c r="W50" i="26"/>
  <c r="AC50" i="26" s="1"/>
  <c r="V50" i="26"/>
  <c r="AB50" i="26" s="1"/>
  <c r="AE49" i="26"/>
  <c r="X49" i="26"/>
  <c r="AD49" i="26" s="1"/>
  <c r="W49" i="26"/>
  <c r="AC49" i="26" s="1"/>
  <c r="V49" i="26"/>
  <c r="AB49" i="26" s="1"/>
  <c r="AE48" i="26"/>
  <c r="X48" i="26"/>
  <c r="AD48" i="26" s="1"/>
  <c r="W48" i="26"/>
  <c r="AC48" i="26" s="1"/>
  <c r="V48" i="26"/>
  <c r="AB48" i="26" s="1"/>
  <c r="AE47" i="26"/>
  <c r="X47" i="26"/>
  <c r="AD47" i="26" s="1"/>
  <c r="W47" i="26"/>
  <c r="AC47" i="26" s="1"/>
  <c r="V47" i="26"/>
  <c r="AB47" i="26" s="1"/>
  <c r="AE46" i="26"/>
  <c r="X46" i="26"/>
  <c r="AD46" i="26" s="1"/>
  <c r="W46" i="26"/>
  <c r="AC46" i="26" s="1"/>
  <c r="V46" i="26"/>
  <c r="AB46" i="26" s="1"/>
  <c r="AE45" i="26"/>
  <c r="X45" i="26"/>
  <c r="AD45" i="26" s="1"/>
  <c r="W45" i="26"/>
  <c r="AC45" i="26" s="1"/>
  <c r="V45" i="26"/>
  <c r="AB45" i="26" s="1"/>
  <c r="AE44" i="26"/>
  <c r="X44" i="26"/>
  <c r="AD44" i="26" s="1"/>
  <c r="W44" i="26"/>
  <c r="AC44" i="26" s="1"/>
  <c r="V44" i="26"/>
  <c r="AB44" i="26" s="1"/>
  <c r="AE43" i="26"/>
  <c r="X43" i="26"/>
  <c r="AD43" i="26" s="1"/>
  <c r="W43" i="26"/>
  <c r="AC43" i="26" s="1"/>
  <c r="V43" i="26"/>
  <c r="AB43" i="26" s="1"/>
  <c r="AE42" i="26"/>
  <c r="X42" i="26"/>
  <c r="AD42" i="26" s="1"/>
  <c r="W42" i="26"/>
  <c r="AC42" i="26" s="1"/>
  <c r="V42" i="26"/>
  <c r="AB42" i="26" s="1"/>
  <c r="AE41" i="26"/>
  <c r="X41" i="26"/>
  <c r="AD41" i="26" s="1"/>
  <c r="W41" i="26"/>
  <c r="AC41" i="26" s="1"/>
  <c r="V41" i="26"/>
  <c r="AB41" i="26" s="1"/>
  <c r="AE40" i="26"/>
  <c r="X40" i="26"/>
  <c r="AD40" i="26" s="1"/>
  <c r="W40" i="26"/>
  <c r="AC40" i="26" s="1"/>
  <c r="V40" i="26"/>
  <c r="AB40" i="26" s="1"/>
  <c r="AE39" i="26"/>
  <c r="X39" i="26"/>
  <c r="AD39" i="26" s="1"/>
  <c r="W39" i="26"/>
  <c r="AC39" i="26" s="1"/>
  <c r="V39" i="26"/>
  <c r="AB39" i="26" s="1"/>
  <c r="AE38" i="26"/>
  <c r="X38" i="26"/>
  <c r="AD38" i="26" s="1"/>
  <c r="W38" i="26"/>
  <c r="AC38" i="26" s="1"/>
  <c r="V38" i="26"/>
  <c r="AB38" i="26" s="1"/>
  <c r="AG37" i="26"/>
  <c r="X37" i="26"/>
  <c r="AD37" i="26" s="1"/>
  <c r="W37" i="26"/>
  <c r="AC37" i="26" s="1"/>
  <c r="V37" i="26"/>
  <c r="AB37" i="26" s="1"/>
  <c r="AG36" i="26"/>
  <c r="X36" i="26"/>
  <c r="AD36" i="26" s="1"/>
  <c r="W36" i="26"/>
  <c r="AC36" i="26" s="1"/>
  <c r="V36" i="26"/>
  <c r="AB36" i="26" s="1"/>
  <c r="AG35" i="26"/>
  <c r="X35" i="26"/>
  <c r="AD35" i="26" s="1"/>
  <c r="W35" i="26"/>
  <c r="AC35" i="26" s="1"/>
  <c r="V35" i="26"/>
  <c r="AB35" i="26" s="1"/>
  <c r="AG34" i="26"/>
  <c r="X34" i="26"/>
  <c r="AD34" i="26" s="1"/>
  <c r="W34" i="26"/>
  <c r="AC34" i="26" s="1"/>
  <c r="V34" i="26"/>
  <c r="AB34" i="26" s="1"/>
  <c r="AG33" i="26"/>
  <c r="X33" i="26"/>
  <c r="AD33" i="26" s="1"/>
  <c r="W33" i="26"/>
  <c r="AC33" i="26" s="1"/>
  <c r="V33" i="26"/>
  <c r="AB33" i="26" s="1"/>
  <c r="AG32" i="26"/>
  <c r="X32" i="26"/>
  <c r="AD32" i="26" s="1"/>
  <c r="W32" i="26"/>
  <c r="AC32" i="26" s="1"/>
  <c r="V32" i="26"/>
  <c r="AB32" i="26" s="1"/>
  <c r="AG31" i="26"/>
  <c r="X31" i="26"/>
  <c r="AD31" i="26" s="1"/>
  <c r="W31" i="26"/>
  <c r="AC31" i="26" s="1"/>
  <c r="V31" i="26"/>
  <c r="AB31" i="26" s="1"/>
  <c r="AG30" i="26"/>
  <c r="X30" i="26"/>
  <c r="AD30" i="26" s="1"/>
  <c r="W30" i="26"/>
  <c r="AC30" i="26" s="1"/>
  <c r="V30" i="26"/>
  <c r="AB30" i="26" s="1"/>
  <c r="AG29" i="26"/>
  <c r="X29" i="26"/>
  <c r="AD29" i="26" s="1"/>
  <c r="W29" i="26"/>
  <c r="AC29" i="26" s="1"/>
  <c r="V29" i="26"/>
  <c r="AB29" i="26" s="1"/>
  <c r="AG28" i="26"/>
  <c r="X28" i="26"/>
  <c r="AD28" i="26" s="1"/>
  <c r="W28" i="26"/>
  <c r="AC28" i="26" s="1"/>
  <c r="V28" i="26"/>
  <c r="AB28" i="26" s="1"/>
  <c r="AG27" i="26"/>
  <c r="X27" i="26"/>
  <c r="AD27" i="26" s="1"/>
  <c r="W27" i="26"/>
  <c r="AC27" i="26" s="1"/>
  <c r="V27" i="26"/>
  <c r="AB27" i="26" s="1"/>
  <c r="AG26" i="26"/>
  <c r="X26" i="26"/>
  <c r="AD26" i="26" s="1"/>
  <c r="W26" i="26"/>
  <c r="AC26" i="26" s="1"/>
  <c r="V26" i="26"/>
  <c r="AB26" i="26" s="1"/>
  <c r="AG25" i="26"/>
  <c r="AE25" i="26"/>
  <c r="X25" i="26"/>
  <c r="AD25" i="26" s="1"/>
  <c r="W25" i="26"/>
  <c r="AC25" i="26" s="1"/>
  <c r="V25" i="26"/>
  <c r="AB25" i="26" s="1"/>
  <c r="AG24" i="26"/>
  <c r="AE24" i="26"/>
  <c r="X24" i="26"/>
  <c r="AD24" i="26" s="1"/>
  <c r="W24" i="26"/>
  <c r="AC24" i="26" s="1"/>
  <c r="V24" i="26"/>
  <c r="AB24" i="26" s="1"/>
  <c r="AG23" i="26"/>
  <c r="AE23" i="26"/>
  <c r="X23" i="26"/>
  <c r="AD23" i="26" s="1"/>
  <c r="W23" i="26"/>
  <c r="AC23" i="26" s="1"/>
  <c r="V23" i="26"/>
  <c r="AB23" i="26" s="1"/>
  <c r="AG22" i="26"/>
  <c r="AE22" i="26"/>
  <c r="X22" i="26"/>
  <c r="AD22" i="26" s="1"/>
  <c r="W22" i="26"/>
  <c r="AC22" i="26" s="1"/>
  <c r="V22" i="26"/>
  <c r="AB22" i="26" s="1"/>
  <c r="AG21" i="26"/>
  <c r="AE21" i="26"/>
  <c r="X21" i="26"/>
  <c r="AD21" i="26" s="1"/>
  <c r="W21" i="26"/>
  <c r="AC21" i="26" s="1"/>
  <c r="V21" i="26"/>
  <c r="AB21" i="26" s="1"/>
  <c r="AG20" i="26"/>
  <c r="AE20" i="26"/>
  <c r="X20" i="26"/>
  <c r="AD20" i="26" s="1"/>
  <c r="W20" i="26"/>
  <c r="AC20" i="26" s="1"/>
  <c r="V20" i="26"/>
  <c r="AB20" i="26" s="1"/>
  <c r="AG19" i="26"/>
  <c r="AE19" i="26"/>
  <c r="X19" i="26"/>
  <c r="AD19" i="26" s="1"/>
  <c r="W19" i="26"/>
  <c r="AC19" i="26" s="1"/>
  <c r="V19" i="26"/>
  <c r="AB19" i="26" s="1"/>
  <c r="AG18" i="26"/>
  <c r="AE18" i="26"/>
  <c r="X18" i="26"/>
  <c r="AD18" i="26" s="1"/>
  <c r="W18" i="26"/>
  <c r="AC18" i="26" s="1"/>
  <c r="V18" i="26"/>
  <c r="AB18" i="26" s="1"/>
  <c r="AG17" i="26"/>
  <c r="AE17" i="26"/>
  <c r="X17" i="26"/>
  <c r="AD17" i="26" s="1"/>
  <c r="W17" i="26"/>
  <c r="AC17" i="26" s="1"/>
  <c r="V17" i="26"/>
  <c r="AB17" i="26" s="1"/>
  <c r="AG16" i="26"/>
  <c r="AE16" i="26"/>
  <c r="X16" i="26"/>
  <c r="AD16" i="26" s="1"/>
  <c r="W16" i="26"/>
  <c r="AC16" i="26" s="1"/>
  <c r="V16" i="26"/>
  <c r="AB16" i="26" s="1"/>
  <c r="AG15" i="26"/>
  <c r="AE15" i="26"/>
  <c r="X15" i="26"/>
  <c r="AD15" i="26" s="1"/>
  <c r="W15" i="26"/>
  <c r="AC15" i="26" s="1"/>
  <c r="V15" i="26"/>
  <c r="AB15" i="26" s="1"/>
  <c r="AG14" i="26"/>
  <c r="AE14" i="26"/>
  <c r="X14" i="26"/>
  <c r="AD14" i="26" s="1"/>
  <c r="W14" i="26"/>
  <c r="AC14" i="26" s="1"/>
  <c r="V14" i="26"/>
  <c r="AB14" i="26" s="1"/>
  <c r="AG13" i="26"/>
  <c r="X13" i="26"/>
  <c r="AD13" i="26" s="1"/>
  <c r="W13" i="26"/>
  <c r="AC13" i="26" s="1"/>
  <c r="V13" i="26"/>
  <c r="AB13" i="26" s="1"/>
  <c r="AG12" i="26"/>
  <c r="X12" i="26"/>
  <c r="AD12" i="26" s="1"/>
  <c r="W12" i="26"/>
  <c r="AC12" i="26" s="1"/>
  <c r="V12" i="26"/>
  <c r="AB12" i="26" s="1"/>
  <c r="AG11" i="26"/>
  <c r="X11" i="26"/>
  <c r="AD11" i="26" s="1"/>
  <c r="W11" i="26"/>
  <c r="AC11" i="26" s="1"/>
  <c r="V11" i="26"/>
  <c r="AB11" i="26" s="1"/>
  <c r="AG10" i="26"/>
  <c r="X10" i="26"/>
  <c r="AD10" i="26" s="1"/>
  <c r="W10" i="26"/>
  <c r="AC10" i="26" s="1"/>
  <c r="V10" i="26"/>
  <c r="AB10" i="26" s="1"/>
  <c r="AG9" i="26"/>
  <c r="X9" i="26"/>
  <c r="AD9" i="26" s="1"/>
  <c r="W9" i="26"/>
  <c r="AC9" i="26" s="1"/>
  <c r="V9" i="26"/>
  <c r="AB9" i="26" s="1"/>
  <c r="AG8" i="26"/>
  <c r="X8" i="26"/>
  <c r="AD8" i="26" s="1"/>
  <c r="W8" i="26"/>
  <c r="AC8" i="26" s="1"/>
  <c r="V8" i="26"/>
  <c r="AB8" i="26" s="1"/>
  <c r="AG7" i="26"/>
  <c r="X7" i="26"/>
  <c r="AD7" i="26" s="1"/>
  <c r="W7" i="26"/>
  <c r="AC7" i="26" s="1"/>
  <c r="V7" i="26"/>
  <c r="AB7" i="26" s="1"/>
  <c r="AG6" i="26"/>
  <c r="X6" i="26"/>
  <c r="AD6" i="26" s="1"/>
  <c r="W6" i="26"/>
  <c r="AC6" i="26" s="1"/>
  <c r="V6" i="26"/>
  <c r="AB6" i="26" s="1"/>
  <c r="AG5" i="26"/>
  <c r="X5" i="26"/>
  <c r="AD5" i="26" s="1"/>
  <c r="W5" i="26"/>
  <c r="AC5" i="26" s="1"/>
  <c r="V5" i="26"/>
  <c r="AB5" i="26" s="1"/>
  <c r="AG4" i="26"/>
  <c r="X4" i="26"/>
  <c r="AD4" i="26" s="1"/>
  <c r="W4" i="26"/>
  <c r="AC4" i="26" s="1"/>
  <c r="V4" i="26"/>
  <c r="AB4" i="26" s="1"/>
  <c r="AG3" i="26"/>
  <c r="X3" i="26"/>
  <c r="AD3" i="26" s="1"/>
  <c r="W3" i="26"/>
  <c r="AC3" i="26" s="1"/>
  <c r="V3" i="26"/>
  <c r="AB3" i="26" s="1"/>
  <c r="AG2" i="26"/>
  <c r="X2" i="26"/>
  <c r="AD2" i="26" s="1"/>
  <c r="W2" i="26"/>
  <c r="AC2" i="26" s="1"/>
  <c r="V2" i="26"/>
  <c r="AB2" i="26" s="1"/>
  <c r="AG42" i="25"/>
  <c r="AF42" i="25"/>
  <c r="AE42" i="25"/>
  <c r="AG41" i="25"/>
  <c r="AF41" i="25"/>
  <c r="AE41" i="25"/>
  <c r="AD41" i="25"/>
  <c r="AD42" i="25" s="1"/>
  <c r="AC41" i="25"/>
  <c r="AC42" i="25" s="1"/>
  <c r="AG40" i="25"/>
  <c r="AF40" i="25"/>
  <c r="AE40" i="25"/>
  <c r="AD40" i="25"/>
  <c r="AG39" i="25"/>
  <c r="AF39" i="25"/>
  <c r="AE39" i="25"/>
  <c r="AD39" i="25"/>
  <c r="AF37" i="25"/>
  <c r="AF38" i="25" s="1"/>
  <c r="AG36" i="25"/>
  <c r="AG37" i="25" s="1"/>
  <c r="AG38" i="25" s="1"/>
  <c r="AF36" i="25"/>
  <c r="AE36" i="25"/>
  <c r="AE37" i="25" s="1"/>
  <c r="AE38" i="25" s="1"/>
  <c r="AD36" i="25"/>
  <c r="AD37" i="25" s="1"/>
  <c r="AD38" i="25" s="1"/>
  <c r="AC36" i="25"/>
  <c r="AC37" i="25" s="1"/>
  <c r="AC38" i="25" s="1"/>
  <c r="AC39" i="25" s="1"/>
  <c r="AC40" i="25" s="1"/>
  <c r="AG35" i="25"/>
  <c r="AF35" i="25"/>
  <c r="AG34" i="25"/>
  <c r="AF34" i="25"/>
  <c r="AE34" i="25"/>
  <c r="AE35" i="25" s="1"/>
  <c r="AG33" i="25"/>
  <c r="AF33" i="25"/>
  <c r="AE33" i="25"/>
  <c r="AD33" i="25"/>
  <c r="AD34" i="25" s="1"/>
  <c r="AD35" i="25" s="1"/>
  <c r="AG32" i="25"/>
  <c r="AF32" i="25"/>
  <c r="AE32" i="25"/>
  <c r="AD32" i="25"/>
  <c r="AD30" i="25"/>
  <c r="AD31" i="25" s="1"/>
  <c r="AG29" i="25"/>
  <c r="AG30" i="25" s="1"/>
  <c r="AG31" i="25" s="1"/>
  <c r="AF29" i="25"/>
  <c r="AF30" i="25" s="1"/>
  <c r="AF31" i="25" s="1"/>
  <c r="AE29" i="25"/>
  <c r="AE30" i="25" s="1"/>
  <c r="AE31" i="25" s="1"/>
  <c r="AD29" i="25"/>
  <c r="AG28" i="25"/>
  <c r="AF28" i="25"/>
  <c r="AE28" i="25"/>
  <c r="AD28" i="25"/>
  <c r="AG26" i="25"/>
  <c r="AG27" i="25" s="1"/>
  <c r="AD26" i="25"/>
  <c r="AD27" i="25" s="1"/>
  <c r="AG25" i="25"/>
  <c r="AF25" i="25"/>
  <c r="AF26" i="25" s="1"/>
  <c r="AF27" i="25" s="1"/>
  <c r="AE25" i="25"/>
  <c r="AE26" i="25" s="1"/>
  <c r="AE27" i="25" s="1"/>
  <c r="AD25" i="25"/>
  <c r="AG24" i="25"/>
  <c r="AF24" i="25"/>
  <c r="AE24" i="25"/>
  <c r="AD24" i="25"/>
  <c r="AG22" i="25"/>
  <c r="AG23" i="25" s="1"/>
  <c r="AG21" i="25"/>
  <c r="AF21" i="25"/>
  <c r="AF22" i="25" s="1"/>
  <c r="AF23" i="25" s="1"/>
  <c r="AE21" i="25"/>
  <c r="AE22" i="25" s="1"/>
  <c r="AE23" i="25" s="1"/>
  <c r="AD21" i="25"/>
  <c r="AD22" i="25" s="1"/>
  <c r="AD23" i="25" s="1"/>
  <c r="AC21" i="25"/>
  <c r="AC22" i="25" s="1"/>
  <c r="AC23" i="25" s="1"/>
  <c r="AC24" i="25" s="1"/>
  <c r="AC25" i="25" s="1"/>
  <c r="AC26" i="25" s="1"/>
  <c r="AC27" i="25" s="1"/>
  <c r="AC28" i="25" s="1"/>
  <c r="AC29" i="25" s="1"/>
  <c r="AC30" i="25" s="1"/>
  <c r="AC31" i="25" s="1"/>
  <c r="AC32" i="25" s="1"/>
  <c r="AC33" i="25" s="1"/>
  <c r="AC34" i="25" s="1"/>
  <c r="AC35" i="25" s="1"/>
  <c r="AG20" i="25"/>
  <c r="AF20" i="25"/>
  <c r="AG19" i="25"/>
  <c r="AF19" i="25"/>
  <c r="AG18" i="25"/>
  <c r="AF18" i="25"/>
  <c r="AG17" i="25"/>
  <c r="AF17" i="25"/>
  <c r="AE17" i="25"/>
  <c r="AE18" i="25" s="1"/>
  <c r="AE19" i="25" s="1"/>
  <c r="AE20" i="25" s="1"/>
  <c r="AG16" i="25"/>
  <c r="AF16" i="25"/>
  <c r="AE16" i="25"/>
  <c r="AD16" i="25"/>
  <c r="AD17" i="25" s="1"/>
  <c r="AD18" i="25" s="1"/>
  <c r="AD19" i="25" s="1"/>
  <c r="AD20" i="25" s="1"/>
  <c r="AG15" i="25"/>
  <c r="AF15" i="25"/>
  <c r="AG14" i="25"/>
  <c r="AF14" i="25"/>
  <c r="AG13" i="25"/>
  <c r="AF13" i="25"/>
  <c r="AG12" i="25"/>
  <c r="AF12" i="25"/>
  <c r="AG11" i="25"/>
  <c r="AF11" i="25"/>
  <c r="AE11" i="25"/>
  <c r="AE12" i="25" s="1"/>
  <c r="AE13" i="25" s="1"/>
  <c r="AE14" i="25" s="1"/>
  <c r="AE15" i="25" s="1"/>
  <c r="AD11" i="25"/>
  <c r="AD12" i="25" s="1"/>
  <c r="AD13" i="25" s="1"/>
  <c r="AD14" i="25" s="1"/>
  <c r="AD15" i="25" s="1"/>
  <c r="AG9" i="25"/>
  <c r="AG10" i="25" s="1"/>
  <c r="AC9" i="25"/>
  <c r="AC10" i="25" s="1"/>
  <c r="AC11" i="25" s="1"/>
  <c r="AC12" i="25" s="1"/>
  <c r="AC13" i="25" s="1"/>
  <c r="AC14" i="25" s="1"/>
  <c r="AC15" i="25" s="1"/>
  <c r="AC16" i="25" s="1"/>
  <c r="AC17" i="25" s="1"/>
  <c r="AC18" i="25" s="1"/>
  <c r="AC19" i="25" s="1"/>
  <c r="AC20" i="25" s="1"/>
  <c r="AG8" i="25"/>
  <c r="AF8" i="25"/>
  <c r="AF9" i="25" s="1"/>
  <c r="AF10" i="25" s="1"/>
  <c r="AE8" i="25"/>
  <c r="AE9" i="25" s="1"/>
  <c r="AE10" i="25" s="1"/>
  <c r="AD8" i="25"/>
  <c r="AD9" i="25" s="1"/>
  <c r="AD10" i="25" s="1"/>
  <c r="AC8" i="25"/>
  <c r="AG7" i="25"/>
  <c r="AF7" i="25"/>
  <c r="AE7" i="25"/>
  <c r="AD7" i="25"/>
  <c r="AF6" i="25"/>
  <c r="AG5" i="25"/>
  <c r="AG6" i="25" s="1"/>
  <c r="AF5" i="25"/>
  <c r="AE5" i="25"/>
  <c r="AE6" i="25" s="1"/>
  <c r="AD5" i="25"/>
  <c r="AD6" i="25" s="1"/>
  <c r="AC5" i="25"/>
  <c r="AC6" i="25" s="1"/>
  <c r="O49" i="25"/>
  <c r="X47" i="25"/>
  <c r="V47" i="25"/>
  <c r="T47" i="25"/>
  <c r="P47" i="25"/>
  <c r="O47" i="25"/>
  <c r="N47" i="25"/>
  <c r="M47" i="25"/>
  <c r="V46" i="25"/>
  <c r="U46" i="25"/>
  <c r="T46" i="25"/>
  <c r="P46" i="25"/>
  <c r="O46" i="25"/>
  <c r="N46" i="25"/>
  <c r="M46" i="25"/>
  <c r="X45" i="25"/>
  <c r="V45" i="25"/>
  <c r="V49" i="25" s="1"/>
  <c r="U45" i="25"/>
  <c r="T45" i="25"/>
  <c r="P45" i="25"/>
  <c r="P49" i="25" s="1"/>
  <c r="O45" i="25"/>
  <c r="N45" i="25"/>
  <c r="N49" i="25" s="1"/>
  <c r="M45" i="25"/>
  <c r="M49" i="25" s="1"/>
  <c r="AU51" i="24"/>
  <c r="AT51" i="24"/>
  <c r="AU50" i="24"/>
  <c r="AT50" i="24"/>
  <c r="AS50" i="24"/>
  <c r="AS51" i="24" s="1"/>
  <c r="AR50" i="24"/>
  <c r="AR51" i="24" s="1"/>
  <c r="AV51" i="24" s="1"/>
  <c r="AQ50" i="24"/>
  <c r="AQ51" i="24" s="1"/>
  <c r="AU49" i="24"/>
  <c r="AT49" i="24"/>
  <c r="AS49" i="24"/>
  <c r="AR49" i="24"/>
  <c r="AV49" i="24" s="1"/>
  <c r="AU48" i="24"/>
  <c r="AT48" i="24"/>
  <c r="AS48" i="24"/>
  <c r="AR48" i="24"/>
  <c r="AV48" i="24" s="1"/>
  <c r="AU45" i="24"/>
  <c r="AU46" i="24" s="1"/>
  <c r="AU47" i="24" s="1"/>
  <c r="AT45" i="24"/>
  <c r="AT46" i="24" s="1"/>
  <c r="AT47" i="24" s="1"/>
  <c r="AS45" i="24"/>
  <c r="AS46" i="24" s="1"/>
  <c r="AS47" i="24" s="1"/>
  <c r="AR45" i="24"/>
  <c r="AV45" i="24" s="1"/>
  <c r="AQ45" i="24"/>
  <c r="AQ46" i="24" s="1"/>
  <c r="AQ47" i="24" s="1"/>
  <c r="AQ48" i="24" s="1"/>
  <c r="AQ49" i="24" s="1"/>
  <c r="AU44" i="24"/>
  <c r="AT44" i="24"/>
  <c r="AU43" i="24"/>
  <c r="AT43" i="24"/>
  <c r="AU42" i="24"/>
  <c r="AT42" i="24"/>
  <c r="AS42" i="24"/>
  <c r="AS43" i="24" s="1"/>
  <c r="AS44" i="24" s="1"/>
  <c r="AR42" i="24"/>
  <c r="AR43" i="24" s="1"/>
  <c r="AV43" i="24" s="1"/>
  <c r="AU41" i="24"/>
  <c r="AT41" i="24"/>
  <c r="AS41" i="24"/>
  <c r="AR41" i="24"/>
  <c r="AV41" i="24" s="1"/>
  <c r="AR39" i="24"/>
  <c r="AR40" i="24" s="1"/>
  <c r="AV40" i="24" s="1"/>
  <c r="AU38" i="24"/>
  <c r="AU39" i="24" s="1"/>
  <c r="AU40" i="24" s="1"/>
  <c r="AT38" i="24"/>
  <c r="AT39" i="24" s="1"/>
  <c r="AT40" i="24" s="1"/>
  <c r="AS38" i="24"/>
  <c r="AS39" i="24" s="1"/>
  <c r="AS40" i="24" s="1"/>
  <c r="AR38" i="24"/>
  <c r="AV38" i="24" s="1"/>
  <c r="AU37" i="24"/>
  <c r="AT37" i="24"/>
  <c r="AS37" i="24"/>
  <c r="AR37" i="24"/>
  <c r="AV37" i="24" s="1"/>
  <c r="AU34" i="24"/>
  <c r="AU35" i="24" s="1"/>
  <c r="AU36" i="24" s="1"/>
  <c r="AT34" i="24"/>
  <c r="AT35" i="24" s="1"/>
  <c r="AT36" i="24" s="1"/>
  <c r="AS34" i="24"/>
  <c r="AS35" i="24" s="1"/>
  <c r="AS36" i="24" s="1"/>
  <c r="AR34" i="24"/>
  <c r="AR35" i="24" s="1"/>
  <c r="AU33" i="24"/>
  <c r="AT33" i="24"/>
  <c r="AS33" i="24"/>
  <c r="AR33" i="24"/>
  <c r="AV33" i="24" s="1"/>
  <c r="AU30" i="24"/>
  <c r="AU31" i="24" s="1"/>
  <c r="AU32" i="24" s="1"/>
  <c r="AT30" i="24"/>
  <c r="AT31" i="24" s="1"/>
  <c r="AT32" i="24" s="1"/>
  <c r="AS30" i="24"/>
  <c r="AS31" i="24" s="1"/>
  <c r="AS32" i="24" s="1"/>
  <c r="AR30" i="24"/>
  <c r="AQ30" i="24"/>
  <c r="AQ31" i="24" s="1"/>
  <c r="AQ32" i="24" s="1"/>
  <c r="AQ33" i="24" s="1"/>
  <c r="AQ34" i="24" s="1"/>
  <c r="AQ35" i="24" s="1"/>
  <c r="AQ36" i="24" s="1"/>
  <c r="AQ37" i="24" s="1"/>
  <c r="AQ38" i="24" s="1"/>
  <c r="AQ39" i="24" s="1"/>
  <c r="AQ40" i="24" s="1"/>
  <c r="AQ41" i="24" s="1"/>
  <c r="AQ42" i="24" s="1"/>
  <c r="AQ43" i="24" s="1"/>
  <c r="AQ44" i="24" s="1"/>
  <c r="AU29" i="24"/>
  <c r="AT29" i="24"/>
  <c r="AU28" i="24"/>
  <c r="AT28" i="24"/>
  <c r="AU27" i="24"/>
  <c r="AT27" i="24"/>
  <c r="AU26" i="24"/>
  <c r="AT26" i="24"/>
  <c r="AS26" i="24"/>
  <c r="AS27" i="24" s="1"/>
  <c r="AS28" i="24" s="1"/>
  <c r="AS29" i="24" s="1"/>
  <c r="AU25" i="24"/>
  <c r="AT25" i="24"/>
  <c r="AS25" i="24"/>
  <c r="AR25" i="24"/>
  <c r="AV25" i="24" s="1"/>
  <c r="AU24" i="24"/>
  <c r="AT24" i="24"/>
  <c r="AU23" i="24"/>
  <c r="AT23" i="24"/>
  <c r="AU22" i="24"/>
  <c r="AT22" i="24"/>
  <c r="AU21" i="24"/>
  <c r="AT21" i="24"/>
  <c r="AU20" i="24"/>
  <c r="AT20" i="24"/>
  <c r="AS20" i="24"/>
  <c r="AS21" i="24" s="1"/>
  <c r="AS22" i="24" s="1"/>
  <c r="AS23" i="24" s="1"/>
  <c r="AS24" i="24" s="1"/>
  <c r="AR20" i="24"/>
  <c r="AR21" i="24" s="1"/>
  <c r="AU17" i="24"/>
  <c r="AU18" i="24" s="1"/>
  <c r="AU19" i="24" s="1"/>
  <c r="AT17" i="24"/>
  <c r="AT18" i="24" s="1"/>
  <c r="AT19" i="24" s="1"/>
  <c r="AS17" i="24"/>
  <c r="AS18" i="24" s="1"/>
  <c r="AS19" i="24" s="1"/>
  <c r="AR17" i="24"/>
  <c r="AV17" i="24" s="1"/>
  <c r="AQ17" i="24"/>
  <c r="AQ18" i="24" s="1"/>
  <c r="AQ19" i="24" s="1"/>
  <c r="AQ20" i="24" s="1"/>
  <c r="AQ21" i="24" s="1"/>
  <c r="AQ22" i="24" s="1"/>
  <c r="AQ23" i="24" s="1"/>
  <c r="AQ24" i="24" s="1"/>
  <c r="AQ25" i="24" s="1"/>
  <c r="AQ26" i="24" s="1"/>
  <c r="AQ27" i="24" s="1"/>
  <c r="AQ28" i="24" s="1"/>
  <c r="AQ29" i="24" s="1"/>
  <c r="AU16" i="24"/>
  <c r="AU15" i="24"/>
  <c r="AT15" i="24"/>
  <c r="AT16" i="24" s="1"/>
  <c r="AS15" i="24"/>
  <c r="AS16" i="24" s="1"/>
  <c r="AR15" i="24"/>
  <c r="AV15" i="24" s="1"/>
  <c r="AQ15" i="24"/>
  <c r="AQ16" i="24" s="1"/>
  <c r="AU13" i="24"/>
  <c r="AU14" i="24" s="1"/>
  <c r="AU11" i="24"/>
  <c r="AU12" i="24" s="1"/>
  <c r="AT11" i="24"/>
  <c r="AT12" i="24" s="1"/>
  <c r="AT13" i="24" s="1"/>
  <c r="AT14" i="24" s="1"/>
  <c r="AU10" i="24"/>
  <c r="AT10" i="24"/>
  <c r="AS10" i="24"/>
  <c r="AS11" i="24" s="1"/>
  <c r="AS12" i="24" s="1"/>
  <c r="AS13" i="24" s="1"/>
  <c r="AS14" i="24" s="1"/>
  <c r="AR10" i="24"/>
  <c r="AV10" i="24" s="1"/>
  <c r="AU9" i="24"/>
  <c r="AT9" i="24"/>
  <c r="AS9" i="24"/>
  <c r="AR9" i="24"/>
  <c r="AV9" i="24" s="1"/>
  <c r="AU8" i="24"/>
  <c r="AU5" i="24"/>
  <c r="AU6" i="24" s="1"/>
  <c r="AU7" i="24" s="1"/>
  <c r="AT5" i="24"/>
  <c r="AT6" i="24" s="1"/>
  <c r="AT7" i="24" s="1"/>
  <c r="AT8" i="24" s="1"/>
  <c r="AS5" i="24"/>
  <c r="AS6" i="24" s="1"/>
  <c r="AS7" i="24" s="1"/>
  <c r="AS8" i="24" s="1"/>
  <c r="AR5" i="24"/>
  <c r="AV5" i="24" s="1"/>
  <c r="AQ5" i="24"/>
  <c r="AQ6" i="24" s="1"/>
  <c r="AL57" i="24"/>
  <c r="AG57" i="24"/>
  <c r="AD57" i="24"/>
  <c r="AB57" i="24"/>
  <c r="T57" i="24"/>
  <c r="AK56" i="24"/>
  <c r="AF56" i="24"/>
  <c r="AE56" i="24"/>
  <c r="AC56" i="24"/>
  <c r="Y56" i="24"/>
  <c r="X56" i="24"/>
  <c r="W56" i="24"/>
  <c r="S56" i="24"/>
  <c r="R56" i="24"/>
  <c r="Q56" i="24"/>
  <c r="P56" i="24"/>
  <c r="O56" i="24"/>
  <c r="M56" i="24"/>
  <c r="L56" i="24"/>
  <c r="AK55" i="24"/>
  <c r="AF55" i="24"/>
  <c r="AP54" i="24" s="1"/>
  <c r="AC55" i="24"/>
  <c r="AA55" i="24"/>
  <c r="Z55" i="24"/>
  <c r="Y55" i="24"/>
  <c r="X55" i="24"/>
  <c r="W55" i="24"/>
  <c r="V55" i="24"/>
  <c r="U55" i="24"/>
  <c r="S55" i="24"/>
  <c r="R55" i="24"/>
  <c r="Q55" i="24"/>
  <c r="P55" i="24"/>
  <c r="O55" i="24"/>
  <c r="M55" i="24"/>
  <c r="L55" i="24"/>
  <c r="J14" i="23"/>
  <c r="J11" i="23"/>
  <c r="J10" i="23"/>
  <c r="J7" i="23"/>
  <c r="J6" i="23"/>
  <c r="F14" i="23"/>
  <c r="F13" i="23"/>
  <c r="J13" i="23" s="1"/>
  <c r="F12" i="23"/>
  <c r="J12" i="23" s="1"/>
  <c r="F11" i="23"/>
  <c r="F10" i="23"/>
  <c r="F9" i="23"/>
  <c r="J9" i="23" s="1"/>
  <c r="F8" i="23"/>
  <c r="F7" i="23"/>
  <c r="F6" i="23"/>
  <c r="F5" i="23"/>
  <c r="J5" i="23" s="1"/>
  <c r="E17" i="23" s="1"/>
  <c r="AE13" i="21"/>
  <c r="AD13" i="21"/>
  <c r="AC13" i="21"/>
  <c r="AB13" i="21"/>
  <c r="AA13" i="21"/>
  <c r="W13" i="21"/>
  <c r="V13" i="21"/>
  <c r="U13" i="21"/>
  <c r="T13" i="21"/>
  <c r="S13" i="21"/>
  <c r="Y13" i="21" s="1"/>
  <c r="AG13" i="21" s="1"/>
  <c r="R13" i="21"/>
  <c r="AE12" i="21"/>
  <c r="AD12" i="21"/>
  <c r="AE8" i="21"/>
  <c r="AD8" i="21"/>
  <c r="AC8" i="21"/>
  <c r="AB8" i="21"/>
  <c r="AA8" i="21"/>
  <c r="Y8" i="21"/>
  <c r="AG8" i="21" s="1"/>
  <c r="W8" i="21"/>
  <c r="AJ8" i="21" s="1"/>
  <c r="V8" i="21"/>
  <c r="U8" i="21"/>
  <c r="AI8" i="21" s="1"/>
  <c r="T8" i="21"/>
  <c r="S8" i="21"/>
  <c r="R8" i="21"/>
  <c r="X8" i="21" s="1"/>
  <c r="AF8" i="21" s="1"/>
  <c r="AE6" i="21"/>
  <c r="AD6" i="21"/>
  <c r="AC6" i="21"/>
  <c r="AB6" i="21"/>
  <c r="AA6" i="21"/>
  <c r="W6" i="21"/>
  <c r="V6" i="21"/>
  <c r="U6" i="21"/>
  <c r="T6" i="21"/>
  <c r="S6" i="21"/>
  <c r="R6" i="21"/>
  <c r="X6" i="21" s="1"/>
  <c r="AE5" i="21"/>
  <c r="AD5" i="21"/>
  <c r="AC5" i="21"/>
  <c r="AB5" i="21"/>
  <c r="AA5" i="21"/>
  <c r="W5" i="21"/>
  <c r="V5" i="21"/>
  <c r="U5" i="21"/>
  <c r="AI5" i="21" s="1"/>
  <c r="T5" i="21"/>
  <c r="S5" i="21"/>
  <c r="Y5" i="21" s="1"/>
  <c r="AG5" i="21" s="1"/>
  <c r="R5" i="21"/>
  <c r="AE4" i="21"/>
  <c r="AD4" i="21"/>
  <c r="AC4" i="21"/>
  <c r="AB4" i="21"/>
  <c r="AA4" i="21"/>
  <c r="W4" i="21"/>
  <c r="V4" i="21"/>
  <c r="U4" i="21"/>
  <c r="T4" i="21"/>
  <c r="S4" i="21"/>
  <c r="Y4" i="21" s="1"/>
  <c r="AG4" i="21" s="1"/>
  <c r="R4" i="21"/>
  <c r="AI3" i="21"/>
  <c r="AE3" i="21"/>
  <c r="AD3" i="21"/>
  <c r="AC3" i="21"/>
  <c r="AB3" i="21"/>
  <c r="AA3" i="21"/>
  <c r="W3" i="21"/>
  <c r="AJ3" i="21" s="1"/>
  <c r="V3" i="21"/>
  <c r="U3" i="21"/>
  <c r="X3" i="21" s="1"/>
  <c r="AF3" i="21" s="1"/>
  <c r="T3" i="21"/>
  <c r="S3" i="21"/>
  <c r="Y3" i="21" s="1"/>
  <c r="AG3" i="21" s="1"/>
  <c r="R3" i="21"/>
  <c r="J463" i="21"/>
  <c r="M463" i="21" s="1"/>
  <c r="J462" i="21"/>
  <c r="M462" i="21" s="1"/>
  <c r="J461" i="21"/>
  <c r="M461" i="21" s="1"/>
  <c r="J460" i="21"/>
  <c r="J459" i="21"/>
  <c r="J458" i="21"/>
  <c r="M458" i="21" s="1"/>
  <c r="J457" i="21"/>
  <c r="M457" i="21" s="1"/>
  <c r="J456" i="21"/>
  <c r="J455" i="21"/>
  <c r="M455" i="21" s="1"/>
  <c r="J454" i="21"/>
  <c r="M454" i="21" s="1"/>
  <c r="J453" i="21"/>
  <c r="M453" i="21" s="1"/>
  <c r="J452" i="21"/>
  <c r="J181" i="21"/>
  <c r="M181" i="21" s="1"/>
  <c r="J180" i="21"/>
  <c r="J179" i="21"/>
  <c r="M179" i="21" s="1"/>
  <c r="J178" i="21"/>
  <c r="J177" i="21"/>
  <c r="M177" i="21" s="1"/>
  <c r="J176" i="21"/>
  <c r="J175" i="21"/>
  <c r="M175" i="21" s="1"/>
  <c r="J174" i="21"/>
  <c r="J173" i="21"/>
  <c r="M173" i="21" s="1"/>
  <c r="J172" i="21"/>
  <c r="J171" i="21"/>
  <c r="M171" i="21" s="1"/>
  <c r="J170" i="21"/>
  <c r="L169" i="21"/>
  <c r="O169" i="21" s="1"/>
  <c r="K169" i="21"/>
  <c r="L168" i="21"/>
  <c r="O168" i="21" s="1"/>
  <c r="K168" i="21"/>
  <c r="L167" i="21"/>
  <c r="O167" i="21" s="1"/>
  <c r="K167" i="21"/>
  <c r="L166" i="21"/>
  <c r="O166" i="21" s="1"/>
  <c r="K166" i="21"/>
  <c r="L165" i="21"/>
  <c r="O165" i="21" s="1"/>
  <c r="K165" i="21"/>
  <c r="L164" i="21"/>
  <c r="O164" i="21" s="1"/>
  <c r="K164" i="21"/>
  <c r="L163" i="21"/>
  <c r="O163" i="21" s="1"/>
  <c r="K163" i="21"/>
  <c r="L162" i="21"/>
  <c r="O162" i="21" s="1"/>
  <c r="K162" i="21"/>
  <c r="L161" i="21"/>
  <c r="O161" i="21" s="1"/>
  <c r="K161" i="21"/>
  <c r="L160" i="21"/>
  <c r="O160" i="21" s="1"/>
  <c r="K160" i="21"/>
  <c r="L159" i="21"/>
  <c r="O159" i="21" s="1"/>
  <c r="K159" i="21"/>
  <c r="L158" i="21"/>
  <c r="O158" i="21" s="1"/>
  <c r="K158" i="21"/>
  <c r="J157" i="21"/>
  <c r="M157" i="21" s="1"/>
  <c r="J156" i="21"/>
  <c r="J155" i="21"/>
  <c r="M155" i="21" s="1"/>
  <c r="J154" i="21"/>
  <c r="J153" i="21"/>
  <c r="M153" i="21" s="1"/>
  <c r="J152" i="21"/>
  <c r="J151" i="21"/>
  <c r="M151" i="21" s="1"/>
  <c r="J150" i="21"/>
  <c r="J149" i="21"/>
  <c r="M149" i="21" s="1"/>
  <c r="J148" i="21"/>
  <c r="J147" i="21"/>
  <c r="M147" i="21" s="1"/>
  <c r="J146" i="21"/>
  <c r="M475" i="21"/>
  <c r="J475" i="21"/>
  <c r="J474" i="21"/>
  <c r="M474" i="21" s="1"/>
  <c r="J473" i="21"/>
  <c r="M473" i="21" s="1"/>
  <c r="J472" i="21"/>
  <c r="M472" i="21" s="1"/>
  <c r="J471" i="21"/>
  <c r="M471" i="21" s="1"/>
  <c r="J470" i="21"/>
  <c r="M470" i="21" s="1"/>
  <c r="M469" i="21"/>
  <c r="J469" i="21"/>
  <c r="M468" i="21"/>
  <c r="J468" i="21"/>
  <c r="M467" i="21"/>
  <c r="J467" i="21"/>
  <c r="J466" i="21"/>
  <c r="M466" i="21" s="1"/>
  <c r="J465" i="21"/>
  <c r="M465" i="21" s="1"/>
  <c r="J464" i="21"/>
  <c r="M464" i="21" s="1"/>
  <c r="M460" i="21"/>
  <c r="M459" i="21"/>
  <c r="M456" i="21"/>
  <c r="M452" i="21"/>
  <c r="J451" i="21"/>
  <c r="M451" i="21" s="1"/>
  <c r="J450" i="21"/>
  <c r="M450" i="21" s="1"/>
  <c r="J449" i="21"/>
  <c r="M449" i="21" s="1"/>
  <c r="J448" i="21"/>
  <c r="M448" i="21" s="1"/>
  <c r="M447" i="21"/>
  <c r="J447" i="21"/>
  <c r="M446" i="21"/>
  <c r="J446" i="21"/>
  <c r="M445" i="21"/>
  <c r="J445" i="21"/>
  <c r="J444" i="21"/>
  <c r="M444" i="21" s="1"/>
  <c r="J443" i="21"/>
  <c r="M443" i="21" s="1"/>
  <c r="J442" i="21"/>
  <c r="M442" i="21" s="1"/>
  <c r="J441" i="21"/>
  <c r="M441" i="21" s="1"/>
  <c r="J440" i="21"/>
  <c r="M440" i="21" s="1"/>
  <c r="M439" i="21"/>
  <c r="J439" i="21"/>
  <c r="M438" i="21"/>
  <c r="J438" i="21"/>
  <c r="M437" i="21"/>
  <c r="J437" i="21"/>
  <c r="J436" i="21"/>
  <c r="M436" i="21" s="1"/>
  <c r="J435" i="21"/>
  <c r="M435" i="21" s="1"/>
  <c r="J434" i="21"/>
  <c r="M434" i="21" s="1"/>
  <c r="J433" i="21"/>
  <c r="M433" i="21" s="1"/>
  <c r="J432" i="21"/>
  <c r="M432" i="21" s="1"/>
  <c r="M431" i="21"/>
  <c r="J431" i="21"/>
  <c r="M430" i="21"/>
  <c r="J430" i="21"/>
  <c r="M429" i="21"/>
  <c r="J429" i="21"/>
  <c r="J428" i="21"/>
  <c r="M428" i="21" s="1"/>
  <c r="J427" i="21"/>
  <c r="M427" i="21" s="1"/>
  <c r="J426" i="21"/>
  <c r="M426" i="21" s="1"/>
  <c r="J425" i="21"/>
  <c r="M425" i="21" s="1"/>
  <c r="J424" i="21"/>
  <c r="M424" i="21" s="1"/>
  <c r="M423" i="21"/>
  <c r="J423" i="21"/>
  <c r="M422" i="21"/>
  <c r="J422" i="21"/>
  <c r="M421" i="21"/>
  <c r="J421" i="21"/>
  <c r="J420" i="21"/>
  <c r="M420" i="21" s="1"/>
  <c r="J419" i="21"/>
  <c r="M419" i="21" s="1"/>
  <c r="J418" i="21"/>
  <c r="M418" i="21" s="1"/>
  <c r="J417" i="21"/>
  <c r="M417" i="21" s="1"/>
  <c r="J416" i="21"/>
  <c r="M416" i="21" s="1"/>
  <c r="M415" i="21"/>
  <c r="J415" i="21"/>
  <c r="M414" i="21"/>
  <c r="J414" i="21"/>
  <c r="M413" i="21"/>
  <c r="J413" i="21"/>
  <c r="J412" i="21"/>
  <c r="M412" i="21" s="1"/>
  <c r="J411" i="21"/>
  <c r="M411" i="21" s="1"/>
  <c r="J410" i="21"/>
  <c r="M410" i="21" s="1"/>
  <c r="J409" i="21"/>
  <c r="M409" i="21" s="1"/>
  <c r="J408" i="21"/>
  <c r="M408" i="21" s="1"/>
  <c r="M407" i="21"/>
  <c r="J407" i="21"/>
  <c r="M406" i="21"/>
  <c r="J406" i="21"/>
  <c r="M405" i="21"/>
  <c r="J405" i="21"/>
  <c r="M404" i="21"/>
  <c r="J404" i="21"/>
  <c r="M403" i="21"/>
  <c r="J403" i="21"/>
  <c r="J402" i="21"/>
  <c r="M402" i="21" s="1"/>
  <c r="J401" i="21"/>
  <c r="M401" i="21" s="1"/>
  <c r="J400" i="21"/>
  <c r="M400" i="21" s="1"/>
  <c r="J399" i="21"/>
  <c r="M399" i="21" s="1"/>
  <c r="J398" i="21"/>
  <c r="M398" i="21" s="1"/>
  <c r="M397" i="21"/>
  <c r="J397" i="21"/>
  <c r="M396" i="21"/>
  <c r="J396" i="21"/>
  <c r="M395" i="21"/>
  <c r="J395" i="21"/>
  <c r="J394" i="21"/>
  <c r="M394" i="21" s="1"/>
  <c r="J393" i="21"/>
  <c r="M393" i="21" s="1"/>
  <c r="J392" i="21"/>
  <c r="M392" i="21" s="1"/>
  <c r="J391" i="21"/>
  <c r="M391" i="21" s="1"/>
  <c r="J390" i="21"/>
  <c r="M390" i="21" s="1"/>
  <c r="M389" i="21"/>
  <c r="J389" i="21"/>
  <c r="M388" i="21"/>
  <c r="J388" i="21"/>
  <c r="M387" i="21"/>
  <c r="J387" i="21"/>
  <c r="J386" i="21"/>
  <c r="M386" i="21" s="1"/>
  <c r="J385" i="21"/>
  <c r="M385" i="21" s="1"/>
  <c r="J384" i="21"/>
  <c r="M384" i="21" s="1"/>
  <c r="J383" i="21"/>
  <c r="M383" i="21" s="1"/>
  <c r="J382" i="21"/>
  <c r="M382" i="21" s="1"/>
  <c r="M381" i="21"/>
  <c r="J381" i="21"/>
  <c r="M380" i="21"/>
  <c r="J380" i="21"/>
  <c r="M379" i="21"/>
  <c r="J379" i="21"/>
  <c r="J378" i="21"/>
  <c r="M378" i="21" s="1"/>
  <c r="J377" i="21"/>
  <c r="M377" i="21" s="1"/>
  <c r="J376" i="21"/>
  <c r="M376" i="21" s="1"/>
  <c r="J375" i="21"/>
  <c r="M375" i="21" s="1"/>
  <c r="J374" i="21"/>
  <c r="M374" i="21" s="1"/>
  <c r="M373" i="21"/>
  <c r="J373" i="21"/>
  <c r="M372" i="21"/>
  <c r="J372" i="21"/>
  <c r="M371" i="21"/>
  <c r="J371" i="21"/>
  <c r="J370" i="21"/>
  <c r="M370" i="21" s="1"/>
  <c r="J369" i="21"/>
  <c r="M369" i="21" s="1"/>
  <c r="J368" i="21"/>
  <c r="M368" i="21" s="1"/>
  <c r="J367" i="21"/>
  <c r="M367" i="21" s="1"/>
  <c r="J366" i="21"/>
  <c r="M366" i="21" s="1"/>
  <c r="M365" i="21"/>
  <c r="J365" i="21"/>
  <c r="M364" i="21"/>
  <c r="J364" i="21"/>
  <c r="M363" i="21"/>
  <c r="J363" i="21"/>
  <c r="J362" i="21"/>
  <c r="M362" i="21" s="1"/>
  <c r="J361" i="21"/>
  <c r="M361" i="21" s="1"/>
  <c r="J360" i="21"/>
  <c r="M360" i="21" s="1"/>
  <c r="M359" i="21"/>
  <c r="J359" i="21"/>
  <c r="J358" i="21"/>
  <c r="M358" i="21" s="1"/>
  <c r="J357" i="21"/>
  <c r="M357" i="21" s="1"/>
  <c r="J356" i="21"/>
  <c r="M356" i="21" s="1"/>
  <c r="M355" i="21"/>
  <c r="J355" i="21"/>
  <c r="J354" i="21"/>
  <c r="M354" i="21" s="1"/>
  <c r="J353" i="21"/>
  <c r="M353" i="21" s="1"/>
  <c r="J352" i="21"/>
  <c r="M352" i="21" s="1"/>
  <c r="M351" i="21"/>
  <c r="J351" i="21"/>
  <c r="J350" i="21"/>
  <c r="M350" i="21" s="1"/>
  <c r="J349" i="21"/>
  <c r="M349" i="21" s="1"/>
  <c r="J348" i="21"/>
  <c r="M348" i="21" s="1"/>
  <c r="M347" i="21"/>
  <c r="J347" i="21"/>
  <c r="J346" i="21"/>
  <c r="M346" i="21" s="1"/>
  <c r="J345" i="21"/>
  <c r="M345" i="21" s="1"/>
  <c r="J344" i="21"/>
  <c r="M344" i="21" s="1"/>
  <c r="M343" i="21"/>
  <c r="J343" i="21"/>
  <c r="J342" i="21"/>
  <c r="M342" i="21" s="1"/>
  <c r="J341" i="21"/>
  <c r="M341" i="21" s="1"/>
  <c r="J340" i="21"/>
  <c r="M340" i="21" s="1"/>
  <c r="M339" i="21"/>
  <c r="J339" i="21"/>
  <c r="J338" i="21"/>
  <c r="M338" i="21" s="1"/>
  <c r="J337" i="21"/>
  <c r="M337" i="21" s="1"/>
  <c r="J336" i="21"/>
  <c r="M336" i="21" s="1"/>
  <c r="M335" i="21"/>
  <c r="J335" i="21"/>
  <c r="J334" i="21"/>
  <c r="M334" i="21" s="1"/>
  <c r="J333" i="21"/>
  <c r="M333" i="21" s="1"/>
  <c r="J332" i="21"/>
  <c r="M332" i="21" s="1"/>
  <c r="M331" i="21"/>
  <c r="J331" i="21"/>
  <c r="J330" i="21"/>
  <c r="M330" i="21" s="1"/>
  <c r="J329" i="21"/>
  <c r="M329" i="21" s="1"/>
  <c r="J328" i="21"/>
  <c r="M328" i="21" s="1"/>
  <c r="M327" i="21"/>
  <c r="J327" i="21"/>
  <c r="J326" i="21"/>
  <c r="M326" i="21" s="1"/>
  <c r="J325" i="21"/>
  <c r="M325" i="21" s="1"/>
  <c r="J324" i="21"/>
  <c r="M324" i="21" s="1"/>
  <c r="M323" i="21"/>
  <c r="J323" i="21"/>
  <c r="J322" i="21"/>
  <c r="M322" i="21" s="1"/>
  <c r="J321" i="21"/>
  <c r="M321" i="21" s="1"/>
  <c r="J320" i="21"/>
  <c r="M320" i="21" s="1"/>
  <c r="J319" i="21"/>
  <c r="M319" i="21" s="1"/>
  <c r="J318" i="21"/>
  <c r="M318" i="21" s="1"/>
  <c r="J317" i="21"/>
  <c r="M317" i="21" s="1"/>
  <c r="M316" i="21"/>
  <c r="J316" i="21"/>
  <c r="J315" i="21"/>
  <c r="M315" i="21" s="1"/>
  <c r="J314" i="21"/>
  <c r="M314" i="21" s="1"/>
  <c r="J313" i="21"/>
  <c r="M313" i="21" s="1"/>
  <c r="J312" i="21"/>
  <c r="M312" i="21" s="1"/>
  <c r="J311" i="21"/>
  <c r="M311" i="21" s="1"/>
  <c r="J310" i="21"/>
  <c r="M310" i="21" s="1"/>
  <c r="J309" i="21"/>
  <c r="M309" i="21" s="1"/>
  <c r="M308" i="21"/>
  <c r="J308" i="21"/>
  <c r="J307" i="21"/>
  <c r="M307" i="21" s="1"/>
  <c r="J306" i="21"/>
  <c r="M306" i="21" s="1"/>
  <c r="J305" i="21"/>
  <c r="M305" i="21" s="1"/>
  <c r="J304" i="21"/>
  <c r="M304" i="21" s="1"/>
  <c r="J303" i="21"/>
  <c r="M303" i="21" s="1"/>
  <c r="J302" i="21"/>
  <c r="M302" i="21" s="1"/>
  <c r="J301" i="21"/>
  <c r="M301" i="21" s="1"/>
  <c r="M300" i="21"/>
  <c r="J300" i="21"/>
  <c r="J299" i="21"/>
  <c r="M299" i="21" s="1"/>
  <c r="J298" i="21"/>
  <c r="M298" i="21" s="1"/>
  <c r="J297" i="21"/>
  <c r="M297" i="21" s="1"/>
  <c r="J296" i="21"/>
  <c r="M296" i="21" s="1"/>
  <c r="J295" i="21"/>
  <c r="M295" i="21" s="1"/>
  <c r="J294" i="21"/>
  <c r="M294" i="21" s="1"/>
  <c r="J293" i="21"/>
  <c r="M293" i="21" s="1"/>
  <c r="M292" i="21"/>
  <c r="J292" i="21"/>
  <c r="J291" i="21"/>
  <c r="J290" i="21"/>
  <c r="M290" i="21" s="1"/>
  <c r="M289" i="21"/>
  <c r="J289" i="21"/>
  <c r="J288" i="21"/>
  <c r="M288" i="21" s="1"/>
  <c r="J287" i="21"/>
  <c r="M287" i="21" s="1"/>
  <c r="J286" i="21"/>
  <c r="M286" i="21" s="1"/>
  <c r="M285" i="21"/>
  <c r="J285" i="21"/>
  <c r="M284" i="21"/>
  <c r="J284" i="21"/>
  <c r="J283" i="21"/>
  <c r="M283" i="21" s="1"/>
  <c r="J282" i="21"/>
  <c r="M282" i="21" s="1"/>
  <c r="M281" i="21"/>
  <c r="J281" i="21"/>
  <c r="J280" i="21"/>
  <c r="M280" i="21" s="1"/>
  <c r="J279" i="21"/>
  <c r="M279" i="21" s="1"/>
  <c r="J278" i="21"/>
  <c r="M278" i="21" s="1"/>
  <c r="J277" i="21"/>
  <c r="M277" i="21" s="1"/>
  <c r="J276" i="21"/>
  <c r="M276" i="21" s="1"/>
  <c r="J275" i="21"/>
  <c r="M275" i="21" s="1"/>
  <c r="J274" i="21"/>
  <c r="M274" i="21" s="1"/>
  <c r="J273" i="21"/>
  <c r="M273" i="21" s="1"/>
  <c r="J272" i="21"/>
  <c r="M272" i="21" s="1"/>
  <c r="J271" i="21"/>
  <c r="M271" i="21" s="1"/>
  <c r="J270" i="21"/>
  <c r="M270" i="21" s="1"/>
  <c r="J269" i="21"/>
  <c r="M269" i="21" s="1"/>
  <c r="J268" i="21"/>
  <c r="M268" i="21" s="1"/>
  <c r="J267" i="21"/>
  <c r="M267" i="21" s="1"/>
  <c r="J266" i="21"/>
  <c r="M266" i="21" s="1"/>
  <c r="J265" i="21"/>
  <c r="M265" i="21" s="1"/>
  <c r="J264" i="21"/>
  <c r="M264" i="21" s="1"/>
  <c r="J263" i="21"/>
  <c r="M263" i="21" s="1"/>
  <c r="J262" i="21"/>
  <c r="M262" i="21" s="1"/>
  <c r="J261" i="21"/>
  <c r="M261" i="21" s="1"/>
  <c r="J260" i="21"/>
  <c r="M260" i="21" s="1"/>
  <c r="J259" i="21"/>
  <c r="M259" i="21" s="1"/>
  <c r="J258" i="21"/>
  <c r="M258" i="21" s="1"/>
  <c r="J257" i="21"/>
  <c r="M257" i="21" s="1"/>
  <c r="J256" i="21"/>
  <c r="M256" i="21" s="1"/>
  <c r="J255" i="21"/>
  <c r="M255" i="21" s="1"/>
  <c r="J254" i="21"/>
  <c r="M254" i="21" s="1"/>
  <c r="J253" i="21"/>
  <c r="M253" i="21" s="1"/>
  <c r="J252" i="21"/>
  <c r="M252" i="21" s="1"/>
  <c r="J251" i="21"/>
  <c r="M251" i="21" s="1"/>
  <c r="J250" i="21"/>
  <c r="M250" i="21" s="1"/>
  <c r="J249" i="21"/>
  <c r="M249" i="21" s="1"/>
  <c r="J248" i="21"/>
  <c r="M248" i="21" s="1"/>
  <c r="J247" i="21"/>
  <c r="M247" i="21" s="1"/>
  <c r="J246" i="21"/>
  <c r="M246" i="21" s="1"/>
  <c r="J245" i="21"/>
  <c r="M245" i="21" s="1"/>
  <c r="J244" i="21"/>
  <c r="M244" i="21" s="1"/>
  <c r="J243" i="21"/>
  <c r="M243" i="21" s="1"/>
  <c r="J242" i="21"/>
  <c r="M242" i="21" s="1"/>
  <c r="J241" i="21"/>
  <c r="M241" i="21" s="1"/>
  <c r="M240" i="21"/>
  <c r="J240" i="21"/>
  <c r="M239" i="21"/>
  <c r="J239" i="21"/>
  <c r="M238" i="21"/>
  <c r="J238" i="21"/>
  <c r="J237" i="21"/>
  <c r="M237" i="21" s="1"/>
  <c r="J236" i="21"/>
  <c r="M236" i="21" s="1"/>
  <c r="J235" i="21"/>
  <c r="M235" i="21" s="1"/>
  <c r="J234" i="21"/>
  <c r="M234" i="21" s="1"/>
  <c r="J233" i="21"/>
  <c r="M233" i="21" s="1"/>
  <c r="M232" i="21"/>
  <c r="J232" i="21"/>
  <c r="M231" i="21"/>
  <c r="J231" i="21"/>
  <c r="M230" i="21"/>
  <c r="J230" i="21"/>
  <c r="J229" i="21"/>
  <c r="M229" i="21" s="1"/>
  <c r="J228" i="21"/>
  <c r="M228" i="21" s="1"/>
  <c r="J227" i="21"/>
  <c r="M227" i="21" s="1"/>
  <c r="J226" i="21"/>
  <c r="M226" i="21" s="1"/>
  <c r="M225" i="21"/>
  <c r="J225" i="21"/>
  <c r="J224" i="21"/>
  <c r="M224" i="21" s="1"/>
  <c r="J223" i="21"/>
  <c r="M223" i="21" s="1"/>
  <c r="J222" i="21"/>
  <c r="M222" i="21" s="1"/>
  <c r="M221" i="21"/>
  <c r="J221" i="21"/>
  <c r="J220" i="21"/>
  <c r="M220" i="21" s="1"/>
  <c r="J219" i="21"/>
  <c r="M219" i="21" s="1"/>
  <c r="J218" i="21"/>
  <c r="M218" i="21" s="1"/>
  <c r="J217" i="21"/>
  <c r="M217" i="21" s="1"/>
  <c r="J216" i="21"/>
  <c r="M216" i="21" s="1"/>
  <c r="M215" i="21"/>
  <c r="J215" i="21"/>
  <c r="J214" i="21"/>
  <c r="M214" i="21" s="1"/>
  <c r="J213" i="21"/>
  <c r="M213" i="21" s="1"/>
  <c r="J212" i="21"/>
  <c r="M212" i="21" s="1"/>
  <c r="J211" i="21"/>
  <c r="M211" i="21" s="1"/>
  <c r="J210" i="21"/>
  <c r="M210" i="21" s="1"/>
  <c r="J209" i="21"/>
  <c r="M209" i="21" s="1"/>
  <c r="J208" i="21"/>
  <c r="M208" i="21" s="1"/>
  <c r="M207" i="21"/>
  <c r="J207" i="21"/>
  <c r="J206" i="21"/>
  <c r="M206" i="21" s="1"/>
  <c r="J205" i="21"/>
  <c r="M205" i="21" s="1"/>
  <c r="J204" i="21"/>
  <c r="M204" i="21" s="1"/>
  <c r="J203" i="21"/>
  <c r="M203" i="21" s="1"/>
  <c r="J202" i="21"/>
  <c r="M202" i="21" s="1"/>
  <c r="J201" i="21"/>
  <c r="M201" i="21" s="1"/>
  <c r="J200" i="21"/>
  <c r="M200" i="21" s="1"/>
  <c r="J199" i="21"/>
  <c r="M199" i="21" s="1"/>
  <c r="J198" i="21"/>
  <c r="M198" i="21" s="1"/>
  <c r="J197" i="21"/>
  <c r="M197" i="21" s="1"/>
  <c r="J196" i="21"/>
  <c r="M196" i="21" s="1"/>
  <c r="J195" i="21"/>
  <c r="M195" i="21" s="1"/>
  <c r="J194" i="21"/>
  <c r="M194" i="21" s="1"/>
  <c r="J193" i="21"/>
  <c r="M193" i="21" s="1"/>
  <c r="J192" i="21"/>
  <c r="M192" i="21" s="1"/>
  <c r="J191" i="21"/>
  <c r="M191" i="21" s="1"/>
  <c r="J190" i="21"/>
  <c r="M190" i="21" s="1"/>
  <c r="J189" i="21"/>
  <c r="M189" i="21" s="1"/>
  <c r="J188" i="21"/>
  <c r="M188" i="21" s="1"/>
  <c r="J187" i="21"/>
  <c r="M187" i="21" s="1"/>
  <c r="J186" i="21"/>
  <c r="M186" i="21" s="1"/>
  <c r="J185" i="21"/>
  <c r="M185" i="21" s="1"/>
  <c r="J184" i="21"/>
  <c r="M184" i="21" s="1"/>
  <c r="J183" i="21"/>
  <c r="M183" i="21" s="1"/>
  <c r="J182" i="21"/>
  <c r="M180" i="21"/>
  <c r="M178" i="21"/>
  <c r="M176" i="21"/>
  <c r="M174" i="21"/>
  <c r="M172" i="21"/>
  <c r="M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M156" i="21"/>
  <c r="M154" i="21"/>
  <c r="M152" i="21"/>
  <c r="M150" i="21"/>
  <c r="M148" i="21"/>
  <c r="M146" i="21"/>
  <c r="J145" i="21"/>
  <c r="M145" i="21" s="1"/>
  <c r="J144" i="21"/>
  <c r="M144" i="21" s="1"/>
  <c r="J143" i="21"/>
  <c r="M143" i="21" s="1"/>
  <c r="J142" i="21"/>
  <c r="M142" i="21" s="1"/>
  <c r="J141" i="21"/>
  <c r="M141" i="21" s="1"/>
  <c r="J140" i="21"/>
  <c r="M140" i="21" s="1"/>
  <c r="J139" i="21"/>
  <c r="M139" i="21" s="1"/>
  <c r="J138" i="21"/>
  <c r="M138" i="21" s="1"/>
  <c r="J137" i="21"/>
  <c r="M137" i="21" s="1"/>
  <c r="J136" i="21"/>
  <c r="M136" i="21" s="1"/>
  <c r="J135" i="21"/>
  <c r="M135" i="21" s="1"/>
  <c r="J134" i="21"/>
  <c r="M134" i="21" s="1"/>
  <c r="N133" i="21"/>
  <c r="L133" i="21"/>
  <c r="O133" i="21" s="1"/>
  <c r="K133" i="21"/>
  <c r="L132" i="21"/>
  <c r="O132" i="21" s="1"/>
  <c r="K132" i="21"/>
  <c r="N132" i="21" s="1"/>
  <c r="L131" i="21"/>
  <c r="O131" i="21" s="1"/>
  <c r="K131" i="21"/>
  <c r="N131" i="21" s="1"/>
  <c r="N130" i="21"/>
  <c r="L130" i="21"/>
  <c r="O130" i="21" s="1"/>
  <c r="K130" i="21"/>
  <c r="N129" i="21"/>
  <c r="L129" i="21"/>
  <c r="O129" i="21" s="1"/>
  <c r="K129" i="21"/>
  <c r="L128" i="21"/>
  <c r="O128" i="21" s="1"/>
  <c r="K128" i="21"/>
  <c r="N128" i="21" s="1"/>
  <c r="L127" i="21"/>
  <c r="O127" i="21" s="1"/>
  <c r="K127" i="21"/>
  <c r="N127" i="21" s="1"/>
  <c r="N126" i="21"/>
  <c r="L126" i="21"/>
  <c r="O126" i="21" s="1"/>
  <c r="K126" i="21"/>
  <c r="N125" i="21"/>
  <c r="L125" i="21"/>
  <c r="O125" i="21" s="1"/>
  <c r="K125" i="21"/>
  <c r="L124" i="21"/>
  <c r="O124" i="21" s="1"/>
  <c r="K124" i="21"/>
  <c r="N124" i="21" s="1"/>
  <c r="L123" i="21"/>
  <c r="O123" i="21" s="1"/>
  <c r="K123" i="21"/>
  <c r="N123" i="21" s="1"/>
  <c r="N122" i="21"/>
  <c r="L122" i="21"/>
  <c r="O122" i="21" s="1"/>
  <c r="K122" i="21"/>
  <c r="J121" i="21"/>
  <c r="M121" i="21" s="1"/>
  <c r="J120" i="21"/>
  <c r="M120" i="21" s="1"/>
  <c r="J119" i="21"/>
  <c r="M119" i="21" s="1"/>
  <c r="J118" i="21"/>
  <c r="M118" i="21" s="1"/>
  <c r="J117" i="21"/>
  <c r="M117" i="21" s="1"/>
  <c r="J116" i="21"/>
  <c r="M116" i="21" s="1"/>
  <c r="J115" i="21"/>
  <c r="M115" i="21" s="1"/>
  <c r="J114" i="21"/>
  <c r="M114" i="21" s="1"/>
  <c r="J113" i="21"/>
  <c r="M113" i="21" s="1"/>
  <c r="J112" i="21"/>
  <c r="M112" i="21" s="1"/>
  <c r="J111" i="21"/>
  <c r="M111" i="21" s="1"/>
  <c r="J110" i="21"/>
  <c r="M110" i="21" s="1"/>
  <c r="J109" i="21"/>
  <c r="M109" i="21" s="1"/>
  <c r="J108" i="21"/>
  <c r="M108" i="21" s="1"/>
  <c r="J107" i="21"/>
  <c r="M107" i="21" s="1"/>
  <c r="J106" i="21"/>
  <c r="M106" i="21" s="1"/>
  <c r="J105" i="21"/>
  <c r="M105" i="21" s="1"/>
  <c r="J104" i="21"/>
  <c r="M104" i="21" s="1"/>
  <c r="J103" i="21"/>
  <c r="M103" i="21" s="1"/>
  <c r="J102" i="21"/>
  <c r="M102" i="21" s="1"/>
  <c r="J101" i="21"/>
  <c r="M101" i="21" s="1"/>
  <c r="J100" i="21"/>
  <c r="M100" i="21" s="1"/>
  <c r="J99" i="21"/>
  <c r="M99" i="21" s="1"/>
  <c r="J98" i="21"/>
  <c r="M98" i="21" s="1"/>
  <c r="N97" i="21"/>
  <c r="L97" i="21"/>
  <c r="O97" i="21" s="1"/>
  <c r="K97" i="21"/>
  <c r="L96" i="21"/>
  <c r="O96" i="21" s="1"/>
  <c r="K96" i="21"/>
  <c r="N96" i="21" s="1"/>
  <c r="L95" i="21"/>
  <c r="O95" i="21" s="1"/>
  <c r="K95" i="21"/>
  <c r="N95" i="21" s="1"/>
  <c r="N94" i="21"/>
  <c r="L94" i="21"/>
  <c r="O94" i="21" s="1"/>
  <c r="K94" i="21"/>
  <c r="N93" i="21"/>
  <c r="L93" i="21"/>
  <c r="O93" i="21" s="1"/>
  <c r="K93" i="21"/>
  <c r="L92" i="21"/>
  <c r="O92" i="21" s="1"/>
  <c r="K92" i="21"/>
  <c r="N92" i="21" s="1"/>
  <c r="L91" i="21"/>
  <c r="O91" i="21" s="1"/>
  <c r="K91" i="21"/>
  <c r="N91" i="21" s="1"/>
  <c r="N90" i="21"/>
  <c r="L90" i="21"/>
  <c r="O90" i="21" s="1"/>
  <c r="K90" i="21"/>
  <c r="N89" i="21"/>
  <c r="L89" i="21"/>
  <c r="O89" i="21" s="1"/>
  <c r="K89" i="21"/>
  <c r="L88" i="21"/>
  <c r="O88" i="21" s="1"/>
  <c r="K88" i="21"/>
  <c r="N88" i="21" s="1"/>
  <c r="L87" i="21"/>
  <c r="O87" i="21" s="1"/>
  <c r="K87" i="21"/>
  <c r="N87" i="21" s="1"/>
  <c r="N86" i="21"/>
  <c r="L86" i="21"/>
  <c r="O86" i="21" s="1"/>
  <c r="K86" i="21"/>
  <c r="J85" i="21"/>
  <c r="M85" i="21" s="1"/>
  <c r="J84" i="21"/>
  <c r="M84" i="21" s="1"/>
  <c r="J83" i="21"/>
  <c r="M83" i="21" s="1"/>
  <c r="J82" i="21"/>
  <c r="M82" i="21" s="1"/>
  <c r="J81" i="21"/>
  <c r="M81" i="21" s="1"/>
  <c r="J80" i="21"/>
  <c r="M80" i="21" s="1"/>
  <c r="J79" i="21"/>
  <c r="M79" i="21" s="1"/>
  <c r="J78" i="21"/>
  <c r="M78" i="21" s="1"/>
  <c r="J77" i="21"/>
  <c r="M77" i="21" s="1"/>
  <c r="J76" i="21"/>
  <c r="M76" i="21" s="1"/>
  <c r="J75" i="21"/>
  <c r="M75" i="21" s="1"/>
  <c r="J74" i="21"/>
  <c r="M74" i="21" s="1"/>
  <c r="J73" i="21"/>
  <c r="M73" i="21" s="1"/>
  <c r="M72" i="21"/>
  <c r="J72" i="21"/>
  <c r="J71" i="21"/>
  <c r="M71" i="21" s="1"/>
  <c r="J70" i="21"/>
  <c r="M70" i="21" s="1"/>
  <c r="J69" i="21"/>
  <c r="M69" i="21" s="1"/>
  <c r="J68" i="21"/>
  <c r="M68" i="21" s="1"/>
  <c r="J67" i="21"/>
  <c r="M67" i="21" s="1"/>
  <c r="J66" i="21"/>
  <c r="M66" i="21" s="1"/>
  <c r="J65" i="21"/>
  <c r="M65" i="21" s="1"/>
  <c r="J64" i="21"/>
  <c r="M64" i="21" s="1"/>
  <c r="J63" i="21"/>
  <c r="M63" i="21" s="1"/>
  <c r="J62" i="21"/>
  <c r="M62" i="21" s="1"/>
  <c r="L61" i="21"/>
  <c r="O61" i="21" s="1"/>
  <c r="K61" i="21"/>
  <c r="N61" i="21" s="1"/>
  <c r="O60" i="21"/>
  <c r="L60" i="21"/>
  <c r="K60" i="21"/>
  <c r="N60" i="21" s="1"/>
  <c r="L59" i="21"/>
  <c r="O59" i="21" s="1"/>
  <c r="K59" i="21"/>
  <c r="N59" i="21" s="1"/>
  <c r="O58" i="21"/>
  <c r="L58" i="21"/>
  <c r="K58" i="21"/>
  <c r="N58" i="21" s="1"/>
  <c r="L57" i="21"/>
  <c r="O57" i="21" s="1"/>
  <c r="K57" i="21"/>
  <c r="N57" i="21" s="1"/>
  <c r="O56" i="21"/>
  <c r="L56" i="21"/>
  <c r="K56" i="21"/>
  <c r="N56" i="21" s="1"/>
  <c r="L55" i="21"/>
  <c r="O55" i="21" s="1"/>
  <c r="K55" i="21"/>
  <c r="N55" i="21" s="1"/>
  <c r="O54" i="21"/>
  <c r="L54" i="21"/>
  <c r="K54" i="21"/>
  <c r="N54" i="21" s="1"/>
  <c r="L53" i="21"/>
  <c r="O53" i="21" s="1"/>
  <c r="K53" i="21"/>
  <c r="N53" i="21" s="1"/>
  <c r="O52" i="21"/>
  <c r="L52" i="21"/>
  <c r="K52" i="21"/>
  <c r="N52" i="21" s="1"/>
  <c r="L51" i="21"/>
  <c r="O51" i="21" s="1"/>
  <c r="K51" i="21"/>
  <c r="N51" i="21" s="1"/>
  <c r="O50" i="21"/>
  <c r="L50" i="21"/>
  <c r="K50" i="21"/>
  <c r="N50" i="21" s="1"/>
  <c r="J49" i="21"/>
  <c r="M49" i="21" s="1"/>
  <c r="J48" i="21"/>
  <c r="M48" i="21" s="1"/>
  <c r="J47" i="21"/>
  <c r="M47" i="21" s="1"/>
  <c r="J46" i="21"/>
  <c r="M46" i="21" s="1"/>
  <c r="J45" i="21"/>
  <c r="M45" i="21" s="1"/>
  <c r="J44" i="21"/>
  <c r="M44" i="21" s="1"/>
  <c r="J43" i="21"/>
  <c r="M43" i="21" s="1"/>
  <c r="J42" i="21"/>
  <c r="M42" i="21" s="1"/>
  <c r="J41" i="21"/>
  <c r="M41" i="21" s="1"/>
  <c r="J40" i="21"/>
  <c r="M40" i="21" s="1"/>
  <c r="J39" i="21"/>
  <c r="M39" i="21" s="1"/>
  <c r="J38" i="21"/>
  <c r="M38" i="21" s="1"/>
  <c r="L37" i="21"/>
  <c r="O37" i="21" s="1"/>
  <c r="L36" i="21"/>
  <c r="O36" i="21" s="1"/>
  <c r="L35" i="21"/>
  <c r="O35" i="21" s="1"/>
  <c r="L34" i="21"/>
  <c r="O34" i="21" s="1"/>
  <c r="L33" i="21"/>
  <c r="O33" i="21" s="1"/>
  <c r="L32" i="21"/>
  <c r="O32" i="21" s="1"/>
  <c r="L31" i="21"/>
  <c r="O31" i="21" s="1"/>
  <c r="L30" i="21"/>
  <c r="O30" i="21" s="1"/>
  <c r="L29" i="21"/>
  <c r="O29" i="21" s="1"/>
  <c r="L28" i="21"/>
  <c r="O28" i="21" s="1"/>
  <c r="L27" i="21"/>
  <c r="O27" i="21" s="1"/>
  <c r="L26" i="21"/>
  <c r="O26" i="21" s="1"/>
  <c r="L25" i="21"/>
  <c r="O25" i="21" s="1"/>
  <c r="J25" i="21"/>
  <c r="M25" i="21" s="1"/>
  <c r="L24" i="21"/>
  <c r="O24" i="21" s="1"/>
  <c r="J24" i="21"/>
  <c r="M24" i="21" s="1"/>
  <c r="L23" i="21"/>
  <c r="O23" i="21" s="1"/>
  <c r="J23" i="21"/>
  <c r="M23" i="21" s="1"/>
  <c r="L22" i="21"/>
  <c r="O22" i="21" s="1"/>
  <c r="J22" i="21"/>
  <c r="M22" i="21" s="1"/>
  <c r="L21" i="21"/>
  <c r="O21" i="21" s="1"/>
  <c r="J21" i="21"/>
  <c r="M21" i="21" s="1"/>
  <c r="L20" i="21"/>
  <c r="O20" i="21" s="1"/>
  <c r="J20" i="21"/>
  <c r="M20" i="21" s="1"/>
  <c r="L19" i="21"/>
  <c r="O19" i="21" s="1"/>
  <c r="J19" i="21"/>
  <c r="M19" i="21" s="1"/>
  <c r="L18" i="21"/>
  <c r="O18" i="21" s="1"/>
  <c r="J18" i="21"/>
  <c r="M18" i="21" s="1"/>
  <c r="L17" i="21"/>
  <c r="O17" i="21" s="1"/>
  <c r="J17" i="21"/>
  <c r="M17" i="21" s="1"/>
  <c r="L16" i="21"/>
  <c r="O16" i="21" s="1"/>
  <c r="J16" i="21"/>
  <c r="M16" i="21" s="1"/>
  <c r="L15" i="21"/>
  <c r="O15" i="21" s="1"/>
  <c r="J15" i="21"/>
  <c r="M15" i="21" s="1"/>
  <c r="L14" i="21"/>
  <c r="O14" i="21" s="1"/>
  <c r="J14" i="21"/>
  <c r="M14" i="21" s="1"/>
  <c r="L13" i="21"/>
  <c r="O13" i="21" s="1"/>
  <c r="L12" i="21"/>
  <c r="O12" i="21" s="1"/>
  <c r="L11" i="21"/>
  <c r="O11" i="21" s="1"/>
  <c r="L10" i="21"/>
  <c r="O10" i="21" s="1"/>
  <c r="L9" i="21"/>
  <c r="O9" i="21" s="1"/>
  <c r="L8" i="21"/>
  <c r="O8" i="21" s="1"/>
  <c r="L7" i="21"/>
  <c r="O7" i="21" s="1"/>
  <c r="L6" i="21"/>
  <c r="O6" i="21" s="1"/>
  <c r="L5" i="21"/>
  <c r="O5" i="21" s="1"/>
  <c r="L4" i="21"/>
  <c r="O4" i="21" s="1"/>
  <c r="L3" i="21"/>
  <c r="O3" i="21" s="1"/>
  <c r="L2" i="21"/>
  <c r="O2" i="21" s="1"/>
  <c r="X463" i="16"/>
  <c r="AD463" i="16" s="1"/>
  <c r="W463" i="16"/>
  <c r="AC463" i="16" s="1"/>
  <c r="X462" i="16"/>
  <c r="W462" i="16"/>
  <c r="AC462" i="16" s="1"/>
  <c r="X461" i="16"/>
  <c r="AD461" i="16" s="1"/>
  <c r="W461" i="16"/>
  <c r="AC461" i="16" s="1"/>
  <c r="X460" i="16"/>
  <c r="W460" i="16"/>
  <c r="AC460" i="16" s="1"/>
  <c r="X459" i="16"/>
  <c r="AD459" i="16" s="1"/>
  <c r="W459" i="16"/>
  <c r="AC459" i="16" s="1"/>
  <c r="X458" i="16"/>
  <c r="W458" i="16"/>
  <c r="AC458" i="16" s="1"/>
  <c r="X457" i="16"/>
  <c r="AD457" i="16" s="1"/>
  <c r="W457" i="16"/>
  <c r="AC457" i="16" s="1"/>
  <c r="X456" i="16"/>
  <c r="W456" i="16"/>
  <c r="AC456" i="16" s="1"/>
  <c r="X455" i="16"/>
  <c r="AD455" i="16" s="1"/>
  <c r="W455" i="16"/>
  <c r="AC455" i="16" s="1"/>
  <c r="X454" i="16"/>
  <c r="W454" i="16"/>
  <c r="AC454" i="16" s="1"/>
  <c r="X453" i="16"/>
  <c r="AD453" i="16" s="1"/>
  <c r="W453" i="16"/>
  <c r="AC453" i="16" s="1"/>
  <c r="X452" i="16"/>
  <c r="W452" i="16"/>
  <c r="AC452" i="16" s="1"/>
  <c r="AD186" i="17"/>
  <c r="X186" i="17"/>
  <c r="W186" i="17"/>
  <c r="AD185" i="17"/>
  <c r="X185" i="17"/>
  <c r="W185" i="17"/>
  <c r="AD184" i="17"/>
  <c r="X184" i="17"/>
  <c r="W184" i="17"/>
  <c r="AD183" i="17"/>
  <c r="X183" i="17"/>
  <c r="W183" i="17"/>
  <c r="AD182" i="17"/>
  <c r="X182" i="17"/>
  <c r="W182" i="17"/>
  <c r="AD181" i="17"/>
  <c r="X181" i="17"/>
  <c r="W181" i="17"/>
  <c r="X181" i="16"/>
  <c r="W181" i="16"/>
  <c r="AC181" i="16" s="1"/>
  <c r="AD180" i="17"/>
  <c r="X180" i="17"/>
  <c r="W180" i="17"/>
  <c r="X180" i="16"/>
  <c r="AD180" i="16" s="1"/>
  <c r="W180" i="16"/>
  <c r="AC180" i="16" s="1"/>
  <c r="AD179" i="17"/>
  <c r="X179" i="17"/>
  <c r="W179" i="17"/>
  <c r="X179" i="16"/>
  <c r="W179" i="16"/>
  <c r="AC179" i="16" s="1"/>
  <c r="AD178" i="17"/>
  <c r="X178" i="17"/>
  <c r="W178" i="17"/>
  <c r="X178" i="16"/>
  <c r="AD178" i="16" s="1"/>
  <c r="W178" i="16"/>
  <c r="AD177" i="17"/>
  <c r="X177" i="17"/>
  <c r="W177" i="17"/>
  <c r="X177" i="16"/>
  <c r="W177" i="16"/>
  <c r="AC177" i="16" s="1"/>
  <c r="AD176" i="17"/>
  <c r="X176" i="17"/>
  <c r="W176" i="17"/>
  <c r="X176" i="16"/>
  <c r="AD176" i="16" s="1"/>
  <c r="W176" i="16"/>
  <c r="AC176" i="16" s="1"/>
  <c r="AD175" i="17"/>
  <c r="X175" i="17"/>
  <c r="W175" i="17"/>
  <c r="X175" i="16"/>
  <c r="AD175" i="16" s="1"/>
  <c r="W175" i="16"/>
  <c r="X174" i="16"/>
  <c r="W174" i="16"/>
  <c r="AC174" i="16" s="1"/>
  <c r="X173" i="16"/>
  <c r="AD173" i="16" s="1"/>
  <c r="W173" i="16"/>
  <c r="AC173" i="16" s="1"/>
  <c r="X172" i="16"/>
  <c r="W172" i="16"/>
  <c r="AC172" i="16" s="1"/>
  <c r="X171" i="16"/>
  <c r="AD171" i="16" s="1"/>
  <c r="W171" i="16"/>
  <c r="AC171" i="16" s="1"/>
  <c r="X170" i="16"/>
  <c r="W170" i="16"/>
  <c r="AC170" i="16" s="1"/>
  <c r="V169" i="16"/>
  <c r="AB169" i="16" s="1"/>
  <c r="V168" i="16"/>
  <c r="AB168" i="16" s="1"/>
  <c r="V167" i="16"/>
  <c r="AB167" i="16" s="1"/>
  <c r="V166" i="16"/>
  <c r="AB166" i="16" s="1"/>
  <c r="V165" i="16"/>
  <c r="AB165" i="16" s="1"/>
  <c r="V164" i="16"/>
  <c r="AB164" i="16" s="1"/>
  <c r="V163" i="16"/>
  <c r="V162" i="16"/>
  <c r="AB162" i="16" s="1"/>
  <c r="V161" i="16"/>
  <c r="AB161" i="16" s="1"/>
  <c r="V160" i="16"/>
  <c r="AB160" i="16" s="1"/>
  <c r="V159" i="16"/>
  <c r="AB159" i="16" s="1"/>
  <c r="V158" i="16"/>
  <c r="AB158" i="16" s="1"/>
  <c r="X157" i="16"/>
  <c r="AD157" i="16" s="1"/>
  <c r="W157" i="16"/>
  <c r="AC157" i="16" s="1"/>
  <c r="X156" i="16"/>
  <c r="W156" i="16"/>
  <c r="AC156" i="16" s="1"/>
  <c r="X155" i="16"/>
  <c r="AD155" i="16" s="1"/>
  <c r="W155" i="16"/>
  <c r="AC155" i="16" s="1"/>
  <c r="X154" i="16"/>
  <c r="W154" i="16"/>
  <c r="AC154" i="16" s="1"/>
  <c r="X153" i="16"/>
  <c r="AD153" i="16" s="1"/>
  <c r="W153" i="16"/>
  <c r="AC153" i="16" s="1"/>
  <c r="X152" i="16"/>
  <c r="W152" i="16"/>
  <c r="AC152" i="16" s="1"/>
  <c r="X151" i="16"/>
  <c r="AD151" i="16" s="1"/>
  <c r="W151" i="16"/>
  <c r="AC151" i="16" s="1"/>
  <c r="X150" i="16"/>
  <c r="W150" i="16"/>
  <c r="AC150" i="16" s="1"/>
  <c r="X149" i="16"/>
  <c r="AD149" i="16" s="1"/>
  <c r="W149" i="16"/>
  <c r="AC149" i="16" s="1"/>
  <c r="X148" i="16"/>
  <c r="W148" i="16"/>
  <c r="AC148" i="16" s="1"/>
  <c r="X147" i="16"/>
  <c r="AD147" i="16" s="1"/>
  <c r="W147" i="16"/>
  <c r="AC147" i="16" s="1"/>
  <c r="X146" i="16"/>
  <c r="W146" i="16"/>
  <c r="AD73" i="17"/>
  <c r="X73" i="17"/>
  <c r="W73" i="17"/>
  <c r="AD72" i="17"/>
  <c r="X72" i="17"/>
  <c r="W72" i="17"/>
  <c r="AD71" i="17"/>
  <c r="X71" i="17"/>
  <c r="W71" i="17"/>
  <c r="AD70" i="17"/>
  <c r="X70" i="17"/>
  <c r="W70" i="17"/>
  <c r="AD69" i="17"/>
  <c r="X69" i="17"/>
  <c r="W69" i="17"/>
  <c r="AD68" i="17"/>
  <c r="X68" i="17"/>
  <c r="W68" i="17"/>
  <c r="AD67" i="17"/>
  <c r="X67" i="17"/>
  <c r="W67" i="17"/>
  <c r="AD66" i="17"/>
  <c r="X66" i="17"/>
  <c r="W66" i="17"/>
  <c r="AD65" i="17"/>
  <c r="X65" i="17"/>
  <c r="W65" i="17"/>
  <c r="AD64" i="17"/>
  <c r="X64" i="17"/>
  <c r="W64" i="17"/>
  <c r="AD63" i="17"/>
  <c r="X63" i="17"/>
  <c r="W63" i="17"/>
  <c r="AD62" i="17"/>
  <c r="X62" i="17"/>
  <c r="W62" i="17"/>
  <c r="AE61" i="17"/>
  <c r="V61" i="17"/>
  <c r="AB61" i="17" s="1"/>
  <c r="AE60" i="17"/>
  <c r="V60" i="17"/>
  <c r="AB60" i="17" s="1"/>
  <c r="AE59" i="17"/>
  <c r="V59" i="17"/>
  <c r="AB59" i="17" s="1"/>
  <c r="AE58" i="17"/>
  <c r="V58" i="17"/>
  <c r="AB58" i="17" s="1"/>
  <c r="AE57" i="17"/>
  <c r="V57" i="17"/>
  <c r="AB57" i="17" s="1"/>
  <c r="AE56" i="17"/>
  <c r="V56" i="17"/>
  <c r="AB56" i="17" s="1"/>
  <c r="AE55" i="17"/>
  <c r="V55" i="17"/>
  <c r="AB55" i="17" s="1"/>
  <c r="AE54" i="17"/>
  <c r="V54" i="17"/>
  <c r="AB54" i="17" s="1"/>
  <c r="AE53" i="17"/>
  <c r="V53" i="17"/>
  <c r="AB53" i="17" s="1"/>
  <c r="AE52" i="17"/>
  <c r="V52" i="17"/>
  <c r="AB52" i="17" s="1"/>
  <c r="AE51" i="17"/>
  <c r="V51" i="17"/>
  <c r="AB51" i="17" s="1"/>
  <c r="AE50" i="17"/>
  <c r="V50" i="17"/>
  <c r="AB50" i="17" s="1"/>
  <c r="AD49" i="17"/>
  <c r="X49" i="17"/>
  <c r="W49" i="17"/>
  <c r="AD48" i="17"/>
  <c r="X48" i="17"/>
  <c r="W48" i="17"/>
  <c r="AD47" i="17"/>
  <c r="X47" i="17"/>
  <c r="W47" i="17"/>
  <c r="AD46" i="17"/>
  <c r="X46" i="17"/>
  <c r="W46" i="17"/>
  <c r="AD45" i="17"/>
  <c r="X45" i="17"/>
  <c r="W45" i="17"/>
  <c r="AD44" i="17"/>
  <c r="X44" i="17"/>
  <c r="W44" i="17"/>
  <c r="AD43" i="17"/>
  <c r="X43" i="17"/>
  <c r="W43" i="17"/>
  <c r="AD42" i="17"/>
  <c r="X42" i="17"/>
  <c r="W42" i="17"/>
  <c r="AD41" i="17"/>
  <c r="X41" i="17"/>
  <c r="W41" i="17"/>
  <c r="AD40" i="17"/>
  <c r="X40" i="17"/>
  <c r="W40" i="17"/>
  <c r="AD39" i="17"/>
  <c r="X39" i="17"/>
  <c r="W39" i="17"/>
  <c r="AD38" i="17"/>
  <c r="X38" i="17"/>
  <c r="W38" i="17"/>
  <c r="M40" i="5"/>
  <c r="M39" i="5"/>
  <c r="M38" i="5"/>
  <c r="AI9" i="17"/>
  <c r="AJ4" i="17"/>
  <c r="AI4" i="17"/>
  <c r="AJ3" i="17"/>
  <c r="AI3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49" i="17"/>
  <c r="AD148" i="17"/>
  <c r="AD147" i="17"/>
  <c r="AD146" i="17"/>
  <c r="AD145" i="17"/>
  <c r="AD144" i="17"/>
  <c r="AD143" i="17"/>
  <c r="AD142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0" i="21" s="1"/>
  <c r="AD122" i="17"/>
  <c r="AD121" i="17"/>
  <c r="AD120" i="17"/>
  <c r="AD119" i="17"/>
  <c r="AD118" i="17"/>
  <c r="AD117" i="17"/>
  <c r="AD116" i="17"/>
  <c r="AD115" i="17"/>
  <c r="AD114" i="17"/>
  <c r="AD113" i="17"/>
  <c r="AD112" i="17"/>
  <c r="AD111" i="17"/>
  <c r="AD110" i="17"/>
  <c r="AD109" i="17"/>
  <c r="AD108" i="17"/>
  <c r="AD107" i="17"/>
  <c r="AD106" i="17"/>
  <c r="AD105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AD84" i="17"/>
  <c r="AD83" i="17"/>
  <c r="AD82" i="17"/>
  <c r="AD81" i="17"/>
  <c r="AD80" i="17"/>
  <c r="AD79" i="17"/>
  <c r="AD78" i="17"/>
  <c r="AD77" i="17"/>
  <c r="AD76" i="17"/>
  <c r="AD75" i="17"/>
  <c r="AD74" i="17"/>
  <c r="AD25" i="17"/>
  <c r="AD24" i="17"/>
  <c r="AD23" i="17"/>
  <c r="AD22" i="17"/>
  <c r="AD21" i="17"/>
  <c r="AD20" i="17"/>
  <c r="AD19" i="17"/>
  <c r="AD18" i="17"/>
  <c r="AD17" i="17"/>
  <c r="AD16" i="17"/>
  <c r="AD15" i="17"/>
  <c r="AD14" i="17"/>
  <c r="V186" i="17"/>
  <c r="AB186" i="17" s="1"/>
  <c r="V185" i="17"/>
  <c r="AB185" i="17" s="1"/>
  <c r="V184" i="17"/>
  <c r="AB184" i="17" s="1"/>
  <c r="V183" i="17"/>
  <c r="AB183" i="17" s="1"/>
  <c r="V182" i="17"/>
  <c r="AB182" i="17" s="1"/>
  <c r="V181" i="17"/>
  <c r="AB181" i="17" s="1"/>
  <c r="V180" i="17"/>
  <c r="AB180" i="17" s="1"/>
  <c r="V179" i="17"/>
  <c r="AB179" i="17" s="1"/>
  <c r="V178" i="17"/>
  <c r="AB178" i="17" s="1"/>
  <c r="V177" i="17"/>
  <c r="AB177" i="17" s="1"/>
  <c r="V176" i="17"/>
  <c r="AB176" i="17" s="1"/>
  <c r="V175" i="17"/>
  <c r="AB175" i="17" s="1"/>
  <c r="X174" i="17"/>
  <c r="W174" i="17"/>
  <c r="V174" i="17"/>
  <c r="AB174" i="17" s="1"/>
  <c r="X173" i="17"/>
  <c r="W173" i="17"/>
  <c r="V173" i="17"/>
  <c r="AB173" i="17" s="1"/>
  <c r="X172" i="17"/>
  <c r="W172" i="17"/>
  <c r="V172" i="17"/>
  <c r="AB172" i="17" s="1"/>
  <c r="X171" i="17"/>
  <c r="W171" i="17"/>
  <c r="V171" i="17"/>
  <c r="AB171" i="17" s="1"/>
  <c r="X170" i="17"/>
  <c r="W170" i="17"/>
  <c r="V170" i="17"/>
  <c r="AB170" i="17" s="1"/>
  <c r="X169" i="17"/>
  <c r="W169" i="17"/>
  <c r="V169" i="17"/>
  <c r="AB169" i="17" s="1"/>
  <c r="X168" i="17"/>
  <c r="W168" i="17"/>
  <c r="V168" i="17"/>
  <c r="AB168" i="17" s="1"/>
  <c r="X167" i="17"/>
  <c r="W167" i="17"/>
  <c r="V167" i="17"/>
  <c r="AB167" i="17" s="1"/>
  <c r="X166" i="17"/>
  <c r="W166" i="17"/>
  <c r="V166" i="17"/>
  <c r="AB166" i="17" s="1"/>
  <c r="X165" i="17"/>
  <c r="W165" i="17"/>
  <c r="V165" i="17"/>
  <c r="AB165" i="17" s="1"/>
  <c r="X164" i="17"/>
  <c r="W164" i="17"/>
  <c r="V164" i="17"/>
  <c r="AB164" i="17" s="1"/>
  <c r="X163" i="17"/>
  <c r="W163" i="17"/>
  <c r="V163" i="17"/>
  <c r="AB163" i="17" s="1"/>
  <c r="X162" i="17"/>
  <c r="W162" i="17"/>
  <c r="V162" i="17"/>
  <c r="AB162" i="17" s="1"/>
  <c r="X161" i="17"/>
  <c r="W161" i="17"/>
  <c r="V161" i="17"/>
  <c r="AB161" i="17" s="1"/>
  <c r="X160" i="17"/>
  <c r="W160" i="17"/>
  <c r="V160" i="17"/>
  <c r="AB160" i="17" s="1"/>
  <c r="X159" i="17"/>
  <c r="W159" i="17"/>
  <c r="V159" i="17"/>
  <c r="AB159" i="17" s="1"/>
  <c r="X158" i="17"/>
  <c r="W158" i="17"/>
  <c r="V158" i="17"/>
  <c r="AB158" i="17" s="1"/>
  <c r="X157" i="17"/>
  <c r="W157" i="17"/>
  <c r="V157" i="17"/>
  <c r="AB157" i="17" s="1"/>
  <c r="X156" i="17"/>
  <c r="W156" i="17"/>
  <c r="V156" i="17"/>
  <c r="AB156" i="17" s="1"/>
  <c r="X155" i="17"/>
  <c r="W155" i="17"/>
  <c r="V155" i="17"/>
  <c r="AB155" i="17" s="1"/>
  <c r="X154" i="17"/>
  <c r="W154" i="17"/>
  <c r="V154" i="17"/>
  <c r="AB154" i="17" s="1"/>
  <c r="X153" i="17"/>
  <c r="W153" i="17"/>
  <c r="V153" i="17"/>
  <c r="AB153" i="17" s="1"/>
  <c r="X152" i="17"/>
  <c r="W152" i="17"/>
  <c r="V152" i="17"/>
  <c r="AB152" i="17" s="1"/>
  <c r="X151" i="17"/>
  <c r="W151" i="17"/>
  <c r="V151" i="17"/>
  <c r="AB151" i="17" s="1"/>
  <c r="X150" i="17"/>
  <c r="W150" i="17"/>
  <c r="V150" i="17"/>
  <c r="AB150" i="17" s="1"/>
  <c r="X149" i="17"/>
  <c r="W149" i="17"/>
  <c r="V149" i="17"/>
  <c r="AB149" i="17" s="1"/>
  <c r="X148" i="17"/>
  <c r="W148" i="17"/>
  <c r="V148" i="17"/>
  <c r="AB148" i="17" s="1"/>
  <c r="X147" i="17"/>
  <c r="W147" i="17"/>
  <c r="V147" i="17"/>
  <c r="AB147" i="17" s="1"/>
  <c r="X146" i="17"/>
  <c r="W146" i="17"/>
  <c r="V146" i="17"/>
  <c r="AB146" i="17" s="1"/>
  <c r="X145" i="17"/>
  <c r="W145" i="17"/>
  <c r="V145" i="17"/>
  <c r="AB145" i="17" s="1"/>
  <c r="X144" i="17"/>
  <c r="W144" i="17"/>
  <c r="V144" i="17"/>
  <c r="AB144" i="17" s="1"/>
  <c r="X143" i="17"/>
  <c r="W143" i="17"/>
  <c r="V143" i="17"/>
  <c r="AB143" i="17" s="1"/>
  <c r="X142" i="17"/>
  <c r="W142" i="17"/>
  <c r="V142" i="17"/>
  <c r="AB142" i="17" s="1"/>
  <c r="X141" i="17"/>
  <c r="W141" i="17"/>
  <c r="V141" i="17"/>
  <c r="AB141" i="17" s="1"/>
  <c r="X140" i="17"/>
  <c r="W140" i="17"/>
  <c r="V140" i="17"/>
  <c r="AB140" i="17" s="1"/>
  <c r="X139" i="17"/>
  <c r="W139" i="17"/>
  <c r="V139" i="17"/>
  <c r="AB139" i="17" s="1"/>
  <c r="X138" i="17"/>
  <c r="W138" i="17"/>
  <c r="V138" i="17"/>
  <c r="AB138" i="17" s="1"/>
  <c r="X137" i="17"/>
  <c r="W137" i="17"/>
  <c r="V137" i="17"/>
  <c r="AB137" i="17" s="1"/>
  <c r="X136" i="17"/>
  <c r="W136" i="17"/>
  <c r="V136" i="17"/>
  <c r="AB136" i="17" s="1"/>
  <c r="X135" i="17"/>
  <c r="W135" i="17"/>
  <c r="V135" i="17"/>
  <c r="AB135" i="17" s="1"/>
  <c r="X134" i="17"/>
  <c r="W134" i="17"/>
  <c r="V134" i="17"/>
  <c r="AB134" i="17" s="1"/>
  <c r="X133" i="17"/>
  <c r="W133" i="17"/>
  <c r="V133" i="17"/>
  <c r="AB133" i="17" s="1"/>
  <c r="X132" i="17"/>
  <c r="W132" i="17"/>
  <c r="V132" i="17"/>
  <c r="AB132" i="17" s="1"/>
  <c r="X131" i="17"/>
  <c r="W131" i="17"/>
  <c r="V131" i="17"/>
  <c r="AB131" i="17" s="1"/>
  <c r="X130" i="17"/>
  <c r="W130" i="17"/>
  <c r="V130" i="17"/>
  <c r="AB130" i="17" s="1"/>
  <c r="X129" i="17"/>
  <c r="W129" i="17"/>
  <c r="V129" i="17"/>
  <c r="AB129" i="17" s="1"/>
  <c r="X128" i="17"/>
  <c r="W128" i="17"/>
  <c r="V128" i="17"/>
  <c r="AB128" i="17" s="1"/>
  <c r="X127" i="17"/>
  <c r="W127" i="17"/>
  <c r="V127" i="17"/>
  <c r="AB127" i="17" s="1"/>
  <c r="X126" i="17"/>
  <c r="W126" i="17"/>
  <c r="V126" i="17"/>
  <c r="AB126" i="17" s="1"/>
  <c r="X125" i="17"/>
  <c r="W125" i="17"/>
  <c r="V125" i="17"/>
  <c r="AB125" i="17" s="1"/>
  <c r="X124" i="17"/>
  <c r="W124" i="17"/>
  <c r="V124" i="17"/>
  <c r="AB124" i="17" s="1"/>
  <c r="X123" i="17"/>
  <c r="W123" i="17"/>
  <c r="V123" i="17"/>
  <c r="AB123" i="17" s="1"/>
  <c r="X122" i="17"/>
  <c r="W122" i="17"/>
  <c r="V122" i="17"/>
  <c r="AB122" i="17" s="1"/>
  <c r="X121" i="17"/>
  <c r="W121" i="17"/>
  <c r="V121" i="17"/>
  <c r="AB121" i="17" s="1"/>
  <c r="X120" i="17"/>
  <c r="W120" i="17"/>
  <c r="V120" i="17"/>
  <c r="AB120" i="17" s="1"/>
  <c r="X119" i="17"/>
  <c r="W119" i="17"/>
  <c r="V119" i="17"/>
  <c r="AB119" i="17" s="1"/>
  <c r="X118" i="17"/>
  <c r="W118" i="17"/>
  <c r="V118" i="17"/>
  <c r="AB118" i="17" s="1"/>
  <c r="X117" i="17"/>
  <c r="W117" i="17"/>
  <c r="V117" i="17"/>
  <c r="AB117" i="17" s="1"/>
  <c r="X116" i="17"/>
  <c r="W116" i="17"/>
  <c r="V116" i="17"/>
  <c r="AB116" i="17" s="1"/>
  <c r="X115" i="17"/>
  <c r="W115" i="17"/>
  <c r="V115" i="17"/>
  <c r="AB115" i="17" s="1"/>
  <c r="X114" i="17"/>
  <c r="W114" i="17"/>
  <c r="V114" i="17"/>
  <c r="AB114" i="17" s="1"/>
  <c r="X113" i="17"/>
  <c r="W113" i="17"/>
  <c r="V113" i="17"/>
  <c r="AB113" i="17" s="1"/>
  <c r="X112" i="17"/>
  <c r="W112" i="17"/>
  <c r="V112" i="17"/>
  <c r="AB112" i="17" s="1"/>
  <c r="X111" i="17"/>
  <c r="W111" i="17"/>
  <c r="V111" i="17"/>
  <c r="AB111" i="17" s="1"/>
  <c r="X110" i="17"/>
  <c r="W110" i="17"/>
  <c r="V110" i="17"/>
  <c r="AB110" i="17" s="1"/>
  <c r="X109" i="17"/>
  <c r="W109" i="17"/>
  <c r="V109" i="17"/>
  <c r="AB109" i="17" s="1"/>
  <c r="X108" i="17"/>
  <c r="W108" i="17"/>
  <c r="V108" i="17"/>
  <c r="AB108" i="17" s="1"/>
  <c r="X107" i="17"/>
  <c r="W107" i="17"/>
  <c r="V107" i="17"/>
  <c r="AB107" i="17" s="1"/>
  <c r="X106" i="17"/>
  <c r="W106" i="17"/>
  <c r="V106" i="17"/>
  <c r="AB106" i="17" s="1"/>
  <c r="X105" i="17"/>
  <c r="W105" i="17"/>
  <c r="V105" i="17"/>
  <c r="AB105" i="17" s="1"/>
  <c r="X104" i="17"/>
  <c r="W104" i="17"/>
  <c r="V104" i="17"/>
  <c r="AB104" i="17" s="1"/>
  <c r="X103" i="17"/>
  <c r="W103" i="17"/>
  <c r="V103" i="17"/>
  <c r="AB103" i="17" s="1"/>
  <c r="X102" i="17"/>
  <c r="W102" i="17"/>
  <c r="V102" i="17"/>
  <c r="AB102" i="17" s="1"/>
  <c r="X101" i="17"/>
  <c r="W101" i="17"/>
  <c r="V101" i="17"/>
  <c r="AB101" i="17" s="1"/>
  <c r="X100" i="17"/>
  <c r="W100" i="17"/>
  <c r="V100" i="17"/>
  <c r="AB100" i="17" s="1"/>
  <c r="X99" i="17"/>
  <c r="W99" i="17"/>
  <c r="V99" i="17"/>
  <c r="AB99" i="17" s="1"/>
  <c r="X98" i="17"/>
  <c r="W98" i="17"/>
  <c r="V98" i="17"/>
  <c r="AB98" i="17" s="1"/>
  <c r="X97" i="17"/>
  <c r="W97" i="17"/>
  <c r="V97" i="17"/>
  <c r="AB97" i="17" s="1"/>
  <c r="X96" i="17"/>
  <c r="W96" i="17"/>
  <c r="V96" i="17"/>
  <c r="AB96" i="17" s="1"/>
  <c r="X95" i="17"/>
  <c r="W95" i="17"/>
  <c r="V95" i="17"/>
  <c r="AB95" i="17" s="1"/>
  <c r="X94" i="17"/>
  <c r="W94" i="17"/>
  <c r="V94" i="17"/>
  <c r="AB94" i="17" s="1"/>
  <c r="X93" i="17"/>
  <c r="W93" i="17"/>
  <c r="V93" i="17"/>
  <c r="AB93" i="17" s="1"/>
  <c r="X92" i="17"/>
  <c r="W92" i="17"/>
  <c r="V92" i="17"/>
  <c r="AB92" i="17" s="1"/>
  <c r="X91" i="17"/>
  <c r="W91" i="17"/>
  <c r="V91" i="17"/>
  <c r="AB91" i="17" s="1"/>
  <c r="X90" i="17"/>
  <c r="W90" i="17"/>
  <c r="V90" i="17"/>
  <c r="AB90" i="17" s="1"/>
  <c r="X89" i="17"/>
  <c r="W89" i="17"/>
  <c r="V89" i="17"/>
  <c r="AB89" i="17" s="1"/>
  <c r="X88" i="17"/>
  <c r="W88" i="17"/>
  <c r="V88" i="17"/>
  <c r="AB88" i="17" s="1"/>
  <c r="X87" i="17"/>
  <c r="W87" i="17"/>
  <c r="V87" i="17"/>
  <c r="AB87" i="17" s="1"/>
  <c r="X86" i="17"/>
  <c r="W86" i="17"/>
  <c r="V86" i="17"/>
  <c r="AB86" i="17" s="1"/>
  <c r="X85" i="17"/>
  <c r="W85" i="17"/>
  <c r="V85" i="17"/>
  <c r="AB85" i="17" s="1"/>
  <c r="X84" i="17"/>
  <c r="W84" i="17"/>
  <c r="V84" i="17"/>
  <c r="AB84" i="17" s="1"/>
  <c r="X83" i="17"/>
  <c r="W83" i="17"/>
  <c r="V83" i="17"/>
  <c r="AB83" i="17" s="1"/>
  <c r="X82" i="17"/>
  <c r="W82" i="17"/>
  <c r="V82" i="17"/>
  <c r="AB82" i="17" s="1"/>
  <c r="X81" i="17"/>
  <c r="W81" i="17"/>
  <c r="V81" i="17"/>
  <c r="AB81" i="17" s="1"/>
  <c r="X80" i="17"/>
  <c r="W80" i="17"/>
  <c r="V80" i="17"/>
  <c r="AB80" i="17" s="1"/>
  <c r="X79" i="17"/>
  <c r="W79" i="17"/>
  <c r="V79" i="17"/>
  <c r="AB79" i="17" s="1"/>
  <c r="X78" i="17"/>
  <c r="W78" i="17"/>
  <c r="V78" i="17"/>
  <c r="AB78" i="17" s="1"/>
  <c r="X77" i="17"/>
  <c r="W77" i="17"/>
  <c r="V77" i="17"/>
  <c r="AB77" i="17" s="1"/>
  <c r="X76" i="17"/>
  <c r="W76" i="17"/>
  <c r="V76" i="17"/>
  <c r="AB76" i="17" s="1"/>
  <c r="X75" i="17"/>
  <c r="W75" i="17"/>
  <c r="V75" i="17"/>
  <c r="AB75" i="17" s="1"/>
  <c r="X74" i="17"/>
  <c r="W74" i="17"/>
  <c r="V74" i="17"/>
  <c r="AB74" i="17" s="1"/>
  <c r="V73" i="17"/>
  <c r="AB73" i="17" s="1"/>
  <c r="V72" i="17"/>
  <c r="AB72" i="17" s="1"/>
  <c r="V71" i="17"/>
  <c r="AB71" i="17" s="1"/>
  <c r="V70" i="17"/>
  <c r="AB70" i="17" s="1"/>
  <c r="V69" i="17"/>
  <c r="AB69" i="17" s="1"/>
  <c r="V68" i="17"/>
  <c r="AB68" i="17" s="1"/>
  <c r="V67" i="17"/>
  <c r="AB67" i="17" s="1"/>
  <c r="V66" i="17"/>
  <c r="AB66" i="17" s="1"/>
  <c r="V65" i="17"/>
  <c r="AB65" i="17" s="1"/>
  <c r="V64" i="17"/>
  <c r="AB64" i="17" s="1"/>
  <c r="V63" i="17"/>
  <c r="AB63" i="17" s="1"/>
  <c r="V62" i="17"/>
  <c r="AB62" i="17" s="1"/>
  <c r="X61" i="17"/>
  <c r="W61" i="17"/>
  <c r="X60" i="17"/>
  <c r="W60" i="17"/>
  <c r="X59" i="17"/>
  <c r="W59" i="17"/>
  <c r="X58" i="17"/>
  <c r="W58" i="17"/>
  <c r="X57" i="17"/>
  <c r="W57" i="17"/>
  <c r="X56" i="17"/>
  <c r="W56" i="17"/>
  <c r="X55" i="17"/>
  <c r="W55" i="17"/>
  <c r="X54" i="17"/>
  <c r="W54" i="17"/>
  <c r="X53" i="17"/>
  <c r="W53" i="17"/>
  <c r="X52" i="17"/>
  <c r="W52" i="17"/>
  <c r="X51" i="17"/>
  <c r="W51" i="17"/>
  <c r="X50" i="17"/>
  <c r="W50" i="17"/>
  <c r="V49" i="17"/>
  <c r="AB49" i="17" s="1"/>
  <c r="V48" i="17"/>
  <c r="AB48" i="17" s="1"/>
  <c r="V47" i="17"/>
  <c r="AB47" i="17" s="1"/>
  <c r="V46" i="17"/>
  <c r="AB46" i="17" s="1"/>
  <c r="V45" i="17"/>
  <c r="AB45" i="17" s="1"/>
  <c r="V44" i="17"/>
  <c r="AB44" i="17" s="1"/>
  <c r="V43" i="17"/>
  <c r="AB43" i="17" s="1"/>
  <c r="V42" i="17"/>
  <c r="AB42" i="17" s="1"/>
  <c r="V41" i="17"/>
  <c r="AB41" i="17" s="1"/>
  <c r="V40" i="17"/>
  <c r="AB40" i="17" s="1"/>
  <c r="V39" i="17"/>
  <c r="AB39" i="17" s="1"/>
  <c r="V38" i="17"/>
  <c r="AB38" i="17" s="1"/>
  <c r="X37" i="17"/>
  <c r="W37" i="17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X31" i="17"/>
  <c r="W31" i="17"/>
  <c r="V31" i="17"/>
  <c r="AB31" i="17" s="1"/>
  <c r="X30" i="17"/>
  <c r="W30" i="17"/>
  <c r="V30" i="17"/>
  <c r="AB30" i="17" s="1"/>
  <c r="X29" i="17"/>
  <c r="W29" i="17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X25" i="17"/>
  <c r="W25" i="17"/>
  <c r="V25" i="17"/>
  <c r="AB25" i="17" s="1"/>
  <c r="X24" i="17"/>
  <c r="W24" i="17"/>
  <c r="V24" i="17"/>
  <c r="AB24" i="17" s="1"/>
  <c r="X23" i="17"/>
  <c r="W23" i="17"/>
  <c r="V23" i="17"/>
  <c r="AB23" i="17" s="1"/>
  <c r="X22" i="17"/>
  <c r="W22" i="17"/>
  <c r="V22" i="17"/>
  <c r="AB22" i="17" s="1"/>
  <c r="X21" i="17"/>
  <c r="W21" i="17"/>
  <c r="V21" i="17"/>
  <c r="AB21" i="17" s="1"/>
  <c r="X20" i="17"/>
  <c r="W20" i="17"/>
  <c r="V20" i="17"/>
  <c r="AB20" i="17" s="1"/>
  <c r="X19" i="17"/>
  <c r="W19" i="17"/>
  <c r="V19" i="17"/>
  <c r="AB19" i="17" s="1"/>
  <c r="X18" i="17"/>
  <c r="W18" i="17"/>
  <c r="V18" i="17"/>
  <c r="AB18" i="17" s="1"/>
  <c r="X17" i="17"/>
  <c r="W17" i="17"/>
  <c r="V17" i="17"/>
  <c r="AB17" i="17" s="1"/>
  <c r="X16" i="17"/>
  <c r="W16" i="17"/>
  <c r="V16" i="17"/>
  <c r="AB16" i="17" s="1"/>
  <c r="X15" i="17"/>
  <c r="W15" i="17"/>
  <c r="V15" i="17"/>
  <c r="AB15" i="17" s="1"/>
  <c r="X14" i="17"/>
  <c r="W14" i="17"/>
  <c r="V14" i="17"/>
  <c r="AB14" i="17" s="1"/>
  <c r="X13" i="17"/>
  <c r="W13" i="17"/>
  <c r="V13" i="17"/>
  <c r="AB13" i="17" s="1"/>
  <c r="X12" i="17"/>
  <c r="W12" i="17"/>
  <c r="V12" i="17"/>
  <c r="AB12" i="17" s="1"/>
  <c r="X11" i="17"/>
  <c r="W11" i="17"/>
  <c r="V11" i="17"/>
  <c r="AB11" i="17" s="1"/>
  <c r="X10" i="17"/>
  <c r="W10" i="17"/>
  <c r="V10" i="17"/>
  <c r="AB10" i="17" s="1"/>
  <c r="X9" i="17"/>
  <c r="W9" i="17"/>
  <c r="V9" i="17"/>
  <c r="AB9" i="17" s="1"/>
  <c r="X8" i="17"/>
  <c r="W8" i="17"/>
  <c r="V8" i="17"/>
  <c r="AB8" i="17" s="1"/>
  <c r="X7" i="17"/>
  <c r="W7" i="17"/>
  <c r="V7" i="17"/>
  <c r="AB7" i="17" s="1"/>
  <c r="X6" i="17"/>
  <c r="W6" i="17"/>
  <c r="V6" i="17"/>
  <c r="AB6" i="17" s="1"/>
  <c r="X5" i="17"/>
  <c r="W5" i="17"/>
  <c r="V5" i="17"/>
  <c r="AB5" i="17" s="1"/>
  <c r="X4" i="17"/>
  <c r="W4" i="17"/>
  <c r="V4" i="17"/>
  <c r="AB4" i="17" s="1"/>
  <c r="X3" i="17"/>
  <c r="W3" i="17"/>
  <c r="V3" i="17"/>
  <c r="AB3" i="17" s="1"/>
  <c r="X2" i="17"/>
  <c r="W2" i="17"/>
  <c r="V2" i="17"/>
  <c r="AB2" i="17" s="1"/>
  <c r="AE475" i="16"/>
  <c r="AE474" i="16"/>
  <c r="AE473" i="16"/>
  <c r="AE472" i="16"/>
  <c r="AE471" i="16"/>
  <c r="AE470" i="16"/>
  <c r="AE469" i="16"/>
  <c r="AE468" i="16"/>
  <c r="AE467" i="16"/>
  <c r="AE466" i="16"/>
  <c r="AE465" i="16"/>
  <c r="AE464" i="16"/>
  <c r="AA12" i="21" s="1"/>
  <c r="AE463" i="16"/>
  <c r="AE462" i="16"/>
  <c r="AD462" i="16"/>
  <c r="AE461" i="16"/>
  <c r="AE460" i="16"/>
  <c r="AD460" i="16"/>
  <c r="AE459" i="16"/>
  <c r="AE458" i="16"/>
  <c r="AD458" i="16"/>
  <c r="AE457" i="16"/>
  <c r="AE456" i="16"/>
  <c r="AD456" i="16"/>
  <c r="AE455" i="16"/>
  <c r="AE454" i="16"/>
  <c r="AD454" i="16"/>
  <c r="AE453" i="16"/>
  <c r="AE452" i="16"/>
  <c r="AD452" i="16"/>
  <c r="AE451" i="16"/>
  <c r="AE450" i="16"/>
  <c r="AE449" i="16"/>
  <c r="AE448" i="16"/>
  <c r="AE447" i="16"/>
  <c r="AE446" i="16"/>
  <c r="AE445" i="16"/>
  <c r="AE444" i="16"/>
  <c r="AE443" i="16"/>
  <c r="AE442" i="16"/>
  <c r="AE441" i="16"/>
  <c r="AE440" i="16"/>
  <c r="AE439" i="16"/>
  <c r="AE438" i="16"/>
  <c r="AE437" i="16"/>
  <c r="AE436" i="16"/>
  <c r="AE435" i="16"/>
  <c r="AE434" i="16"/>
  <c r="AE433" i="16"/>
  <c r="AE432" i="16"/>
  <c r="AE431" i="16"/>
  <c r="AE430" i="16"/>
  <c r="AE429" i="16"/>
  <c r="AE428" i="16"/>
  <c r="AE427" i="16"/>
  <c r="AE426" i="16"/>
  <c r="AE425" i="16"/>
  <c r="AE424" i="16"/>
  <c r="AE423" i="16"/>
  <c r="AE422" i="16"/>
  <c r="AE421" i="16"/>
  <c r="AE420" i="16"/>
  <c r="AE419" i="16"/>
  <c r="AE418" i="16"/>
  <c r="AE417" i="16"/>
  <c r="AE416" i="16"/>
  <c r="AE415" i="16"/>
  <c r="AE414" i="16"/>
  <c r="AE413" i="16"/>
  <c r="AE412" i="16"/>
  <c r="AE411" i="16"/>
  <c r="AE410" i="16"/>
  <c r="AE409" i="16"/>
  <c r="AE408" i="16"/>
  <c r="AE407" i="16"/>
  <c r="AE406" i="16"/>
  <c r="AE405" i="16"/>
  <c r="AE404" i="16"/>
  <c r="AE403" i="16"/>
  <c r="AE402" i="16"/>
  <c r="AE401" i="16"/>
  <c r="AE400" i="16"/>
  <c r="AE399" i="16"/>
  <c r="AE398" i="16"/>
  <c r="AE397" i="16"/>
  <c r="AE396" i="16"/>
  <c r="AE395" i="16"/>
  <c r="AE394" i="16"/>
  <c r="AE393" i="16"/>
  <c r="AE392" i="16"/>
  <c r="AE391" i="16"/>
  <c r="AE390" i="16"/>
  <c r="AE389" i="16"/>
  <c r="AE388" i="16"/>
  <c r="AE387" i="16"/>
  <c r="AE386" i="16"/>
  <c r="AE385" i="16"/>
  <c r="AE384" i="16"/>
  <c r="AE383" i="16"/>
  <c r="AE382" i="16"/>
  <c r="AE381" i="16"/>
  <c r="AE380" i="16"/>
  <c r="AE379" i="16"/>
  <c r="AE378" i="16"/>
  <c r="AE377" i="16"/>
  <c r="AE376" i="16"/>
  <c r="AE375" i="16"/>
  <c r="AE374" i="16"/>
  <c r="AE373" i="16"/>
  <c r="AE372" i="16"/>
  <c r="AE371" i="16"/>
  <c r="AE370" i="16"/>
  <c r="AE369" i="16"/>
  <c r="AE368" i="16"/>
  <c r="AE367" i="16"/>
  <c r="AE366" i="16"/>
  <c r="AE365" i="16"/>
  <c r="AE364" i="16"/>
  <c r="AE363" i="16"/>
  <c r="AE362" i="16"/>
  <c r="AE361" i="16"/>
  <c r="AE360" i="16"/>
  <c r="AE359" i="16"/>
  <c r="AE358" i="16"/>
  <c r="AE357" i="16"/>
  <c r="AE356" i="16"/>
  <c r="AE355" i="16"/>
  <c r="AE354" i="16"/>
  <c r="AE353" i="16"/>
  <c r="AE352" i="16"/>
  <c r="AE351" i="16"/>
  <c r="AE350" i="16"/>
  <c r="AE349" i="16"/>
  <c r="AE348" i="16"/>
  <c r="AE347" i="16"/>
  <c r="AE346" i="16"/>
  <c r="AE345" i="16"/>
  <c r="AE344" i="16"/>
  <c r="AE343" i="16"/>
  <c r="AE342" i="16"/>
  <c r="AE341" i="16"/>
  <c r="AE340" i="16"/>
  <c r="AE339" i="16"/>
  <c r="AE338" i="16"/>
  <c r="AE337" i="16"/>
  <c r="AE336" i="16"/>
  <c r="AE335" i="16"/>
  <c r="AE334" i="16"/>
  <c r="AE333" i="16"/>
  <c r="AE332" i="16"/>
  <c r="AE331" i="16"/>
  <c r="AE330" i="16"/>
  <c r="AE329" i="16"/>
  <c r="AE328" i="16"/>
  <c r="AE327" i="16"/>
  <c r="AE326" i="16"/>
  <c r="AE325" i="16"/>
  <c r="AE324" i="16"/>
  <c r="AE323" i="16"/>
  <c r="AE322" i="16"/>
  <c r="AE321" i="16"/>
  <c r="AE320" i="16"/>
  <c r="AE319" i="16"/>
  <c r="AE318" i="16"/>
  <c r="AE317" i="16"/>
  <c r="AE316" i="16"/>
  <c r="AE315" i="16"/>
  <c r="AE314" i="16"/>
  <c r="AE313" i="16"/>
  <c r="AE312" i="16"/>
  <c r="AE311" i="16"/>
  <c r="AE310" i="16"/>
  <c r="AE309" i="16"/>
  <c r="AE308" i="16"/>
  <c r="AE307" i="16"/>
  <c r="AE306" i="16"/>
  <c r="AE305" i="16"/>
  <c r="AE304" i="16"/>
  <c r="AE303" i="16"/>
  <c r="AE302" i="16"/>
  <c r="AE301" i="16"/>
  <c r="AE300" i="16"/>
  <c r="AE299" i="16"/>
  <c r="AE298" i="16"/>
  <c r="AE297" i="16"/>
  <c r="AE296" i="16"/>
  <c r="AE295" i="16"/>
  <c r="AE294" i="16"/>
  <c r="AA10" i="21" s="1"/>
  <c r="AE293" i="16"/>
  <c r="AE292" i="16"/>
  <c r="AE291" i="16"/>
  <c r="AE290" i="16"/>
  <c r="AE289" i="16"/>
  <c r="AE288" i="16"/>
  <c r="AE287" i="16"/>
  <c r="AE286" i="16"/>
  <c r="AE285" i="16"/>
  <c r="AE284" i="16"/>
  <c r="AE283" i="16"/>
  <c r="AE282" i="16"/>
  <c r="AE281" i="16"/>
  <c r="AE280" i="16"/>
  <c r="AE279" i="16"/>
  <c r="AE278" i="16"/>
  <c r="AE277" i="16"/>
  <c r="AE276" i="16"/>
  <c r="AE275" i="16"/>
  <c r="AE274" i="16"/>
  <c r="AE273" i="16"/>
  <c r="AE272" i="16"/>
  <c r="AE271" i="16"/>
  <c r="AE270" i="16"/>
  <c r="AE269" i="16"/>
  <c r="AE268" i="16"/>
  <c r="AE267" i="16"/>
  <c r="AE266" i="16"/>
  <c r="AE265" i="16"/>
  <c r="AE264" i="16"/>
  <c r="AE263" i="16"/>
  <c r="AE262" i="16"/>
  <c r="AE261" i="16"/>
  <c r="AE260" i="16"/>
  <c r="AE259" i="16"/>
  <c r="AE258" i="16"/>
  <c r="AE257" i="16"/>
  <c r="AE256" i="16"/>
  <c r="AE255" i="16"/>
  <c r="AE254" i="16"/>
  <c r="AE253" i="16"/>
  <c r="AE252" i="16"/>
  <c r="AE251" i="16"/>
  <c r="AE250" i="16"/>
  <c r="AE249" i="16"/>
  <c r="AE248" i="16"/>
  <c r="AE247" i="16"/>
  <c r="AE246" i="16"/>
  <c r="AE245" i="16"/>
  <c r="AE244" i="16"/>
  <c r="AE243" i="16"/>
  <c r="AE242" i="16"/>
  <c r="AE241" i="16"/>
  <c r="AE240" i="16"/>
  <c r="AE239" i="16"/>
  <c r="AE238" i="16"/>
  <c r="AE237" i="16"/>
  <c r="AE236" i="16"/>
  <c r="AE235" i="16"/>
  <c r="AE234" i="16"/>
  <c r="AE233" i="16"/>
  <c r="AE232" i="16"/>
  <c r="AE231" i="16"/>
  <c r="AE230" i="16"/>
  <c r="AE229" i="16"/>
  <c r="AE228" i="16"/>
  <c r="AE227" i="16"/>
  <c r="AE226" i="16"/>
  <c r="AE225" i="16"/>
  <c r="AE224" i="16"/>
  <c r="AE223" i="16"/>
  <c r="AE222" i="16"/>
  <c r="AE221" i="16"/>
  <c r="AE220" i="16"/>
  <c r="AE219" i="16"/>
  <c r="AE218" i="16"/>
  <c r="AE217" i="16"/>
  <c r="AE216" i="16"/>
  <c r="AE215" i="16"/>
  <c r="AE214" i="16"/>
  <c r="AE213" i="16"/>
  <c r="AE212" i="16"/>
  <c r="AE211" i="16"/>
  <c r="AE210" i="16"/>
  <c r="AE209" i="16"/>
  <c r="AE208" i="16"/>
  <c r="AE207" i="16"/>
  <c r="AE206" i="16"/>
  <c r="AE205" i="16"/>
  <c r="AE204" i="16"/>
  <c r="AE203" i="16"/>
  <c r="AE202" i="16"/>
  <c r="AE201" i="16"/>
  <c r="AE200" i="16"/>
  <c r="AE199" i="16"/>
  <c r="AE198" i="16"/>
  <c r="AE197" i="16"/>
  <c r="AE196" i="16"/>
  <c r="AE195" i="16"/>
  <c r="AE194" i="16"/>
  <c r="AE193" i="16"/>
  <c r="AE192" i="16"/>
  <c r="AE191" i="16"/>
  <c r="AE190" i="16"/>
  <c r="AE189" i="16"/>
  <c r="AE188" i="16"/>
  <c r="AE187" i="16"/>
  <c r="AE186" i="16"/>
  <c r="AE185" i="16"/>
  <c r="AE184" i="16"/>
  <c r="AE183" i="16"/>
  <c r="AE182" i="16"/>
  <c r="AA9" i="21" s="1"/>
  <c r="AE181" i="16"/>
  <c r="AD181" i="16"/>
  <c r="AE180" i="16"/>
  <c r="AE179" i="16"/>
  <c r="AD179" i="16"/>
  <c r="AE178" i="16"/>
  <c r="AC178" i="16"/>
  <c r="AE177" i="16"/>
  <c r="AD177" i="16"/>
  <c r="AE176" i="16"/>
  <c r="AE175" i="16"/>
  <c r="AC175" i="16"/>
  <c r="AE174" i="16"/>
  <c r="AD174" i="16"/>
  <c r="AE173" i="16"/>
  <c r="AE172" i="16"/>
  <c r="AD172" i="16"/>
  <c r="AE171" i="16"/>
  <c r="AE170" i="16"/>
  <c r="AD170" i="16"/>
  <c r="AG169" i="16"/>
  <c r="AF169" i="16"/>
  <c r="AG168" i="16"/>
  <c r="AF168" i="16"/>
  <c r="AG167" i="16"/>
  <c r="AF167" i="16"/>
  <c r="AG166" i="16"/>
  <c r="AF166" i="16"/>
  <c r="AG165" i="16"/>
  <c r="AF165" i="16"/>
  <c r="AG164" i="16"/>
  <c r="AF164" i="16"/>
  <c r="AG163" i="16"/>
  <c r="AF163" i="16"/>
  <c r="AB163" i="16"/>
  <c r="AG162" i="16"/>
  <c r="AF162" i="16"/>
  <c r="AG161" i="16"/>
  <c r="AF161" i="16"/>
  <c r="AG160" i="16"/>
  <c r="AF160" i="16"/>
  <c r="AG159" i="16"/>
  <c r="AF159" i="16"/>
  <c r="AG158" i="16"/>
  <c r="AF158" i="16"/>
  <c r="AE157" i="16"/>
  <c r="AE156" i="16"/>
  <c r="AD156" i="16"/>
  <c r="AE155" i="16"/>
  <c r="AE154" i="16"/>
  <c r="AD154" i="16"/>
  <c r="AE153" i="16"/>
  <c r="AE152" i="16"/>
  <c r="AD152" i="16"/>
  <c r="AE151" i="16"/>
  <c r="AE150" i="16"/>
  <c r="AD150" i="16"/>
  <c r="AE149" i="16"/>
  <c r="AE148" i="16"/>
  <c r="AD148" i="16"/>
  <c r="AE147" i="16"/>
  <c r="AE146" i="16"/>
  <c r="AD146" i="16"/>
  <c r="AC146" i="16"/>
  <c r="AE145" i="16"/>
  <c r="AE144" i="16"/>
  <c r="AE143" i="16"/>
  <c r="AE142" i="16"/>
  <c r="AE141" i="16"/>
  <c r="AE140" i="16"/>
  <c r="AE139" i="16"/>
  <c r="AE138" i="16"/>
  <c r="AE137" i="16"/>
  <c r="AE136" i="16"/>
  <c r="AE135" i="16"/>
  <c r="AE134" i="16"/>
  <c r="AG133" i="16"/>
  <c r="AF133" i="16"/>
  <c r="AG132" i="16"/>
  <c r="AF132" i="16"/>
  <c r="AG131" i="16"/>
  <c r="AF131" i="16"/>
  <c r="AG130" i="16"/>
  <c r="AF130" i="16"/>
  <c r="AG129" i="16"/>
  <c r="AF129" i="16"/>
  <c r="AG128" i="16"/>
  <c r="AF128" i="16"/>
  <c r="AG127" i="16"/>
  <c r="AF127" i="16"/>
  <c r="AG126" i="16"/>
  <c r="AF126" i="16"/>
  <c r="AG125" i="16"/>
  <c r="AF125" i="16"/>
  <c r="AG124" i="16"/>
  <c r="AF124" i="16"/>
  <c r="AG123" i="16"/>
  <c r="AF123" i="16"/>
  <c r="AG122" i="16"/>
  <c r="AF122" i="16"/>
  <c r="AE121" i="16"/>
  <c r="AE120" i="16"/>
  <c r="AE119" i="16"/>
  <c r="AE118" i="16"/>
  <c r="AE117" i="16"/>
  <c r="AE116" i="16"/>
  <c r="AE115" i="16"/>
  <c r="AE114" i="16"/>
  <c r="AE113" i="16"/>
  <c r="AE112" i="16"/>
  <c r="AE111" i="16"/>
  <c r="AE110" i="16"/>
  <c r="AE109" i="16"/>
  <c r="AE108" i="16"/>
  <c r="AE107" i="16"/>
  <c r="AE106" i="16"/>
  <c r="AE105" i="16"/>
  <c r="AE104" i="16"/>
  <c r="AE103" i="16"/>
  <c r="AE102" i="16"/>
  <c r="AE101" i="16"/>
  <c r="AE100" i="16"/>
  <c r="AE99" i="16"/>
  <c r="AE98" i="16"/>
  <c r="AG97" i="16"/>
  <c r="AF97" i="16"/>
  <c r="AG96" i="16"/>
  <c r="AF96" i="16"/>
  <c r="AG95" i="16"/>
  <c r="AF95" i="16"/>
  <c r="AG94" i="16"/>
  <c r="AF94" i="16"/>
  <c r="AG93" i="16"/>
  <c r="AF93" i="16"/>
  <c r="AG92" i="16"/>
  <c r="AF92" i="16"/>
  <c r="AG91" i="16"/>
  <c r="AF91" i="16"/>
  <c r="AG90" i="16"/>
  <c r="AF90" i="16"/>
  <c r="AG89" i="16"/>
  <c r="AF89" i="16"/>
  <c r="AG88" i="16"/>
  <c r="AF88" i="16"/>
  <c r="AG87" i="16"/>
  <c r="AF87" i="16"/>
  <c r="AG86" i="16"/>
  <c r="AF86" i="16"/>
  <c r="AE85" i="16"/>
  <c r="AE84" i="16"/>
  <c r="AE83" i="16"/>
  <c r="AE82" i="16"/>
  <c r="AE81" i="16"/>
  <c r="AE80" i="16"/>
  <c r="AE79" i="16"/>
  <c r="AE78" i="16"/>
  <c r="AE77" i="16"/>
  <c r="AE76" i="16"/>
  <c r="AE75" i="16"/>
  <c r="AE74" i="16"/>
  <c r="AE73" i="16"/>
  <c r="AE72" i="16"/>
  <c r="AE71" i="16"/>
  <c r="AE70" i="16"/>
  <c r="AE69" i="16"/>
  <c r="AE68" i="16"/>
  <c r="AE67" i="16"/>
  <c r="AE66" i="16"/>
  <c r="AE65" i="16"/>
  <c r="AE64" i="16"/>
  <c r="AE63" i="16"/>
  <c r="AE62" i="16"/>
  <c r="AG61" i="16"/>
  <c r="AF61" i="16"/>
  <c r="AG60" i="16"/>
  <c r="AF60" i="16"/>
  <c r="AG59" i="16"/>
  <c r="AF59" i="16"/>
  <c r="AG58" i="16"/>
  <c r="AF58" i="16"/>
  <c r="AG57" i="16"/>
  <c r="AF57" i="16"/>
  <c r="AG56" i="16"/>
  <c r="AF56" i="16"/>
  <c r="AG55" i="16"/>
  <c r="AF55" i="16"/>
  <c r="AG54" i="16"/>
  <c r="AF54" i="16"/>
  <c r="AG53" i="16"/>
  <c r="AF53" i="16"/>
  <c r="AG52" i="16"/>
  <c r="AF52" i="16"/>
  <c r="AG51" i="16"/>
  <c r="AF51" i="16"/>
  <c r="AG50" i="16"/>
  <c r="AF50" i="16"/>
  <c r="AE49" i="16"/>
  <c r="AE48" i="16"/>
  <c r="AE47" i="16"/>
  <c r="AE46" i="16"/>
  <c r="AE45" i="16"/>
  <c r="AE44" i="16"/>
  <c r="AE43" i="16"/>
  <c r="AE42" i="16"/>
  <c r="AE41" i="16"/>
  <c r="AE40" i="16"/>
  <c r="AE39" i="16"/>
  <c r="AE38" i="16"/>
  <c r="AG37" i="16"/>
  <c r="AG36" i="16"/>
  <c r="AG35" i="16"/>
  <c r="AG34" i="16"/>
  <c r="AG33" i="16"/>
  <c r="AG32" i="16"/>
  <c r="AG31" i="16"/>
  <c r="AG30" i="16"/>
  <c r="AG29" i="16"/>
  <c r="AG28" i="16"/>
  <c r="AG27" i="16"/>
  <c r="AG26" i="16"/>
  <c r="AG25" i="16"/>
  <c r="AE25" i="16"/>
  <c r="AG24" i="16"/>
  <c r="AE24" i="16"/>
  <c r="AG23" i="16"/>
  <c r="AE23" i="16"/>
  <c r="AG22" i="16"/>
  <c r="AE22" i="16"/>
  <c r="AG21" i="16"/>
  <c r="AE21" i="16"/>
  <c r="AG20" i="16"/>
  <c r="AE20" i="16"/>
  <c r="AG19" i="16"/>
  <c r="AE19" i="16"/>
  <c r="AG18" i="16"/>
  <c r="AE18" i="16"/>
  <c r="AG17" i="16"/>
  <c r="AE17" i="16"/>
  <c r="AG16" i="16"/>
  <c r="AE16" i="16"/>
  <c r="AG15" i="16"/>
  <c r="AE15" i="16"/>
  <c r="AG14" i="16"/>
  <c r="AE14" i="16"/>
  <c r="AG13" i="16"/>
  <c r="AG12" i="16"/>
  <c r="AG11" i="16"/>
  <c r="AG10" i="16"/>
  <c r="AG9" i="16"/>
  <c r="AG8" i="16"/>
  <c r="AG7" i="16"/>
  <c r="AG6" i="16"/>
  <c r="AG5" i="16"/>
  <c r="AG4" i="16"/>
  <c r="AG3" i="16"/>
  <c r="AG2" i="16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V463" i="16"/>
  <c r="AB463" i="16" s="1"/>
  <c r="V462" i="16"/>
  <c r="AB462" i="16" s="1"/>
  <c r="V461" i="16"/>
  <c r="AB461" i="16" s="1"/>
  <c r="V460" i="16"/>
  <c r="AB460" i="16" s="1"/>
  <c r="V459" i="16"/>
  <c r="AB459" i="16" s="1"/>
  <c r="V458" i="16"/>
  <c r="AB458" i="16" s="1"/>
  <c r="V457" i="16"/>
  <c r="AB457" i="16" s="1"/>
  <c r="V456" i="16"/>
  <c r="AB456" i="16" s="1"/>
  <c r="V455" i="16"/>
  <c r="AB455" i="16" s="1"/>
  <c r="V454" i="16"/>
  <c r="AB454" i="16" s="1"/>
  <c r="V453" i="16"/>
  <c r="AB453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AD361" i="16" s="1"/>
  <c r="W361" i="16"/>
  <c r="AC361" i="16" s="1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AD356" i="16" s="1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AB226" i="16" s="1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V181" i="16"/>
  <c r="AB181" i="16" s="1"/>
  <c r="V180" i="16"/>
  <c r="AB180" i="16" s="1"/>
  <c r="V179" i="16"/>
  <c r="AB179" i="16" s="1"/>
  <c r="V178" i="16"/>
  <c r="AB178" i="16" s="1"/>
  <c r="V177" i="16"/>
  <c r="AB177" i="16" s="1"/>
  <c r="V176" i="16"/>
  <c r="AB176" i="16" s="1"/>
  <c r="V175" i="16"/>
  <c r="AB175" i="16" s="1"/>
  <c r="V174" i="16"/>
  <c r="AB174" i="16" s="1"/>
  <c r="V173" i="16"/>
  <c r="AB173" i="16" s="1"/>
  <c r="V172" i="16"/>
  <c r="AB172" i="16" s="1"/>
  <c r="V171" i="16"/>
  <c r="AB171" i="16" s="1"/>
  <c r="V170" i="16"/>
  <c r="AB170" i="16" s="1"/>
  <c r="X169" i="16"/>
  <c r="AD169" i="16" s="1"/>
  <c r="W169" i="16"/>
  <c r="AC169" i="16" s="1"/>
  <c r="X168" i="16"/>
  <c r="AD168" i="16" s="1"/>
  <c r="W168" i="16"/>
  <c r="AC168" i="16" s="1"/>
  <c r="X167" i="16"/>
  <c r="AD167" i="16" s="1"/>
  <c r="W167" i="16"/>
  <c r="AC167" i="16" s="1"/>
  <c r="X166" i="16"/>
  <c r="AD166" i="16" s="1"/>
  <c r="W166" i="16"/>
  <c r="AC166" i="16" s="1"/>
  <c r="X165" i="16"/>
  <c r="AD165" i="16" s="1"/>
  <c r="W165" i="16"/>
  <c r="AC165" i="16" s="1"/>
  <c r="X164" i="16"/>
  <c r="AD164" i="16" s="1"/>
  <c r="W164" i="16"/>
  <c r="AC164" i="16" s="1"/>
  <c r="X163" i="16"/>
  <c r="AD163" i="16" s="1"/>
  <c r="W163" i="16"/>
  <c r="AC163" i="16" s="1"/>
  <c r="X162" i="16"/>
  <c r="AD162" i="16" s="1"/>
  <c r="W162" i="16"/>
  <c r="AC162" i="16" s="1"/>
  <c r="X161" i="16"/>
  <c r="AD161" i="16" s="1"/>
  <c r="W161" i="16"/>
  <c r="AC161" i="16" s="1"/>
  <c r="X160" i="16"/>
  <c r="AD160" i="16" s="1"/>
  <c r="W160" i="16"/>
  <c r="AC160" i="16" s="1"/>
  <c r="X159" i="16"/>
  <c r="AD159" i="16" s="1"/>
  <c r="W159" i="16"/>
  <c r="AC159" i="16" s="1"/>
  <c r="X158" i="16"/>
  <c r="AD158" i="16" s="1"/>
  <c r="W158" i="16"/>
  <c r="AC158" i="16" s="1"/>
  <c r="V157" i="16"/>
  <c r="AB157" i="16" s="1"/>
  <c r="V156" i="16"/>
  <c r="AB156" i="16" s="1"/>
  <c r="V155" i="16"/>
  <c r="AB155" i="16" s="1"/>
  <c r="V154" i="16"/>
  <c r="AB154" i="16" s="1"/>
  <c r="V153" i="16"/>
  <c r="AB153" i="16" s="1"/>
  <c r="V152" i="16"/>
  <c r="AB152" i="16" s="1"/>
  <c r="V151" i="16"/>
  <c r="AB151" i="16" s="1"/>
  <c r="V150" i="16"/>
  <c r="AB150" i="16" s="1"/>
  <c r="V149" i="16"/>
  <c r="AB149" i="16" s="1"/>
  <c r="V148" i="16"/>
  <c r="AB148" i="16" s="1"/>
  <c r="V147" i="16"/>
  <c r="AB147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51" i="6"/>
  <c r="AB51" i="6"/>
  <c r="AA51" i="6"/>
  <c r="Z51" i="6"/>
  <c r="X51" i="6"/>
  <c r="W51" i="6"/>
  <c r="V51" i="6"/>
  <c r="U51" i="6"/>
  <c r="AD50" i="6"/>
  <c r="AB50" i="6"/>
  <c r="AA50" i="6"/>
  <c r="Z50" i="6"/>
  <c r="Z50" i="7" s="1"/>
  <c r="X50" i="6"/>
  <c r="W50" i="6"/>
  <c r="V50" i="6"/>
  <c r="U50" i="6"/>
  <c r="AD49" i="6"/>
  <c r="AB49" i="6"/>
  <c r="AA49" i="6"/>
  <c r="AA49" i="7" s="1"/>
  <c r="Z49" i="6"/>
  <c r="X49" i="6"/>
  <c r="W49" i="6"/>
  <c r="V49" i="6"/>
  <c r="U49" i="6"/>
  <c r="AD48" i="6"/>
  <c r="AB48" i="6"/>
  <c r="AA48" i="6"/>
  <c r="AA48" i="7" s="1"/>
  <c r="Z48" i="6"/>
  <c r="X48" i="6"/>
  <c r="W48" i="6"/>
  <c r="V48" i="6"/>
  <c r="U48" i="6"/>
  <c r="AD47" i="6"/>
  <c r="AB47" i="6"/>
  <c r="AA47" i="6"/>
  <c r="Z47" i="6"/>
  <c r="Z47" i="7" s="1"/>
  <c r="X47" i="6"/>
  <c r="W47" i="6"/>
  <c r="V47" i="6"/>
  <c r="U47" i="6"/>
  <c r="AD46" i="6"/>
  <c r="AB46" i="6"/>
  <c r="AA46" i="6"/>
  <c r="Z46" i="6"/>
  <c r="Z46" i="7" s="1"/>
  <c r="X46" i="6"/>
  <c r="W46" i="6"/>
  <c r="V46" i="6"/>
  <c r="U46" i="6"/>
  <c r="AD45" i="6"/>
  <c r="AB45" i="6"/>
  <c r="AA45" i="6"/>
  <c r="AA45" i="7" s="1"/>
  <c r="Z45" i="6"/>
  <c r="X45" i="6"/>
  <c r="W45" i="6"/>
  <c r="V45" i="6"/>
  <c r="U45" i="6"/>
  <c r="AD44" i="6"/>
  <c r="AB44" i="6"/>
  <c r="AA44" i="6"/>
  <c r="AA44" i="7" s="1"/>
  <c r="Z44" i="6"/>
  <c r="X44" i="6"/>
  <c r="W44" i="6"/>
  <c r="V44" i="6"/>
  <c r="U44" i="6"/>
  <c r="AD43" i="6"/>
  <c r="AB43" i="6"/>
  <c r="AA43" i="6"/>
  <c r="Z43" i="6"/>
  <c r="X43" i="6"/>
  <c r="W43" i="6"/>
  <c r="V43" i="6"/>
  <c r="U43" i="6"/>
  <c r="AD42" i="6"/>
  <c r="AB42" i="6"/>
  <c r="AA42" i="6"/>
  <c r="Z42" i="6"/>
  <c r="Z42" i="7" s="1"/>
  <c r="X42" i="6"/>
  <c r="W42" i="6"/>
  <c r="V42" i="6"/>
  <c r="U42" i="6"/>
  <c r="AD41" i="6"/>
  <c r="AB41" i="6"/>
  <c r="AA41" i="6"/>
  <c r="AA41" i="7" s="1"/>
  <c r="Z41" i="6"/>
  <c r="X41" i="6"/>
  <c r="W41" i="6"/>
  <c r="V41" i="6"/>
  <c r="U41" i="6"/>
  <c r="AD40" i="6"/>
  <c r="AB40" i="6"/>
  <c r="AA40" i="6"/>
  <c r="AA40" i="7" s="1"/>
  <c r="Z40" i="6"/>
  <c r="X40" i="6"/>
  <c r="W40" i="6"/>
  <c r="V40" i="6"/>
  <c r="U40" i="6"/>
  <c r="AD39" i="6"/>
  <c r="AB39" i="6"/>
  <c r="AA39" i="6"/>
  <c r="Z39" i="6"/>
  <c r="Z39" i="7" s="1"/>
  <c r="X39" i="6"/>
  <c r="W39" i="6"/>
  <c r="V39" i="6"/>
  <c r="U39" i="6"/>
  <c r="AD38" i="6"/>
  <c r="AB38" i="6"/>
  <c r="AA38" i="6"/>
  <c r="Z38" i="6"/>
  <c r="X38" i="6"/>
  <c r="W38" i="6"/>
  <c r="V38" i="6"/>
  <c r="U38" i="6"/>
  <c r="AD37" i="6"/>
  <c r="AB37" i="6"/>
  <c r="AA37" i="6"/>
  <c r="AA37" i="7" s="1"/>
  <c r="Z37" i="6"/>
  <c r="X37" i="6"/>
  <c r="W37" i="6"/>
  <c r="V37" i="6"/>
  <c r="U37" i="6"/>
  <c r="AD36" i="6"/>
  <c r="AB36" i="6"/>
  <c r="AA36" i="6"/>
  <c r="Z36" i="6"/>
  <c r="X36" i="6"/>
  <c r="W36" i="6"/>
  <c r="V36" i="6"/>
  <c r="U36" i="6"/>
  <c r="AD35" i="6"/>
  <c r="AB35" i="6"/>
  <c r="AA35" i="6"/>
  <c r="Z35" i="6"/>
  <c r="X35" i="6"/>
  <c r="W35" i="6"/>
  <c r="V35" i="6"/>
  <c r="U35" i="6"/>
  <c r="AD34" i="6"/>
  <c r="AB34" i="6"/>
  <c r="AA34" i="6"/>
  <c r="Z34" i="6"/>
  <c r="Z34" i="7" s="1"/>
  <c r="X34" i="6"/>
  <c r="W34" i="6"/>
  <c r="V34" i="6"/>
  <c r="U34" i="6"/>
  <c r="AD33" i="6"/>
  <c r="AB33" i="6"/>
  <c r="AA33" i="6"/>
  <c r="AA33" i="7" s="1"/>
  <c r="Z33" i="6"/>
  <c r="X33" i="6"/>
  <c r="W33" i="6"/>
  <c r="V33" i="6"/>
  <c r="U33" i="6"/>
  <c r="AD32" i="6"/>
  <c r="AB32" i="6"/>
  <c r="AA32" i="6"/>
  <c r="AA32" i="7" s="1"/>
  <c r="Z32" i="6"/>
  <c r="X32" i="6"/>
  <c r="W32" i="6"/>
  <c r="V32" i="6"/>
  <c r="U32" i="6"/>
  <c r="AD31" i="6"/>
  <c r="AB31" i="6"/>
  <c r="AA31" i="6"/>
  <c r="Z31" i="6"/>
  <c r="Z31" i="7" s="1"/>
  <c r="X31" i="6"/>
  <c r="W31" i="6"/>
  <c r="V31" i="6"/>
  <c r="U31" i="6"/>
  <c r="AD30" i="6"/>
  <c r="AB30" i="6"/>
  <c r="AA30" i="6"/>
  <c r="Z30" i="6"/>
  <c r="Z30" i="7" s="1"/>
  <c r="X30" i="6"/>
  <c r="W30" i="6"/>
  <c r="V30" i="6"/>
  <c r="U30" i="6"/>
  <c r="AD29" i="6"/>
  <c r="AB29" i="6"/>
  <c r="AA29" i="6"/>
  <c r="AA29" i="7" s="1"/>
  <c r="Z29" i="6"/>
  <c r="X29" i="6"/>
  <c r="W29" i="6"/>
  <c r="V29" i="6"/>
  <c r="U29" i="6"/>
  <c r="AD28" i="6"/>
  <c r="AB28" i="6"/>
  <c r="AA28" i="6"/>
  <c r="AA28" i="7" s="1"/>
  <c r="Z28" i="6"/>
  <c r="X28" i="6"/>
  <c r="W28" i="6"/>
  <c r="V28" i="6"/>
  <c r="U28" i="6"/>
  <c r="AD27" i="6"/>
  <c r="AB27" i="6"/>
  <c r="AA27" i="6"/>
  <c r="Z27" i="6"/>
  <c r="X27" i="6"/>
  <c r="W27" i="6"/>
  <c r="V27" i="6"/>
  <c r="U27" i="6"/>
  <c r="AD26" i="6"/>
  <c r="AB26" i="6"/>
  <c r="AA26" i="6"/>
  <c r="Z26" i="6"/>
  <c r="Z26" i="7" s="1"/>
  <c r="X26" i="6"/>
  <c r="W26" i="6"/>
  <c r="V26" i="6"/>
  <c r="U26" i="6"/>
  <c r="AD25" i="6"/>
  <c r="AC25" i="6"/>
  <c r="AB25" i="6"/>
  <c r="AA25" i="6"/>
  <c r="AA25" i="7" s="1"/>
  <c r="Z25" i="6"/>
  <c r="Z25" i="7" s="1"/>
  <c r="Y25" i="6"/>
  <c r="X25" i="6"/>
  <c r="W25" i="6"/>
  <c r="V25" i="6"/>
  <c r="U25" i="6"/>
  <c r="AD24" i="6"/>
  <c r="AB24" i="6"/>
  <c r="AA24" i="6"/>
  <c r="Z24" i="6"/>
  <c r="Y24" i="6"/>
  <c r="X24" i="6"/>
  <c r="W24" i="6"/>
  <c r="V24" i="6"/>
  <c r="U24" i="6"/>
  <c r="AD23" i="6"/>
  <c r="AB23" i="6"/>
  <c r="AA23" i="6"/>
  <c r="Z23" i="6"/>
  <c r="X23" i="6"/>
  <c r="W23" i="6"/>
  <c r="V23" i="6"/>
  <c r="U23" i="6"/>
  <c r="AD22" i="6"/>
  <c r="AB22" i="6"/>
  <c r="AA22" i="6"/>
  <c r="Z22" i="6"/>
  <c r="X22" i="6"/>
  <c r="W22" i="6"/>
  <c r="V22" i="6"/>
  <c r="U22" i="6"/>
  <c r="AD21" i="6"/>
  <c r="AB21" i="6"/>
  <c r="AA21" i="6"/>
  <c r="AA21" i="7" s="1"/>
  <c r="Z21" i="6"/>
  <c r="X21" i="6"/>
  <c r="W21" i="6"/>
  <c r="V21" i="6"/>
  <c r="U21" i="6"/>
  <c r="AD20" i="6"/>
  <c r="AC20" i="6"/>
  <c r="AB20" i="6"/>
  <c r="AA20" i="6"/>
  <c r="Z20" i="6"/>
  <c r="Z20" i="7" s="1"/>
  <c r="Y20" i="6"/>
  <c r="X20" i="6"/>
  <c r="W20" i="6"/>
  <c r="V20" i="6"/>
  <c r="U20" i="6"/>
  <c r="AD19" i="6"/>
  <c r="AC19" i="6"/>
  <c r="AB19" i="6"/>
  <c r="AA19" i="6"/>
  <c r="Z19" i="6"/>
  <c r="Y19" i="6"/>
  <c r="X19" i="6"/>
  <c r="W19" i="6"/>
  <c r="V19" i="6"/>
  <c r="U19" i="6"/>
  <c r="AD18" i="6"/>
  <c r="AC18" i="6"/>
  <c r="AB18" i="6"/>
  <c r="AA18" i="6"/>
  <c r="Z18" i="6"/>
  <c r="Z18" i="7" s="1"/>
  <c r="Y18" i="6"/>
  <c r="X18" i="6"/>
  <c r="W18" i="6"/>
  <c r="V18" i="6"/>
  <c r="U18" i="6"/>
  <c r="AD17" i="6"/>
  <c r="AC17" i="6"/>
  <c r="AB17" i="6"/>
  <c r="AA17" i="6"/>
  <c r="AA17" i="7" s="1"/>
  <c r="Z17" i="6"/>
  <c r="Z17" i="7" s="1"/>
  <c r="Y17" i="6"/>
  <c r="X17" i="6"/>
  <c r="W17" i="6"/>
  <c r="V17" i="6"/>
  <c r="U17" i="6"/>
  <c r="AD16" i="6"/>
  <c r="AC16" i="6"/>
  <c r="AB16" i="6"/>
  <c r="AA16" i="6"/>
  <c r="Z16" i="6"/>
  <c r="Y16" i="6"/>
  <c r="X16" i="6"/>
  <c r="W16" i="6"/>
  <c r="V16" i="6"/>
  <c r="U16" i="6"/>
  <c r="AD15" i="6"/>
  <c r="AC15" i="6"/>
  <c r="AB15" i="6"/>
  <c r="AA15" i="6"/>
  <c r="Z15" i="6"/>
  <c r="Z15" i="7" s="1"/>
  <c r="Y15" i="6"/>
  <c r="X15" i="6"/>
  <c r="W15" i="6"/>
  <c r="V15" i="6"/>
  <c r="U15" i="6"/>
  <c r="AD14" i="6"/>
  <c r="AC14" i="6"/>
  <c r="AB14" i="6"/>
  <c r="AA14" i="6"/>
  <c r="Z14" i="6"/>
  <c r="Y14" i="6"/>
  <c r="X14" i="6"/>
  <c r="W14" i="6"/>
  <c r="V14" i="6"/>
  <c r="U14" i="6"/>
  <c r="AD13" i="6"/>
  <c r="AC13" i="6"/>
  <c r="AB13" i="6"/>
  <c r="AA13" i="6"/>
  <c r="AA13" i="7" s="1"/>
  <c r="Z13" i="6"/>
  <c r="Y13" i="6"/>
  <c r="X13" i="6"/>
  <c r="W13" i="6"/>
  <c r="V13" i="6"/>
  <c r="U13" i="6"/>
  <c r="AD12" i="6"/>
  <c r="AC12" i="6"/>
  <c r="AB12" i="6"/>
  <c r="AA12" i="6"/>
  <c r="Z12" i="6"/>
  <c r="Z12" i="7" s="1"/>
  <c r="Y12" i="6"/>
  <c r="X12" i="6"/>
  <c r="W12" i="6"/>
  <c r="V12" i="6"/>
  <c r="U12" i="6"/>
  <c r="AD11" i="6"/>
  <c r="AC11" i="6"/>
  <c r="AB11" i="6"/>
  <c r="AA11" i="6"/>
  <c r="Z11" i="6"/>
  <c r="Z11" i="7" s="1"/>
  <c r="Y11" i="6"/>
  <c r="X11" i="6"/>
  <c r="W11" i="6"/>
  <c r="V11" i="6"/>
  <c r="U11" i="6"/>
  <c r="AD10" i="6"/>
  <c r="AC10" i="6"/>
  <c r="AB10" i="6"/>
  <c r="AA10" i="6"/>
  <c r="Z10" i="6"/>
  <c r="Z10" i="7" s="1"/>
  <c r="Y10" i="6"/>
  <c r="X10" i="6"/>
  <c r="W10" i="6"/>
  <c r="V10" i="6"/>
  <c r="U10" i="6"/>
  <c r="AD9" i="6"/>
  <c r="AC9" i="6"/>
  <c r="AB9" i="6"/>
  <c r="AA9" i="6"/>
  <c r="AA9" i="7" s="1"/>
  <c r="Z9" i="6"/>
  <c r="Z9" i="7" s="1"/>
  <c r="Y9" i="6"/>
  <c r="X9" i="6"/>
  <c r="W9" i="6"/>
  <c r="V9" i="6"/>
  <c r="U9" i="6"/>
  <c r="AD8" i="6"/>
  <c r="AC8" i="6"/>
  <c r="AB8" i="6"/>
  <c r="AA8" i="6"/>
  <c r="Z8" i="6"/>
  <c r="Y8" i="6"/>
  <c r="X8" i="6"/>
  <c r="W8" i="6"/>
  <c r="V8" i="6"/>
  <c r="U8" i="6"/>
  <c r="AD7" i="6"/>
  <c r="AC7" i="6"/>
  <c r="AB7" i="6"/>
  <c r="AA7" i="6"/>
  <c r="Z7" i="6"/>
  <c r="Z7" i="7" s="1"/>
  <c r="Y7" i="6"/>
  <c r="X7" i="6"/>
  <c r="W7" i="6"/>
  <c r="V7" i="6"/>
  <c r="U7" i="6"/>
  <c r="AD6" i="6"/>
  <c r="AC6" i="6"/>
  <c r="AB6" i="6"/>
  <c r="AA6" i="6"/>
  <c r="Z6" i="6"/>
  <c r="Y6" i="6"/>
  <c r="X6" i="6"/>
  <c r="W6" i="6"/>
  <c r="V6" i="6"/>
  <c r="U6" i="6"/>
  <c r="AD5" i="6"/>
  <c r="AC5" i="6"/>
  <c r="AB5" i="6"/>
  <c r="AA5" i="6"/>
  <c r="AA5" i="7" s="1"/>
  <c r="Z5" i="6"/>
  <c r="Z5" i="7" s="1"/>
  <c r="Y5" i="6"/>
  <c r="X5" i="6"/>
  <c r="W5" i="6"/>
  <c r="V5" i="6"/>
  <c r="U5" i="6"/>
  <c r="AP51" i="14"/>
  <c r="AC51" i="14"/>
  <c r="AC51" i="6" s="1"/>
  <c r="Y51" i="14"/>
  <c r="Y51" i="6" s="1"/>
  <c r="AP50" i="14"/>
  <c r="AC50" i="14"/>
  <c r="AC50" i="6" s="1"/>
  <c r="Y50" i="14"/>
  <c r="Y50" i="6" s="1"/>
  <c r="AP49" i="14"/>
  <c r="AC49" i="14"/>
  <c r="AC49" i="6" s="1"/>
  <c r="Y49" i="14"/>
  <c r="Y49" i="6" s="1"/>
  <c r="AP48" i="14"/>
  <c r="AC48" i="14"/>
  <c r="AC48" i="6" s="1"/>
  <c r="Y48" i="14"/>
  <c r="Y48" i="6" s="1"/>
  <c r="AP47" i="14"/>
  <c r="AC47" i="14"/>
  <c r="AC47" i="6" s="1"/>
  <c r="Y47" i="14"/>
  <c r="Y47" i="6" s="1"/>
  <c r="AP46" i="14"/>
  <c r="AC46" i="14"/>
  <c r="AC46" i="6" s="1"/>
  <c r="Y46" i="14"/>
  <c r="Y46" i="6" s="1"/>
  <c r="AP45" i="14"/>
  <c r="AC45" i="14"/>
  <c r="AC45" i="6" s="1"/>
  <c r="Y45" i="14"/>
  <c r="Y45" i="6" s="1"/>
  <c r="AP44" i="14"/>
  <c r="AC44" i="14"/>
  <c r="AC44" i="6" s="1"/>
  <c r="Y44" i="14"/>
  <c r="Y44" i="6" s="1"/>
  <c r="AP43" i="14"/>
  <c r="AC43" i="14"/>
  <c r="AC43" i="6" s="1"/>
  <c r="Y43" i="14"/>
  <c r="Y43" i="6" s="1"/>
  <c r="AP42" i="14"/>
  <c r="AC42" i="14"/>
  <c r="AC42" i="6" s="1"/>
  <c r="Y42" i="14"/>
  <c r="Y42" i="6" s="1"/>
  <c r="AP41" i="14"/>
  <c r="AC41" i="14"/>
  <c r="AC41" i="6" s="1"/>
  <c r="Y41" i="14"/>
  <c r="Y41" i="6" s="1"/>
  <c r="AP40" i="14"/>
  <c r="AC40" i="14"/>
  <c r="AC40" i="6" s="1"/>
  <c r="Y40" i="14"/>
  <c r="Y40" i="6" s="1"/>
  <c r="AP39" i="14"/>
  <c r="AC39" i="14"/>
  <c r="AC39" i="6" s="1"/>
  <c r="Y39" i="14"/>
  <c r="Y39" i="6" s="1"/>
  <c r="AP38" i="14"/>
  <c r="AC38" i="14"/>
  <c r="AC38" i="6" s="1"/>
  <c r="Y38" i="14"/>
  <c r="Y38" i="6" s="1"/>
  <c r="AP37" i="14"/>
  <c r="AC37" i="14"/>
  <c r="AC37" i="6" s="1"/>
  <c r="Y37" i="14"/>
  <c r="Y37" i="6" s="1"/>
  <c r="AP36" i="14"/>
  <c r="AC36" i="14"/>
  <c r="AC36" i="6" s="1"/>
  <c r="Y36" i="14"/>
  <c r="Y36" i="6" s="1"/>
  <c r="AP35" i="14"/>
  <c r="AC35" i="14"/>
  <c r="AC35" i="6" s="1"/>
  <c r="Y35" i="14"/>
  <c r="Y35" i="6" s="1"/>
  <c r="AP34" i="14"/>
  <c r="AC34" i="14"/>
  <c r="AC34" i="6" s="1"/>
  <c r="Y34" i="14"/>
  <c r="Y34" i="6" s="1"/>
  <c r="AP33" i="14"/>
  <c r="AC33" i="14"/>
  <c r="AC33" i="6" s="1"/>
  <c r="Y33" i="14"/>
  <c r="Y33" i="6" s="1"/>
  <c r="AP32" i="14"/>
  <c r="AC32" i="14"/>
  <c r="AC32" i="6" s="1"/>
  <c r="Y32" i="14"/>
  <c r="Y32" i="6" s="1"/>
  <c r="AP31" i="14"/>
  <c r="AC31" i="14"/>
  <c r="AC31" i="6" s="1"/>
  <c r="Y31" i="14"/>
  <c r="Y31" i="6" s="1"/>
  <c r="AP30" i="14"/>
  <c r="AC30" i="14"/>
  <c r="AC30" i="6" s="1"/>
  <c r="Y30" i="14"/>
  <c r="Y30" i="6" s="1"/>
  <c r="AP29" i="14"/>
  <c r="AC29" i="14"/>
  <c r="AC29" i="6" s="1"/>
  <c r="Y29" i="14"/>
  <c r="Y29" i="6" s="1"/>
  <c r="AP28" i="14"/>
  <c r="AC28" i="14"/>
  <c r="AC28" i="6" s="1"/>
  <c r="Y28" i="14"/>
  <c r="Y28" i="6" s="1"/>
  <c r="AP27" i="14"/>
  <c r="AC27" i="14"/>
  <c r="AC27" i="6" s="1"/>
  <c r="Y27" i="14"/>
  <c r="Y27" i="6" s="1"/>
  <c r="AP26" i="14"/>
  <c r="AC26" i="14"/>
  <c r="AC26" i="6" s="1"/>
  <c r="Y26" i="14"/>
  <c r="Y26" i="6" s="1"/>
  <c r="AP24" i="14"/>
  <c r="AC24" i="14"/>
  <c r="AC24" i="6" s="1"/>
  <c r="Y24" i="14"/>
  <c r="AP23" i="14"/>
  <c r="AC23" i="14"/>
  <c r="AC23" i="6" s="1"/>
  <c r="Y23" i="14"/>
  <c r="Y23" i="6" s="1"/>
  <c r="AP22" i="14"/>
  <c r="AC22" i="14"/>
  <c r="AC22" i="6" s="1"/>
  <c r="Y22" i="14"/>
  <c r="Y22" i="6" s="1"/>
  <c r="AP21" i="14"/>
  <c r="AC21" i="14"/>
  <c r="AC21" i="6" s="1"/>
  <c r="Y21" i="14"/>
  <c r="Y21" i="6" s="1"/>
  <c r="X47" i="13"/>
  <c r="V47" i="13"/>
  <c r="T47" i="13"/>
  <c r="P47" i="13"/>
  <c r="O47" i="13"/>
  <c r="N47" i="13"/>
  <c r="M47" i="13"/>
  <c r="V46" i="13"/>
  <c r="U46" i="13"/>
  <c r="T46" i="13"/>
  <c r="P46" i="13"/>
  <c r="O46" i="13"/>
  <c r="N46" i="13"/>
  <c r="M46" i="13"/>
  <c r="X45" i="13"/>
  <c r="V45" i="13"/>
  <c r="U45" i="13"/>
  <c r="T45" i="13"/>
  <c r="P45" i="13"/>
  <c r="O45" i="13"/>
  <c r="N45" i="13"/>
  <c r="M45" i="13"/>
  <c r="X47" i="12"/>
  <c r="V47" i="12"/>
  <c r="T47" i="12"/>
  <c r="P47" i="12"/>
  <c r="O47" i="12"/>
  <c r="N47" i="12"/>
  <c r="M47" i="12"/>
  <c r="V46" i="12"/>
  <c r="U46" i="12"/>
  <c r="T46" i="12"/>
  <c r="P46" i="12"/>
  <c r="O46" i="12"/>
  <c r="N46" i="12"/>
  <c r="M46" i="12"/>
  <c r="X45" i="12"/>
  <c r="V45" i="12"/>
  <c r="V49" i="12" s="1"/>
  <c r="U45" i="12"/>
  <c r="T45" i="12"/>
  <c r="T49" i="12" s="1"/>
  <c r="P45" i="12"/>
  <c r="O45" i="12"/>
  <c r="O49" i="12" s="1"/>
  <c r="N45" i="12"/>
  <c r="N49" i="12" s="1"/>
  <c r="M45" i="12"/>
  <c r="M49" i="12" s="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X47" i="11"/>
  <c r="V47" i="11"/>
  <c r="T47" i="11"/>
  <c r="P47" i="11"/>
  <c r="O47" i="11"/>
  <c r="N47" i="11"/>
  <c r="M47" i="11"/>
  <c r="V46" i="11"/>
  <c r="U46" i="11"/>
  <c r="T46" i="11"/>
  <c r="P46" i="11"/>
  <c r="O46" i="11"/>
  <c r="N46" i="11"/>
  <c r="M46" i="11"/>
  <c r="X45" i="11"/>
  <c r="V45" i="11"/>
  <c r="V49" i="11" s="1"/>
  <c r="U45" i="11"/>
  <c r="U49" i="11" s="1"/>
  <c r="T45" i="11"/>
  <c r="P45" i="11"/>
  <c r="P49" i="11" s="1"/>
  <c r="O45" i="11"/>
  <c r="O49" i="11" s="1"/>
  <c r="N45" i="11"/>
  <c r="N49" i="11" s="1"/>
  <c r="M45" i="11"/>
  <c r="M49" i="11" s="1"/>
  <c r="X47" i="10"/>
  <c r="X45" i="10"/>
  <c r="V47" i="10"/>
  <c r="V46" i="10"/>
  <c r="V45" i="10"/>
  <c r="U46" i="10"/>
  <c r="U45" i="10"/>
  <c r="T47" i="10"/>
  <c r="T46" i="10"/>
  <c r="T45" i="10"/>
  <c r="R48" i="10"/>
  <c r="P47" i="10"/>
  <c r="P46" i="10"/>
  <c r="P45" i="10"/>
  <c r="O47" i="10"/>
  <c r="O46" i="10"/>
  <c r="O45" i="10"/>
  <c r="N47" i="10"/>
  <c r="N46" i="10"/>
  <c r="N45" i="10"/>
  <c r="M47" i="10"/>
  <c r="M46" i="10"/>
  <c r="M45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5" i="10"/>
  <c r="Z14" i="10"/>
  <c r="Z13" i="10"/>
  <c r="Z12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7" i="10"/>
  <c r="V15" i="10"/>
  <c r="V14" i="10"/>
  <c r="V13" i="10"/>
  <c r="V12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5" i="10"/>
  <c r="U14" i="10"/>
  <c r="U13" i="10"/>
  <c r="U12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5" i="10"/>
  <c r="T14" i="10"/>
  <c r="T13" i="10"/>
  <c r="T12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5" i="10"/>
  <c r="R14" i="10"/>
  <c r="R13" i="10"/>
  <c r="R12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5" i="10"/>
  <c r="P14" i="10"/>
  <c r="P13" i="10"/>
  <c r="P12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7" i="10"/>
  <c r="O15" i="10"/>
  <c r="O14" i="10"/>
  <c r="O13" i="10"/>
  <c r="O12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5" i="10"/>
  <c r="N14" i="10"/>
  <c r="N13" i="10"/>
  <c r="N12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5" i="10"/>
  <c r="M14" i="10"/>
  <c r="M13" i="10"/>
  <c r="M12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5" i="10"/>
  <c r="L14" i="10"/>
  <c r="L13" i="10"/>
  <c r="L12" i="10"/>
  <c r="AK56" i="9"/>
  <c r="AF56" i="9"/>
  <c r="AP54" i="9" s="1"/>
  <c r="AE56" i="9"/>
  <c r="AO54" i="9" s="1"/>
  <c r="AC56" i="9"/>
  <c r="Y56" i="9"/>
  <c r="X56" i="9"/>
  <c r="W56" i="9"/>
  <c r="S56" i="9"/>
  <c r="R56" i="9"/>
  <c r="Q56" i="9"/>
  <c r="P56" i="9"/>
  <c r="O56" i="9"/>
  <c r="M56" i="9"/>
  <c r="L56" i="9"/>
  <c r="AK55" i="9"/>
  <c r="AF55" i="9"/>
  <c r="AC55" i="9"/>
  <c r="AA55" i="9"/>
  <c r="Z55" i="9"/>
  <c r="Y55" i="9"/>
  <c r="X55" i="9"/>
  <c r="W55" i="9"/>
  <c r="V55" i="9"/>
  <c r="U55" i="9"/>
  <c r="S55" i="9"/>
  <c r="R55" i="9"/>
  <c r="Q55" i="9"/>
  <c r="P55" i="9"/>
  <c r="O55" i="9"/>
  <c r="M55" i="9"/>
  <c r="L55" i="9"/>
  <c r="AL57" i="8"/>
  <c r="AG57" i="8"/>
  <c r="AD57" i="8"/>
  <c r="AB57" i="8"/>
  <c r="T57" i="8"/>
  <c r="AK56" i="8"/>
  <c r="AF56" i="8"/>
  <c r="AE56" i="8"/>
  <c r="AC56" i="8"/>
  <c r="Y56" i="8"/>
  <c r="X56" i="8"/>
  <c r="W56" i="8"/>
  <c r="S56" i="8"/>
  <c r="R56" i="8"/>
  <c r="Q56" i="8"/>
  <c r="P56" i="8"/>
  <c r="O56" i="8"/>
  <c r="M56" i="8"/>
  <c r="L56" i="8"/>
  <c r="AK55" i="8"/>
  <c r="AF55" i="8"/>
  <c r="AP54" i="8" s="1"/>
  <c r="AC55" i="8"/>
  <c r="AA55" i="8"/>
  <c r="Z55" i="8"/>
  <c r="Y55" i="8"/>
  <c r="X55" i="8"/>
  <c r="W55" i="8"/>
  <c r="V55" i="8"/>
  <c r="U55" i="8"/>
  <c r="S55" i="8"/>
  <c r="R55" i="8"/>
  <c r="Q55" i="8"/>
  <c r="P55" i="8"/>
  <c r="O55" i="8"/>
  <c r="M55" i="8"/>
  <c r="L55" i="8"/>
  <c r="O54" i="7"/>
  <c r="AL57" i="7"/>
  <c r="AG57" i="7"/>
  <c r="AD57" i="7"/>
  <c r="AB57" i="7"/>
  <c r="T57" i="7"/>
  <c r="AG51" i="7"/>
  <c r="AA51" i="7"/>
  <c r="Z51" i="7"/>
  <c r="AG50" i="7"/>
  <c r="AA50" i="7"/>
  <c r="AG49" i="7"/>
  <c r="Z49" i="7"/>
  <c r="AG48" i="7"/>
  <c r="Z48" i="7"/>
  <c r="AG47" i="7"/>
  <c r="AA47" i="7"/>
  <c r="AG46" i="7"/>
  <c r="AA46" i="7"/>
  <c r="AG45" i="7"/>
  <c r="Z45" i="7"/>
  <c r="AG44" i="7"/>
  <c r="Z44" i="7"/>
  <c r="AG43" i="7"/>
  <c r="AA43" i="7"/>
  <c r="Z43" i="7"/>
  <c r="AG42" i="7"/>
  <c r="AA42" i="7"/>
  <c r="AG41" i="7"/>
  <c r="Z41" i="7"/>
  <c r="AG40" i="7"/>
  <c r="Z40" i="7"/>
  <c r="AG39" i="7"/>
  <c r="AA39" i="7"/>
  <c r="AG38" i="7"/>
  <c r="AA38" i="7"/>
  <c r="Z38" i="7"/>
  <c r="AG37" i="7"/>
  <c r="Z37" i="7"/>
  <c r="AG36" i="7"/>
  <c r="AA36" i="7"/>
  <c r="Z36" i="7"/>
  <c r="AG35" i="7"/>
  <c r="AA35" i="7"/>
  <c r="Z35" i="7"/>
  <c r="AG34" i="7"/>
  <c r="AA34" i="7"/>
  <c r="AG33" i="7"/>
  <c r="Z33" i="7"/>
  <c r="AG32" i="7"/>
  <c r="Z32" i="7"/>
  <c r="AG31" i="7"/>
  <c r="AA31" i="7"/>
  <c r="AG30" i="7"/>
  <c r="AA30" i="7"/>
  <c r="AG29" i="7"/>
  <c r="Z29" i="7"/>
  <c r="AG28" i="7"/>
  <c r="Z28" i="7"/>
  <c r="AG27" i="7"/>
  <c r="AA27" i="7"/>
  <c r="Z27" i="7"/>
  <c r="AG26" i="7"/>
  <c r="AA26" i="7"/>
  <c r="AG25" i="7"/>
  <c r="AG24" i="7"/>
  <c r="AA24" i="7"/>
  <c r="Z24" i="7"/>
  <c r="AG23" i="7"/>
  <c r="AA23" i="7"/>
  <c r="Z23" i="7"/>
  <c r="AG22" i="7"/>
  <c r="AA22" i="7"/>
  <c r="Z22" i="7"/>
  <c r="AG21" i="7"/>
  <c r="Z21" i="7"/>
  <c r="AG20" i="7"/>
  <c r="AA20" i="7"/>
  <c r="AG19" i="7"/>
  <c r="AA19" i="7"/>
  <c r="Z19" i="7"/>
  <c r="AG18" i="7"/>
  <c r="AA18" i="7"/>
  <c r="AG17" i="7"/>
  <c r="AG16" i="7"/>
  <c r="AA16" i="7"/>
  <c r="Z16" i="7"/>
  <c r="AG15" i="7"/>
  <c r="AA15" i="7"/>
  <c r="AG14" i="7"/>
  <c r="AA14" i="7"/>
  <c r="Z14" i="7"/>
  <c r="AG13" i="7"/>
  <c r="Z13" i="7"/>
  <c r="AG12" i="7"/>
  <c r="AA12" i="7"/>
  <c r="AG11" i="7"/>
  <c r="AA11" i="7"/>
  <c r="AG10" i="7"/>
  <c r="AA10" i="7"/>
  <c r="AG9" i="7"/>
  <c r="AG8" i="7"/>
  <c r="AA8" i="7"/>
  <c r="Z8" i="7"/>
  <c r="AG7" i="7"/>
  <c r="AA7" i="7"/>
  <c r="AG6" i="7"/>
  <c r="AA6" i="7"/>
  <c r="Z6" i="7"/>
  <c r="AG5" i="7"/>
  <c r="AK56" i="7"/>
  <c r="AF56" i="7"/>
  <c r="AE56" i="7"/>
  <c r="AC56" i="7"/>
  <c r="Y56" i="7"/>
  <c r="X56" i="7"/>
  <c r="W56" i="7"/>
  <c r="S56" i="7"/>
  <c r="R56" i="7"/>
  <c r="Q56" i="7"/>
  <c r="P56" i="7"/>
  <c r="O56" i="7"/>
  <c r="M56" i="7"/>
  <c r="L56" i="7"/>
  <c r="AK55" i="7"/>
  <c r="AF55" i="7"/>
  <c r="AC55" i="7"/>
  <c r="AA55" i="7"/>
  <c r="Z55" i="7"/>
  <c r="Y55" i="7"/>
  <c r="X55" i="7"/>
  <c r="W55" i="7"/>
  <c r="V55" i="7"/>
  <c r="U55" i="7"/>
  <c r="S55" i="7"/>
  <c r="R55" i="7"/>
  <c r="Q55" i="7"/>
  <c r="P55" i="7"/>
  <c r="O55" i="7"/>
  <c r="M55" i="7"/>
  <c r="L55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30" i="7"/>
  <c r="AP29" i="7"/>
  <c r="AP28" i="7"/>
  <c r="AP27" i="7"/>
  <c r="AP26" i="7"/>
  <c r="AP24" i="7"/>
  <c r="AP23" i="7"/>
  <c r="AP22" i="7"/>
  <c r="AP21" i="7"/>
  <c r="AA56" i="6"/>
  <c r="AA54" i="24" s="1"/>
  <c r="AA58" i="24" s="1"/>
  <c r="Z56" i="6"/>
  <c r="AK58" i="6"/>
  <c r="AK57" i="6"/>
  <c r="AK56" i="6"/>
  <c r="AK54" i="24" s="1"/>
  <c r="AK58" i="24" s="1"/>
  <c r="AI58" i="6"/>
  <c r="AH57" i="6"/>
  <c r="AF58" i="6"/>
  <c r="AF57" i="6"/>
  <c r="AF56" i="6"/>
  <c r="AE58" i="6"/>
  <c r="AE56" i="6"/>
  <c r="AE54" i="24" s="1"/>
  <c r="AC58" i="6"/>
  <c r="AC57" i="6"/>
  <c r="AC56" i="6"/>
  <c r="AC54" i="24" s="1"/>
  <c r="AC58" i="24" s="1"/>
  <c r="AA57" i="6"/>
  <c r="Z57" i="6"/>
  <c r="Y58" i="6"/>
  <c r="Y57" i="6"/>
  <c r="X58" i="6"/>
  <c r="X57" i="6"/>
  <c r="X56" i="6"/>
  <c r="W58" i="6"/>
  <c r="W57" i="6"/>
  <c r="V57" i="6"/>
  <c r="U57" i="6"/>
  <c r="U56" i="6"/>
  <c r="S58" i="6"/>
  <c r="S57" i="6"/>
  <c r="S56" i="6"/>
  <c r="S54" i="24" s="1"/>
  <c r="R58" i="6"/>
  <c r="R57" i="6"/>
  <c r="R56" i="6"/>
  <c r="R54" i="24" s="1"/>
  <c r="R58" i="24" s="1"/>
  <c r="Q58" i="6"/>
  <c r="Q57" i="6"/>
  <c r="Q56" i="6"/>
  <c r="Q54" i="24" s="1"/>
  <c r="Q58" i="24" s="1"/>
  <c r="P58" i="6"/>
  <c r="P57" i="6"/>
  <c r="P56" i="6"/>
  <c r="O58" i="6"/>
  <c r="O57" i="6"/>
  <c r="O56" i="6"/>
  <c r="O54" i="24" s="1"/>
  <c r="O58" i="24" s="1"/>
  <c r="M58" i="6"/>
  <c r="M57" i="6"/>
  <c r="M56" i="6"/>
  <c r="M54" i="24" s="1"/>
  <c r="M58" i="24" s="1"/>
  <c r="L58" i="6"/>
  <c r="L57" i="6"/>
  <c r="L56" i="6"/>
  <c r="L54" i="24" s="1"/>
  <c r="L58" i="24" s="1"/>
  <c r="AK16" i="6"/>
  <c r="AK15" i="6"/>
  <c r="AK10" i="6"/>
  <c r="AK9" i="6"/>
  <c r="AK6" i="6"/>
  <c r="AK5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2" i="6"/>
  <c r="AI31" i="6"/>
  <c r="AI30" i="6"/>
  <c r="AI29" i="6"/>
  <c r="AI28" i="6"/>
  <c r="AI27" i="6"/>
  <c r="AI26" i="6"/>
  <c r="AI24" i="6"/>
  <c r="AI23" i="6"/>
  <c r="AI22" i="6"/>
  <c r="AI21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9" i="6"/>
  <c r="AH28" i="6"/>
  <c r="AH27" i="6"/>
  <c r="AH26" i="6"/>
  <c r="AH24" i="6"/>
  <c r="AH23" i="6"/>
  <c r="AH22" i="6"/>
  <c r="AH21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4" i="6"/>
  <c r="S23" i="6"/>
  <c r="S22" i="6"/>
  <c r="S21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5" i="6"/>
  <c r="Q20" i="6"/>
  <c r="Q19" i="6"/>
  <c r="Q18" i="6"/>
  <c r="Q17" i="6"/>
  <c r="Q12" i="6"/>
  <c r="Q11" i="6"/>
  <c r="Q7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4" i="6"/>
  <c r="O23" i="6"/>
  <c r="O22" i="6"/>
  <c r="O21" i="6"/>
  <c r="N16" i="6"/>
  <c r="N15" i="6"/>
  <c r="N9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P28" i="6"/>
  <c r="AP27" i="6"/>
  <c r="AP26" i="6"/>
  <c r="AP24" i="6"/>
  <c r="AP23" i="6"/>
  <c r="AP22" i="6"/>
  <c r="AP21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5" i="6"/>
  <c r="L20" i="6"/>
  <c r="L19" i="6"/>
  <c r="L18" i="6"/>
  <c r="L17" i="6"/>
  <c r="L12" i="6"/>
  <c r="L11" i="6"/>
  <c r="L7" i="6"/>
  <c r="P11" i="5"/>
  <c r="P10" i="5"/>
  <c r="R10" i="5" s="1"/>
  <c r="P9" i="5"/>
  <c r="R9" i="5" s="1"/>
  <c r="F44" i="5"/>
  <c r="Z47" i="25" s="1"/>
  <c r="E44" i="5"/>
  <c r="Z46" i="25" s="1"/>
  <c r="D44" i="5"/>
  <c r="Z45" i="25" s="1"/>
  <c r="F26" i="5"/>
  <c r="E26" i="5"/>
  <c r="D26" i="5"/>
  <c r="F25" i="5"/>
  <c r="E25" i="5"/>
  <c r="E28" i="5" s="1"/>
  <c r="D25" i="5"/>
  <c r="AI56" i="6" s="1"/>
  <c r="AI54" i="24" s="1"/>
  <c r="F24" i="5"/>
  <c r="AH56" i="24" s="1"/>
  <c r="E24" i="5"/>
  <c r="D24" i="5"/>
  <c r="AH56" i="6" s="1"/>
  <c r="AH54" i="24" s="1"/>
  <c r="D13" i="5"/>
  <c r="W56" i="6" s="1"/>
  <c r="W54" i="24" s="1"/>
  <c r="W58" i="24" s="1"/>
  <c r="F39" i="5"/>
  <c r="U47" i="25" s="1"/>
  <c r="F17" i="5"/>
  <c r="F16" i="5"/>
  <c r="Z56" i="7" s="1"/>
  <c r="F12" i="5"/>
  <c r="F11" i="5"/>
  <c r="U56" i="24" s="1"/>
  <c r="M15" i="5"/>
  <c r="M7" i="5"/>
  <c r="D36" i="5" s="1"/>
  <c r="R45" i="25" s="1"/>
  <c r="F45" i="5"/>
  <c r="AA47" i="25" s="1"/>
  <c r="E45" i="5"/>
  <c r="AA46" i="25" s="1"/>
  <c r="D45" i="5"/>
  <c r="AA45" i="25" s="1"/>
  <c r="F43" i="5"/>
  <c r="Y47" i="25" s="1"/>
  <c r="D43" i="5"/>
  <c r="Y45" i="25" s="1"/>
  <c r="F41" i="5"/>
  <c r="W47" i="25" s="1"/>
  <c r="E41" i="5"/>
  <c r="W46" i="25" s="1"/>
  <c r="D41" i="5"/>
  <c r="W45" i="25" s="1"/>
  <c r="F23" i="5"/>
  <c r="D23" i="5"/>
  <c r="AG56" i="6" s="1"/>
  <c r="AG54" i="24" s="1"/>
  <c r="F20" i="5"/>
  <c r="AD56" i="24" s="1"/>
  <c r="E20" i="5"/>
  <c r="D20" i="5"/>
  <c r="AD56" i="6" s="1"/>
  <c r="AD54" i="24" s="1"/>
  <c r="E18" i="5"/>
  <c r="D18" i="5"/>
  <c r="AB56" i="6" s="1"/>
  <c r="AB54" i="24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7" i="28" l="1"/>
  <c r="I7" i="7"/>
  <c r="I7" i="6"/>
  <c r="P13" i="5"/>
  <c r="I7" i="9"/>
  <c r="I7" i="8"/>
  <c r="I7" i="24"/>
  <c r="I7" i="14"/>
  <c r="I11" i="28"/>
  <c r="I11" i="7"/>
  <c r="I11" i="6"/>
  <c r="I11" i="24"/>
  <c r="I11" i="9"/>
  <c r="I11" i="8"/>
  <c r="I11" i="14"/>
  <c r="I12" i="28"/>
  <c r="I12" i="24"/>
  <c r="I12" i="9"/>
  <c r="I12" i="8"/>
  <c r="I12" i="14"/>
  <c r="I12" i="7"/>
  <c r="I12" i="6"/>
  <c r="I16" i="28"/>
  <c r="I16" i="24"/>
  <c r="I16" i="9"/>
  <c r="I16" i="8"/>
  <c r="I16" i="14"/>
  <c r="I16" i="6"/>
  <c r="I16" i="7"/>
  <c r="I20" i="28"/>
  <c r="I20" i="24"/>
  <c r="I20" i="9"/>
  <c r="I20" i="8"/>
  <c r="I20" i="6"/>
  <c r="I20" i="14"/>
  <c r="I20" i="7"/>
  <c r="I23" i="28"/>
  <c r="I23" i="24"/>
  <c r="I23" i="14"/>
  <c r="I23" i="9"/>
  <c r="I23" i="8"/>
  <c r="I23" i="7"/>
  <c r="I23" i="6"/>
  <c r="I27" i="28"/>
  <c r="I27" i="24"/>
  <c r="I27" i="14"/>
  <c r="I27" i="9"/>
  <c r="I27" i="8"/>
  <c r="I27" i="6"/>
  <c r="I27" i="7"/>
  <c r="I29" i="28"/>
  <c r="I29" i="24"/>
  <c r="I29" i="14"/>
  <c r="I29" i="9"/>
  <c r="I29" i="8"/>
  <c r="I29" i="6"/>
  <c r="I29" i="7"/>
  <c r="I34" i="28"/>
  <c r="I34" i="24"/>
  <c r="I34" i="14"/>
  <c r="I34" i="7"/>
  <c r="I34" i="9"/>
  <c r="I34" i="8"/>
  <c r="I34" i="6"/>
  <c r="I37" i="28"/>
  <c r="I37" i="14"/>
  <c r="I37" i="9"/>
  <c r="I37" i="8"/>
  <c r="I37" i="6"/>
  <c r="I37" i="24"/>
  <c r="I37" i="7"/>
  <c r="I40" i="28"/>
  <c r="AZ92" i="28" s="1"/>
  <c r="I40" i="24"/>
  <c r="I40" i="14"/>
  <c r="I40" i="9"/>
  <c r="I40" i="8"/>
  <c r="I40" i="7"/>
  <c r="I40" i="6"/>
  <c r="I44" i="28"/>
  <c r="I44" i="24"/>
  <c r="I44" i="14"/>
  <c r="I44" i="9"/>
  <c r="I44" i="8"/>
  <c r="I44" i="7"/>
  <c r="I44" i="6"/>
  <c r="I45" i="28"/>
  <c r="I45" i="24"/>
  <c r="I45" i="14"/>
  <c r="I45" i="9"/>
  <c r="I45" i="8"/>
  <c r="I45" i="6"/>
  <c r="I45" i="7"/>
  <c r="I46" i="28"/>
  <c r="I46" i="24"/>
  <c r="I46" i="14"/>
  <c r="I46" i="7"/>
  <c r="I46" i="9"/>
  <c r="I46" i="8"/>
  <c r="I46" i="6"/>
  <c r="I47" i="28"/>
  <c r="I47" i="24"/>
  <c r="I47" i="14"/>
  <c r="I47" i="9"/>
  <c r="I47" i="8"/>
  <c r="I47" i="6"/>
  <c r="I47" i="7"/>
  <c r="I5" i="29"/>
  <c r="I5" i="25"/>
  <c r="I5" i="10"/>
  <c r="I5" i="13"/>
  <c r="I5" i="12"/>
  <c r="I5" i="11"/>
  <c r="I6" i="29"/>
  <c r="I6" i="25"/>
  <c r="I6" i="13"/>
  <c r="I6" i="12"/>
  <c r="I6" i="11"/>
  <c r="I6" i="10"/>
  <c r="I9" i="29"/>
  <c r="I9" i="25"/>
  <c r="I9" i="10"/>
  <c r="I9" i="13"/>
  <c r="I9" i="12"/>
  <c r="I9" i="11"/>
  <c r="I10" i="29"/>
  <c r="I10" i="25"/>
  <c r="I10" i="13"/>
  <c r="I10" i="12"/>
  <c r="I10" i="11"/>
  <c r="I10" i="10"/>
  <c r="I13" i="29"/>
  <c r="I13" i="25"/>
  <c r="I13" i="10"/>
  <c r="I13" i="13"/>
  <c r="I13" i="12"/>
  <c r="I13" i="11"/>
  <c r="I14" i="29"/>
  <c r="I14" i="25"/>
  <c r="I14" i="13"/>
  <c r="I14" i="12"/>
  <c r="I14" i="11"/>
  <c r="I14" i="10"/>
  <c r="I18" i="29"/>
  <c r="I18" i="25"/>
  <c r="I18" i="13"/>
  <c r="I18" i="12"/>
  <c r="I18" i="11"/>
  <c r="I18" i="10"/>
  <c r="I22" i="29"/>
  <c r="I22" i="25"/>
  <c r="I22" i="13"/>
  <c r="I22" i="12"/>
  <c r="I22" i="11"/>
  <c r="I22" i="10"/>
  <c r="I26" i="29"/>
  <c r="I26" i="25"/>
  <c r="I26" i="13"/>
  <c r="I26" i="12"/>
  <c r="I26" i="11"/>
  <c r="I26" i="10"/>
  <c r="I5" i="28"/>
  <c r="I5" i="9"/>
  <c r="I5" i="8"/>
  <c r="I5" i="24"/>
  <c r="I5" i="14"/>
  <c r="I5" i="7"/>
  <c r="I5" i="6"/>
  <c r="P12" i="5"/>
  <c r="P15" i="5" s="1"/>
  <c r="I9" i="28"/>
  <c r="I9" i="9"/>
  <c r="I9" i="8"/>
  <c r="I9" i="24"/>
  <c r="I9" i="14"/>
  <c r="I9" i="7"/>
  <c r="I9" i="6"/>
  <c r="I14" i="28"/>
  <c r="AX66" i="28" s="1"/>
  <c r="I14" i="24"/>
  <c r="I14" i="14"/>
  <c r="I14" i="7"/>
  <c r="I14" i="6"/>
  <c r="I14" i="9"/>
  <c r="I14" i="8"/>
  <c r="I17" i="28"/>
  <c r="I17" i="24"/>
  <c r="I17" i="9"/>
  <c r="I17" i="8"/>
  <c r="I17" i="6"/>
  <c r="I17" i="14"/>
  <c r="I17" i="7"/>
  <c r="I19" i="28"/>
  <c r="I19" i="7"/>
  <c r="I19" i="9"/>
  <c r="I19" i="8"/>
  <c r="I19" i="6"/>
  <c r="I19" i="24"/>
  <c r="I19" i="14"/>
  <c r="I22" i="28"/>
  <c r="I22" i="24"/>
  <c r="I22" i="7"/>
  <c r="I22" i="14"/>
  <c r="I22" i="9"/>
  <c r="I22" i="8"/>
  <c r="I22" i="6"/>
  <c r="I25" i="28"/>
  <c r="I25" i="24"/>
  <c r="I25" i="9"/>
  <c r="I25" i="8"/>
  <c r="I25" i="6"/>
  <c r="I25" i="14"/>
  <c r="I25" i="7"/>
  <c r="I28" i="28"/>
  <c r="I28" i="24"/>
  <c r="I28" i="14"/>
  <c r="I28" i="9"/>
  <c r="I28" i="8"/>
  <c r="I28" i="7"/>
  <c r="I28" i="6"/>
  <c r="I30" i="28"/>
  <c r="AZ82" i="28" s="1"/>
  <c r="I30" i="24"/>
  <c r="I30" i="14"/>
  <c r="I30" i="7"/>
  <c r="I30" i="9"/>
  <c r="I30" i="8"/>
  <c r="I30" i="6"/>
  <c r="I32" i="28"/>
  <c r="I32" i="24"/>
  <c r="I32" i="14"/>
  <c r="I32" i="9"/>
  <c r="I32" i="8"/>
  <c r="I32" i="7"/>
  <c r="I32" i="6"/>
  <c r="I35" i="28"/>
  <c r="I35" i="24"/>
  <c r="I35" i="14"/>
  <c r="I35" i="9"/>
  <c r="I35" i="8"/>
  <c r="I35" i="6"/>
  <c r="I35" i="7"/>
  <c r="I38" i="28"/>
  <c r="I38" i="24"/>
  <c r="I38" i="14"/>
  <c r="I38" i="7"/>
  <c r="I38" i="9"/>
  <c r="I38" i="8"/>
  <c r="I38" i="6"/>
  <c r="I42" i="28"/>
  <c r="AR94" i="28" s="1"/>
  <c r="I42" i="24"/>
  <c r="I42" i="14"/>
  <c r="I42" i="7"/>
  <c r="I42" i="9"/>
  <c r="I42" i="8"/>
  <c r="I42" i="6"/>
  <c r="I49" i="28"/>
  <c r="I49" i="24"/>
  <c r="I49" i="14"/>
  <c r="I49" i="9"/>
  <c r="I49" i="8"/>
  <c r="I49" i="6"/>
  <c r="I49" i="7"/>
  <c r="I6" i="28"/>
  <c r="AX58" i="28" s="1"/>
  <c r="I6" i="24"/>
  <c r="I6" i="14"/>
  <c r="I6" i="7"/>
  <c r="I6" i="6"/>
  <c r="I6" i="9"/>
  <c r="I6" i="8"/>
  <c r="I8" i="28"/>
  <c r="I8" i="24"/>
  <c r="I8" i="9"/>
  <c r="I8" i="8"/>
  <c r="I8" i="14"/>
  <c r="I8" i="7"/>
  <c r="I8" i="6"/>
  <c r="I10" i="28"/>
  <c r="I10" i="24"/>
  <c r="I10" i="14"/>
  <c r="I10" i="7"/>
  <c r="I10" i="6"/>
  <c r="I10" i="9"/>
  <c r="I10" i="8"/>
  <c r="I13" i="28"/>
  <c r="I13" i="24"/>
  <c r="I13" i="9"/>
  <c r="I13" i="8"/>
  <c r="I13" i="14"/>
  <c r="I13" i="7"/>
  <c r="I13" i="6"/>
  <c r="I15" i="28"/>
  <c r="I15" i="24"/>
  <c r="I15" i="7"/>
  <c r="I15" i="9"/>
  <c r="I15" i="8"/>
  <c r="I15" i="14"/>
  <c r="I15" i="6"/>
  <c r="I18" i="28"/>
  <c r="AT70" i="28" s="1"/>
  <c r="I18" i="24"/>
  <c r="I18" i="14"/>
  <c r="I18" i="7"/>
  <c r="I18" i="9"/>
  <c r="I18" i="8"/>
  <c r="I18" i="6"/>
  <c r="I21" i="28"/>
  <c r="I21" i="24"/>
  <c r="I21" i="9"/>
  <c r="I21" i="8"/>
  <c r="I21" i="6"/>
  <c r="I21" i="14"/>
  <c r="I21" i="7"/>
  <c r="I24" i="28"/>
  <c r="I24" i="24"/>
  <c r="I24" i="7"/>
  <c r="I24" i="14"/>
  <c r="I24" i="9"/>
  <c r="I24" i="8"/>
  <c r="I24" i="6"/>
  <c r="I26" i="28"/>
  <c r="AX78" i="28" s="1"/>
  <c r="I26" i="24"/>
  <c r="I26" i="14"/>
  <c r="I26" i="7"/>
  <c r="I26" i="9"/>
  <c r="I26" i="8"/>
  <c r="I26" i="6"/>
  <c r="I31" i="28"/>
  <c r="I31" i="24"/>
  <c r="I31" i="14"/>
  <c r="I31" i="9"/>
  <c r="I31" i="8"/>
  <c r="I31" i="6"/>
  <c r="I31" i="7"/>
  <c r="I33" i="28"/>
  <c r="I33" i="24"/>
  <c r="I33" i="14"/>
  <c r="I33" i="9"/>
  <c r="I33" i="8"/>
  <c r="I33" i="6"/>
  <c r="I33" i="7"/>
  <c r="I36" i="28"/>
  <c r="I36" i="24"/>
  <c r="I36" i="14"/>
  <c r="I36" i="9"/>
  <c r="I36" i="8"/>
  <c r="I36" i="7"/>
  <c r="I36" i="6"/>
  <c r="I39" i="28"/>
  <c r="AL91" i="28" s="1"/>
  <c r="I39" i="24"/>
  <c r="I39" i="14"/>
  <c r="I39" i="9"/>
  <c r="I39" i="8"/>
  <c r="I39" i="6"/>
  <c r="I39" i="7"/>
  <c r="I41" i="28"/>
  <c r="AN93" i="28" s="1"/>
  <c r="I41" i="24"/>
  <c r="I41" i="14"/>
  <c r="I41" i="9"/>
  <c r="I41" i="8"/>
  <c r="I41" i="6"/>
  <c r="I41" i="7"/>
  <c r="I43" i="28"/>
  <c r="AV95" i="28" s="1"/>
  <c r="I43" i="24"/>
  <c r="I43" i="14"/>
  <c r="I43" i="9"/>
  <c r="I43" i="8"/>
  <c r="I43" i="6"/>
  <c r="I43" i="7"/>
  <c r="I48" i="28"/>
  <c r="I48" i="24"/>
  <c r="I48" i="14"/>
  <c r="I48" i="9"/>
  <c r="I48" i="8"/>
  <c r="I48" i="7"/>
  <c r="I48" i="6"/>
  <c r="I50" i="28"/>
  <c r="BC102" i="28" s="1"/>
  <c r="I50" i="24"/>
  <c r="I50" i="14"/>
  <c r="I50" i="7"/>
  <c r="I50" i="9"/>
  <c r="I50" i="8"/>
  <c r="I50" i="6"/>
  <c r="I51" i="28"/>
  <c r="I51" i="24"/>
  <c r="I51" i="14"/>
  <c r="I51" i="9"/>
  <c r="I51" i="8"/>
  <c r="I51" i="6"/>
  <c r="I51" i="7"/>
  <c r="I11" i="29"/>
  <c r="I11" i="11"/>
  <c r="I11" i="25"/>
  <c r="I11" i="10"/>
  <c r="I11" i="13"/>
  <c r="I11" i="12"/>
  <c r="I12" i="29"/>
  <c r="I12" i="25"/>
  <c r="I12" i="11"/>
  <c r="I12" i="10"/>
  <c r="I12" i="13"/>
  <c r="I12" i="12"/>
  <c r="I23" i="29"/>
  <c r="I23" i="25"/>
  <c r="I23" i="11"/>
  <c r="I23" i="10"/>
  <c r="I23" i="13"/>
  <c r="I23" i="12"/>
  <c r="I24" i="29"/>
  <c r="I24" i="25"/>
  <c r="I24" i="11"/>
  <c r="I24" i="10"/>
  <c r="I24" i="13"/>
  <c r="I24" i="12"/>
  <c r="I25" i="29"/>
  <c r="I25" i="25"/>
  <c r="I25" i="10"/>
  <c r="I25" i="13"/>
  <c r="I25" i="12"/>
  <c r="I25" i="11"/>
  <c r="AL55" i="24"/>
  <c r="AL57" i="6"/>
  <c r="AL55" i="7"/>
  <c r="I27" i="29"/>
  <c r="I27" i="25"/>
  <c r="I27" i="11"/>
  <c r="I27" i="10"/>
  <c r="I27" i="13"/>
  <c r="I27" i="12"/>
  <c r="I28" i="29"/>
  <c r="I28" i="25"/>
  <c r="I28" i="11"/>
  <c r="I28" i="10"/>
  <c r="I28" i="13"/>
  <c r="I28" i="12"/>
  <c r="I29" i="29"/>
  <c r="I29" i="25"/>
  <c r="I29" i="10"/>
  <c r="I29" i="13"/>
  <c r="I29" i="12"/>
  <c r="I29" i="11"/>
  <c r="I30" i="29"/>
  <c r="I30" i="25"/>
  <c r="I30" i="13"/>
  <c r="I30" i="12"/>
  <c r="I30" i="11"/>
  <c r="I30" i="10"/>
  <c r="I31" i="29"/>
  <c r="I31" i="25"/>
  <c r="I31" i="11"/>
  <c r="I31" i="10"/>
  <c r="I31" i="13"/>
  <c r="I31" i="12"/>
  <c r="I32" i="29"/>
  <c r="I32" i="25"/>
  <c r="I32" i="11"/>
  <c r="I32" i="10"/>
  <c r="I32" i="13"/>
  <c r="I32" i="12"/>
  <c r="I33" i="29"/>
  <c r="I33" i="25"/>
  <c r="I33" i="10"/>
  <c r="I33" i="13"/>
  <c r="I33" i="12"/>
  <c r="I33" i="11"/>
  <c r="I34" i="29"/>
  <c r="I34" i="13"/>
  <c r="I34" i="12"/>
  <c r="I34" i="11"/>
  <c r="I34" i="25"/>
  <c r="I34" i="10"/>
  <c r="I35" i="29"/>
  <c r="I35" i="25"/>
  <c r="I35" i="11"/>
  <c r="I35" i="10"/>
  <c r="I35" i="13"/>
  <c r="I35" i="12"/>
  <c r="I36" i="29"/>
  <c r="AE79" i="29" s="1"/>
  <c r="I36" i="25"/>
  <c r="I36" i="11"/>
  <c r="I36" i="10"/>
  <c r="I36" i="13"/>
  <c r="I36" i="12"/>
  <c r="I37" i="29"/>
  <c r="I37" i="25"/>
  <c r="I37" i="10"/>
  <c r="I37" i="13"/>
  <c r="I37" i="12"/>
  <c r="I37" i="11"/>
  <c r="I38" i="29"/>
  <c r="I38" i="25"/>
  <c r="I38" i="13"/>
  <c r="I38" i="12"/>
  <c r="I38" i="11"/>
  <c r="I38" i="10"/>
  <c r="I39" i="29"/>
  <c r="I39" i="25"/>
  <c r="I39" i="11"/>
  <c r="I39" i="10"/>
  <c r="I39" i="13"/>
  <c r="I39" i="12"/>
  <c r="I40" i="29"/>
  <c r="I40" i="25"/>
  <c r="I40" i="11"/>
  <c r="I40" i="10"/>
  <c r="I40" i="13"/>
  <c r="I40" i="12"/>
  <c r="I41" i="29"/>
  <c r="I41" i="25"/>
  <c r="I41" i="10"/>
  <c r="I41" i="13"/>
  <c r="I41" i="12"/>
  <c r="I41" i="11"/>
  <c r="I42" i="29"/>
  <c r="AA85" i="29" s="1"/>
  <c r="I42" i="25"/>
  <c r="I42" i="13"/>
  <c r="I42" i="12"/>
  <c r="I42" i="11"/>
  <c r="I42" i="10"/>
  <c r="U4" i="4"/>
  <c r="U5" i="4"/>
  <c r="U12" i="4"/>
  <c r="U13" i="4"/>
  <c r="I17" i="29"/>
  <c r="I17" i="25"/>
  <c r="I17" i="10"/>
  <c r="I17" i="13"/>
  <c r="I17" i="12"/>
  <c r="I17" i="11"/>
  <c r="U16" i="4"/>
  <c r="U17" i="4"/>
  <c r="U18" i="4"/>
  <c r="AG56" i="9"/>
  <c r="AG56" i="24"/>
  <c r="P54" i="8"/>
  <c r="P58" i="8" s="1"/>
  <c r="P54" i="24"/>
  <c r="P58" i="24" s="1"/>
  <c r="U54" i="9"/>
  <c r="U54" i="24"/>
  <c r="U58" i="24" s="1"/>
  <c r="AG56" i="8"/>
  <c r="AD55" i="9"/>
  <c r="AD55" i="24"/>
  <c r="V56" i="9"/>
  <c r="V56" i="24"/>
  <c r="AI58" i="24"/>
  <c r="AJ55" i="9"/>
  <c r="AJ55" i="24"/>
  <c r="X54" i="7"/>
  <c r="X54" i="24"/>
  <c r="X58" i="24" s="1"/>
  <c r="AD55" i="7"/>
  <c r="V56" i="7"/>
  <c r="S54" i="7"/>
  <c r="AA11" i="21"/>
  <c r="AK26" i="25"/>
  <c r="AK23" i="25"/>
  <c r="AK29" i="25"/>
  <c r="AK25" i="25"/>
  <c r="AK21" i="25"/>
  <c r="AY40" i="24"/>
  <c r="AY38" i="24"/>
  <c r="AY31" i="24"/>
  <c r="AK31" i="25"/>
  <c r="AK27" i="25"/>
  <c r="AK22" i="25"/>
  <c r="AK30" i="25"/>
  <c r="AY35" i="24"/>
  <c r="AY32" i="24"/>
  <c r="AY36" i="24"/>
  <c r="AY30" i="24"/>
  <c r="J8" i="23"/>
  <c r="E18" i="23" s="1"/>
  <c r="E19" i="23" s="1"/>
  <c r="AY39" i="24"/>
  <c r="Z56" i="9"/>
  <c r="Z56" i="24"/>
  <c r="AH58" i="24"/>
  <c r="AI57" i="6"/>
  <c r="AI55" i="24"/>
  <c r="AJ56" i="9"/>
  <c r="AJ56" i="24"/>
  <c r="AF54" i="8"/>
  <c r="AF54" i="24"/>
  <c r="AA54" i="7"/>
  <c r="AI55" i="9"/>
  <c r="P54" i="9"/>
  <c r="AD11" i="21"/>
  <c r="R9" i="21"/>
  <c r="AJ4" i="21"/>
  <c r="AF6" i="21"/>
  <c r="AR16" i="24"/>
  <c r="AV16" i="24" s="1"/>
  <c r="AB57" i="6"/>
  <c r="AB55" i="24"/>
  <c r="AA56" i="9"/>
  <c r="AA56" i="24"/>
  <c r="AH55" i="9"/>
  <c r="AH55" i="24"/>
  <c r="AI56" i="9"/>
  <c r="AI56" i="24"/>
  <c r="Z49" i="25"/>
  <c r="Z58" i="6"/>
  <c r="Z54" i="9"/>
  <c r="Z54" i="24"/>
  <c r="Z58" i="24" s="1"/>
  <c r="AH55" i="7"/>
  <c r="P49" i="12"/>
  <c r="AD9" i="21"/>
  <c r="AI6" i="21"/>
  <c r="AV35" i="24"/>
  <c r="AR36" i="24"/>
  <c r="AV36" i="24" s="1"/>
  <c r="AY34" i="24"/>
  <c r="AI13" i="21"/>
  <c r="AV30" i="24"/>
  <c r="AR31" i="24"/>
  <c r="AR32" i="24" s="1"/>
  <c r="AV32" i="24" s="1"/>
  <c r="AR18" i="24"/>
  <c r="AV18" i="24" s="1"/>
  <c r="AR6" i="24"/>
  <c r="AV6" i="24" s="1"/>
  <c r="AR46" i="24"/>
  <c r="U49" i="25"/>
  <c r="T49" i="25"/>
  <c r="AC15" i="17"/>
  <c r="AC19" i="17"/>
  <c r="AC23" i="17"/>
  <c r="AC32" i="17"/>
  <c r="AC36" i="17"/>
  <c r="AJ4" i="26"/>
  <c r="AC57" i="17"/>
  <c r="AC4" i="17"/>
  <c r="AC8" i="17"/>
  <c r="AC2" i="17"/>
  <c r="AC6" i="17"/>
  <c r="AC10" i="17"/>
  <c r="AC26" i="17"/>
  <c r="AC30" i="17"/>
  <c r="AC34" i="17"/>
  <c r="AC74" i="17"/>
  <c r="AO4" i="16"/>
  <c r="AC55" i="17"/>
  <c r="AC61" i="17"/>
  <c r="AC28" i="17"/>
  <c r="AC176" i="17"/>
  <c r="AC50" i="17"/>
  <c r="AC56" i="17"/>
  <c r="AC75" i="17"/>
  <c r="AC78" i="17"/>
  <c r="AC90" i="17"/>
  <c r="AC91" i="17"/>
  <c r="AC94" i="17"/>
  <c r="AC106" i="17"/>
  <c r="AC110" i="17"/>
  <c r="AC178" i="17"/>
  <c r="AC5" i="17"/>
  <c r="AC9" i="17"/>
  <c r="AC13" i="17"/>
  <c r="AC29" i="17"/>
  <c r="AC33" i="17"/>
  <c r="AC37" i="17"/>
  <c r="AC51" i="17"/>
  <c r="AC53" i="17"/>
  <c r="AC59" i="17"/>
  <c r="AT5" i="26"/>
  <c r="AO3" i="16"/>
  <c r="AJ4" i="16"/>
  <c r="AT4" i="16"/>
  <c r="AT5" i="16"/>
  <c r="AT6" i="16"/>
  <c r="AJ6" i="16"/>
  <c r="AJ2" i="16"/>
  <c r="AJ7" i="16" s="1"/>
  <c r="AJ3" i="16"/>
  <c r="AT3" i="16"/>
  <c r="AO6" i="16"/>
  <c r="AT3" i="26"/>
  <c r="AJ3" i="26"/>
  <c r="AJ5" i="26"/>
  <c r="AO2" i="16"/>
  <c r="AO3" i="26"/>
  <c r="AC126" i="17"/>
  <c r="AC150" i="17"/>
  <c r="AO5" i="16"/>
  <c r="AC12" i="17"/>
  <c r="AC124" i="17"/>
  <c r="AO2" i="26"/>
  <c r="AC3" i="17"/>
  <c r="AC7" i="17"/>
  <c r="AC11" i="17"/>
  <c r="AC27" i="17"/>
  <c r="AC31" i="17"/>
  <c r="AC35" i="17"/>
  <c r="AC52" i="17"/>
  <c r="AC54" i="17"/>
  <c r="AC58" i="17"/>
  <c r="AC60" i="17"/>
  <c r="AC79" i="17"/>
  <c r="AC83" i="17"/>
  <c r="AC95" i="17"/>
  <c r="AC99" i="17"/>
  <c r="AC107" i="17"/>
  <c r="AC111" i="17"/>
  <c r="AC115" i="17"/>
  <c r="AC123" i="17"/>
  <c r="AC131" i="17"/>
  <c r="AC139" i="17"/>
  <c r="AJ2" i="26"/>
  <c r="AT2" i="26"/>
  <c r="AT7" i="26" s="1"/>
  <c r="AC149" i="17"/>
  <c r="AC165" i="17"/>
  <c r="AT4" i="26"/>
  <c r="AO4" i="26"/>
  <c r="AO5" i="26"/>
  <c r="AT6" i="26"/>
  <c r="AJ6" i="26"/>
  <c r="AO6" i="26"/>
  <c r="AC16" i="17"/>
  <c r="AC20" i="17"/>
  <c r="AC24" i="17"/>
  <c r="AC80" i="17"/>
  <c r="AC84" i="17"/>
  <c r="AC96" i="17"/>
  <c r="AC100" i="17"/>
  <c r="AC116" i="17"/>
  <c r="AC132" i="17"/>
  <c r="AC140" i="17"/>
  <c r="AC148" i="17"/>
  <c r="AC164" i="17"/>
  <c r="AC38" i="17"/>
  <c r="AC39" i="17"/>
  <c r="AC40" i="17"/>
  <c r="AC41" i="17"/>
  <c r="AC42" i="17"/>
  <c r="AC43" i="17"/>
  <c r="AC44" i="17"/>
  <c r="AC45" i="17"/>
  <c r="AC46" i="17"/>
  <c r="AC47" i="17"/>
  <c r="AC48" i="17"/>
  <c r="AC49" i="17"/>
  <c r="AC62" i="17"/>
  <c r="AC63" i="17"/>
  <c r="AC64" i="17"/>
  <c r="AC65" i="17"/>
  <c r="AC66" i="17"/>
  <c r="AC67" i="17"/>
  <c r="AC180" i="17"/>
  <c r="AC68" i="17"/>
  <c r="AC69" i="17"/>
  <c r="AC70" i="17"/>
  <c r="AC71" i="17"/>
  <c r="AC72" i="17"/>
  <c r="AC73" i="17"/>
  <c r="AC175" i="17"/>
  <c r="AC177" i="17"/>
  <c r="AC179" i="17"/>
  <c r="AC181" i="17"/>
  <c r="AC182" i="17"/>
  <c r="AC183" i="17"/>
  <c r="AC184" i="17"/>
  <c r="AC185" i="17"/>
  <c r="AC186" i="17"/>
  <c r="BA62" i="28"/>
  <c r="AW62" i="28"/>
  <c r="AS62" i="28"/>
  <c r="AO62" i="28"/>
  <c r="AK62" i="28"/>
  <c r="BD62" i="28"/>
  <c r="AZ62" i="28"/>
  <c r="AV62" i="28"/>
  <c r="AR62" i="28"/>
  <c r="AN62" i="28"/>
  <c r="AJ62" i="28"/>
  <c r="BC62" i="28"/>
  <c r="AY62" i="28"/>
  <c r="AU62" i="28"/>
  <c r="AQ62" i="28"/>
  <c r="AM62" i="28"/>
  <c r="AI62" i="28"/>
  <c r="BA74" i="28"/>
  <c r="AW74" i="28"/>
  <c r="AS74" i="28"/>
  <c r="AO74" i="28"/>
  <c r="AK74" i="28"/>
  <c r="P74" i="28"/>
  <c r="BD74" i="28"/>
  <c r="AZ74" i="28"/>
  <c r="AV74" i="28"/>
  <c r="AR74" i="28"/>
  <c r="AN74" i="28"/>
  <c r="AJ74" i="28"/>
  <c r="BC74" i="28"/>
  <c r="AY74" i="28"/>
  <c r="AU74" i="28"/>
  <c r="AQ74" i="28"/>
  <c r="AM74" i="28"/>
  <c r="AI74" i="28"/>
  <c r="R74" i="28"/>
  <c r="BA86" i="28"/>
  <c r="AW86" i="28"/>
  <c r="AS86" i="28"/>
  <c r="AO86" i="28"/>
  <c r="AK86" i="28"/>
  <c r="BC86" i="28"/>
  <c r="AY86" i="28"/>
  <c r="AU86" i="28"/>
  <c r="AQ86" i="28"/>
  <c r="AM86" i="28"/>
  <c r="AI86" i="28"/>
  <c r="AX86" i="28"/>
  <c r="AP86" i="28"/>
  <c r="BD86" i="28"/>
  <c r="AV86" i="28"/>
  <c r="AN86" i="28"/>
  <c r="BB86" i="28"/>
  <c r="AT86" i="28"/>
  <c r="AL86" i="28"/>
  <c r="BC98" i="28"/>
  <c r="AY98" i="28"/>
  <c r="AU98" i="28"/>
  <c r="AQ98" i="28"/>
  <c r="AM98" i="28"/>
  <c r="AI98" i="28"/>
  <c r="BA98" i="28"/>
  <c r="AW98" i="28"/>
  <c r="AS98" i="28"/>
  <c r="AO98" i="28"/>
  <c r="AK98" i="28"/>
  <c r="BB98" i="28"/>
  <c r="AT98" i="28"/>
  <c r="AL98" i="28"/>
  <c r="AX98" i="28"/>
  <c r="AP98" i="28"/>
  <c r="BD98" i="28"/>
  <c r="AN98" i="28"/>
  <c r="AZ98" i="28"/>
  <c r="AJ98" i="28"/>
  <c r="AV98" i="28"/>
  <c r="AO58" i="28"/>
  <c r="AP74" i="28"/>
  <c r="AP78" i="28"/>
  <c r="AM90" i="28"/>
  <c r="BA59" i="28"/>
  <c r="AW59" i="28"/>
  <c r="AS59" i="28"/>
  <c r="BD59" i="28"/>
  <c r="AZ59" i="28"/>
  <c r="AV59" i="28"/>
  <c r="AR59" i="28"/>
  <c r="AN59" i="28"/>
  <c r="AJ59" i="28"/>
  <c r="BC59" i="28"/>
  <c r="AY59" i="28"/>
  <c r="AU59" i="28"/>
  <c r="AQ59" i="28"/>
  <c r="AM59" i="28"/>
  <c r="AI59" i="28"/>
  <c r="BA63" i="28"/>
  <c r="AW63" i="28"/>
  <c r="AS63" i="28"/>
  <c r="AO63" i="28"/>
  <c r="AK63" i="28"/>
  <c r="BD63" i="28"/>
  <c r="AZ63" i="28"/>
  <c r="AV63" i="28"/>
  <c r="AR63" i="28"/>
  <c r="AN63" i="28"/>
  <c r="AJ63" i="28"/>
  <c r="BC63" i="28"/>
  <c r="AY63" i="28"/>
  <c r="AU63" i="28"/>
  <c r="AQ63" i="28"/>
  <c r="AM63" i="28"/>
  <c r="AI63" i="28"/>
  <c r="BA67" i="28"/>
  <c r="AW67" i="28"/>
  <c r="AS67" i="28"/>
  <c r="AO67" i="28"/>
  <c r="AK67" i="28"/>
  <c r="BD67" i="28"/>
  <c r="AZ67" i="28"/>
  <c r="AV67" i="28"/>
  <c r="AR67" i="28"/>
  <c r="AN67" i="28"/>
  <c r="AJ67" i="28"/>
  <c r="BC67" i="28"/>
  <c r="AY67" i="28"/>
  <c r="AU67" i="28"/>
  <c r="AQ67" i="28"/>
  <c r="AM67" i="28"/>
  <c r="AI67" i="28"/>
  <c r="BA71" i="28"/>
  <c r="AW71" i="28"/>
  <c r="AS71" i="28"/>
  <c r="AO71" i="28"/>
  <c r="AK71" i="28"/>
  <c r="BD71" i="28"/>
  <c r="AZ71" i="28"/>
  <c r="AV71" i="28"/>
  <c r="AR71" i="28"/>
  <c r="AN71" i="28"/>
  <c r="AJ71" i="28"/>
  <c r="BC71" i="28"/>
  <c r="AY71" i="28"/>
  <c r="AU71" i="28"/>
  <c r="AQ71" i="28"/>
  <c r="AM71" i="28"/>
  <c r="AI71" i="28"/>
  <c r="BA75" i="28"/>
  <c r="AW75" i="28"/>
  <c r="AS75" i="28"/>
  <c r="AO75" i="28"/>
  <c r="AK75" i="28"/>
  <c r="P75" i="28"/>
  <c r="BD75" i="28"/>
  <c r="AZ75" i="28"/>
  <c r="AV75" i="28"/>
  <c r="AR75" i="28"/>
  <c r="AN75" i="28"/>
  <c r="AJ75" i="28"/>
  <c r="BC75" i="28"/>
  <c r="AY75" i="28"/>
  <c r="AU75" i="28"/>
  <c r="AQ75" i="28"/>
  <c r="AM75" i="28"/>
  <c r="AI75" i="28"/>
  <c r="R75" i="28"/>
  <c r="BA79" i="28"/>
  <c r="AW79" i="28"/>
  <c r="AS79" i="28"/>
  <c r="AO79" i="28"/>
  <c r="AK79" i="28"/>
  <c r="P79" i="28"/>
  <c r="BD79" i="28"/>
  <c r="AZ79" i="28"/>
  <c r="AV79" i="28"/>
  <c r="AR79" i="28"/>
  <c r="AN79" i="28"/>
  <c r="AJ79" i="28"/>
  <c r="BC79" i="28"/>
  <c r="AY79" i="28"/>
  <c r="AU79" i="28"/>
  <c r="AQ79" i="28"/>
  <c r="AM79" i="28"/>
  <c r="AI79" i="28"/>
  <c r="R79" i="28"/>
  <c r="BA83" i="28"/>
  <c r="AW83" i="28"/>
  <c r="AS83" i="28"/>
  <c r="AO83" i="28"/>
  <c r="AK83" i="28"/>
  <c r="BC83" i="28"/>
  <c r="AY83" i="28"/>
  <c r="AU83" i="28"/>
  <c r="AQ83" i="28"/>
  <c r="AM83" i="28"/>
  <c r="AI83" i="28"/>
  <c r="BB83" i="28"/>
  <c r="AT83" i="28"/>
  <c r="AL83" i="28"/>
  <c r="AZ83" i="28"/>
  <c r="AR83" i="28"/>
  <c r="AJ83" i="28"/>
  <c r="AX83" i="28"/>
  <c r="AP83" i="28"/>
  <c r="BA87" i="28"/>
  <c r="AW87" i="28"/>
  <c r="AS87" i="28"/>
  <c r="AO87" i="28"/>
  <c r="AK87" i="28"/>
  <c r="BC87" i="28"/>
  <c r="AY87" i="28"/>
  <c r="AU87" i="28"/>
  <c r="AQ87" i="28"/>
  <c r="AM87" i="28"/>
  <c r="AI87" i="28"/>
  <c r="BB87" i="28"/>
  <c r="AT87" i="28"/>
  <c r="AL87" i="28"/>
  <c r="AZ87" i="28"/>
  <c r="AR87" i="28"/>
  <c r="AJ87" i="28"/>
  <c r="AX87" i="28"/>
  <c r="AP87" i="28"/>
  <c r="BC91" i="28"/>
  <c r="AY91" i="28"/>
  <c r="BA91" i="28"/>
  <c r="AW91" i="28"/>
  <c r="AS91" i="28"/>
  <c r="AO91" i="28"/>
  <c r="AK91" i="28"/>
  <c r="AX91" i="28"/>
  <c r="AR91" i="28"/>
  <c r="AM91" i="28"/>
  <c r="BB91" i="28"/>
  <c r="AU91" i="28"/>
  <c r="AP91" i="28"/>
  <c r="AJ91" i="28"/>
  <c r="AT91" i="28"/>
  <c r="AI91" i="28"/>
  <c r="BD91" i="28"/>
  <c r="AQ91" i="28"/>
  <c r="AZ91" i="28"/>
  <c r="AN91" i="28"/>
  <c r="BC95" i="28"/>
  <c r="AY95" i="28"/>
  <c r="AU95" i="28"/>
  <c r="AQ95" i="28"/>
  <c r="AM95" i="28"/>
  <c r="AI95" i="28"/>
  <c r="BA95" i="28"/>
  <c r="AW95" i="28"/>
  <c r="AS95" i="28"/>
  <c r="AO95" i="28"/>
  <c r="AK95" i="28"/>
  <c r="AX95" i="28"/>
  <c r="AP95" i="28"/>
  <c r="BB95" i="28"/>
  <c r="AT95" i="28"/>
  <c r="AL95" i="28"/>
  <c r="AR95" i="28"/>
  <c r="BD95" i="28"/>
  <c r="AN95" i="28"/>
  <c r="AZ95" i="28"/>
  <c r="AJ95" i="28"/>
  <c r="BC99" i="28"/>
  <c r="AY99" i="28"/>
  <c r="AU99" i="28"/>
  <c r="AQ99" i="28"/>
  <c r="AM99" i="28"/>
  <c r="AI99" i="28"/>
  <c r="BA99" i="28"/>
  <c r="AW99" i="28"/>
  <c r="AS99" i="28"/>
  <c r="AO99" i="28"/>
  <c r="AK99" i="28"/>
  <c r="AX99" i="28"/>
  <c r="AP99" i="28"/>
  <c r="BB99" i="28"/>
  <c r="AT99" i="28"/>
  <c r="AL99" i="28"/>
  <c r="AR99" i="28"/>
  <c r="BD99" i="28"/>
  <c r="AN99" i="28"/>
  <c r="AZ99" i="28"/>
  <c r="AJ99" i="28"/>
  <c r="BB103" i="28"/>
  <c r="AX103" i="28"/>
  <c r="AT103" i="28"/>
  <c r="AP103" i="28"/>
  <c r="AL103" i="28"/>
  <c r="BA103" i="28"/>
  <c r="AW103" i="28"/>
  <c r="AS103" i="28"/>
  <c r="AO103" i="28"/>
  <c r="AK103" i="28"/>
  <c r="BD103" i="28"/>
  <c r="AZ103" i="28"/>
  <c r="AV103" i="28"/>
  <c r="AR103" i="28"/>
  <c r="AN103" i="28"/>
  <c r="AJ103" i="28"/>
  <c r="BC103" i="28"/>
  <c r="AM103" i="28"/>
  <c r="AU103" i="28"/>
  <c r="AY103" i="28"/>
  <c r="AI103" i="28"/>
  <c r="AQ103" i="28"/>
  <c r="AL57" i="28"/>
  <c r="AP57" i="28"/>
  <c r="AT57" i="28"/>
  <c r="AX57" i="28"/>
  <c r="BB57" i="28"/>
  <c r="AP58" i="28"/>
  <c r="AL59" i="28"/>
  <c r="AX59" i="28"/>
  <c r="AL60" i="28"/>
  <c r="AP61" i="28"/>
  <c r="AT62" i="28"/>
  <c r="AX63" i="28"/>
  <c r="AL64" i="28"/>
  <c r="AP65" i="28"/>
  <c r="AT66" i="28"/>
  <c r="AX67" i="28"/>
  <c r="AL68" i="28"/>
  <c r="AP69" i="28"/>
  <c r="AX71" i="28"/>
  <c r="AL72" i="28"/>
  <c r="AP73" i="28"/>
  <c r="AT74" i="28"/>
  <c r="AX75" i="28"/>
  <c r="AL76" i="28"/>
  <c r="AP77" i="28"/>
  <c r="AT78" i="28"/>
  <c r="AX79" i="28"/>
  <c r="AL80" i="28"/>
  <c r="AN83" i="28"/>
  <c r="AV85" i="28"/>
  <c r="AJ86" i="28"/>
  <c r="BD87" i="28"/>
  <c r="AY89" i="28"/>
  <c r="AX90" i="28"/>
  <c r="AV91" i="28"/>
  <c r="AN97" i="28"/>
  <c r="BD58" i="28"/>
  <c r="AZ58" i="28"/>
  <c r="AV58" i="28"/>
  <c r="AR58" i="28"/>
  <c r="AN58" i="28"/>
  <c r="AJ58" i="28"/>
  <c r="BC58" i="28"/>
  <c r="AY58" i="28"/>
  <c r="AU58" i="28"/>
  <c r="AQ58" i="28"/>
  <c r="AM58" i="28"/>
  <c r="AI58" i="28"/>
  <c r="BA70" i="28"/>
  <c r="AW70" i="28"/>
  <c r="AS70" i="28"/>
  <c r="AO70" i="28"/>
  <c r="AK70" i="28"/>
  <c r="BD70" i="28"/>
  <c r="AZ70" i="28"/>
  <c r="AV70" i="28"/>
  <c r="AR70" i="28"/>
  <c r="AN70" i="28"/>
  <c r="AJ70" i="28"/>
  <c r="BC70" i="28"/>
  <c r="AY70" i="28"/>
  <c r="AU70" i="28"/>
  <c r="AQ70" i="28"/>
  <c r="AM70" i="28"/>
  <c r="AI70" i="28"/>
  <c r="BA82" i="28"/>
  <c r="AW82" i="28"/>
  <c r="AS82" i="28"/>
  <c r="AO82" i="28"/>
  <c r="AK82" i="28"/>
  <c r="BC82" i="28"/>
  <c r="AY82" i="28"/>
  <c r="AU82" i="28"/>
  <c r="AQ82" i="28"/>
  <c r="AM82" i="28"/>
  <c r="AI82" i="28"/>
  <c r="AX82" i="28"/>
  <c r="AP82" i="28"/>
  <c r="BD82" i="28"/>
  <c r="AV82" i="28"/>
  <c r="AN82" i="28"/>
  <c r="BB82" i="28"/>
  <c r="AT82" i="28"/>
  <c r="AL82" i="28"/>
  <c r="BC94" i="28"/>
  <c r="AY94" i="28"/>
  <c r="AU94" i="28"/>
  <c r="AQ94" i="28"/>
  <c r="AM94" i="28"/>
  <c r="AI94" i="28"/>
  <c r="BA94" i="28"/>
  <c r="AW94" i="28"/>
  <c r="AS94" i="28"/>
  <c r="AO94" i="28"/>
  <c r="AK94" i="28"/>
  <c r="BB94" i="28"/>
  <c r="AT94" i="28"/>
  <c r="AL94" i="28"/>
  <c r="AX94" i="28"/>
  <c r="AP94" i="28"/>
  <c r="BD94" i="28"/>
  <c r="AN94" i="28"/>
  <c r="AZ94" i="28"/>
  <c r="AJ94" i="28"/>
  <c r="AV94" i="28"/>
  <c r="AP62" i="28"/>
  <c r="AR82" i="28"/>
  <c r="AR98" i="28"/>
  <c r="BA60" i="28"/>
  <c r="AW60" i="28"/>
  <c r="AS60" i="28"/>
  <c r="AO60" i="28"/>
  <c r="AK60" i="28"/>
  <c r="BD60" i="28"/>
  <c r="AZ60" i="28"/>
  <c r="AV60" i="28"/>
  <c r="AR60" i="28"/>
  <c r="AN60" i="28"/>
  <c r="AJ60" i="28"/>
  <c r="BC60" i="28"/>
  <c r="AY60" i="28"/>
  <c r="AU60" i="28"/>
  <c r="AQ60" i="28"/>
  <c r="AM60" i="28"/>
  <c r="AI60" i="28"/>
  <c r="BA64" i="28"/>
  <c r="AW64" i="28"/>
  <c r="AS64" i="28"/>
  <c r="AO64" i="28"/>
  <c r="AK64" i="28"/>
  <c r="BD64" i="28"/>
  <c r="AZ64" i="28"/>
  <c r="AV64" i="28"/>
  <c r="AR64" i="28"/>
  <c r="AN64" i="28"/>
  <c r="AJ64" i="28"/>
  <c r="BC64" i="28"/>
  <c r="AY64" i="28"/>
  <c r="AU64" i="28"/>
  <c r="AQ64" i="28"/>
  <c r="AM64" i="28"/>
  <c r="AI64" i="28"/>
  <c r="BA68" i="28"/>
  <c r="AW68" i="28"/>
  <c r="AS68" i="28"/>
  <c r="AO68" i="28"/>
  <c r="AK68" i="28"/>
  <c r="BD68" i="28"/>
  <c r="AZ68" i="28"/>
  <c r="AV68" i="28"/>
  <c r="AR68" i="28"/>
  <c r="AN68" i="28"/>
  <c r="AJ68" i="28"/>
  <c r="BC68" i="28"/>
  <c r="AY68" i="28"/>
  <c r="AU68" i="28"/>
  <c r="AQ68" i="28"/>
  <c r="AM68" i="28"/>
  <c r="AI68" i="28"/>
  <c r="BA72" i="28"/>
  <c r="AW72" i="28"/>
  <c r="AS72" i="28"/>
  <c r="AO72" i="28"/>
  <c r="AK72" i="28"/>
  <c r="BD72" i="28"/>
  <c r="AZ72" i="28"/>
  <c r="AV72" i="28"/>
  <c r="AR72" i="28"/>
  <c r="AN72" i="28"/>
  <c r="AJ72" i="28"/>
  <c r="BC72" i="28"/>
  <c r="AY72" i="28"/>
  <c r="AU72" i="28"/>
  <c r="AQ72" i="28"/>
  <c r="AM72" i="28"/>
  <c r="AI72" i="28"/>
  <c r="BA76" i="28"/>
  <c r="AW76" i="28"/>
  <c r="AS76" i="28"/>
  <c r="AO76" i="28"/>
  <c r="AK76" i="28"/>
  <c r="P76" i="28"/>
  <c r="BD76" i="28"/>
  <c r="AZ76" i="28"/>
  <c r="AV76" i="28"/>
  <c r="AR76" i="28"/>
  <c r="AN76" i="28"/>
  <c r="AJ76" i="28"/>
  <c r="BC76" i="28"/>
  <c r="AY76" i="28"/>
  <c r="AU76" i="28"/>
  <c r="AQ76" i="28"/>
  <c r="AM76" i="28"/>
  <c r="AI76" i="28"/>
  <c r="R76" i="28"/>
  <c r="BA80" i="28"/>
  <c r="AW80" i="28"/>
  <c r="AS80" i="28"/>
  <c r="AO80" i="28"/>
  <c r="AK80" i="28"/>
  <c r="P80" i="28"/>
  <c r="BD80" i="28"/>
  <c r="AZ80" i="28"/>
  <c r="AV80" i="28"/>
  <c r="AR80" i="28"/>
  <c r="AN80" i="28"/>
  <c r="AJ80" i="28"/>
  <c r="BC80" i="28"/>
  <c r="AY80" i="28"/>
  <c r="AU80" i="28"/>
  <c r="AQ80" i="28"/>
  <c r="AM80" i="28"/>
  <c r="AI80" i="28"/>
  <c r="R80" i="28"/>
  <c r="BA84" i="28"/>
  <c r="AW84" i="28"/>
  <c r="AS84" i="28"/>
  <c r="AO84" i="28"/>
  <c r="AK84" i="28"/>
  <c r="BC84" i="28"/>
  <c r="AY84" i="28"/>
  <c r="AU84" i="28"/>
  <c r="AQ84" i="28"/>
  <c r="AM84" i="28"/>
  <c r="AI84" i="28"/>
  <c r="AX84" i="28"/>
  <c r="AP84" i="28"/>
  <c r="BD84" i="28"/>
  <c r="AV84" i="28"/>
  <c r="AN84" i="28"/>
  <c r="BB84" i="28"/>
  <c r="AT84" i="28"/>
  <c r="AL84" i="28"/>
  <c r="BA88" i="28"/>
  <c r="AW88" i="28"/>
  <c r="AS88" i="28"/>
  <c r="AO88" i="28"/>
  <c r="AK88" i="28"/>
  <c r="BB88" i="28"/>
  <c r="AV88" i="28"/>
  <c r="AQ88" i="28"/>
  <c r="AL88" i="28"/>
  <c r="BD88" i="28"/>
  <c r="AY88" i="28"/>
  <c r="AT88" i="28"/>
  <c r="AN88" i="28"/>
  <c r="AI88" i="28"/>
  <c r="AX88" i="28"/>
  <c r="AM88" i="28"/>
  <c r="AU88" i="28"/>
  <c r="AJ88" i="28"/>
  <c r="BC88" i="28"/>
  <c r="AR88" i="28"/>
  <c r="BC92" i="28"/>
  <c r="AY92" i="28"/>
  <c r="AU92" i="28"/>
  <c r="AQ92" i="28"/>
  <c r="AM92" i="28"/>
  <c r="AI92" i="28"/>
  <c r="BA92" i="28"/>
  <c r="AW92" i="28"/>
  <c r="AS92" i="28"/>
  <c r="AO92" i="28"/>
  <c r="AK92" i="28"/>
  <c r="BB92" i="28"/>
  <c r="AT92" i="28"/>
  <c r="AL92" i="28"/>
  <c r="AX92" i="28"/>
  <c r="AP92" i="28"/>
  <c r="AV92" i="28"/>
  <c r="AR92" i="28"/>
  <c r="BD92" i="28"/>
  <c r="AN92" i="28"/>
  <c r="BC96" i="28"/>
  <c r="AY96" i="28"/>
  <c r="AU96" i="28"/>
  <c r="AQ96" i="28"/>
  <c r="AM96" i="28"/>
  <c r="AI96" i="28"/>
  <c r="BA96" i="28"/>
  <c r="AW96" i="28"/>
  <c r="AS96" i="28"/>
  <c r="AO96" i="28"/>
  <c r="AK96" i="28"/>
  <c r="BB96" i="28"/>
  <c r="AT96" i="28"/>
  <c r="AL96" i="28"/>
  <c r="AX96" i="28"/>
  <c r="AP96" i="28"/>
  <c r="AV96" i="28"/>
  <c r="AR96" i="28"/>
  <c r="BD96" i="28"/>
  <c r="AN96" i="28"/>
  <c r="BC100" i="28"/>
  <c r="AY100" i="28"/>
  <c r="AU100" i="28"/>
  <c r="AQ100" i="28"/>
  <c r="AM100" i="28"/>
  <c r="AI100" i="28"/>
  <c r="BA100" i="28"/>
  <c r="AW100" i="28"/>
  <c r="AS100" i="28"/>
  <c r="AO100" i="28"/>
  <c r="AK100" i="28"/>
  <c r="BB100" i="28"/>
  <c r="AT100" i="28"/>
  <c r="AL100" i="28"/>
  <c r="AX100" i="28"/>
  <c r="AP100" i="28"/>
  <c r="AV100" i="28"/>
  <c r="AR100" i="28"/>
  <c r="BD100" i="28"/>
  <c r="AN100" i="28"/>
  <c r="AI57" i="28"/>
  <c r="AM57" i="28"/>
  <c r="AQ57" i="28"/>
  <c r="AU57" i="28"/>
  <c r="AK58" i="28"/>
  <c r="AS58" i="28"/>
  <c r="BA58" i="28"/>
  <c r="AO59" i="28"/>
  <c r="BB59" i="28"/>
  <c r="AP60" i="28"/>
  <c r="AX62" i="28"/>
  <c r="AL63" i="28"/>
  <c r="BB63" i="28"/>
  <c r="AP64" i="28"/>
  <c r="AL67" i="28"/>
  <c r="BB67" i="28"/>
  <c r="AP68" i="28"/>
  <c r="AX70" i="28"/>
  <c r="AL71" i="28"/>
  <c r="BB71" i="28"/>
  <c r="AP72" i="28"/>
  <c r="AX74" i="28"/>
  <c r="AL75" i="28"/>
  <c r="BB75" i="28"/>
  <c r="AP76" i="28"/>
  <c r="AL79" i="28"/>
  <c r="BB79" i="28"/>
  <c r="AP80" i="28"/>
  <c r="AV83" i="28"/>
  <c r="AJ84" i="28"/>
  <c r="AR86" i="28"/>
  <c r="AJ96" i="28"/>
  <c r="AZ100" i="28"/>
  <c r="BA66" i="28"/>
  <c r="AW66" i="28"/>
  <c r="AS66" i="28"/>
  <c r="AO66" i="28"/>
  <c r="AK66" i="28"/>
  <c r="BD66" i="28"/>
  <c r="AZ66" i="28"/>
  <c r="AV66" i="28"/>
  <c r="AR66" i="28"/>
  <c r="AN66" i="28"/>
  <c r="AJ66" i="28"/>
  <c r="BC66" i="28"/>
  <c r="AY66" i="28"/>
  <c r="AU66" i="28"/>
  <c r="AQ66" i="28"/>
  <c r="AM66" i="28"/>
  <c r="AI66" i="28"/>
  <c r="BA78" i="28"/>
  <c r="AW78" i="28"/>
  <c r="AS78" i="28"/>
  <c r="AO78" i="28"/>
  <c r="AK78" i="28"/>
  <c r="P78" i="28"/>
  <c r="BD78" i="28"/>
  <c r="AZ78" i="28"/>
  <c r="AV78" i="28"/>
  <c r="AR78" i="28"/>
  <c r="AN78" i="28"/>
  <c r="AJ78" i="28"/>
  <c r="BC78" i="28"/>
  <c r="AY78" i="28"/>
  <c r="AU78" i="28"/>
  <c r="AQ78" i="28"/>
  <c r="AM78" i="28"/>
  <c r="AI78" i="28"/>
  <c r="R78" i="28"/>
  <c r="BA90" i="28"/>
  <c r="AW90" i="28"/>
  <c r="AS90" i="28"/>
  <c r="AO90" i="28"/>
  <c r="AK90" i="28"/>
  <c r="BD90" i="28"/>
  <c r="AY90" i="28"/>
  <c r="AT90" i="28"/>
  <c r="AN90" i="28"/>
  <c r="AI90" i="28"/>
  <c r="BB90" i="28"/>
  <c r="AV90" i="28"/>
  <c r="AQ90" i="28"/>
  <c r="AL90" i="28"/>
  <c r="AU90" i="28"/>
  <c r="AJ90" i="28"/>
  <c r="BC90" i="28"/>
  <c r="AR90" i="28"/>
  <c r="AZ90" i="28"/>
  <c r="AP90" i="28"/>
  <c r="BB102" i="28"/>
  <c r="AX102" i="28"/>
  <c r="AT102" i="28"/>
  <c r="AP102" i="28"/>
  <c r="AL102" i="28"/>
  <c r="BA102" i="28"/>
  <c r="AW102" i="28"/>
  <c r="AS102" i="28"/>
  <c r="AO102" i="28"/>
  <c r="AK102" i="28"/>
  <c r="BD102" i="28"/>
  <c r="AZ102" i="28"/>
  <c r="AV102" i="28"/>
  <c r="AR102" i="28"/>
  <c r="AN102" i="28"/>
  <c r="AJ102" i="28"/>
  <c r="AY102" i="28"/>
  <c r="AI102" i="28"/>
  <c r="AQ102" i="28"/>
  <c r="AU102" i="28"/>
  <c r="AM102" i="28"/>
  <c r="AW58" i="28"/>
  <c r="AP66" i="28"/>
  <c r="AP70" i="28"/>
  <c r="BD57" i="28"/>
  <c r="BC57" i="28"/>
  <c r="BA61" i="28"/>
  <c r="AW61" i="28"/>
  <c r="AS61" i="28"/>
  <c r="AO61" i="28"/>
  <c r="AK61" i="28"/>
  <c r="BD61" i="28"/>
  <c r="AZ61" i="28"/>
  <c r="AV61" i="28"/>
  <c r="AR61" i="28"/>
  <c r="AN61" i="28"/>
  <c r="AJ61" i="28"/>
  <c r="BC61" i="28"/>
  <c r="AY61" i="28"/>
  <c r="AU61" i="28"/>
  <c r="AQ61" i="28"/>
  <c r="AM61" i="28"/>
  <c r="AI61" i="28"/>
  <c r="BA65" i="28"/>
  <c r="AW65" i="28"/>
  <c r="AS65" i="28"/>
  <c r="AO65" i="28"/>
  <c r="AK65" i="28"/>
  <c r="BD65" i="28"/>
  <c r="AZ65" i="28"/>
  <c r="AV65" i="28"/>
  <c r="AR65" i="28"/>
  <c r="AN65" i="28"/>
  <c r="AJ65" i="28"/>
  <c r="BC65" i="28"/>
  <c r="AY65" i="28"/>
  <c r="AU65" i="28"/>
  <c r="AQ65" i="28"/>
  <c r="AM65" i="28"/>
  <c r="AI65" i="28"/>
  <c r="BA69" i="28"/>
  <c r="AW69" i="28"/>
  <c r="AS69" i="28"/>
  <c r="AO69" i="28"/>
  <c r="AK69" i="28"/>
  <c r="BD69" i="28"/>
  <c r="AZ69" i="28"/>
  <c r="AV69" i="28"/>
  <c r="AR69" i="28"/>
  <c r="AN69" i="28"/>
  <c r="AJ69" i="28"/>
  <c r="BC69" i="28"/>
  <c r="AY69" i="28"/>
  <c r="AU69" i="28"/>
  <c r="AQ69" i="28"/>
  <c r="AM69" i="28"/>
  <c r="AI69" i="28"/>
  <c r="BA73" i="28"/>
  <c r="AW73" i="28"/>
  <c r="AS73" i="28"/>
  <c r="AO73" i="28"/>
  <c r="AK73" i="28"/>
  <c r="P73" i="28"/>
  <c r="BD73" i="28"/>
  <c r="AZ73" i="28"/>
  <c r="AV73" i="28"/>
  <c r="AR73" i="28"/>
  <c r="AN73" i="28"/>
  <c r="AJ73" i="28"/>
  <c r="BC73" i="28"/>
  <c r="AY73" i="28"/>
  <c r="AU73" i="28"/>
  <c r="AQ73" i="28"/>
  <c r="AM73" i="28"/>
  <c r="AI73" i="28"/>
  <c r="R73" i="28"/>
  <c r="BA77" i="28"/>
  <c r="AW77" i="28"/>
  <c r="AS77" i="28"/>
  <c r="AO77" i="28"/>
  <c r="AK77" i="28"/>
  <c r="BD77" i="28"/>
  <c r="AZ77" i="28"/>
  <c r="AV77" i="28"/>
  <c r="AR77" i="28"/>
  <c r="AN77" i="28"/>
  <c r="AJ77" i="28"/>
  <c r="BC77" i="28"/>
  <c r="AY77" i="28"/>
  <c r="AU77" i="28"/>
  <c r="AQ77" i="28"/>
  <c r="AM77" i="28"/>
  <c r="AI77" i="28"/>
  <c r="BA81" i="28"/>
  <c r="AW81" i="28"/>
  <c r="AS81" i="28"/>
  <c r="AO81" i="28"/>
  <c r="AK81" i="28"/>
  <c r="BC81" i="28"/>
  <c r="AY81" i="28"/>
  <c r="AU81" i="28"/>
  <c r="AQ81" i="28"/>
  <c r="AM81" i="28"/>
  <c r="AI81" i="28"/>
  <c r="BB81" i="28"/>
  <c r="AT81" i="28"/>
  <c r="AL81" i="28"/>
  <c r="P81" i="28"/>
  <c r="AZ81" i="28"/>
  <c r="AR81" i="28"/>
  <c r="AJ81" i="28"/>
  <c r="AX81" i="28"/>
  <c r="AP81" i="28"/>
  <c r="R81" i="28"/>
  <c r="BA85" i="28"/>
  <c r="AW85" i="28"/>
  <c r="AS85" i="28"/>
  <c r="AO85" i="28"/>
  <c r="AK85" i="28"/>
  <c r="BC85" i="28"/>
  <c r="AY85" i="28"/>
  <c r="AU85" i="28"/>
  <c r="AQ85" i="28"/>
  <c r="AM85" i="28"/>
  <c r="AI85" i="28"/>
  <c r="BB85" i="28"/>
  <c r="AT85" i="28"/>
  <c r="AL85" i="28"/>
  <c r="AZ85" i="28"/>
  <c r="AR85" i="28"/>
  <c r="AJ85" i="28"/>
  <c r="AX85" i="28"/>
  <c r="AP85" i="28"/>
  <c r="BA89" i="28"/>
  <c r="AW89" i="28"/>
  <c r="AS89" i="28"/>
  <c r="AO89" i="28"/>
  <c r="AK89" i="28"/>
  <c r="AZ89" i="28"/>
  <c r="AU89" i="28"/>
  <c r="AP89" i="28"/>
  <c r="AJ89" i="28"/>
  <c r="BC89" i="28"/>
  <c r="AX89" i="28"/>
  <c r="AR89" i="28"/>
  <c r="AM89" i="28"/>
  <c r="AV89" i="28"/>
  <c r="AL89" i="28"/>
  <c r="BD89" i="28"/>
  <c r="AT89" i="28"/>
  <c r="AI89" i="28"/>
  <c r="BB89" i="28"/>
  <c r="AQ89" i="28"/>
  <c r="BC93" i="28"/>
  <c r="AY93" i="28"/>
  <c r="AU93" i="28"/>
  <c r="AQ93" i="28"/>
  <c r="AM93" i="28"/>
  <c r="AI93" i="28"/>
  <c r="BA93" i="28"/>
  <c r="AW93" i="28"/>
  <c r="AS93" i="28"/>
  <c r="AO93" i="28"/>
  <c r="AK93" i="28"/>
  <c r="AX93" i="28"/>
  <c r="AP93" i="28"/>
  <c r="BB93" i="28"/>
  <c r="AT93" i="28"/>
  <c r="AL93" i="28"/>
  <c r="AZ93" i="28"/>
  <c r="AJ93" i="28"/>
  <c r="AV93" i="28"/>
  <c r="AR93" i="28"/>
  <c r="BC97" i="28"/>
  <c r="AY97" i="28"/>
  <c r="AU97" i="28"/>
  <c r="AQ97" i="28"/>
  <c r="AM97" i="28"/>
  <c r="AI97" i="28"/>
  <c r="BA97" i="28"/>
  <c r="AW97" i="28"/>
  <c r="AS97" i="28"/>
  <c r="AO97" i="28"/>
  <c r="AK97" i="28"/>
  <c r="AX97" i="28"/>
  <c r="AP97" i="28"/>
  <c r="BB97" i="28"/>
  <c r="AT97" i="28"/>
  <c r="AL97" i="28"/>
  <c r="AZ97" i="28"/>
  <c r="AJ97" i="28"/>
  <c r="AV97" i="28"/>
  <c r="AR97" i="28"/>
  <c r="BC101" i="28"/>
  <c r="AY101" i="28"/>
  <c r="AU101" i="28"/>
  <c r="AQ101" i="28"/>
  <c r="AM101" i="28"/>
  <c r="AI101" i="28"/>
  <c r="BA101" i="28"/>
  <c r="AW101" i="28"/>
  <c r="AS101" i="28"/>
  <c r="AO101" i="28"/>
  <c r="AK101" i="28"/>
  <c r="AX101" i="28"/>
  <c r="AP101" i="28"/>
  <c r="BB101" i="28"/>
  <c r="AT101" i="28"/>
  <c r="AL101" i="28"/>
  <c r="AZ101" i="28"/>
  <c r="AJ101" i="28"/>
  <c r="AV101" i="28"/>
  <c r="AR101" i="28"/>
  <c r="AJ57" i="28"/>
  <c r="AN57" i="28"/>
  <c r="AR57" i="28"/>
  <c r="AV57" i="28"/>
  <c r="AZ57" i="28"/>
  <c r="AL58" i="28"/>
  <c r="AT58" i="28"/>
  <c r="BB58" i="28"/>
  <c r="AP59" i="28"/>
  <c r="AT60" i="28"/>
  <c r="AX61" i="28"/>
  <c r="AL62" i="28"/>
  <c r="BB62" i="28"/>
  <c r="AP63" i="28"/>
  <c r="AT64" i="28"/>
  <c r="AX65" i="28"/>
  <c r="AL66" i="28"/>
  <c r="BB66" i="28"/>
  <c r="AP67" i="28"/>
  <c r="AT68" i="28"/>
  <c r="AX69" i="28"/>
  <c r="AL70" i="28"/>
  <c r="BB70" i="28"/>
  <c r="AP71" i="28"/>
  <c r="AT72" i="28"/>
  <c r="AX73" i="28"/>
  <c r="AL74" i="28"/>
  <c r="BB74" i="28"/>
  <c r="AP75" i="28"/>
  <c r="AT76" i="28"/>
  <c r="AX77" i="28"/>
  <c r="AL78" i="28"/>
  <c r="BB78" i="28"/>
  <c r="AP79" i="28"/>
  <c r="AT80" i="28"/>
  <c r="AV81" i="28"/>
  <c r="AJ82" i="28"/>
  <c r="BD83" i="28"/>
  <c r="AR84" i="28"/>
  <c r="AZ86" i="28"/>
  <c r="AN87" i="28"/>
  <c r="AJ92" i="28"/>
  <c r="BD93" i="28"/>
  <c r="AZ96" i="28"/>
  <c r="AV99" i="28"/>
  <c r="AH54" i="29"/>
  <c r="AD54" i="29"/>
  <c r="Z54" i="29"/>
  <c r="AG54" i="29"/>
  <c r="AC54" i="29"/>
  <c r="Y54" i="29"/>
  <c r="AF54" i="29"/>
  <c r="AB54" i="29"/>
  <c r="X54" i="29"/>
  <c r="AE54" i="29"/>
  <c r="AA54" i="29"/>
  <c r="AH66" i="29"/>
  <c r="AD66" i="29"/>
  <c r="Z66" i="29"/>
  <c r="AG66" i="29"/>
  <c r="AC66" i="29"/>
  <c r="Y66" i="29"/>
  <c r="AF66" i="29"/>
  <c r="AB66" i="29"/>
  <c r="X66" i="29"/>
  <c r="AE66" i="29"/>
  <c r="AA66" i="29"/>
  <c r="AG70" i="29"/>
  <c r="AC70" i="29"/>
  <c r="Y70" i="29"/>
  <c r="AF70" i="29"/>
  <c r="AB70" i="29"/>
  <c r="X70" i="29"/>
  <c r="AA70" i="29"/>
  <c r="AH70" i="29"/>
  <c r="Z70" i="29"/>
  <c r="AE70" i="29"/>
  <c r="AD70" i="29"/>
  <c r="AF74" i="29"/>
  <c r="AB74" i="29"/>
  <c r="X74" i="29"/>
  <c r="AG74" i="29"/>
  <c r="AA74" i="29"/>
  <c r="AE74" i="29"/>
  <c r="Z74" i="29"/>
  <c r="AD74" i="29"/>
  <c r="AC74" i="29"/>
  <c r="Y74" i="29"/>
  <c r="AH74" i="29"/>
  <c r="AF78" i="29"/>
  <c r="AB78" i="29"/>
  <c r="X78" i="29"/>
  <c r="AD78" i="29"/>
  <c r="Y78" i="29"/>
  <c r="AH78" i="29"/>
  <c r="AC78" i="29"/>
  <c r="AA78" i="29"/>
  <c r="Z78" i="29"/>
  <c r="AG78" i="29"/>
  <c r="AE78" i="29"/>
  <c r="AF82" i="29"/>
  <c r="AB82" i="29"/>
  <c r="X82" i="29"/>
  <c r="AH82" i="29"/>
  <c r="AG82" i="29"/>
  <c r="AA82" i="29"/>
  <c r="AE82" i="29"/>
  <c r="Z82" i="29"/>
  <c r="Y82" i="29"/>
  <c r="AD82" i="29"/>
  <c r="AC82" i="29"/>
  <c r="AE67" i="29"/>
  <c r="AA67" i="29"/>
  <c r="AH67" i="29"/>
  <c r="AD67" i="29"/>
  <c r="Z67" i="29"/>
  <c r="AE71" i="29"/>
  <c r="AA71" i="29"/>
  <c r="AH71" i="29"/>
  <c r="AD71" i="29"/>
  <c r="Z71" i="29"/>
  <c r="AH75" i="29"/>
  <c r="AD75" i="29"/>
  <c r="Z75" i="29"/>
  <c r="AF75" i="29"/>
  <c r="AA75" i="29"/>
  <c r="AE75" i="29"/>
  <c r="Y75" i="29"/>
  <c r="AH79" i="29"/>
  <c r="AD79" i="29"/>
  <c r="Z79" i="29"/>
  <c r="AC79" i="29"/>
  <c r="X79" i="29"/>
  <c r="AG79" i="29"/>
  <c r="AB79" i="29"/>
  <c r="AH83" i="29"/>
  <c r="AD83" i="29"/>
  <c r="Z83" i="29"/>
  <c r="AF83" i="29"/>
  <c r="AB83" i="29"/>
  <c r="X83" i="29"/>
  <c r="AA83" i="29"/>
  <c r="AG83" i="29"/>
  <c r="Y83" i="29"/>
  <c r="X48" i="29"/>
  <c r="AB48" i="29"/>
  <c r="AF48" i="29"/>
  <c r="Z49" i="29"/>
  <c r="AD49" i="29"/>
  <c r="AH49" i="29"/>
  <c r="X52" i="29"/>
  <c r="AB52" i="29"/>
  <c r="AF52" i="29"/>
  <c r="Z53" i="29"/>
  <c r="AD53" i="29"/>
  <c r="AH53" i="29"/>
  <c r="Z55" i="29"/>
  <c r="AD55" i="29"/>
  <c r="AH55" i="29"/>
  <c r="X56" i="29"/>
  <c r="AB56" i="29"/>
  <c r="AF56" i="29"/>
  <c r="Z57" i="29"/>
  <c r="AD57" i="29"/>
  <c r="AH57" i="29"/>
  <c r="X60" i="29"/>
  <c r="AB60" i="29"/>
  <c r="AF60" i="29"/>
  <c r="Z61" i="29"/>
  <c r="AD61" i="29"/>
  <c r="AH61" i="29"/>
  <c r="Z65" i="29"/>
  <c r="AD65" i="29"/>
  <c r="AH65" i="29"/>
  <c r="Y67" i="29"/>
  <c r="AG67" i="29"/>
  <c r="AC69" i="29"/>
  <c r="Y71" i="29"/>
  <c r="AG71" i="29"/>
  <c r="AC73" i="29"/>
  <c r="X75" i="29"/>
  <c r="AG77" i="29"/>
  <c r="AF79" i="29"/>
  <c r="AE81" i="29"/>
  <c r="AG68" i="29"/>
  <c r="AC68" i="29"/>
  <c r="Y68" i="29"/>
  <c r="AF68" i="29"/>
  <c r="AB68" i="29"/>
  <c r="X68" i="29"/>
  <c r="AG72" i="29"/>
  <c r="AC72" i="29"/>
  <c r="Y72" i="29"/>
  <c r="AF72" i="29"/>
  <c r="AB72" i="29"/>
  <c r="X72" i="29"/>
  <c r="AF76" i="29"/>
  <c r="AB76" i="29"/>
  <c r="X76" i="29"/>
  <c r="AE76" i="29"/>
  <c r="Z76" i="29"/>
  <c r="AD76" i="29"/>
  <c r="Y76" i="29"/>
  <c r="AF80" i="29"/>
  <c r="AB80" i="29"/>
  <c r="X80" i="29"/>
  <c r="AH80" i="29"/>
  <c r="AC80" i="29"/>
  <c r="AG80" i="29"/>
  <c r="AA80" i="29"/>
  <c r="AF84" i="29"/>
  <c r="AB84" i="29"/>
  <c r="X84" i="29"/>
  <c r="AE84" i="29"/>
  <c r="AH84" i="29"/>
  <c r="AD84" i="29"/>
  <c r="Z84" i="29"/>
  <c r="AC84" i="29"/>
  <c r="AA84" i="29"/>
  <c r="Y48" i="29"/>
  <c r="AC48" i="29"/>
  <c r="AG48" i="29"/>
  <c r="AA49" i="29"/>
  <c r="AE49" i="29"/>
  <c r="Y52" i="29"/>
  <c r="AC52" i="29"/>
  <c r="AG52" i="29"/>
  <c r="AA53" i="29"/>
  <c r="AE53" i="29"/>
  <c r="AA55" i="29"/>
  <c r="AE55" i="29"/>
  <c r="Y56" i="29"/>
  <c r="AC56" i="29"/>
  <c r="AG56" i="29"/>
  <c r="AA57" i="29"/>
  <c r="AE57" i="29"/>
  <c r="Y60" i="29"/>
  <c r="AC60" i="29"/>
  <c r="AG60" i="29"/>
  <c r="AA61" i="29"/>
  <c r="AE61" i="29"/>
  <c r="AA65" i="29"/>
  <c r="AE65" i="29"/>
  <c r="AB67" i="29"/>
  <c r="AD68" i="29"/>
  <c r="X69" i="29"/>
  <c r="AB71" i="29"/>
  <c r="AD72" i="29"/>
  <c r="X73" i="29"/>
  <c r="AB75" i="29"/>
  <c r="AA76" i="29"/>
  <c r="Y79" i="29"/>
  <c r="Y80" i="29"/>
  <c r="AC83" i="29"/>
  <c r="AE69" i="29"/>
  <c r="AA69" i="29"/>
  <c r="AH69" i="29"/>
  <c r="AD69" i="29"/>
  <c r="Z69" i="29"/>
  <c r="AE73" i="29"/>
  <c r="AA73" i="29"/>
  <c r="AH73" i="29"/>
  <c r="AD73" i="29"/>
  <c r="Z73" i="29"/>
  <c r="AH77" i="29"/>
  <c r="AD77" i="29"/>
  <c r="Z77" i="29"/>
  <c r="AE77" i="29"/>
  <c r="Y77" i="29"/>
  <c r="AC77" i="29"/>
  <c r="X77" i="29"/>
  <c r="AH81" i="29"/>
  <c r="AD81" i="29"/>
  <c r="Z81" i="29"/>
  <c r="AG81" i="29"/>
  <c r="AB81" i="29"/>
  <c r="AF81" i="29"/>
  <c r="AA81" i="29"/>
  <c r="AH85" i="29"/>
  <c r="AD85" i="29"/>
  <c r="Z85" i="29"/>
  <c r="AG85" i="29"/>
  <c r="AC85" i="29"/>
  <c r="Y85" i="29"/>
  <c r="AF85" i="29"/>
  <c r="AB85" i="29"/>
  <c r="X85" i="29"/>
  <c r="Z48" i="29"/>
  <c r="AD48" i="29"/>
  <c r="X49" i="29"/>
  <c r="AB49" i="29"/>
  <c r="Z52" i="29"/>
  <c r="AD52" i="29"/>
  <c r="X53" i="29"/>
  <c r="AB53" i="29"/>
  <c r="X55" i="29"/>
  <c r="AB55" i="29"/>
  <c r="Z56" i="29"/>
  <c r="AD56" i="29"/>
  <c r="X57" i="29"/>
  <c r="AB57" i="29"/>
  <c r="Z60" i="29"/>
  <c r="AD60" i="29"/>
  <c r="X61" i="29"/>
  <c r="AB61" i="29"/>
  <c r="X65" i="29"/>
  <c r="AB65" i="29"/>
  <c r="AC67" i="29"/>
  <c r="AE68" i="29"/>
  <c r="Y69" i="29"/>
  <c r="AG69" i="29"/>
  <c r="AC71" i="29"/>
  <c r="AE72" i="29"/>
  <c r="Y73" i="29"/>
  <c r="AG73" i="29"/>
  <c r="AC75" i="29"/>
  <c r="AC76" i="29"/>
  <c r="AB77" i="29"/>
  <c r="AA79" i="29"/>
  <c r="Z80" i="29"/>
  <c r="Y81" i="29"/>
  <c r="AE83" i="29"/>
  <c r="Y84" i="29"/>
  <c r="AE85" i="29"/>
  <c r="V8" i="30"/>
  <c r="N8" i="30"/>
  <c r="J8" i="30"/>
  <c r="F8" i="30"/>
  <c r="O8" i="30"/>
  <c r="S8" i="30"/>
  <c r="C8" i="30"/>
  <c r="AQ7" i="24"/>
  <c r="AR7" i="24"/>
  <c r="AR11" i="24"/>
  <c r="AR19" i="24"/>
  <c r="AV19" i="24" s="1"/>
  <c r="AV39" i="24"/>
  <c r="AV42" i="24"/>
  <c r="AR44" i="24"/>
  <c r="AV44" i="24" s="1"/>
  <c r="AV50" i="24"/>
  <c r="AV21" i="24"/>
  <c r="AR22" i="24"/>
  <c r="AV20" i="24"/>
  <c r="AC7" i="25"/>
  <c r="AJ7" i="26"/>
  <c r="AV31" i="24"/>
  <c r="AV34" i="24"/>
  <c r="AO7" i="26"/>
  <c r="AR26" i="24"/>
  <c r="Z5" i="21"/>
  <c r="AH5" i="21" s="1"/>
  <c r="Z6" i="21"/>
  <c r="AH6" i="21" s="1"/>
  <c r="Z8" i="21"/>
  <c r="AH8" i="21" s="1"/>
  <c r="Z13" i="21"/>
  <c r="AH13" i="21" s="1"/>
  <c r="AJ5" i="21"/>
  <c r="Z3" i="21"/>
  <c r="AH3" i="21" s="1"/>
  <c r="AJ6" i="21"/>
  <c r="AJ13" i="21"/>
  <c r="Z4" i="21"/>
  <c r="AH4" i="21" s="1"/>
  <c r="M182" i="21"/>
  <c r="U9" i="21" s="1"/>
  <c r="AI9" i="21" s="1"/>
  <c r="M291" i="21"/>
  <c r="U10" i="21" s="1"/>
  <c r="AI10" i="21" s="1"/>
  <c r="R10" i="21"/>
  <c r="U11" i="21"/>
  <c r="AI11" i="21" s="1"/>
  <c r="U12" i="21"/>
  <c r="AI12" i="21" s="1"/>
  <c r="AI4" i="21"/>
  <c r="X4" i="21"/>
  <c r="AF4" i="21" s="1"/>
  <c r="R11" i="21"/>
  <c r="X11" i="21" s="1"/>
  <c r="AF11" i="21" s="1"/>
  <c r="R12" i="21"/>
  <c r="X12" i="21" s="1"/>
  <c r="AF12" i="21" s="1"/>
  <c r="X13" i="21"/>
  <c r="AF13" i="21" s="1"/>
  <c r="X5" i="21"/>
  <c r="AF5" i="21" s="1"/>
  <c r="Y6" i="21"/>
  <c r="AG6" i="21" s="1"/>
  <c r="AJ5" i="16"/>
  <c r="AJ8" i="16" s="1"/>
  <c r="AT2" i="16"/>
  <c r="AT7" i="16" s="1"/>
  <c r="AC122" i="17"/>
  <c r="AC128" i="17"/>
  <c r="AC76" i="17"/>
  <c r="AC86" i="17"/>
  <c r="AC92" i="17"/>
  <c r="AC102" i="17"/>
  <c r="AC108" i="17"/>
  <c r="AC118" i="17"/>
  <c r="AC135" i="17"/>
  <c r="AC136" i="17"/>
  <c r="AC143" i="17"/>
  <c r="AC144" i="17"/>
  <c r="AC156" i="17"/>
  <c r="AC157" i="17"/>
  <c r="AC172" i="17"/>
  <c r="AC173" i="17"/>
  <c r="AC112" i="17"/>
  <c r="AC127" i="17"/>
  <c r="AC14" i="17"/>
  <c r="AC17" i="17"/>
  <c r="AC18" i="17"/>
  <c r="AC21" i="17"/>
  <c r="AC22" i="17"/>
  <c r="AC25" i="17"/>
  <c r="AC82" i="17"/>
  <c r="AC87" i="17"/>
  <c r="AC88" i="17"/>
  <c r="AC98" i="17"/>
  <c r="AC103" i="17"/>
  <c r="AC104" i="17"/>
  <c r="AC114" i="17"/>
  <c r="AC119" i="17"/>
  <c r="AC120" i="17"/>
  <c r="AC125" i="17"/>
  <c r="AC130" i="17"/>
  <c r="AO7" i="16"/>
  <c r="AC77" i="17"/>
  <c r="AC81" i="17"/>
  <c r="AC85" i="17"/>
  <c r="AC89" i="17"/>
  <c r="AC93" i="17"/>
  <c r="AC97" i="17"/>
  <c r="AC101" i="17"/>
  <c r="AC105" i="17"/>
  <c r="AC109" i="17"/>
  <c r="AC113" i="17"/>
  <c r="AC117" i="17"/>
  <c r="AC121" i="17"/>
  <c r="AC129" i="17"/>
  <c r="AC133" i="17"/>
  <c r="AC137" i="17"/>
  <c r="AC141" i="17"/>
  <c r="AC145" i="17"/>
  <c r="AC146" i="17"/>
  <c r="AC134" i="17"/>
  <c r="AC138" i="17"/>
  <c r="AC142" i="17"/>
  <c r="AC152" i="17"/>
  <c r="AC153" i="17"/>
  <c r="AC160" i="17"/>
  <c r="AC161" i="17"/>
  <c r="AC168" i="17"/>
  <c r="AC169" i="17"/>
  <c r="AC154" i="17"/>
  <c r="AC158" i="17"/>
  <c r="AC162" i="17"/>
  <c r="AC166" i="17"/>
  <c r="AC170" i="17"/>
  <c r="AC174" i="17"/>
  <c r="AC147" i="17"/>
  <c r="AC151" i="17"/>
  <c r="AC155" i="17"/>
  <c r="AC159" i="17"/>
  <c r="AC163" i="17"/>
  <c r="AC167" i="17"/>
  <c r="AC171" i="17"/>
  <c r="AD54" i="8"/>
  <c r="AD54" i="9"/>
  <c r="AD54" i="7"/>
  <c r="AA46" i="13"/>
  <c r="AA46" i="12"/>
  <c r="AA46" i="10"/>
  <c r="AA46" i="11"/>
  <c r="AL55" i="9"/>
  <c r="AL55" i="8"/>
  <c r="W54" i="9"/>
  <c r="W54" i="8"/>
  <c r="W58" i="8" s="1"/>
  <c r="W54" i="7"/>
  <c r="AI54" i="9"/>
  <c r="AI54" i="8"/>
  <c r="AI54" i="7"/>
  <c r="AK54" i="9"/>
  <c r="AK54" i="7"/>
  <c r="AK54" i="8"/>
  <c r="AK58" i="8" s="1"/>
  <c r="W47" i="11"/>
  <c r="W47" i="13"/>
  <c r="W47" i="12"/>
  <c r="W47" i="10"/>
  <c r="U56" i="9"/>
  <c r="U56" i="7"/>
  <c r="U56" i="8"/>
  <c r="F18" i="5"/>
  <c r="AB56" i="24" s="1"/>
  <c r="U47" i="13"/>
  <c r="U47" i="12"/>
  <c r="U49" i="12" s="1"/>
  <c r="U47" i="11"/>
  <c r="U47" i="10"/>
  <c r="AH56" i="9"/>
  <c r="AH56" i="8"/>
  <c r="AH58" i="6"/>
  <c r="F28" i="5"/>
  <c r="AL56" i="24" s="1"/>
  <c r="D28" i="5"/>
  <c r="AL56" i="6" s="1"/>
  <c r="AL54" i="24" s="1"/>
  <c r="AJ56" i="6"/>
  <c r="AJ54" i="24" s="1"/>
  <c r="AJ58" i="24" s="1"/>
  <c r="Z46" i="13"/>
  <c r="Z46" i="12"/>
  <c r="Z46" i="11"/>
  <c r="Z46" i="10"/>
  <c r="AB54" i="9"/>
  <c r="AB54" i="8"/>
  <c r="AB54" i="7"/>
  <c r="M54" i="9"/>
  <c r="M54" i="8"/>
  <c r="M58" i="8" s="1"/>
  <c r="M54" i="7"/>
  <c r="R54" i="8"/>
  <c r="R58" i="8" s="1"/>
  <c r="R54" i="9"/>
  <c r="R54" i="7"/>
  <c r="U58" i="6"/>
  <c r="AE54" i="9"/>
  <c r="AE54" i="8"/>
  <c r="AE54" i="7"/>
  <c r="AH56" i="7"/>
  <c r="R11" i="5"/>
  <c r="AD56" i="9"/>
  <c r="AD58" i="6"/>
  <c r="AD56" i="8"/>
  <c r="AH54" i="8"/>
  <c r="AH54" i="9"/>
  <c r="AH54" i="7"/>
  <c r="AB55" i="9"/>
  <c r="AB55" i="8"/>
  <c r="AB55" i="7"/>
  <c r="AG54" i="9"/>
  <c r="AG54" i="8"/>
  <c r="AG54" i="7"/>
  <c r="AD56" i="7"/>
  <c r="Y45" i="13"/>
  <c r="Y45" i="12"/>
  <c r="Y45" i="10"/>
  <c r="Y45" i="11"/>
  <c r="AA47" i="13"/>
  <c r="AA47" i="12"/>
  <c r="AA47" i="11"/>
  <c r="AA47" i="10"/>
  <c r="Z47" i="13"/>
  <c r="Z47" i="12"/>
  <c r="Z47" i="10"/>
  <c r="Z47" i="11"/>
  <c r="P16" i="5"/>
  <c r="M12" i="6"/>
  <c r="M51" i="6"/>
  <c r="L54" i="9"/>
  <c r="L54" i="8"/>
  <c r="L58" i="8" s="1"/>
  <c r="Q54" i="9"/>
  <c r="Q54" i="8"/>
  <c r="Q58" i="8" s="1"/>
  <c r="AI55" i="7"/>
  <c r="AA56" i="7"/>
  <c r="AI56" i="7"/>
  <c r="L54" i="7"/>
  <c r="P54" i="7"/>
  <c r="AF54" i="7"/>
  <c r="AD55" i="8"/>
  <c r="AH55" i="8"/>
  <c r="V56" i="8"/>
  <c r="Z56" i="8"/>
  <c r="U54" i="8"/>
  <c r="U58" i="8" s="1"/>
  <c r="W45" i="13"/>
  <c r="W45" i="12"/>
  <c r="W45" i="10"/>
  <c r="W45" i="11"/>
  <c r="Y47" i="13"/>
  <c r="Y47" i="12"/>
  <c r="Y47" i="11"/>
  <c r="Y47" i="10"/>
  <c r="R45" i="13"/>
  <c r="R45" i="10"/>
  <c r="R45" i="12"/>
  <c r="R45" i="11"/>
  <c r="M25" i="6"/>
  <c r="V58" i="6"/>
  <c r="X54" i="8"/>
  <c r="X58" i="8" s="1"/>
  <c r="X54" i="9"/>
  <c r="AA58" i="6"/>
  <c r="AC54" i="9"/>
  <c r="AC54" i="8"/>
  <c r="AC58" i="8" s="1"/>
  <c r="AD57" i="6"/>
  <c r="AG58" i="6"/>
  <c r="AJ57" i="6"/>
  <c r="AJ55" i="7"/>
  <c r="AJ56" i="7"/>
  <c r="Q54" i="7"/>
  <c r="U54" i="7"/>
  <c r="AC54" i="7"/>
  <c r="AI55" i="8"/>
  <c r="AA56" i="8"/>
  <c r="AI56" i="8"/>
  <c r="Z54" i="8"/>
  <c r="Z58" i="8" s="1"/>
  <c r="Z12" i="9" s="1"/>
  <c r="W46" i="13"/>
  <c r="W46" i="12"/>
  <c r="W46" i="11"/>
  <c r="W46" i="10"/>
  <c r="AA45" i="13"/>
  <c r="AA45" i="12"/>
  <c r="AA45" i="11"/>
  <c r="AA45" i="10"/>
  <c r="Z45" i="13"/>
  <c r="Z45" i="12"/>
  <c r="Z49" i="12" s="1"/>
  <c r="Z45" i="10"/>
  <c r="Z45" i="11"/>
  <c r="AI55" i="6"/>
  <c r="AI60" i="6" s="1"/>
  <c r="AI41" i="7" s="1"/>
  <c r="O54" i="9"/>
  <c r="O54" i="8"/>
  <c r="O58" i="8" s="1"/>
  <c r="S54" i="9"/>
  <c r="S54" i="8"/>
  <c r="AJ58" i="6"/>
  <c r="AA54" i="9"/>
  <c r="AA54" i="8"/>
  <c r="AA58" i="8" s="1"/>
  <c r="AA51" i="9" s="1"/>
  <c r="AG56" i="7"/>
  <c r="Z54" i="7"/>
  <c r="AJ55" i="8"/>
  <c r="AJ56" i="8"/>
  <c r="AF54" i="9"/>
  <c r="T49" i="11"/>
  <c r="AA49" i="9"/>
  <c r="AA43" i="9"/>
  <c r="AA48" i="9"/>
  <c r="AA41" i="9"/>
  <c r="AA33" i="9"/>
  <c r="AA25" i="9"/>
  <c r="AA23" i="9"/>
  <c r="AA26" i="9"/>
  <c r="AA17" i="9"/>
  <c r="AA13" i="9"/>
  <c r="AA11" i="9"/>
  <c r="AA10" i="9"/>
  <c r="Z47" i="9"/>
  <c r="Z46" i="9"/>
  <c r="Z39" i="9"/>
  <c r="Z40" i="9"/>
  <c r="Z33" i="9"/>
  <c r="Z21" i="9"/>
  <c r="Z29" i="9"/>
  <c r="Z16" i="9"/>
  <c r="Z19" i="9"/>
  <c r="Z11" i="9"/>
  <c r="Z6" i="9"/>
  <c r="AF53" i="7"/>
  <c r="AE53" i="7"/>
  <c r="AA53" i="7"/>
  <c r="AA58" i="7" s="1"/>
  <c r="Z53" i="7"/>
  <c r="Z58" i="7" s="1"/>
  <c r="AG53" i="7"/>
  <c r="M66" i="6"/>
  <c r="M67" i="6"/>
  <c r="M69" i="6"/>
  <c r="AM57" i="7"/>
  <c r="M7" i="6"/>
  <c r="M21" i="6"/>
  <c r="M23" i="6"/>
  <c r="M8" i="6"/>
  <c r="M14" i="6"/>
  <c r="M18" i="6"/>
  <c r="M26" i="6"/>
  <c r="M28" i="6"/>
  <c r="M30" i="6"/>
  <c r="M32" i="6"/>
  <c r="M34" i="6"/>
  <c r="M36" i="6"/>
  <c r="M38" i="6"/>
  <c r="M40" i="6"/>
  <c r="M42" i="6"/>
  <c r="M44" i="6"/>
  <c r="M46" i="6"/>
  <c r="M48" i="6"/>
  <c r="M50" i="6"/>
  <c r="O55" i="6"/>
  <c r="O60" i="6" s="1"/>
  <c r="S55" i="6"/>
  <c r="S60" i="6" s="1"/>
  <c r="S39" i="7" s="1"/>
  <c r="U55" i="6"/>
  <c r="U60" i="6" s="1"/>
  <c r="AC55" i="6"/>
  <c r="AC60" i="6" s="1"/>
  <c r="AC35" i="7" s="1"/>
  <c r="AE55" i="6"/>
  <c r="AE60" i="6" s="1"/>
  <c r="M17" i="6"/>
  <c r="Y55" i="6"/>
  <c r="M11" i="6"/>
  <c r="M19" i="6"/>
  <c r="M22" i="6"/>
  <c r="M24" i="6"/>
  <c r="L55" i="6"/>
  <c r="L60" i="6" s="1"/>
  <c r="L45" i="7" s="1"/>
  <c r="P55" i="6"/>
  <c r="P60" i="6" s="1"/>
  <c r="V55" i="6"/>
  <c r="W55" i="6"/>
  <c r="W60" i="6" s="1"/>
  <c r="AF55" i="6"/>
  <c r="AF60" i="6" s="1"/>
  <c r="AH55" i="6"/>
  <c r="AH60" i="6" s="1"/>
  <c r="M13" i="6"/>
  <c r="R55" i="6"/>
  <c r="R60" i="6" s="1"/>
  <c r="R43" i="7" s="1"/>
  <c r="M20" i="6"/>
  <c r="M27" i="6"/>
  <c r="M29" i="6"/>
  <c r="M31" i="6"/>
  <c r="M33" i="6"/>
  <c r="M35" i="6"/>
  <c r="M37" i="6"/>
  <c r="M39" i="6"/>
  <c r="M41" i="6"/>
  <c r="M43" i="6"/>
  <c r="M45" i="6"/>
  <c r="M47" i="6"/>
  <c r="M49" i="6"/>
  <c r="Q55" i="6"/>
  <c r="Q60" i="6" s="1"/>
  <c r="X55" i="6"/>
  <c r="X60" i="6" s="1"/>
  <c r="AA55" i="6"/>
  <c r="D37" i="5"/>
  <c r="S45" i="25" s="1"/>
  <c r="E36" i="5"/>
  <c r="R46" i="25" s="1"/>
  <c r="F36" i="5"/>
  <c r="R47" i="25" s="1"/>
  <c r="R49" i="25" s="1"/>
  <c r="R48" i="25" s="1"/>
  <c r="AA8" i="24" l="1"/>
  <c r="AA28" i="24"/>
  <c r="AA40" i="24"/>
  <c r="AA48" i="24"/>
  <c r="AA10" i="24"/>
  <c r="AA21" i="24"/>
  <c r="AA37" i="24"/>
  <c r="AA16" i="24"/>
  <c r="AA22" i="24"/>
  <c r="AA35" i="24"/>
  <c r="AA5" i="24"/>
  <c r="AA13" i="24"/>
  <c r="AA25" i="24"/>
  <c r="AA18" i="24"/>
  <c r="AA31" i="24"/>
  <c r="AA50" i="24"/>
  <c r="AA27" i="24"/>
  <c r="AA43" i="24"/>
  <c r="AA12" i="24"/>
  <c r="AA26" i="24"/>
  <c r="AA36" i="24"/>
  <c r="AA39" i="24"/>
  <c r="AA51" i="24"/>
  <c r="AA33" i="24"/>
  <c r="AA49" i="24"/>
  <c r="AA11" i="24"/>
  <c r="AA38" i="24"/>
  <c r="AA32" i="24"/>
  <c r="AA44" i="24"/>
  <c r="AA7" i="24"/>
  <c r="AA29" i="24"/>
  <c r="AA45" i="24"/>
  <c r="AA19" i="24"/>
  <c r="AA9" i="24"/>
  <c r="AA17" i="24"/>
  <c r="AA15" i="24"/>
  <c r="AA34" i="24"/>
  <c r="AA47" i="24"/>
  <c r="AA6" i="24"/>
  <c r="AA24" i="24"/>
  <c r="AA30" i="24"/>
  <c r="AA46" i="24"/>
  <c r="AA23" i="24"/>
  <c r="AA42" i="24"/>
  <c r="AA41" i="24"/>
  <c r="AA20" i="24"/>
  <c r="AA14" i="24"/>
  <c r="Z8" i="9"/>
  <c r="Z7" i="9"/>
  <c r="Z15" i="9"/>
  <c r="Z22" i="9"/>
  <c r="Z20" i="9"/>
  <c r="Z32" i="9"/>
  <c r="Z25" i="9"/>
  <c r="Z36" i="9"/>
  <c r="Z35" i="9"/>
  <c r="Z42" i="9"/>
  <c r="Z50" i="9"/>
  <c r="Z51" i="9"/>
  <c r="AA12" i="9"/>
  <c r="AA5" i="9"/>
  <c r="AA32" i="9"/>
  <c r="AA21" i="9"/>
  <c r="AA18" i="9"/>
  <c r="AA28" i="9"/>
  <c r="AA29" i="9"/>
  <c r="AA37" i="9"/>
  <c r="AA45" i="9"/>
  <c r="AA38" i="9"/>
  <c r="AA50" i="9"/>
  <c r="R32" i="7"/>
  <c r="Z14" i="9"/>
  <c r="Z9" i="9"/>
  <c r="Z17" i="9"/>
  <c r="Z26" i="9"/>
  <c r="Z24" i="9"/>
  <c r="Z31" i="9"/>
  <c r="Z30" i="9"/>
  <c r="Z38" i="9"/>
  <c r="Z37" i="9"/>
  <c r="Z44" i="9"/>
  <c r="Z45" i="9"/>
  <c r="AA7" i="9"/>
  <c r="AA6" i="9"/>
  <c r="AA8" i="9"/>
  <c r="AA15" i="9"/>
  <c r="AA22" i="9"/>
  <c r="AA20" i="9"/>
  <c r="AA34" i="9"/>
  <c r="AA31" i="9"/>
  <c r="AA39" i="9"/>
  <c r="AA44" i="9"/>
  <c r="AA40" i="9"/>
  <c r="AA47" i="9"/>
  <c r="Z23" i="24"/>
  <c r="Z5" i="24"/>
  <c r="Z9" i="24"/>
  <c r="Z15" i="24"/>
  <c r="Z25" i="24"/>
  <c r="Z6" i="24"/>
  <c r="Z16" i="24"/>
  <c r="Z44" i="24"/>
  <c r="Z14" i="24"/>
  <c r="Z24" i="24"/>
  <c r="Z37" i="24"/>
  <c r="Z43" i="24"/>
  <c r="Z33" i="24"/>
  <c r="Z49" i="24"/>
  <c r="Z10" i="24"/>
  <c r="Z18" i="24"/>
  <c r="Z26" i="24"/>
  <c r="Z31" i="24"/>
  <c r="Z39" i="24"/>
  <c r="Z46" i="24"/>
  <c r="Z50" i="24"/>
  <c r="Z22" i="24"/>
  <c r="Z32" i="24"/>
  <c r="Z45" i="24"/>
  <c r="Z51" i="24"/>
  <c r="Z8" i="24"/>
  <c r="Z7" i="24"/>
  <c r="Z11" i="24"/>
  <c r="Z17" i="24"/>
  <c r="Z41" i="24"/>
  <c r="Z13" i="24"/>
  <c r="Z19" i="24"/>
  <c r="Z28" i="24"/>
  <c r="Z21" i="24"/>
  <c r="Z27" i="24"/>
  <c r="Z40" i="24"/>
  <c r="Z36" i="24"/>
  <c r="Z12" i="24"/>
  <c r="Z20" i="24"/>
  <c r="Z30" i="24"/>
  <c r="Z34" i="24"/>
  <c r="Z42" i="24"/>
  <c r="Z47" i="24"/>
  <c r="Z29" i="24"/>
  <c r="Z35" i="24"/>
  <c r="Z38" i="24"/>
  <c r="Z48" i="24"/>
  <c r="Z10" i="9"/>
  <c r="Z5" i="9"/>
  <c r="Z13" i="9"/>
  <c r="Z28" i="9"/>
  <c r="Z18" i="9"/>
  <c r="Z27" i="9"/>
  <c r="Z23" i="9"/>
  <c r="Z34" i="9"/>
  <c r="Z43" i="9"/>
  <c r="Z41" i="9"/>
  <c r="Z48" i="9"/>
  <c r="Z49" i="9"/>
  <c r="AA9" i="9"/>
  <c r="AA14" i="9"/>
  <c r="AA24" i="9"/>
  <c r="AA19" i="9"/>
  <c r="AA16" i="9"/>
  <c r="AA30" i="9"/>
  <c r="AA27" i="9"/>
  <c r="AA35" i="9"/>
  <c r="AA42" i="9"/>
  <c r="AA36" i="9"/>
  <c r="AA46" i="9"/>
  <c r="K8" i="30"/>
  <c r="AR47" i="24"/>
  <c r="AV47" i="24" s="1"/>
  <c r="AV46" i="24"/>
  <c r="I19" i="29"/>
  <c r="I19" i="25"/>
  <c r="I19" i="11"/>
  <c r="I19" i="10"/>
  <c r="I19" i="13"/>
  <c r="I19" i="12"/>
  <c r="I15" i="29"/>
  <c r="I15" i="25"/>
  <c r="I15" i="11"/>
  <c r="I15" i="10"/>
  <c r="I15" i="13"/>
  <c r="I15" i="12"/>
  <c r="AG84" i="29"/>
  <c r="AE80" i="29"/>
  <c r="AD80" i="29"/>
  <c r="AH76" i="29"/>
  <c r="AG76" i="29"/>
  <c r="AA72" i="29"/>
  <c r="AH72" i="29"/>
  <c r="Z72" i="29"/>
  <c r="BB60" i="28"/>
  <c r="AX60" i="28"/>
  <c r="Q8" i="30" s="1"/>
  <c r="BB80" i="28"/>
  <c r="AX80" i="28"/>
  <c r="AT69" i="28"/>
  <c r="BB69" i="28"/>
  <c r="AL69" i="28"/>
  <c r="AF69" i="29"/>
  <c r="AB69" i="29"/>
  <c r="AF61" i="29"/>
  <c r="AG61" i="29"/>
  <c r="AC61" i="29"/>
  <c r="Y61" i="29"/>
  <c r="AH56" i="29"/>
  <c r="AE56" i="29"/>
  <c r="AA56" i="29"/>
  <c r="AH52" i="29"/>
  <c r="AE52" i="29"/>
  <c r="AA52" i="29"/>
  <c r="M68" i="6"/>
  <c r="AT79" i="28"/>
  <c r="BB64" i="28"/>
  <c r="AX64" i="28"/>
  <c r="G8" i="30"/>
  <c r="W8" i="30"/>
  <c r="I8" i="29"/>
  <c r="I8" i="25"/>
  <c r="I8" i="11"/>
  <c r="I8" i="10"/>
  <c r="I8" i="13"/>
  <c r="I8" i="12"/>
  <c r="AA68" i="29"/>
  <c r="AH68" i="29"/>
  <c r="Z68" i="29"/>
  <c r="BD85" i="28"/>
  <c r="AN85" i="28"/>
  <c r="AT73" i="28"/>
  <c r="BB73" i="28"/>
  <c r="AL73" i="28"/>
  <c r="AT71" i="28"/>
  <c r="AH48" i="29"/>
  <c r="AE48" i="29"/>
  <c r="AA48" i="29"/>
  <c r="AN81" i="28"/>
  <c r="BD81" i="28"/>
  <c r="BB68" i="28"/>
  <c r="AX68" i="28"/>
  <c r="I21" i="29"/>
  <c r="I21" i="25"/>
  <c r="I21" i="10"/>
  <c r="I21" i="13"/>
  <c r="I21" i="12"/>
  <c r="I21" i="11"/>
  <c r="AH60" i="29"/>
  <c r="AA60" i="29"/>
  <c r="AE60" i="29"/>
  <c r="I7" i="29"/>
  <c r="I7" i="25"/>
  <c r="I7" i="11"/>
  <c r="I7" i="10"/>
  <c r="I7" i="13"/>
  <c r="I7" i="12"/>
  <c r="X81" i="29"/>
  <c r="AC81" i="29"/>
  <c r="AA77" i="29"/>
  <c r="AF77" i="29"/>
  <c r="AG75" i="29"/>
  <c r="AF73" i="29"/>
  <c r="AB73" i="29"/>
  <c r="AF71" i="29"/>
  <c r="X71" i="29"/>
  <c r="AJ100" i="28"/>
  <c r="AZ88" i="28"/>
  <c r="AP88" i="28"/>
  <c r="BB76" i="28"/>
  <c r="AX76" i="28"/>
  <c r="AT65" i="28"/>
  <c r="AL65" i="28"/>
  <c r="BB65" i="28"/>
  <c r="Z55" i="6"/>
  <c r="BD101" i="28"/>
  <c r="AN101" i="28"/>
  <c r="AZ84" i="28"/>
  <c r="AT61" i="28"/>
  <c r="BB61" i="28"/>
  <c r="AL61" i="28"/>
  <c r="E8" i="30" s="1"/>
  <c r="AY57" i="28"/>
  <c r="R8" i="30" s="1"/>
  <c r="AW57" i="28"/>
  <c r="P10" i="30" s="1"/>
  <c r="AS57" i="28"/>
  <c r="L10" i="30" s="1"/>
  <c r="AO57" i="28"/>
  <c r="H6" i="30" s="1"/>
  <c r="BA57" i="28"/>
  <c r="T10" i="30" s="1"/>
  <c r="AK57" i="28"/>
  <c r="AF65" i="29"/>
  <c r="AG65" i="29"/>
  <c r="AC65" i="29"/>
  <c r="Y65" i="29"/>
  <c r="AF57" i="29"/>
  <c r="Y57" i="29"/>
  <c r="AG57" i="29"/>
  <c r="AC57" i="29"/>
  <c r="AF53" i="29"/>
  <c r="AC53" i="29"/>
  <c r="Y53" i="29"/>
  <c r="AG53" i="29"/>
  <c r="AF49" i="29"/>
  <c r="AG49" i="29"/>
  <c r="AC49" i="29"/>
  <c r="Y49" i="29"/>
  <c r="P14" i="5"/>
  <c r="P17" i="5" s="1"/>
  <c r="BD97" i="28"/>
  <c r="BB72" i="28"/>
  <c r="AX72" i="28"/>
  <c r="M63" i="6"/>
  <c r="H8" i="30"/>
  <c r="I8" i="30"/>
  <c r="L8" i="30"/>
  <c r="I20" i="29"/>
  <c r="I20" i="25"/>
  <c r="I20" i="11"/>
  <c r="I20" i="10"/>
  <c r="I20" i="13"/>
  <c r="I20" i="12"/>
  <c r="I16" i="29"/>
  <c r="I16" i="25"/>
  <c r="I16" i="11"/>
  <c r="I16" i="10"/>
  <c r="I16" i="13"/>
  <c r="I16" i="12"/>
  <c r="AF67" i="29"/>
  <c r="X67" i="29"/>
  <c r="AF55" i="29"/>
  <c r="AG55" i="29"/>
  <c r="AC55" i="29"/>
  <c r="Y55" i="29"/>
  <c r="AT67" i="28"/>
  <c r="AV87" i="28"/>
  <c r="AT77" i="28"/>
  <c r="BB77" i="28"/>
  <c r="AL77" i="28"/>
  <c r="AB44" i="10"/>
  <c r="AN89" i="28"/>
  <c r="AT75" i="28"/>
  <c r="AT63" i="28"/>
  <c r="AK59" i="28"/>
  <c r="AT59" i="28"/>
  <c r="AI5" i="17"/>
  <c r="AT8" i="26"/>
  <c r="AT9" i="26" s="1"/>
  <c r="AT8" i="16"/>
  <c r="AI6" i="17"/>
  <c r="AI7" i="17"/>
  <c r="AI2" i="17"/>
  <c r="AI8" i="17"/>
  <c r="AO8" i="26"/>
  <c r="AO9" i="26" s="1"/>
  <c r="AO8" i="16"/>
  <c r="AO9" i="16" s="1"/>
  <c r="AJ8" i="26"/>
  <c r="AJ9" i="26" s="1"/>
  <c r="O10" i="30"/>
  <c r="O6" i="30"/>
  <c r="V6" i="30"/>
  <c r="V10" i="30"/>
  <c r="F6" i="30"/>
  <c r="F10" i="30"/>
  <c r="I10" i="30"/>
  <c r="I6" i="30"/>
  <c r="H10" i="30"/>
  <c r="T8" i="30"/>
  <c r="K10" i="30"/>
  <c r="K6" i="30"/>
  <c r="W10" i="30"/>
  <c r="W6" i="30"/>
  <c r="B10" i="30"/>
  <c r="B6" i="30"/>
  <c r="B8" i="30"/>
  <c r="L6" i="30"/>
  <c r="U10" i="30"/>
  <c r="U6" i="30"/>
  <c r="U8" i="30"/>
  <c r="E10" i="30"/>
  <c r="E6" i="30"/>
  <c r="T6" i="30"/>
  <c r="G10" i="30"/>
  <c r="G6" i="30"/>
  <c r="N6" i="30"/>
  <c r="N10" i="30"/>
  <c r="Q10" i="30"/>
  <c r="Q6" i="30"/>
  <c r="R6" i="30"/>
  <c r="S10" i="30"/>
  <c r="S6" i="30"/>
  <c r="C10" i="30"/>
  <c r="C6" i="30"/>
  <c r="J10" i="30"/>
  <c r="J6" i="30"/>
  <c r="M10" i="30"/>
  <c r="M6" i="30"/>
  <c r="M8" i="30"/>
  <c r="AQ8" i="24"/>
  <c r="AR12" i="24"/>
  <c r="AV11" i="24"/>
  <c r="AR27" i="24"/>
  <c r="AV26" i="24"/>
  <c r="AR23" i="24"/>
  <c r="AV22" i="24"/>
  <c r="AR8" i="24"/>
  <c r="AV8" i="24" s="1"/>
  <c r="AV7" i="24"/>
  <c r="X9" i="21"/>
  <c r="AF9" i="21" s="1"/>
  <c r="X10" i="21"/>
  <c r="AF10" i="21" s="1"/>
  <c r="AT9" i="16"/>
  <c r="AJ9" i="16"/>
  <c r="AC38" i="7"/>
  <c r="AI29" i="7"/>
  <c r="AI48" i="7"/>
  <c r="L17" i="7"/>
  <c r="S50" i="7"/>
  <c r="L31" i="7"/>
  <c r="S49" i="7"/>
  <c r="AI36" i="7"/>
  <c r="AI31" i="7"/>
  <c r="AA53" i="9"/>
  <c r="AI46" i="7"/>
  <c r="S38" i="7"/>
  <c r="S45" i="7"/>
  <c r="AC32" i="7"/>
  <c r="AI34" i="7"/>
  <c r="R44" i="7"/>
  <c r="AI45" i="7"/>
  <c r="R31" i="7"/>
  <c r="S36" i="7"/>
  <c r="S43" i="7"/>
  <c r="Q29" i="7"/>
  <c r="Q27" i="7"/>
  <c r="Q23" i="7"/>
  <c r="Q21" i="7"/>
  <c r="Q15" i="7"/>
  <c r="Q13" i="7"/>
  <c r="Q10" i="7"/>
  <c r="Q5" i="7"/>
  <c r="Q8" i="7"/>
  <c r="Q32" i="7"/>
  <c r="Q28" i="7"/>
  <c r="Q24" i="7"/>
  <c r="Q20" i="7"/>
  <c r="Q16" i="7"/>
  <c r="Q12" i="7"/>
  <c r="Q30" i="7"/>
  <c r="Q26" i="7"/>
  <c r="Q22" i="7"/>
  <c r="Q18" i="7"/>
  <c r="Q14" i="7"/>
  <c r="Q9" i="7"/>
  <c r="Q6" i="7"/>
  <c r="Q11" i="7"/>
  <c r="Q39" i="7"/>
  <c r="Q40" i="7"/>
  <c r="Q37" i="7"/>
  <c r="Q42" i="7"/>
  <c r="Q19" i="7"/>
  <c r="Q43" i="7"/>
  <c r="Q44" i="7"/>
  <c r="Q17" i="7"/>
  <c r="Q41" i="7"/>
  <c r="Q45" i="7"/>
  <c r="Q7" i="7"/>
  <c r="Q46" i="7"/>
  <c r="Q51" i="7"/>
  <c r="Q25" i="7"/>
  <c r="Q38" i="7"/>
  <c r="Q48" i="7"/>
  <c r="Q34" i="7"/>
  <c r="Q31" i="7"/>
  <c r="Q33" i="7"/>
  <c r="Q50" i="7"/>
  <c r="Q47" i="7"/>
  <c r="Q35" i="7"/>
  <c r="Q36" i="7"/>
  <c r="Q49" i="7"/>
  <c r="AH10" i="7"/>
  <c r="AH7" i="7"/>
  <c r="AH25" i="7"/>
  <c r="AH19" i="7"/>
  <c r="AH17" i="7"/>
  <c r="AH15" i="7"/>
  <c r="AH13" i="7"/>
  <c r="AH11" i="7"/>
  <c r="AH8" i="7"/>
  <c r="AH5" i="7"/>
  <c r="AH6" i="7"/>
  <c r="AH30" i="7"/>
  <c r="AH26" i="7"/>
  <c r="AH18" i="7"/>
  <c r="AH14" i="7"/>
  <c r="AH9" i="7"/>
  <c r="AH28" i="7"/>
  <c r="AH24" i="7"/>
  <c r="AH20" i="7"/>
  <c r="AH16" i="7"/>
  <c r="AH12" i="7"/>
  <c r="AH33" i="7"/>
  <c r="AH49" i="7"/>
  <c r="AH38" i="7"/>
  <c r="AH35" i="7"/>
  <c r="AH51" i="7"/>
  <c r="AH36" i="7"/>
  <c r="AH37" i="7"/>
  <c r="AH42" i="7"/>
  <c r="AH39" i="7"/>
  <c r="AH40" i="7"/>
  <c r="AH45" i="7"/>
  <c r="AH50" i="7"/>
  <c r="AH43" i="7"/>
  <c r="AH48" i="7"/>
  <c r="AH41" i="7"/>
  <c r="AH46" i="7"/>
  <c r="AH31" i="7"/>
  <c r="AH44" i="7"/>
  <c r="AH21" i="7"/>
  <c r="AH47" i="7"/>
  <c r="AH23" i="7"/>
  <c r="AH22" i="7"/>
  <c r="AH29" i="7"/>
  <c r="AH34" i="7"/>
  <c r="AH27" i="7"/>
  <c r="AH32" i="7"/>
  <c r="O11" i="7"/>
  <c r="O8" i="7"/>
  <c r="O48" i="7"/>
  <c r="O20" i="7"/>
  <c r="O18" i="7"/>
  <c r="O16" i="7"/>
  <c r="O14" i="7"/>
  <c r="O12" i="7"/>
  <c r="O9" i="7"/>
  <c r="O6" i="7"/>
  <c r="O7" i="7"/>
  <c r="O31" i="7"/>
  <c r="O27" i="7"/>
  <c r="O23" i="7"/>
  <c r="O19" i="7"/>
  <c r="O15" i="7"/>
  <c r="O10" i="7"/>
  <c r="O25" i="7"/>
  <c r="O21" i="7"/>
  <c r="O17" i="7"/>
  <c r="O13" i="7"/>
  <c r="O5" i="7"/>
  <c r="O43" i="7"/>
  <c r="O28" i="7"/>
  <c r="O44" i="7"/>
  <c r="O45" i="7"/>
  <c r="O35" i="7"/>
  <c r="O33" i="7"/>
  <c r="O26" i="7"/>
  <c r="O42" i="7"/>
  <c r="O29" i="7"/>
  <c r="O47" i="7"/>
  <c r="O32" i="7"/>
  <c r="O41" i="7"/>
  <c r="O30" i="7"/>
  <c r="O46" i="7"/>
  <c r="O39" i="7"/>
  <c r="O40" i="7"/>
  <c r="O38" i="7"/>
  <c r="O22" i="7"/>
  <c r="O36" i="7"/>
  <c r="O49" i="7"/>
  <c r="O51" i="7"/>
  <c r="O37" i="7"/>
  <c r="O50" i="7"/>
  <c r="O34" i="7"/>
  <c r="O24" i="7"/>
  <c r="L45" i="9"/>
  <c r="E37" i="5"/>
  <c r="S46" i="25" s="1"/>
  <c r="R46" i="13"/>
  <c r="R46" i="12"/>
  <c r="R46" i="11"/>
  <c r="R46" i="10"/>
  <c r="P28" i="7"/>
  <c r="P26" i="7"/>
  <c r="P24" i="7"/>
  <c r="P22" i="7"/>
  <c r="P20" i="7"/>
  <c r="P18" i="7"/>
  <c r="P16" i="7"/>
  <c r="P14" i="7"/>
  <c r="P12" i="7"/>
  <c r="P9" i="7"/>
  <c r="P6" i="7"/>
  <c r="P7" i="7"/>
  <c r="P29" i="7"/>
  <c r="P27" i="7"/>
  <c r="P25" i="7"/>
  <c r="P23" i="7"/>
  <c r="P21" i="7"/>
  <c r="P19" i="7"/>
  <c r="P17" i="7"/>
  <c r="P15" i="7"/>
  <c r="P13" i="7"/>
  <c r="P10" i="7"/>
  <c r="P5" i="7"/>
  <c r="P46" i="7"/>
  <c r="P42" i="7"/>
  <c r="P34" i="7"/>
  <c r="P11" i="7"/>
  <c r="P40" i="7"/>
  <c r="P38" i="7"/>
  <c r="P8" i="7"/>
  <c r="P44" i="7"/>
  <c r="P36" i="7"/>
  <c r="P37" i="7"/>
  <c r="P51" i="7"/>
  <c r="P43" i="7"/>
  <c r="P48" i="7"/>
  <c r="P41" i="7"/>
  <c r="P30" i="7"/>
  <c r="P31" i="7"/>
  <c r="P49" i="7"/>
  <c r="P35" i="7"/>
  <c r="P45" i="7"/>
  <c r="P47" i="7"/>
  <c r="P50" i="7"/>
  <c r="P33" i="7"/>
  <c r="P39" i="7"/>
  <c r="P32" i="7"/>
  <c r="R43" i="9"/>
  <c r="AC11" i="7"/>
  <c r="AC8" i="7"/>
  <c r="AC48" i="7"/>
  <c r="AC20" i="7"/>
  <c r="AC18" i="7"/>
  <c r="AC16" i="7"/>
  <c r="AC14" i="7"/>
  <c r="AC12" i="7"/>
  <c r="AC9" i="7"/>
  <c r="AC6" i="7"/>
  <c r="AC7" i="7"/>
  <c r="AC25" i="7"/>
  <c r="AC21" i="7"/>
  <c r="AC17" i="7"/>
  <c r="AC13" i="7"/>
  <c r="AC5" i="7"/>
  <c r="AC31" i="7"/>
  <c r="AC27" i="7"/>
  <c r="AC23" i="7"/>
  <c r="AC19" i="7"/>
  <c r="AC15" i="7"/>
  <c r="AC10" i="7"/>
  <c r="AC43" i="7"/>
  <c r="AC40" i="7"/>
  <c r="AC24" i="7"/>
  <c r="AC45" i="7"/>
  <c r="AC30" i="7"/>
  <c r="AC46" i="7"/>
  <c r="AC29" i="7"/>
  <c r="AC22" i="7"/>
  <c r="AC47" i="7"/>
  <c r="AC28" i="7"/>
  <c r="AC44" i="7"/>
  <c r="AC33" i="7"/>
  <c r="AC49" i="7"/>
  <c r="AC34" i="7"/>
  <c r="AC50" i="7"/>
  <c r="Z51" i="8"/>
  <c r="Y51" i="28" s="1"/>
  <c r="Y103" i="28" s="1"/>
  <c r="Z47" i="8"/>
  <c r="Y47" i="28" s="1"/>
  <c r="Y99" i="28" s="1"/>
  <c r="Z43" i="8"/>
  <c r="Y43" i="28" s="1"/>
  <c r="Y95" i="28" s="1"/>
  <c r="Z50" i="8"/>
  <c r="Y50" i="28" s="1"/>
  <c r="Y102" i="28" s="1"/>
  <c r="Z46" i="8"/>
  <c r="Y46" i="28" s="1"/>
  <c r="Y98" i="28" s="1"/>
  <c r="Z42" i="8"/>
  <c r="Y42" i="28" s="1"/>
  <c r="Y94" i="28" s="1"/>
  <c r="Z44" i="8"/>
  <c r="Y44" i="28" s="1"/>
  <c r="Y96" i="28" s="1"/>
  <c r="Z39" i="8"/>
  <c r="Y39" i="28" s="1"/>
  <c r="Y91" i="28" s="1"/>
  <c r="Z35" i="8"/>
  <c r="Y35" i="28" s="1"/>
  <c r="Y87" i="28" s="1"/>
  <c r="Z31" i="8"/>
  <c r="Y31" i="28" s="1"/>
  <c r="Y83" i="28" s="1"/>
  <c r="Z26" i="8"/>
  <c r="Y26" i="28" s="1"/>
  <c r="Y78" i="28" s="1"/>
  <c r="Z23" i="8"/>
  <c r="Y23" i="28" s="1"/>
  <c r="Y75" i="28" s="1"/>
  <c r="Z17" i="8"/>
  <c r="Y17" i="28" s="1"/>
  <c r="Y69" i="28" s="1"/>
  <c r="Z49" i="8"/>
  <c r="Y49" i="28" s="1"/>
  <c r="Y101" i="28" s="1"/>
  <c r="Z41" i="8"/>
  <c r="Y41" i="28" s="1"/>
  <c r="Y93" i="28" s="1"/>
  <c r="Z38" i="8"/>
  <c r="Y38" i="28" s="1"/>
  <c r="Y90" i="28" s="1"/>
  <c r="Z34" i="8"/>
  <c r="Y34" i="28" s="1"/>
  <c r="Y86" i="28" s="1"/>
  <c r="Z28" i="8"/>
  <c r="Y28" i="28" s="1"/>
  <c r="Y80" i="28" s="1"/>
  <c r="Z25" i="8"/>
  <c r="Y25" i="28" s="1"/>
  <c r="Y77" i="28" s="1"/>
  <c r="Z20" i="8"/>
  <c r="Y20" i="28" s="1"/>
  <c r="Y72" i="28" s="1"/>
  <c r="Z48" i="8"/>
  <c r="Y48" i="28" s="1"/>
  <c r="Y100" i="28" s="1"/>
  <c r="Z37" i="8"/>
  <c r="Y37" i="28" s="1"/>
  <c r="Y89" i="28" s="1"/>
  <c r="Z33" i="8"/>
  <c r="Y33" i="28" s="1"/>
  <c r="Y85" i="28" s="1"/>
  <c r="Z30" i="8"/>
  <c r="Y30" i="28" s="1"/>
  <c r="Y82" i="28" s="1"/>
  <c r="Z27" i="8"/>
  <c r="Y27" i="28" s="1"/>
  <c r="Y79" i="28" s="1"/>
  <c r="Z22" i="8"/>
  <c r="Y22" i="28" s="1"/>
  <c r="Y74" i="28" s="1"/>
  <c r="Z19" i="8"/>
  <c r="Y19" i="28" s="1"/>
  <c r="Y71" i="28" s="1"/>
  <c r="Z15" i="8"/>
  <c r="Y15" i="28" s="1"/>
  <c r="Y67" i="28" s="1"/>
  <c r="Z32" i="8"/>
  <c r="Y32" i="28" s="1"/>
  <c r="Y84" i="28" s="1"/>
  <c r="Z21" i="8"/>
  <c r="Y21" i="28" s="1"/>
  <c r="Y73" i="28" s="1"/>
  <c r="Z16" i="8"/>
  <c r="Y16" i="28" s="1"/>
  <c r="Y68" i="28" s="1"/>
  <c r="Z13" i="8"/>
  <c r="Y13" i="28" s="1"/>
  <c r="Y65" i="28" s="1"/>
  <c r="Z10" i="8"/>
  <c r="Y10" i="28" s="1"/>
  <c r="Y62" i="28" s="1"/>
  <c r="Z5" i="8"/>
  <c r="Y5" i="28" s="1"/>
  <c r="Y57" i="28" s="1"/>
  <c r="O11" i="30" s="1"/>
  <c r="Z8" i="8"/>
  <c r="Y8" i="28" s="1"/>
  <c r="Y60" i="28" s="1"/>
  <c r="Z29" i="8"/>
  <c r="Y29" i="28" s="1"/>
  <c r="Y81" i="28" s="1"/>
  <c r="Z18" i="8"/>
  <c r="Y18" i="28" s="1"/>
  <c r="Y70" i="28" s="1"/>
  <c r="Z14" i="8"/>
  <c r="Y14" i="28" s="1"/>
  <c r="Y66" i="28" s="1"/>
  <c r="Z12" i="8"/>
  <c r="Y12" i="28" s="1"/>
  <c r="Y64" i="28" s="1"/>
  <c r="Z7" i="8"/>
  <c r="Y7" i="28" s="1"/>
  <c r="Y59" i="28" s="1"/>
  <c r="Z11" i="8"/>
  <c r="Y11" i="28" s="1"/>
  <c r="Y63" i="28" s="1"/>
  <c r="Z40" i="8"/>
  <c r="Y40" i="28" s="1"/>
  <c r="Y92" i="28" s="1"/>
  <c r="Z9" i="8"/>
  <c r="Y9" i="28" s="1"/>
  <c r="Y61" i="28" s="1"/>
  <c r="Z6" i="8"/>
  <c r="Y6" i="28" s="1"/>
  <c r="Y58" i="28" s="1"/>
  <c r="Z45" i="8"/>
  <c r="Y45" i="28" s="1"/>
  <c r="Y97" i="28" s="1"/>
  <c r="Z36" i="8"/>
  <c r="Y36" i="28" s="1"/>
  <c r="Y88" i="28" s="1"/>
  <c r="Z24" i="8"/>
  <c r="Y24" i="28" s="1"/>
  <c r="Y76" i="28" s="1"/>
  <c r="AC26" i="7"/>
  <c r="L51" i="7"/>
  <c r="L44" i="7"/>
  <c r="R46" i="7"/>
  <c r="AD38" i="7"/>
  <c r="L29" i="7"/>
  <c r="L27" i="7"/>
  <c r="L23" i="7"/>
  <c r="L21" i="7"/>
  <c r="L15" i="7"/>
  <c r="L13" i="7"/>
  <c r="L10" i="7"/>
  <c r="L5" i="7"/>
  <c r="L8" i="7"/>
  <c r="L49" i="7"/>
  <c r="L32" i="7"/>
  <c r="L28" i="7"/>
  <c r="L24" i="7"/>
  <c r="L20" i="7"/>
  <c r="L16" i="7"/>
  <c r="L12" i="7"/>
  <c r="L26" i="7"/>
  <c r="L22" i="7"/>
  <c r="L14" i="7"/>
  <c r="L9" i="7"/>
  <c r="L6" i="7"/>
  <c r="L30" i="7"/>
  <c r="L18" i="7"/>
  <c r="L33" i="7"/>
  <c r="L48" i="7"/>
  <c r="L34" i="7"/>
  <c r="L7" i="7"/>
  <c r="L11" i="7"/>
  <c r="L39" i="7"/>
  <c r="L40" i="7"/>
  <c r="L37" i="7"/>
  <c r="L42" i="7"/>
  <c r="L38" i="7"/>
  <c r="L19" i="7"/>
  <c r="L43" i="7"/>
  <c r="AI25" i="7"/>
  <c r="AI19" i="7"/>
  <c r="AI17" i="7"/>
  <c r="AI15" i="7"/>
  <c r="AI13" i="7"/>
  <c r="AI11" i="7"/>
  <c r="AI8" i="7"/>
  <c r="AI5" i="7"/>
  <c r="AI6" i="7"/>
  <c r="AI50" i="7"/>
  <c r="AI20" i="7"/>
  <c r="AI18" i="7"/>
  <c r="AI16" i="7"/>
  <c r="AI14" i="7"/>
  <c r="AI12" i="7"/>
  <c r="AI9" i="7"/>
  <c r="AI43" i="7"/>
  <c r="AI35" i="7"/>
  <c r="AI10" i="7"/>
  <c r="AI39" i="7"/>
  <c r="AI37" i="7"/>
  <c r="AI7" i="7"/>
  <c r="AI47" i="7"/>
  <c r="AI23" i="7"/>
  <c r="AI40" i="7"/>
  <c r="AI49" i="7"/>
  <c r="AI21" i="7"/>
  <c r="AI38" i="7"/>
  <c r="AI33" i="7"/>
  <c r="AI22" i="7"/>
  <c r="AI51" i="7"/>
  <c r="AI28" i="7"/>
  <c r="AI44" i="7"/>
  <c r="AI24" i="7"/>
  <c r="AI26" i="7"/>
  <c r="AI42" i="7"/>
  <c r="AI30" i="7"/>
  <c r="S34" i="7"/>
  <c r="L47" i="7"/>
  <c r="L46" i="7"/>
  <c r="L36" i="7"/>
  <c r="AC41" i="7"/>
  <c r="S33" i="7"/>
  <c r="AI32" i="7"/>
  <c r="R42" i="7"/>
  <c r="L41" i="7"/>
  <c r="AI27" i="7"/>
  <c r="AC51" i="7"/>
  <c r="AL54" i="8"/>
  <c r="AL54" i="9"/>
  <c r="AL54" i="7"/>
  <c r="AD32" i="7"/>
  <c r="AD35" i="7"/>
  <c r="S45" i="13"/>
  <c r="S45" i="12"/>
  <c r="S45" i="10"/>
  <c r="S45" i="11"/>
  <c r="AC35" i="9"/>
  <c r="AD35" i="9" s="1"/>
  <c r="R29" i="7"/>
  <c r="R27" i="7"/>
  <c r="R25" i="7"/>
  <c r="R23" i="7"/>
  <c r="R21" i="7"/>
  <c r="R19" i="7"/>
  <c r="R17" i="7"/>
  <c r="R15" i="7"/>
  <c r="R13" i="7"/>
  <c r="R10" i="7"/>
  <c r="R5" i="7"/>
  <c r="R11" i="7"/>
  <c r="R8" i="7"/>
  <c r="R50" i="7"/>
  <c r="R45" i="7"/>
  <c r="R28" i="7"/>
  <c r="R26" i="7"/>
  <c r="R24" i="7"/>
  <c r="R22" i="7"/>
  <c r="R20" i="7"/>
  <c r="R18" i="7"/>
  <c r="R16" i="7"/>
  <c r="R14" i="7"/>
  <c r="R12" i="7"/>
  <c r="R9" i="7"/>
  <c r="R6" i="7"/>
  <c r="R37" i="7"/>
  <c r="R7" i="7"/>
  <c r="R41" i="7"/>
  <c r="R33" i="7"/>
  <c r="R39" i="7"/>
  <c r="R34" i="7"/>
  <c r="R47" i="7"/>
  <c r="R36" i="7"/>
  <c r="R38" i="7"/>
  <c r="R51" i="7"/>
  <c r="R49" i="7"/>
  <c r="R40" i="7"/>
  <c r="W48" i="7"/>
  <c r="W31" i="7"/>
  <c r="W29" i="7"/>
  <c r="W27" i="7"/>
  <c r="W25" i="7"/>
  <c r="W23" i="7"/>
  <c r="W21" i="7"/>
  <c r="W19" i="7"/>
  <c r="W17" i="7"/>
  <c r="W15" i="7"/>
  <c r="W13" i="7"/>
  <c r="W10" i="7"/>
  <c r="W5" i="7"/>
  <c r="W50" i="7"/>
  <c r="W51" i="7"/>
  <c r="W46" i="7"/>
  <c r="W44" i="7"/>
  <c r="W42" i="7"/>
  <c r="W40" i="7"/>
  <c r="W38" i="7"/>
  <c r="W36" i="7"/>
  <c r="W34" i="7"/>
  <c r="W11" i="7"/>
  <c r="W8" i="7"/>
  <c r="W49" i="7"/>
  <c r="W32" i="7"/>
  <c r="W30" i="7"/>
  <c r="W28" i="7"/>
  <c r="W26" i="7"/>
  <c r="W24" i="7"/>
  <c r="W22" i="7"/>
  <c r="W20" i="7"/>
  <c r="W18" i="7"/>
  <c r="W16" i="7"/>
  <c r="W14" i="7"/>
  <c r="W12" i="7"/>
  <c r="W9" i="7"/>
  <c r="W6" i="7"/>
  <c r="W47" i="7"/>
  <c r="W45" i="7"/>
  <c r="W43" i="7"/>
  <c r="W35" i="7"/>
  <c r="W41" i="7"/>
  <c r="W33" i="7"/>
  <c r="W39" i="7"/>
  <c r="W37" i="7"/>
  <c r="W7" i="7"/>
  <c r="U49" i="7"/>
  <c r="U32" i="7"/>
  <c r="U30" i="7"/>
  <c r="U28" i="7"/>
  <c r="U26" i="7"/>
  <c r="U24" i="7"/>
  <c r="U22" i="7"/>
  <c r="U20" i="7"/>
  <c r="U18" i="7"/>
  <c r="U16" i="7"/>
  <c r="U14" i="7"/>
  <c r="U12" i="7"/>
  <c r="U9" i="7"/>
  <c r="U6" i="7"/>
  <c r="U51" i="7"/>
  <c r="U50" i="7"/>
  <c r="U47" i="7"/>
  <c r="U45" i="7"/>
  <c r="U43" i="7"/>
  <c r="U41" i="7"/>
  <c r="U39" i="7"/>
  <c r="U37" i="7"/>
  <c r="U35" i="7"/>
  <c r="U33" i="7"/>
  <c r="U7" i="7"/>
  <c r="U46" i="7"/>
  <c r="U44" i="7"/>
  <c r="U48" i="7"/>
  <c r="U31" i="7"/>
  <c r="U29" i="7"/>
  <c r="U27" i="7"/>
  <c r="U25" i="7"/>
  <c r="U23" i="7"/>
  <c r="U21" i="7"/>
  <c r="U19" i="7"/>
  <c r="U17" i="7"/>
  <c r="U15" i="7"/>
  <c r="U13" i="7"/>
  <c r="U10" i="7"/>
  <c r="U5" i="7"/>
  <c r="U40" i="7"/>
  <c r="U38" i="7"/>
  <c r="U8" i="7"/>
  <c r="U36" i="7"/>
  <c r="U42" i="7"/>
  <c r="U34" i="7"/>
  <c r="U11" i="7"/>
  <c r="F37" i="5"/>
  <c r="S47" i="25" s="1"/>
  <c r="R47" i="13"/>
  <c r="R47" i="11"/>
  <c r="R47" i="12"/>
  <c r="R47" i="10"/>
  <c r="X51" i="7"/>
  <c r="X46" i="7"/>
  <c r="X44" i="7"/>
  <c r="X42" i="7"/>
  <c r="X40" i="7"/>
  <c r="X38" i="7"/>
  <c r="X36" i="7"/>
  <c r="X34" i="7"/>
  <c r="X11" i="7"/>
  <c r="X8" i="7"/>
  <c r="X49" i="7"/>
  <c r="X32" i="7"/>
  <c r="X30" i="7"/>
  <c r="X28" i="7"/>
  <c r="X26" i="7"/>
  <c r="X24" i="7"/>
  <c r="X22" i="7"/>
  <c r="X20" i="7"/>
  <c r="X18" i="7"/>
  <c r="X16" i="7"/>
  <c r="X14" i="7"/>
  <c r="X12" i="7"/>
  <c r="X9" i="7"/>
  <c r="X6" i="7"/>
  <c r="X48" i="7"/>
  <c r="X50" i="7"/>
  <c r="X47" i="7"/>
  <c r="X45" i="7"/>
  <c r="X43" i="7"/>
  <c r="X41" i="7"/>
  <c r="X39" i="7"/>
  <c r="X37" i="7"/>
  <c r="X35" i="7"/>
  <c r="X33" i="7"/>
  <c r="X7" i="7"/>
  <c r="X29" i="7"/>
  <c r="X25" i="7"/>
  <c r="X21" i="7"/>
  <c r="X17" i="7"/>
  <c r="X13" i="7"/>
  <c r="X5" i="7"/>
  <c r="X31" i="7"/>
  <c r="X27" i="7"/>
  <c r="X23" i="7"/>
  <c r="X19" i="7"/>
  <c r="X15" i="7"/>
  <c r="X10" i="7"/>
  <c r="S11" i="7"/>
  <c r="S8" i="7"/>
  <c r="S20" i="7"/>
  <c r="S18" i="7"/>
  <c r="S16" i="7"/>
  <c r="S14" i="7"/>
  <c r="S12" i="7"/>
  <c r="S9" i="7"/>
  <c r="S6" i="7"/>
  <c r="S7" i="7"/>
  <c r="S48" i="7"/>
  <c r="S25" i="7"/>
  <c r="S21" i="7"/>
  <c r="S17" i="7"/>
  <c r="S13" i="7"/>
  <c r="S5" i="7"/>
  <c r="S31" i="7"/>
  <c r="S27" i="7"/>
  <c r="S23" i="7"/>
  <c r="S19" i="7"/>
  <c r="S15" i="7"/>
  <c r="S10" i="7"/>
  <c r="S29" i="7"/>
  <c r="S22" i="7"/>
  <c r="S47" i="7"/>
  <c r="S28" i="7"/>
  <c r="S44" i="7"/>
  <c r="S37" i="7"/>
  <c r="S26" i="7"/>
  <c r="S42" i="7"/>
  <c r="S35" i="7"/>
  <c r="S51" i="7"/>
  <c r="S32" i="7"/>
  <c r="S41" i="7"/>
  <c r="S30" i="7"/>
  <c r="S46" i="7"/>
  <c r="AA50" i="8"/>
  <c r="Z50" i="28" s="1"/>
  <c r="Z102" i="28" s="1"/>
  <c r="AA46" i="8"/>
  <c r="Z46" i="28" s="1"/>
  <c r="Z98" i="28" s="1"/>
  <c r="AA42" i="8"/>
  <c r="Z42" i="28" s="1"/>
  <c r="Z94" i="28" s="1"/>
  <c r="AA49" i="8"/>
  <c r="Z49" i="28" s="1"/>
  <c r="Z101" i="28" s="1"/>
  <c r="AA45" i="8"/>
  <c r="Z45" i="28" s="1"/>
  <c r="Z97" i="28" s="1"/>
  <c r="AA41" i="8"/>
  <c r="Z41" i="28" s="1"/>
  <c r="Z93" i="28" s="1"/>
  <c r="AA51" i="8"/>
  <c r="Z51" i="28" s="1"/>
  <c r="Z103" i="28" s="1"/>
  <c r="AA43" i="8"/>
  <c r="Z43" i="28" s="1"/>
  <c r="Z95" i="28" s="1"/>
  <c r="AA38" i="8"/>
  <c r="Z38" i="28" s="1"/>
  <c r="Z90" i="28" s="1"/>
  <c r="AA34" i="8"/>
  <c r="Z34" i="28" s="1"/>
  <c r="Z86" i="28" s="1"/>
  <c r="AA28" i="8"/>
  <c r="Z28" i="28" s="1"/>
  <c r="Z80" i="28" s="1"/>
  <c r="AA25" i="8"/>
  <c r="Z25" i="28" s="1"/>
  <c r="Z77" i="28" s="1"/>
  <c r="AA20" i="8"/>
  <c r="Z20" i="28" s="1"/>
  <c r="Z72" i="28" s="1"/>
  <c r="AA16" i="8"/>
  <c r="Z16" i="28" s="1"/>
  <c r="Z68" i="28" s="1"/>
  <c r="AA48" i="8"/>
  <c r="Z48" i="28" s="1"/>
  <c r="Z100" i="28" s="1"/>
  <c r="AA37" i="8"/>
  <c r="Z37" i="28" s="1"/>
  <c r="Z89" i="28" s="1"/>
  <c r="AA33" i="8"/>
  <c r="Z33" i="28" s="1"/>
  <c r="Z85" i="28" s="1"/>
  <c r="AA30" i="8"/>
  <c r="Z30" i="28" s="1"/>
  <c r="Z82" i="28" s="1"/>
  <c r="AA27" i="8"/>
  <c r="Z27" i="28" s="1"/>
  <c r="Z79" i="28" s="1"/>
  <c r="AA22" i="8"/>
  <c r="Z22" i="28" s="1"/>
  <c r="Z74" i="28" s="1"/>
  <c r="AA19" i="8"/>
  <c r="Z19" i="28" s="1"/>
  <c r="Z71" i="28" s="1"/>
  <c r="AA47" i="8"/>
  <c r="Z47" i="28" s="1"/>
  <c r="Z99" i="28" s="1"/>
  <c r="AA40" i="8"/>
  <c r="Z40" i="28" s="1"/>
  <c r="Z92" i="28" s="1"/>
  <c r="AA36" i="8"/>
  <c r="Z36" i="28" s="1"/>
  <c r="Z88" i="28" s="1"/>
  <c r="AA32" i="8"/>
  <c r="Z32" i="28" s="1"/>
  <c r="Z84" i="28" s="1"/>
  <c r="AA29" i="8"/>
  <c r="Z29" i="28" s="1"/>
  <c r="Z81" i="28" s="1"/>
  <c r="AA24" i="8"/>
  <c r="Z24" i="28" s="1"/>
  <c r="Z76" i="28" s="1"/>
  <c r="AA21" i="8"/>
  <c r="Z21" i="28" s="1"/>
  <c r="Z73" i="28" s="1"/>
  <c r="AA18" i="8"/>
  <c r="Z18" i="28" s="1"/>
  <c r="Z70" i="28" s="1"/>
  <c r="AA14" i="8"/>
  <c r="Z14" i="28" s="1"/>
  <c r="Z66" i="28" s="1"/>
  <c r="AA31" i="8"/>
  <c r="Z31" i="28" s="1"/>
  <c r="Z83" i="28" s="1"/>
  <c r="AA15" i="8"/>
  <c r="Z15" i="28" s="1"/>
  <c r="Z67" i="28" s="1"/>
  <c r="AA12" i="8"/>
  <c r="Z12" i="28" s="1"/>
  <c r="Z64" i="28" s="1"/>
  <c r="AA7" i="8"/>
  <c r="Z7" i="28" s="1"/>
  <c r="Z59" i="28" s="1"/>
  <c r="AA44" i="8"/>
  <c r="Z44" i="28" s="1"/>
  <c r="Z96" i="28" s="1"/>
  <c r="AA9" i="8"/>
  <c r="Z9" i="28" s="1"/>
  <c r="Z61" i="28" s="1"/>
  <c r="AA6" i="8"/>
  <c r="Z6" i="28" s="1"/>
  <c r="Z58" i="28" s="1"/>
  <c r="P9" i="30" s="1"/>
  <c r="AA35" i="8"/>
  <c r="Z35" i="28" s="1"/>
  <c r="Z87" i="28" s="1"/>
  <c r="AA23" i="8"/>
  <c r="Z23" i="28" s="1"/>
  <c r="Z75" i="28" s="1"/>
  <c r="AA13" i="8"/>
  <c r="Z13" i="28" s="1"/>
  <c r="Z65" i="28" s="1"/>
  <c r="AA5" i="8"/>
  <c r="Z5" i="28" s="1"/>
  <c r="Z57" i="28" s="1"/>
  <c r="P7" i="30" s="1"/>
  <c r="AA39" i="8"/>
  <c r="Z39" i="28" s="1"/>
  <c r="Z91" i="28" s="1"/>
  <c r="AA26" i="8"/>
  <c r="Z26" i="28" s="1"/>
  <c r="Z78" i="28" s="1"/>
  <c r="AA11" i="8"/>
  <c r="Z11" i="28" s="1"/>
  <c r="Z63" i="28" s="1"/>
  <c r="AA8" i="8"/>
  <c r="Z8" i="28" s="1"/>
  <c r="Z60" i="28" s="1"/>
  <c r="AA17" i="8"/>
  <c r="Z17" i="28" s="1"/>
  <c r="Z69" i="28" s="1"/>
  <c r="AA10" i="8"/>
  <c r="Z10" i="28" s="1"/>
  <c r="Z62" i="28" s="1"/>
  <c r="R49" i="12"/>
  <c r="R48" i="12" s="1"/>
  <c r="AC42" i="7"/>
  <c r="R48" i="7"/>
  <c r="L35" i="7"/>
  <c r="AC37" i="7"/>
  <c r="S24" i="7"/>
  <c r="L50" i="7"/>
  <c r="AJ54" i="9"/>
  <c r="AJ54" i="8"/>
  <c r="AJ58" i="8" s="1"/>
  <c r="AJ54" i="7"/>
  <c r="AC36" i="7"/>
  <c r="S40" i="7"/>
  <c r="R30" i="7"/>
  <c r="L25" i="7"/>
  <c r="AC39" i="7"/>
  <c r="R35" i="7"/>
  <c r="Z49" i="11"/>
  <c r="AH58" i="8"/>
  <c r="AH9" i="9" s="1"/>
  <c r="AL56" i="9"/>
  <c r="AL56" i="8"/>
  <c r="AL58" i="6"/>
  <c r="AL56" i="7"/>
  <c r="AB56" i="9"/>
  <c r="AB56" i="8"/>
  <c r="AB56" i="7"/>
  <c r="AB58" i="6"/>
  <c r="R49" i="11"/>
  <c r="R48" i="11" s="1"/>
  <c r="AI58" i="8"/>
  <c r="AI29" i="9" s="1"/>
  <c r="Z53" i="9"/>
  <c r="M64" i="6"/>
  <c r="M70" i="6" s="1"/>
  <c r="Y56" i="6"/>
  <c r="Y54" i="24" s="1"/>
  <c r="Y58" i="24" s="1"/>
  <c r="V60" i="6"/>
  <c r="V56" i="6"/>
  <c r="V54" i="24" s="1"/>
  <c r="V58" i="24" s="1"/>
  <c r="M55" i="6"/>
  <c r="M60" i="6" s="1"/>
  <c r="M8" i="7" s="1"/>
  <c r="D30" i="5"/>
  <c r="L45" i="25" s="1"/>
  <c r="AI41" i="9" l="1"/>
  <c r="AC32" i="9"/>
  <c r="AD32" i="9" s="1"/>
  <c r="AC38" i="9"/>
  <c r="AD38" i="9" s="1"/>
  <c r="P11" i="30"/>
  <c r="AF63" i="29"/>
  <c r="AC63" i="29"/>
  <c r="Y63" i="29"/>
  <c r="AG63" i="29"/>
  <c r="AA63" i="29"/>
  <c r="Z63" i="29"/>
  <c r="AE63" i="29"/>
  <c r="AD63" i="29"/>
  <c r="AB63" i="29"/>
  <c r="AH63" i="29"/>
  <c r="X63" i="29"/>
  <c r="G8" i="31"/>
  <c r="Y50" i="29"/>
  <c r="AF50" i="29"/>
  <c r="AH50" i="29"/>
  <c r="AB50" i="29"/>
  <c r="AE50" i="29"/>
  <c r="AD50" i="29"/>
  <c r="AG50" i="29"/>
  <c r="X50" i="29"/>
  <c r="Z50" i="29"/>
  <c r="AA50" i="29"/>
  <c r="E10" i="31" s="1"/>
  <c r="AC50" i="29"/>
  <c r="AH64" i="29"/>
  <c r="AE64" i="29"/>
  <c r="AA64" i="29"/>
  <c r="AF64" i="29"/>
  <c r="Y64" i="29"/>
  <c r="X64" i="29"/>
  <c r="AC64" i="29"/>
  <c r="AD64" i="29"/>
  <c r="AB64" i="29"/>
  <c r="AG64" i="29"/>
  <c r="Z64" i="29"/>
  <c r="AH62" i="29"/>
  <c r="AB62" i="29"/>
  <c r="AA62" i="29"/>
  <c r="AD62" i="29"/>
  <c r="AG62" i="29"/>
  <c r="X62" i="29"/>
  <c r="Z62" i="29"/>
  <c r="AC62" i="29"/>
  <c r="AE62" i="29"/>
  <c r="Y62" i="29"/>
  <c r="AF62" i="29"/>
  <c r="R44" i="9"/>
  <c r="L17" i="9"/>
  <c r="O48" i="10"/>
  <c r="N44" i="10"/>
  <c r="V44" i="10"/>
  <c r="P48" i="10"/>
  <c r="M44" i="10"/>
  <c r="U44" i="10"/>
  <c r="U49" i="10" s="1"/>
  <c r="U48" i="10"/>
  <c r="P44" i="10"/>
  <c r="P49" i="10" s="1"/>
  <c r="Y44" i="10"/>
  <c r="T48" i="10"/>
  <c r="O44" i="10"/>
  <c r="O49" i="10" s="1"/>
  <c r="W44" i="10"/>
  <c r="X48" i="10"/>
  <c r="S44" i="10"/>
  <c r="Z44" i="10"/>
  <c r="V48" i="10"/>
  <c r="Q44" i="10"/>
  <c r="X44" i="10"/>
  <c r="X49" i="10" s="1"/>
  <c r="M48" i="10"/>
  <c r="L44" i="10"/>
  <c r="T44" i="10"/>
  <c r="N48" i="10"/>
  <c r="Z48" i="10"/>
  <c r="R44" i="10"/>
  <c r="R49" i="10" s="1"/>
  <c r="AA44" i="10"/>
  <c r="I10" i="31"/>
  <c r="I8" i="31"/>
  <c r="Z53" i="24"/>
  <c r="R32" i="9"/>
  <c r="AA53" i="24"/>
  <c r="Z48" i="11"/>
  <c r="AF59" i="29"/>
  <c r="AG59" i="29"/>
  <c r="AC59" i="29"/>
  <c r="Y59" i="29"/>
  <c r="AH59" i="29"/>
  <c r="AA59" i="29"/>
  <c r="AE59" i="29"/>
  <c r="Z59" i="29"/>
  <c r="AB59" i="29"/>
  <c r="X59" i="29"/>
  <c r="AD59" i="29"/>
  <c r="P8" i="30"/>
  <c r="X8" i="30" s="1"/>
  <c r="D8" i="30"/>
  <c r="Y44" i="11"/>
  <c r="X44" i="11"/>
  <c r="D6" i="30"/>
  <c r="AF51" i="29"/>
  <c r="Y51" i="29"/>
  <c r="AG51" i="29"/>
  <c r="AC51" i="29"/>
  <c r="Z51" i="29"/>
  <c r="AA51" i="29"/>
  <c r="AD51" i="29"/>
  <c r="AE51" i="29"/>
  <c r="X51" i="29"/>
  <c r="AH51" i="29"/>
  <c r="AB51" i="29"/>
  <c r="P6" i="30"/>
  <c r="X6" i="30" s="1"/>
  <c r="AD58" i="29"/>
  <c r="AG58" i="29"/>
  <c r="X58" i="29"/>
  <c r="Z58" i="29"/>
  <c r="AC58" i="29"/>
  <c r="AA58" i="29"/>
  <c r="Y58" i="29"/>
  <c r="AF58" i="29"/>
  <c r="AB58" i="29"/>
  <c r="AH58" i="29"/>
  <c r="AE58" i="29"/>
  <c r="AI31" i="9"/>
  <c r="O9" i="30"/>
  <c r="R31" i="9"/>
  <c r="L31" i="9"/>
  <c r="O7" i="30"/>
  <c r="J8" i="31"/>
  <c r="E8" i="31"/>
  <c r="R10" i="30"/>
  <c r="D10" i="30"/>
  <c r="X10" i="30" s="1"/>
  <c r="AQ9" i="24"/>
  <c r="AV12" i="24"/>
  <c r="AR13" i="24"/>
  <c r="AV23" i="24"/>
  <c r="AR24" i="24"/>
  <c r="AV24" i="24" s="1"/>
  <c r="AV27" i="24"/>
  <c r="AR28" i="24"/>
  <c r="M30" i="7"/>
  <c r="M26" i="7"/>
  <c r="M31" i="7"/>
  <c r="M22" i="7"/>
  <c r="M25" i="7"/>
  <c r="M45" i="7"/>
  <c r="M12" i="7"/>
  <c r="M12" i="9" s="1"/>
  <c r="M32" i="7"/>
  <c r="M8" i="9"/>
  <c r="L45" i="13"/>
  <c r="L45" i="11"/>
  <c r="L45" i="12"/>
  <c r="L45" i="10"/>
  <c r="M25" i="9"/>
  <c r="X23" i="9"/>
  <c r="X45" i="9"/>
  <c r="X24" i="9"/>
  <c r="S47" i="13"/>
  <c r="S47" i="12"/>
  <c r="S47" i="11"/>
  <c r="S47" i="10"/>
  <c r="U17" i="9"/>
  <c r="U33" i="9"/>
  <c r="U12" i="9"/>
  <c r="W7" i="9"/>
  <c r="W22" i="9"/>
  <c r="W40" i="9"/>
  <c r="W21" i="9"/>
  <c r="W29" i="9"/>
  <c r="R41" i="9"/>
  <c r="R26" i="9"/>
  <c r="R21" i="9"/>
  <c r="L47" i="9"/>
  <c r="AI44" i="9"/>
  <c r="AI40" i="9"/>
  <c r="AI43" i="9"/>
  <c r="AI6" i="9"/>
  <c r="AI25" i="9"/>
  <c r="R8" i="11"/>
  <c r="R5" i="11"/>
  <c r="R21" i="11"/>
  <c r="R16" i="11"/>
  <c r="R11" i="11"/>
  <c r="R6" i="11"/>
  <c r="R17" i="11"/>
  <c r="R12" i="11"/>
  <c r="R23" i="11"/>
  <c r="R25" i="11"/>
  <c r="R10" i="11"/>
  <c r="R7" i="11"/>
  <c r="R9" i="11"/>
  <c r="R13" i="11"/>
  <c r="R30" i="11"/>
  <c r="R19" i="11"/>
  <c r="R39" i="11"/>
  <c r="R28" i="11"/>
  <c r="R37" i="11"/>
  <c r="R18" i="11"/>
  <c r="R34" i="11"/>
  <c r="R27" i="11"/>
  <c r="R15" i="11"/>
  <c r="R32" i="11"/>
  <c r="R41" i="11"/>
  <c r="R26" i="11"/>
  <c r="R35" i="11"/>
  <c r="R40" i="11"/>
  <c r="R22" i="11"/>
  <c r="R31" i="11"/>
  <c r="R36" i="11"/>
  <c r="R38" i="11"/>
  <c r="R20" i="11"/>
  <c r="R29" i="11"/>
  <c r="R42" i="11"/>
  <c r="R14" i="11"/>
  <c r="R24" i="11"/>
  <c r="R33" i="11"/>
  <c r="M31" i="9"/>
  <c r="L37" i="9"/>
  <c r="L18" i="9"/>
  <c r="L16" i="9"/>
  <c r="L10" i="9"/>
  <c r="R46" i="9"/>
  <c r="AD26" i="7"/>
  <c r="AC26" i="9"/>
  <c r="AD26" i="9" s="1"/>
  <c r="AD47" i="7"/>
  <c r="AC47" i="9"/>
  <c r="AD47" i="9" s="1"/>
  <c r="AD43" i="7"/>
  <c r="AC43" i="9"/>
  <c r="AD43" i="9" s="1"/>
  <c r="AD13" i="7"/>
  <c r="AC13" i="9"/>
  <c r="AD13" i="9" s="1"/>
  <c r="AD14" i="7"/>
  <c r="AC14" i="9"/>
  <c r="AD14" i="9" s="1"/>
  <c r="M49" i="7"/>
  <c r="P32" i="9"/>
  <c r="P31" i="9"/>
  <c r="P44" i="9"/>
  <c r="P5" i="9"/>
  <c r="P53" i="7"/>
  <c r="P58" i="7" s="1"/>
  <c r="P31" i="8" s="1"/>
  <c r="P31" i="28" s="1"/>
  <c r="P83" i="28" s="1"/>
  <c r="P25" i="9"/>
  <c r="P16" i="9"/>
  <c r="O51" i="9"/>
  <c r="O30" i="9"/>
  <c r="O35" i="9"/>
  <c r="O21" i="9"/>
  <c r="O7" i="9"/>
  <c r="O48" i="9"/>
  <c r="AH23" i="9"/>
  <c r="AH43" i="9"/>
  <c r="AH51" i="9"/>
  <c r="AH24" i="9"/>
  <c r="AH18" i="9"/>
  <c r="AH15" i="9"/>
  <c r="AH7" i="9"/>
  <c r="M27" i="7"/>
  <c r="Q47" i="9"/>
  <c r="Q34" i="9"/>
  <c r="Q51" i="9"/>
  <c r="Q41" i="9"/>
  <c r="Q19" i="9"/>
  <c r="Q39" i="9"/>
  <c r="Q14" i="9"/>
  <c r="Q30" i="9"/>
  <c r="Q24" i="9"/>
  <c r="Q5" i="9"/>
  <c r="Q53" i="7"/>
  <c r="Q58" i="7" s="1"/>
  <c r="Q34" i="8" s="1"/>
  <c r="Q34" i="28" s="1"/>
  <c r="Q86" i="28" s="1"/>
  <c r="P11" i="11"/>
  <c r="P9" i="11"/>
  <c r="P7" i="11"/>
  <c r="P5" i="11"/>
  <c r="P10" i="11"/>
  <c r="P8" i="11"/>
  <c r="P39" i="11"/>
  <c r="P35" i="11"/>
  <c r="P31" i="11"/>
  <c r="P16" i="11"/>
  <c r="P14" i="11"/>
  <c r="P6" i="11"/>
  <c r="P28" i="11"/>
  <c r="P33" i="11"/>
  <c r="P26" i="11"/>
  <c r="P42" i="11"/>
  <c r="P23" i="11"/>
  <c r="P15" i="11"/>
  <c r="P32" i="11"/>
  <c r="P21" i="11"/>
  <c r="P37" i="11"/>
  <c r="P13" i="11"/>
  <c r="P30" i="11"/>
  <c r="P27" i="11"/>
  <c r="P17" i="11"/>
  <c r="P24" i="11"/>
  <c r="P29" i="11"/>
  <c r="P38" i="11"/>
  <c r="P19" i="11"/>
  <c r="P36" i="11"/>
  <c r="P41" i="11"/>
  <c r="P18" i="11"/>
  <c r="P20" i="11"/>
  <c r="P25" i="11"/>
  <c r="P40" i="11"/>
  <c r="P22" i="11"/>
  <c r="P12" i="11"/>
  <c r="P34" i="11"/>
  <c r="R35" i="9"/>
  <c r="L35" i="9"/>
  <c r="AA53" i="8"/>
  <c r="M38" i="7"/>
  <c r="M13" i="7"/>
  <c r="X10" i="9"/>
  <c r="X27" i="9"/>
  <c r="X17" i="9"/>
  <c r="X7" i="9"/>
  <c r="X39" i="9"/>
  <c r="X47" i="9"/>
  <c r="X9" i="9"/>
  <c r="X18" i="9"/>
  <c r="X26" i="9"/>
  <c r="X49" i="9"/>
  <c r="X36" i="9"/>
  <c r="X44" i="9"/>
  <c r="U11" i="9"/>
  <c r="U8" i="9"/>
  <c r="U10" i="9"/>
  <c r="U19" i="9"/>
  <c r="U27" i="9"/>
  <c r="U44" i="9"/>
  <c r="U35" i="9"/>
  <c r="U43" i="9"/>
  <c r="U51" i="9"/>
  <c r="U14" i="9"/>
  <c r="U22" i="9"/>
  <c r="U30" i="9"/>
  <c r="W37" i="9"/>
  <c r="W35" i="9"/>
  <c r="W6" i="9"/>
  <c r="W16" i="9"/>
  <c r="W24" i="9"/>
  <c r="W32" i="9"/>
  <c r="W34" i="9"/>
  <c r="W42" i="9"/>
  <c r="W50" i="9"/>
  <c r="W15" i="9"/>
  <c r="W23" i="9"/>
  <c r="W31" i="9"/>
  <c r="R51" i="9"/>
  <c r="R34" i="9"/>
  <c r="R7" i="9"/>
  <c r="R12" i="9"/>
  <c r="R20" i="9"/>
  <c r="R28" i="9"/>
  <c r="R11" i="9"/>
  <c r="R15" i="9"/>
  <c r="R23" i="9"/>
  <c r="M39" i="7"/>
  <c r="M42" i="7"/>
  <c r="L41" i="9"/>
  <c r="AD41" i="7"/>
  <c r="AC41" i="9"/>
  <c r="AD41" i="9" s="1"/>
  <c r="AI42" i="9"/>
  <c r="AI28" i="9"/>
  <c r="AI38" i="9"/>
  <c r="AI23" i="9"/>
  <c r="AI39" i="9"/>
  <c r="AI9" i="9"/>
  <c r="AI18" i="9"/>
  <c r="AI5" i="9"/>
  <c r="AI53" i="7"/>
  <c r="AI58" i="7" s="1"/>
  <c r="AI24" i="24" s="1"/>
  <c r="AI15" i="9"/>
  <c r="AI34" i="9"/>
  <c r="M40" i="7"/>
  <c r="M47" i="7"/>
  <c r="L19" i="9"/>
  <c r="L40" i="9"/>
  <c r="L34" i="9"/>
  <c r="L30" i="9"/>
  <c r="L22" i="9"/>
  <c r="L20" i="9"/>
  <c r="L49" i="9"/>
  <c r="L13" i="9"/>
  <c r="L27" i="9"/>
  <c r="M23" i="7"/>
  <c r="AD33" i="7"/>
  <c r="AC33" i="9"/>
  <c r="AD33" i="9" s="1"/>
  <c r="AD22" i="7"/>
  <c r="AC22" i="9"/>
  <c r="AD22" i="9" s="1"/>
  <c r="AD45" i="7"/>
  <c r="AC45" i="9"/>
  <c r="AD45" i="9" s="1"/>
  <c r="AD10" i="7"/>
  <c r="AC10" i="9"/>
  <c r="AD10" i="9" s="1"/>
  <c r="AD27" i="7"/>
  <c r="AC27" i="9"/>
  <c r="AD27" i="9" s="1"/>
  <c r="AD17" i="7"/>
  <c r="AC17" i="9"/>
  <c r="AD17" i="9" s="1"/>
  <c r="AD6" i="7"/>
  <c r="AC6" i="9"/>
  <c r="AD6" i="9" s="1"/>
  <c r="AD16" i="7"/>
  <c r="AC16" i="9"/>
  <c r="AD16" i="9" s="1"/>
  <c r="AD8" i="7"/>
  <c r="AC8" i="9"/>
  <c r="AD8" i="9" s="1"/>
  <c r="P39" i="8"/>
  <c r="P39" i="28" s="1"/>
  <c r="P91" i="28" s="1"/>
  <c r="P39" i="9"/>
  <c r="P45" i="8"/>
  <c r="P45" i="28" s="1"/>
  <c r="P97" i="28" s="1"/>
  <c r="P45" i="9"/>
  <c r="P30" i="8"/>
  <c r="P30" i="28" s="1"/>
  <c r="P82" i="28" s="1"/>
  <c r="P30" i="9"/>
  <c r="P51" i="8"/>
  <c r="P51" i="28" s="1"/>
  <c r="P103" i="28" s="1"/>
  <c r="P51" i="9"/>
  <c r="P8" i="8"/>
  <c r="P8" i="28" s="1"/>
  <c r="P60" i="28" s="1"/>
  <c r="P8" i="9"/>
  <c r="P34" i="8"/>
  <c r="P34" i="28" s="1"/>
  <c r="P86" i="28" s="1"/>
  <c r="P34" i="9"/>
  <c r="P10" i="8"/>
  <c r="P10" i="28" s="1"/>
  <c r="P62" i="28" s="1"/>
  <c r="P10" i="9"/>
  <c r="P19" i="8"/>
  <c r="P19" i="28" s="1"/>
  <c r="P71" i="28" s="1"/>
  <c r="P19" i="9"/>
  <c r="P27" i="8"/>
  <c r="P27" i="9"/>
  <c r="P9" i="8"/>
  <c r="P9" i="28" s="1"/>
  <c r="P61" i="28" s="1"/>
  <c r="P9" i="9"/>
  <c r="P18" i="8"/>
  <c r="P18" i="28" s="1"/>
  <c r="P70" i="28" s="1"/>
  <c r="P18" i="9"/>
  <c r="P26" i="8"/>
  <c r="P26" i="9"/>
  <c r="AI48" i="9"/>
  <c r="O34" i="9"/>
  <c r="O49" i="9"/>
  <c r="O40" i="9"/>
  <c r="O41" i="9"/>
  <c r="O42" i="9"/>
  <c r="O45" i="9"/>
  <c r="O5" i="9"/>
  <c r="O53" i="7"/>
  <c r="O58" i="7" s="1"/>
  <c r="O34" i="8" s="1"/>
  <c r="O34" i="28" s="1"/>
  <c r="O86" i="28" s="1"/>
  <c r="O25" i="9"/>
  <c r="O23" i="9"/>
  <c r="O6" i="9"/>
  <c r="O16" i="9"/>
  <c r="O8" i="9"/>
  <c r="AH34" i="9"/>
  <c r="AH47" i="9"/>
  <c r="AH46" i="9"/>
  <c r="AH50" i="9"/>
  <c r="AH42" i="9"/>
  <c r="AH35" i="9"/>
  <c r="AH12" i="9"/>
  <c r="AH28" i="9"/>
  <c r="AH26" i="9"/>
  <c r="AH8" i="9"/>
  <c r="AH17" i="9"/>
  <c r="AH10" i="9"/>
  <c r="Q49" i="8"/>
  <c r="Q49" i="28" s="1"/>
  <c r="Q101" i="28" s="1"/>
  <c r="Q49" i="9"/>
  <c r="Q50" i="8"/>
  <c r="Q50" i="28" s="1"/>
  <c r="Q102" i="28" s="1"/>
  <c r="Q50" i="9"/>
  <c r="Q48" i="8"/>
  <c r="Q48" i="28" s="1"/>
  <c r="Q100" i="28" s="1"/>
  <c r="Q48" i="9"/>
  <c r="Q46" i="8"/>
  <c r="Q46" i="28" s="1"/>
  <c r="Q98" i="28" s="1"/>
  <c r="Q46" i="9"/>
  <c r="Q17" i="8"/>
  <c r="Q17" i="28" s="1"/>
  <c r="Q69" i="28" s="1"/>
  <c r="Q17" i="9"/>
  <c r="Q42" i="8"/>
  <c r="Q42" i="28" s="1"/>
  <c r="Q94" i="28" s="1"/>
  <c r="Q42" i="9"/>
  <c r="Q11" i="8"/>
  <c r="Q11" i="28" s="1"/>
  <c r="Q63" i="28" s="1"/>
  <c r="Q11" i="9"/>
  <c r="Q18" i="8"/>
  <c r="Q18" i="28" s="1"/>
  <c r="Q70" i="28" s="1"/>
  <c r="Q18" i="9"/>
  <c r="Q12" i="8"/>
  <c r="Q12" i="28" s="1"/>
  <c r="Q64" i="28" s="1"/>
  <c r="Q12" i="9"/>
  <c r="Q28" i="8"/>
  <c r="Q28" i="28" s="1"/>
  <c r="Q80" i="28" s="1"/>
  <c r="Q28" i="9"/>
  <c r="Q10" i="8"/>
  <c r="Q10" i="28" s="1"/>
  <c r="Q62" i="28" s="1"/>
  <c r="Q10" i="9"/>
  <c r="Q23" i="8"/>
  <c r="Q23" i="28" s="1"/>
  <c r="Q75" i="28" s="1"/>
  <c r="Q23" i="9"/>
  <c r="Y60" i="6"/>
  <c r="Y54" i="9"/>
  <c r="Y54" i="8"/>
  <c r="Y58" i="8" s="1"/>
  <c r="Y54" i="7"/>
  <c r="O16" i="11"/>
  <c r="O7" i="11"/>
  <c r="O10" i="11"/>
  <c r="O5" i="11"/>
  <c r="O41" i="11"/>
  <c r="O37" i="11"/>
  <c r="O33" i="11"/>
  <c r="O29" i="11"/>
  <c r="O11" i="11"/>
  <c r="O9" i="11"/>
  <c r="O21" i="11"/>
  <c r="O8" i="11"/>
  <c r="O6" i="11"/>
  <c r="O14" i="11"/>
  <c r="O18" i="11"/>
  <c r="O26" i="11"/>
  <c r="O42" i="11"/>
  <c r="O23" i="11"/>
  <c r="O39" i="11"/>
  <c r="O24" i="11"/>
  <c r="O40" i="11"/>
  <c r="O12" i="11"/>
  <c r="O22" i="11"/>
  <c r="O30" i="11"/>
  <c r="O27" i="11"/>
  <c r="O28" i="11"/>
  <c r="O13" i="11"/>
  <c r="O19" i="11"/>
  <c r="O36" i="11"/>
  <c r="O17" i="11"/>
  <c r="O34" i="11"/>
  <c r="O31" i="11"/>
  <c r="O15" i="11"/>
  <c r="O32" i="11"/>
  <c r="O25" i="11"/>
  <c r="O38" i="11"/>
  <c r="O35" i="11"/>
  <c r="O20" i="11"/>
  <c r="R30" i="9"/>
  <c r="AD37" i="7"/>
  <c r="AC37" i="9"/>
  <c r="AD37" i="9" s="1"/>
  <c r="M30" i="9"/>
  <c r="M45" i="9"/>
  <c r="X13" i="9"/>
  <c r="X37" i="9"/>
  <c r="X16" i="9"/>
  <c r="X34" i="9"/>
  <c r="X42" i="9"/>
  <c r="U36" i="9"/>
  <c r="U25" i="9"/>
  <c r="U41" i="9"/>
  <c r="U20" i="9"/>
  <c r="W41" i="9"/>
  <c r="W14" i="9"/>
  <c r="W11" i="9"/>
  <c r="W13" i="9"/>
  <c r="R49" i="9"/>
  <c r="R9" i="9"/>
  <c r="M26" i="9"/>
  <c r="AI27" i="8"/>
  <c r="AE27" i="28" s="1"/>
  <c r="AE79" i="28" s="1"/>
  <c r="AI27" i="9"/>
  <c r="M15" i="7"/>
  <c r="M10" i="7"/>
  <c r="M5" i="7"/>
  <c r="M16" i="7"/>
  <c r="M9" i="7"/>
  <c r="M6" i="7"/>
  <c r="V54" i="8"/>
  <c r="V58" i="8" s="1"/>
  <c r="V54" i="9"/>
  <c r="V54" i="7"/>
  <c r="AD39" i="7"/>
  <c r="AC39" i="9"/>
  <c r="AD39" i="9" s="1"/>
  <c r="AD36" i="7"/>
  <c r="AC36" i="9"/>
  <c r="AD36" i="9" s="1"/>
  <c r="L50" i="9"/>
  <c r="R48" i="9"/>
  <c r="M7" i="7"/>
  <c r="M46" i="7"/>
  <c r="M29" i="7"/>
  <c r="X15" i="9"/>
  <c r="X31" i="9"/>
  <c r="X21" i="9"/>
  <c r="X33" i="9"/>
  <c r="X41" i="9"/>
  <c r="X50" i="9"/>
  <c r="X12" i="9"/>
  <c r="X20" i="9"/>
  <c r="X28" i="9"/>
  <c r="X8" i="9"/>
  <c r="X38" i="9"/>
  <c r="X46" i="9"/>
  <c r="U34" i="9"/>
  <c r="U38" i="9"/>
  <c r="U13" i="9"/>
  <c r="U21" i="9"/>
  <c r="U29" i="9"/>
  <c r="U46" i="9"/>
  <c r="U37" i="9"/>
  <c r="U45" i="9"/>
  <c r="U6" i="9"/>
  <c r="U16" i="9"/>
  <c r="U24" i="9"/>
  <c r="U32" i="9"/>
  <c r="W39" i="9"/>
  <c r="W43" i="9"/>
  <c r="W9" i="9"/>
  <c r="W18" i="9"/>
  <c r="W26" i="9"/>
  <c r="W49" i="9"/>
  <c r="W36" i="9"/>
  <c r="W44" i="9"/>
  <c r="W53" i="7"/>
  <c r="W58" i="7" s="1"/>
  <c r="W5" i="9"/>
  <c r="W17" i="9"/>
  <c r="W25" i="9"/>
  <c r="W48" i="9"/>
  <c r="R38" i="9"/>
  <c r="R39" i="9"/>
  <c r="R37" i="9"/>
  <c r="R14" i="9"/>
  <c r="R22" i="9"/>
  <c r="R45" i="9"/>
  <c r="R53" i="7"/>
  <c r="R5" i="9"/>
  <c r="R17" i="9"/>
  <c r="R25" i="9"/>
  <c r="AI46" i="9"/>
  <c r="M11" i="7"/>
  <c r="R42" i="9"/>
  <c r="L36" i="9"/>
  <c r="AI30" i="8"/>
  <c r="AI30" i="9"/>
  <c r="AI26" i="8"/>
  <c r="AI26" i="9"/>
  <c r="AI51" i="8"/>
  <c r="AI51" i="9"/>
  <c r="AI21" i="8"/>
  <c r="AI21" i="9"/>
  <c r="AI47" i="8"/>
  <c r="AI47" i="9"/>
  <c r="AI10" i="8"/>
  <c r="AI10" i="9"/>
  <c r="AI12" i="8"/>
  <c r="AI12" i="9"/>
  <c r="AI20" i="8"/>
  <c r="AI20" i="9"/>
  <c r="AI8" i="8"/>
  <c r="AI8" i="9"/>
  <c r="AI17" i="8"/>
  <c r="AI17" i="9"/>
  <c r="M21" i="7"/>
  <c r="M48" i="7"/>
  <c r="M34" i="7"/>
  <c r="L38" i="9"/>
  <c r="L39" i="9"/>
  <c r="L48" i="9"/>
  <c r="L6" i="9"/>
  <c r="L26" i="9"/>
  <c r="L24" i="9"/>
  <c r="L8" i="9"/>
  <c r="L15" i="9"/>
  <c r="L29" i="9"/>
  <c r="AD50" i="7"/>
  <c r="AC50" i="9"/>
  <c r="AD50" i="9" s="1"/>
  <c r="AD44" i="7"/>
  <c r="AC44" i="9"/>
  <c r="AD44" i="9" s="1"/>
  <c r="AD29" i="7"/>
  <c r="AC29" i="9"/>
  <c r="AD29" i="9" s="1"/>
  <c r="AD24" i="7"/>
  <c r="AC24" i="9"/>
  <c r="AD24" i="9" s="1"/>
  <c r="AD15" i="7"/>
  <c r="AC15" i="9"/>
  <c r="AD15" i="9" s="1"/>
  <c r="AD31" i="7"/>
  <c r="AC31" i="9"/>
  <c r="AD31" i="9" s="1"/>
  <c r="AD21" i="7"/>
  <c r="AC21" i="9"/>
  <c r="AD21" i="9" s="1"/>
  <c r="AD9" i="7"/>
  <c r="AC9" i="9"/>
  <c r="AD9" i="9" s="1"/>
  <c r="AD18" i="7"/>
  <c r="AC18" i="9"/>
  <c r="AD18" i="9" s="1"/>
  <c r="AD11" i="7"/>
  <c r="AC11" i="9"/>
  <c r="AD11" i="9" s="1"/>
  <c r="M36" i="7"/>
  <c r="P33" i="8"/>
  <c r="P33" i="28" s="1"/>
  <c r="P85" i="28" s="1"/>
  <c r="P33" i="9"/>
  <c r="P35" i="8"/>
  <c r="P35" i="9"/>
  <c r="P41" i="8"/>
  <c r="P41" i="28" s="1"/>
  <c r="P93" i="28" s="1"/>
  <c r="P41" i="9"/>
  <c r="P37" i="8"/>
  <c r="P37" i="9"/>
  <c r="P38" i="8"/>
  <c r="P38" i="28" s="1"/>
  <c r="P90" i="28" s="1"/>
  <c r="P38" i="9"/>
  <c r="P42" i="8"/>
  <c r="P42" i="28" s="1"/>
  <c r="P94" i="28" s="1"/>
  <c r="P42" i="9"/>
  <c r="P13" i="8"/>
  <c r="P13" i="28" s="1"/>
  <c r="P65" i="28" s="1"/>
  <c r="P13" i="9"/>
  <c r="P21" i="8"/>
  <c r="P21" i="9"/>
  <c r="P29" i="8"/>
  <c r="P29" i="9"/>
  <c r="P12" i="8"/>
  <c r="P12" i="28" s="1"/>
  <c r="P64" i="28" s="1"/>
  <c r="P12" i="9"/>
  <c r="P20" i="8"/>
  <c r="P20" i="28" s="1"/>
  <c r="P72" i="28" s="1"/>
  <c r="P20" i="9"/>
  <c r="P28" i="8"/>
  <c r="P28" i="9"/>
  <c r="O50" i="8"/>
  <c r="O50" i="28" s="1"/>
  <c r="O102" i="28" s="1"/>
  <c r="O50" i="9"/>
  <c r="O36" i="8"/>
  <c r="O36" i="28" s="1"/>
  <c r="O88" i="28" s="1"/>
  <c r="O36" i="9"/>
  <c r="O39" i="8"/>
  <c r="O39" i="28" s="1"/>
  <c r="O91" i="28" s="1"/>
  <c r="O39" i="9"/>
  <c r="O32" i="8"/>
  <c r="O32" i="28" s="1"/>
  <c r="O84" i="28" s="1"/>
  <c r="O32" i="9"/>
  <c r="O26" i="8"/>
  <c r="O26" i="28" s="1"/>
  <c r="O78" i="28" s="1"/>
  <c r="O26" i="9"/>
  <c r="O44" i="8"/>
  <c r="O44" i="28" s="1"/>
  <c r="O96" i="28" s="1"/>
  <c r="O44" i="9"/>
  <c r="O13" i="8"/>
  <c r="O13" i="28" s="1"/>
  <c r="O65" i="28" s="1"/>
  <c r="O13" i="9"/>
  <c r="O10" i="8"/>
  <c r="O10" i="28" s="1"/>
  <c r="O62" i="28" s="1"/>
  <c r="O10" i="9"/>
  <c r="O27" i="8"/>
  <c r="O27" i="28" s="1"/>
  <c r="O79" i="28" s="1"/>
  <c r="O27" i="9"/>
  <c r="O9" i="8"/>
  <c r="O9" i="28" s="1"/>
  <c r="O61" i="28" s="1"/>
  <c r="O9" i="9"/>
  <c r="O18" i="8"/>
  <c r="O18" i="28" s="1"/>
  <c r="O70" i="28" s="1"/>
  <c r="O18" i="9"/>
  <c r="O11" i="8"/>
  <c r="O11" i="28" s="1"/>
  <c r="O63" i="28" s="1"/>
  <c r="O11" i="9"/>
  <c r="AH29" i="9"/>
  <c r="AH21" i="9"/>
  <c r="AH41" i="9"/>
  <c r="AH45" i="9"/>
  <c r="AH37" i="9"/>
  <c r="AH38" i="9"/>
  <c r="AH16" i="9"/>
  <c r="AH30" i="9"/>
  <c r="AH11" i="9"/>
  <c r="AH19" i="9"/>
  <c r="M43" i="7"/>
  <c r="Q36" i="8"/>
  <c r="Q36" i="9"/>
  <c r="Q33" i="8"/>
  <c r="Q33" i="9"/>
  <c r="Q38" i="8"/>
  <c r="Q38" i="9"/>
  <c r="Q7" i="8"/>
  <c r="Q7" i="9"/>
  <c r="Q44" i="8"/>
  <c r="Q44" i="9"/>
  <c r="Q37" i="8"/>
  <c r="Q37" i="9"/>
  <c r="Q6" i="8"/>
  <c r="Q6" i="9"/>
  <c r="Q22" i="8"/>
  <c r="Q22" i="9"/>
  <c r="Q16" i="8"/>
  <c r="Q16" i="9"/>
  <c r="Q32" i="8"/>
  <c r="Q32" i="9"/>
  <c r="Q13" i="8"/>
  <c r="Q13" i="9"/>
  <c r="Q27" i="8"/>
  <c r="Q27" i="9"/>
  <c r="M22" i="9"/>
  <c r="X29" i="9"/>
  <c r="X6" i="9"/>
  <c r="X32" i="9"/>
  <c r="U5" i="9"/>
  <c r="U53" i="7"/>
  <c r="U58" i="7" s="1"/>
  <c r="U48" i="9"/>
  <c r="U50" i="9"/>
  <c r="U28" i="8"/>
  <c r="T28" i="28" s="1"/>
  <c r="T80" i="28" s="1"/>
  <c r="U28" i="9"/>
  <c r="W47" i="8"/>
  <c r="V47" i="28" s="1"/>
  <c r="V99" i="28" s="1"/>
  <c r="W47" i="9"/>
  <c r="W30" i="8"/>
  <c r="V30" i="28" s="1"/>
  <c r="V82" i="28" s="1"/>
  <c r="W30" i="9"/>
  <c r="W51" i="8"/>
  <c r="V51" i="28" s="1"/>
  <c r="V103" i="28" s="1"/>
  <c r="W51" i="9"/>
  <c r="R47" i="9"/>
  <c r="R18" i="9"/>
  <c r="R13" i="9"/>
  <c r="R29" i="9"/>
  <c r="AI33" i="8"/>
  <c r="AE33" i="28" s="1"/>
  <c r="AE85" i="28" s="1"/>
  <c r="AI33" i="9"/>
  <c r="AI37" i="8"/>
  <c r="AE37" i="28" s="1"/>
  <c r="AE89" i="28" s="1"/>
  <c r="AI37" i="9"/>
  <c r="AI16" i="8"/>
  <c r="AE16" i="28" s="1"/>
  <c r="AE68" i="28" s="1"/>
  <c r="AI16" i="9"/>
  <c r="AI13" i="8"/>
  <c r="AE13" i="28" s="1"/>
  <c r="AE65" i="28" s="1"/>
  <c r="AI13" i="9"/>
  <c r="M32" i="9"/>
  <c r="L43" i="9"/>
  <c r="L7" i="9"/>
  <c r="L14" i="9"/>
  <c r="L32" i="9"/>
  <c r="L23" i="9"/>
  <c r="L51" i="9"/>
  <c r="AD49" i="7"/>
  <c r="AC49" i="9"/>
  <c r="AD49" i="9" s="1"/>
  <c r="AD30" i="7"/>
  <c r="AC30" i="9"/>
  <c r="AD30" i="9" s="1"/>
  <c r="AD23" i="7"/>
  <c r="AC23" i="9"/>
  <c r="AD23" i="9" s="1"/>
  <c r="AD7" i="7"/>
  <c r="AC7" i="9"/>
  <c r="AD7" i="9" s="1"/>
  <c r="AD48" i="7"/>
  <c r="AC48" i="9"/>
  <c r="AD48" i="9" s="1"/>
  <c r="P47" i="8"/>
  <c r="P47" i="9"/>
  <c r="P43" i="8"/>
  <c r="P43" i="9"/>
  <c r="P11" i="8"/>
  <c r="P11" i="9"/>
  <c r="P17" i="8"/>
  <c r="P17" i="9"/>
  <c r="P6" i="8"/>
  <c r="P6" i="9"/>
  <c r="P24" i="8"/>
  <c r="P24" i="9"/>
  <c r="S46" i="13"/>
  <c r="S46" i="12"/>
  <c r="S46" i="11"/>
  <c r="S46" i="10"/>
  <c r="O24" i="8"/>
  <c r="O24" i="9"/>
  <c r="O38" i="8"/>
  <c r="O38" i="9"/>
  <c r="O29" i="8"/>
  <c r="O29" i="9"/>
  <c r="O43" i="8"/>
  <c r="O43" i="9"/>
  <c r="O19" i="8"/>
  <c r="O19" i="9"/>
  <c r="O14" i="8"/>
  <c r="O14" i="9"/>
  <c r="AH27" i="9"/>
  <c r="AH31" i="9"/>
  <c r="AH39" i="9"/>
  <c r="AH33" i="9"/>
  <c r="AH53" i="7"/>
  <c r="AH58" i="7" s="1"/>
  <c r="AH5" i="9"/>
  <c r="Q21" i="8"/>
  <c r="Q21" i="9"/>
  <c r="V50" i="7"/>
  <c r="V47" i="7"/>
  <c r="V45" i="7"/>
  <c r="V43" i="7"/>
  <c r="V41" i="7"/>
  <c r="V39" i="7"/>
  <c r="V37" i="7"/>
  <c r="V35" i="7"/>
  <c r="V33" i="7"/>
  <c r="V7" i="7"/>
  <c r="V49" i="7"/>
  <c r="V48" i="7"/>
  <c r="V31" i="7"/>
  <c r="V29" i="7"/>
  <c r="V27" i="7"/>
  <c r="V25" i="7"/>
  <c r="V23" i="7"/>
  <c r="V21" i="7"/>
  <c r="V19" i="7"/>
  <c r="V17" i="7"/>
  <c r="V15" i="7"/>
  <c r="V13" i="7"/>
  <c r="V10" i="7"/>
  <c r="V5" i="7"/>
  <c r="V51" i="7"/>
  <c r="V46" i="7"/>
  <c r="V44" i="7"/>
  <c r="V42" i="7"/>
  <c r="V40" i="7"/>
  <c r="V38" i="7"/>
  <c r="V36" i="7"/>
  <c r="V34" i="7"/>
  <c r="V11" i="7"/>
  <c r="V8" i="7"/>
  <c r="V30" i="7"/>
  <c r="V26" i="7"/>
  <c r="V22" i="7"/>
  <c r="V18" i="7"/>
  <c r="V14" i="7"/>
  <c r="V9" i="7"/>
  <c r="V6" i="7"/>
  <c r="V32" i="7"/>
  <c r="V28" i="7"/>
  <c r="V24" i="7"/>
  <c r="V20" i="7"/>
  <c r="V16" i="7"/>
  <c r="V12" i="7"/>
  <c r="R8" i="9"/>
  <c r="M51" i="7"/>
  <c r="L25" i="9"/>
  <c r="AD42" i="7"/>
  <c r="AC42" i="9"/>
  <c r="AD42" i="9" s="1"/>
  <c r="AI36" i="9"/>
  <c r="M14" i="7"/>
  <c r="S53" i="7"/>
  <c r="M17" i="7"/>
  <c r="M37" i="7"/>
  <c r="X19" i="9"/>
  <c r="X5" i="9"/>
  <c r="X53" i="7"/>
  <c r="X58" i="7" s="1"/>
  <c r="X25" i="9"/>
  <c r="X35" i="9"/>
  <c r="X43" i="9"/>
  <c r="X48" i="9"/>
  <c r="X14" i="9"/>
  <c r="X22" i="9"/>
  <c r="X30" i="9"/>
  <c r="X11" i="9"/>
  <c r="X40" i="9"/>
  <c r="X51" i="9"/>
  <c r="U42" i="8"/>
  <c r="U42" i="9"/>
  <c r="U40" i="8"/>
  <c r="T40" i="28" s="1"/>
  <c r="T92" i="28" s="1"/>
  <c r="U40" i="9"/>
  <c r="U15" i="8"/>
  <c r="U15" i="9"/>
  <c r="U23" i="8"/>
  <c r="T23" i="28" s="1"/>
  <c r="T75" i="28" s="1"/>
  <c r="U23" i="9"/>
  <c r="U31" i="8"/>
  <c r="U31" i="9"/>
  <c r="U7" i="8"/>
  <c r="T7" i="28" s="1"/>
  <c r="T59" i="28" s="1"/>
  <c r="U7" i="9"/>
  <c r="U39" i="8"/>
  <c r="U39" i="9"/>
  <c r="U47" i="8"/>
  <c r="T47" i="28" s="1"/>
  <c r="T99" i="28" s="1"/>
  <c r="U47" i="9"/>
  <c r="U9" i="8"/>
  <c r="U9" i="9"/>
  <c r="U18" i="8"/>
  <c r="T18" i="28" s="1"/>
  <c r="T70" i="28" s="1"/>
  <c r="U18" i="9"/>
  <c r="U26" i="8"/>
  <c r="U26" i="9"/>
  <c r="U49" i="8"/>
  <c r="T49" i="28" s="1"/>
  <c r="T101" i="28" s="1"/>
  <c r="U49" i="9"/>
  <c r="W33" i="8"/>
  <c r="W33" i="9"/>
  <c r="W45" i="8"/>
  <c r="V45" i="28" s="1"/>
  <c r="V97" i="28" s="1"/>
  <c r="W45" i="9"/>
  <c r="W12" i="8"/>
  <c r="W12" i="9"/>
  <c r="W20" i="8"/>
  <c r="V20" i="28" s="1"/>
  <c r="V72" i="28" s="1"/>
  <c r="W20" i="9"/>
  <c r="W28" i="8"/>
  <c r="W28" i="9"/>
  <c r="W8" i="8"/>
  <c r="V8" i="28" s="1"/>
  <c r="V60" i="28" s="1"/>
  <c r="W8" i="9"/>
  <c r="W38" i="8"/>
  <c r="W38" i="9"/>
  <c r="W46" i="8"/>
  <c r="V46" i="28" s="1"/>
  <c r="V98" i="28" s="1"/>
  <c r="W46" i="9"/>
  <c r="W10" i="8"/>
  <c r="W10" i="9"/>
  <c r="W19" i="8"/>
  <c r="V19" i="28" s="1"/>
  <c r="V71" i="28" s="1"/>
  <c r="W19" i="9"/>
  <c r="W27" i="8"/>
  <c r="W27" i="9"/>
  <c r="R40" i="9"/>
  <c r="R36" i="9"/>
  <c r="R33" i="9"/>
  <c r="R6" i="9"/>
  <c r="R16" i="9"/>
  <c r="R24" i="9"/>
  <c r="R50" i="9"/>
  <c r="R10" i="9"/>
  <c r="R19" i="9"/>
  <c r="R27" i="9"/>
  <c r="M33" i="7"/>
  <c r="AD51" i="7"/>
  <c r="AC51" i="9"/>
  <c r="AD51" i="9" s="1"/>
  <c r="AI32" i="8"/>
  <c r="AI32" i="9"/>
  <c r="L46" i="8"/>
  <c r="L46" i="28" s="1"/>
  <c r="L98" i="28" s="1"/>
  <c r="L46" i="9"/>
  <c r="AI24" i="8"/>
  <c r="AI24" i="9"/>
  <c r="AI22" i="8"/>
  <c r="AE22" i="28" s="1"/>
  <c r="AE74" i="28" s="1"/>
  <c r="AI22" i="9"/>
  <c r="AI49" i="8"/>
  <c r="AI49" i="9"/>
  <c r="AI7" i="8"/>
  <c r="AE7" i="28" s="1"/>
  <c r="AE59" i="28" s="1"/>
  <c r="AI7" i="9"/>
  <c r="AI35" i="8"/>
  <c r="AI35" i="9"/>
  <c r="AI14" i="8"/>
  <c r="AE14" i="28" s="1"/>
  <c r="AE66" i="28" s="1"/>
  <c r="AI14" i="9"/>
  <c r="AI50" i="8"/>
  <c r="AI50" i="9"/>
  <c r="AI11" i="8"/>
  <c r="AE11" i="28" s="1"/>
  <c r="AE63" i="28" s="1"/>
  <c r="AI11" i="9"/>
  <c r="AI19" i="8"/>
  <c r="AI19" i="9"/>
  <c r="M18" i="7"/>
  <c r="M24" i="7"/>
  <c r="M50" i="7"/>
  <c r="L42" i="9"/>
  <c r="L11" i="9"/>
  <c r="L33" i="9"/>
  <c r="L9" i="9"/>
  <c r="L12" i="9"/>
  <c r="L28" i="9"/>
  <c r="L5" i="9"/>
  <c r="L53" i="7"/>
  <c r="L58" i="7" s="1"/>
  <c r="L21" i="9"/>
  <c r="M41" i="7"/>
  <c r="L44" i="8"/>
  <c r="L44" i="28" s="1"/>
  <c r="L96" i="28" s="1"/>
  <c r="L44" i="9"/>
  <c r="Z53" i="8"/>
  <c r="AD34" i="7"/>
  <c r="AC34" i="9"/>
  <c r="AD34" i="9" s="1"/>
  <c r="AD28" i="7"/>
  <c r="AC28" i="9"/>
  <c r="AD28" i="9" s="1"/>
  <c r="AD46" i="7"/>
  <c r="AC46" i="9"/>
  <c r="AD46" i="9" s="1"/>
  <c r="AD40" i="7"/>
  <c r="AC40" i="9"/>
  <c r="AD40" i="9" s="1"/>
  <c r="AD19" i="7"/>
  <c r="AC19" i="9"/>
  <c r="AD19" i="9" s="1"/>
  <c r="AD5" i="7"/>
  <c r="AC53" i="7"/>
  <c r="AC58" i="7" s="1"/>
  <c r="AC5" i="9"/>
  <c r="AD25" i="7"/>
  <c r="AC25" i="9"/>
  <c r="AD25" i="9" s="1"/>
  <c r="AD12" i="7"/>
  <c r="AC12" i="9"/>
  <c r="AD12" i="9" s="1"/>
  <c r="AD20" i="7"/>
  <c r="AC20" i="9"/>
  <c r="AD20" i="9" s="1"/>
  <c r="M20" i="7"/>
  <c r="AI45" i="9"/>
  <c r="M19" i="7"/>
  <c r="P50" i="8"/>
  <c r="P50" i="9"/>
  <c r="P49" i="8"/>
  <c r="P49" i="28" s="1"/>
  <c r="P101" i="28" s="1"/>
  <c r="P49" i="9"/>
  <c r="P48" i="8"/>
  <c r="P48" i="9"/>
  <c r="P36" i="8"/>
  <c r="P36" i="28" s="1"/>
  <c r="P88" i="28" s="1"/>
  <c r="P36" i="9"/>
  <c r="P40" i="8"/>
  <c r="P40" i="9"/>
  <c r="P46" i="8"/>
  <c r="P46" i="28" s="1"/>
  <c r="P98" i="28" s="1"/>
  <c r="P46" i="9"/>
  <c r="P15" i="8"/>
  <c r="P15" i="9"/>
  <c r="P23" i="8"/>
  <c r="P23" i="9"/>
  <c r="P7" i="8"/>
  <c r="P7" i="9"/>
  <c r="P14" i="8"/>
  <c r="P14" i="28" s="1"/>
  <c r="P66" i="28" s="1"/>
  <c r="P14" i="9"/>
  <c r="P22" i="8"/>
  <c r="P22" i="9"/>
  <c r="M35" i="7"/>
  <c r="M28" i="7"/>
  <c r="O37" i="8"/>
  <c r="O37" i="9"/>
  <c r="O22" i="8"/>
  <c r="O22" i="28" s="1"/>
  <c r="O74" i="28" s="1"/>
  <c r="O22" i="9"/>
  <c r="O46" i="8"/>
  <c r="O46" i="9"/>
  <c r="O47" i="8"/>
  <c r="O47" i="28" s="1"/>
  <c r="O99" i="28" s="1"/>
  <c r="O47" i="9"/>
  <c r="O33" i="8"/>
  <c r="O33" i="9"/>
  <c r="O28" i="8"/>
  <c r="O28" i="28" s="1"/>
  <c r="O80" i="28" s="1"/>
  <c r="O28" i="9"/>
  <c r="O17" i="8"/>
  <c r="O17" i="9"/>
  <c r="O15" i="8"/>
  <c r="O15" i="28" s="1"/>
  <c r="O67" i="28" s="1"/>
  <c r="O15" i="9"/>
  <c r="O31" i="8"/>
  <c r="O31" i="9"/>
  <c r="O12" i="8"/>
  <c r="O12" i="28" s="1"/>
  <c r="O64" i="28" s="1"/>
  <c r="O12" i="9"/>
  <c r="O20" i="8"/>
  <c r="O20" i="9"/>
  <c r="AH32" i="8"/>
  <c r="AD32" i="28" s="1"/>
  <c r="AD84" i="28" s="1"/>
  <c r="AH32" i="9"/>
  <c r="AH22" i="9"/>
  <c r="AH44" i="8"/>
  <c r="AH44" i="9"/>
  <c r="AH48" i="9"/>
  <c r="AH40" i="8"/>
  <c r="AH40" i="9"/>
  <c r="AH36" i="9"/>
  <c r="AH49" i="8"/>
  <c r="AH49" i="9"/>
  <c r="AH20" i="9"/>
  <c r="AH14" i="8"/>
  <c r="AD14" i="28" s="1"/>
  <c r="AD66" i="28" s="1"/>
  <c r="AH14" i="9"/>
  <c r="AH6" i="9"/>
  <c r="AH13" i="8"/>
  <c r="AH13" i="9"/>
  <c r="AH25" i="9"/>
  <c r="M44" i="7"/>
  <c r="Q35" i="8"/>
  <c r="Q35" i="9"/>
  <c r="Q31" i="8"/>
  <c r="Q31" i="9"/>
  <c r="Q25" i="8"/>
  <c r="Q25" i="9"/>
  <c r="Q45" i="8"/>
  <c r="Q45" i="9"/>
  <c r="Q43" i="8"/>
  <c r="Q43" i="9"/>
  <c r="Q40" i="8"/>
  <c r="Q40" i="9"/>
  <c r="Q9" i="8"/>
  <c r="Q9" i="9"/>
  <c r="Q26" i="8"/>
  <c r="Q26" i="9"/>
  <c r="Q20" i="8"/>
  <c r="Q20" i="9"/>
  <c r="Q8" i="8"/>
  <c r="Q8" i="28" s="1"/>
  <c r="Q60" i="28" s="1"/>
  <c r="Q8" i="9"/>
  <c r="Q15" i="8"/>
  <c r="Q15" i="9"/>
  <c r="Q29" i="8"/>
  <c r="Q29" i="28" s="1"/>
  <c r="Q81" i="28" s="1"/>
  <c r="Q29" i="9"/>
  <c r="D4" i="5"/>
  <c r="N56" i="6" s="1"/>
  <c r="N54" i="24" s="1"/>
  <c r="F30" i="5"/>
  <c r="L47" i="25" s="1"/>
  <c r="L49" i="25" s="1"/>
  <c r="D35" i="5"/>
  <c r="Q45" i="25" s="1"/>
  <c r="Q26" i="28" l="1"/>
  <c r="Q78" i="28" s="1"/>
  <c r="Q40" i="28"/>
  <c r="Q92" i="28" s="1"/>
  <c r="Q45" i="28"/>
  <c r="Q97" i="28" s="1"/>
  <c r="Q31" i="28"/>
  <c r="Q83" i="28" s="1"/>
  <c r="AD49" i="28"/>
  <c r="AD101" i="28" s="1"/>
  <c r="AH11" i="8"/>
  <c r="AD11" i="28" s="1"/>
  <c r="AD63" i="28" s="1"/>
  <c r="AH27" i="24"/>
  <c r="AH31" i="24"/>
  <c r="AH39" i="24"/>
  <c r="AH33" i="24"/>
  <c r="AH18" i="24"/>
  <c r="AH15" i="24"/>
  <c r="AH32" i="24"/>
  <c r="AH44" i="24"/>
  <c r="AH40" i="24"/>
  <c r="AH49" i="24"/>
  <c r="AH14" i="24"/>
  <c r="AH13" i="24"/>
  <c r="AH47" i="24"/>
  <c r="AH50" i="24"/>
  <c r="AH35" i="24"/>
  <c r="AH28" i="24"/>
  <c r="AH8" i="24"/>
  <c r="AH10" i="24"/>
  <c r="AH21" i="24"/>
  <c r="AH45" i="24"/>
  <c r="AH38" i="24"/>
  <c r="AH9" i="24"/>
  <c r="AH11" i="24"/>
  <c r="AH23" i="24"/>
  <c r="AH43" i="24"/>
  <c r="AH51" i="24"/>
  <c r="AH24" i="24"/>
  <c r="AH5" i="24"/>
  <c r="AH7" i="24"/>
  <c r="AH22" i="24"/>
  <c r="AH48" i="24"/>
  <c r="AH36" i="24"/>
  <c r="AH20" i="24"/>
  <c r="AH6" i="24"/>
  <c r="AH25" i="24"/>
  <c r="AH34" i="24"/>
  <c r="AH46" i="24"/>
  <c r="AH42" i="24"/>
  <c r="AH12" i="24"/>
  <c r="AH26" i="24"/>
  <c r="AH17" i="24"/>
  <c r="AH29" i="24"/>
  <c r="AH41" i="24"/>
  <c r="AH37" i="24"/>
  <c r="AH16" i="24"/>
  <c r="AH30" i="24"/>
  <c r="AH19" i="24"/>
  <c r="O19" i="28"/>
  <c r="O71" i="28" s="1"/>
  <c r="O29" i="28"/>
  <c r="O81" i="28" s="1"/>
  <c r="O24" i="28"/>
  <c r="O76" i="28" s="1"/>
  <c r="P6" i="28"/>
  <c r="P58" i="28" s="1"/>
  <c r="P11" i="28"/>
  <c r="P63" i="28" s="1"/>
  <c r="P47" i="28"/>
  <c r="P99" i="28" s="1"/>
  <c r="U17" i="8"/>
  <c r="T17" i="28" s="1"/>
  <c r="T69" i="28" s="1"/>
  <c r="U36" i="24"/>
  <c r="U25" i="24"/>
  <c r="U33" i="24"/>
  <c r="U50" i="24"/>
  <c r="U20" i="24"/>
  <c r="U11" i="24"/>
  <c r="U10" i="24"/>
  <c r="U27" i="24"/>
  <c r="U35" i="24"/>
  <c r="U51" i="24"/>
  <c r="U22" i="24"/>
  <c r="U34" i="24"/>
  <c r="U13" i="24"/>
  <c r="U29" i="24"/>
  <c r="U37" i="24"/>
  <c r="U6" i="24"/>
  <c r="U24" i="24"/>
  <c r="U42" i="24"/>
  <c r="U15" i="24"/>
  <c r="U31" i="24"/>
  <c r="U39" i="24"/>
  <c r="U9" i="24"/>
  <c r="U26" i="24"/>
  <c r="U17" i="24"/>
  <c r="U5" i="24"/>
  <c r="U48" i="24"/>
  <c r="U41" i="24"/>
  <c r="U12" i="24"/>
  <c r="U28" i="24"/>
  <c r="U8" i="24"/>
  <c r="U19" i="24"/>
  <c r="U44" i="24"/>
  <c r="U43" i="24"/>
  <c r="U14" i="24"/>
  <c r="U30" i="24"/>
  <c r="U38" i="24"/>
  <c r="U21" i="24"/>
  <c r="U46" i="24"/>
  <c r="U45" i="24"/>
  <c r="U16" i="24"/>
  <c r="U32" i="24"/>
  <c r="U40" i="24"/>
  <c r="U23" i="24"/>
  <c r="U7" i="24"/>
  <c r="U47" i="24"/>
  <c r="U18" i="24"/>
  <c r="U49" i="24"/>
  <c r="Q27" i="28"/>
  <c r="Q79" i="28" s="1"/>
  <c r="Q32" i="28"/>
  <c r="Q84" i="28" s="1"/>
  <c r="Q22" i="28"/>
  <c r="Q74" i="28" s="1"/>
  <c r="Q37" i="28"/>
  <c r="Q89" i="28" s="1"/>
  <c r="Q7" i="28"/>
  <c r="Q59" i="28" s="1"/>
  <c r="Q33" i="28"/>
  <c r="Q85" i="28" s="1"/>
  <c r="AE17" i="28"/>
  <c r="AE69" i="28" s="1"/>
  <c r="AE20" i="28"/>
  <c r="AE72" i="28" s="1"/>
  <c r="AE10" i="28"/>
  <c r="AE62" i="28" s="1"/>
  <c r="AE21" i="28"/>
  <c r="AE73" i="28" s="1"/>
  <c r="AE26" i="28"/>
  <c r="AE78" i="28" s="1"/>
  <c r="X7" i="8"/>
  <c r="W7" i="28" s="1"/>
  <c r="W59" i="28" s="1"/>
  <c r="X45" i="24"/>
  <c r="X32" i="24"/>
  <c r="X10" i="24"/>
  <c r="X17" i="24"/>
  <c r="X39" i="24"/>
  <c r="X9" i="24"/>
  <c r="X26" i="24"/>
  <c r="X36" i="24"/>
  <c r="X15" i="24"/>
  <c r="X21" i="24"/>
  <c r="X41" i="24"/>
  <c r="X12" i="24"/>
  <c r="X28" i="24"/>
  <c r="X38" i="24"/>
  <c r="X19" i="24"/>
  <c r="X25" i="24"/>
  <c r="X43" i="24"/>
  <c r="X14" i="24"/>
  <c r="X30" i="24"/>
  <c r="X40" i="24"/>
  <c r="X23" i="24"/>
  <c r="X37" i="24"/>
  <c r="X16" i="24"/>
  <c r="X13" i="24"/>
  <c r="X24" i="24"/>
  <c r="X42" i="24"/>
  <c r="X27" i="24"/>
  <c r="X7" i="24"/>
  <c r="X47" i="24"/>
  <c r="X18" i="24"/>
  <c r="X49" i="24"/>
  <c r="X44" i="24"/>
  <c r="X31" i="24"/>
  <c r="X33" i="24"/>
  <c r="X50" i="24"/>
  <c r="X20" i="24"/>
  <c r="X8" i="24"/>
  <c r="X46" i="24"/>
  <c r="X5" i="24"/>
  <c r="X35" i="24"/>
  <c r="X48" i="24"/>
  <c r="X22" i="24"/>
  <c r="X11" i="24"/>
  <c r="X51" i="24"/>
  <c r="X29" i="24"/>
  <c r="X6" i="24"/>
  <c r="X34" i="24"/>
  <c r="W22" i="8"/>
  <c r="V22" i="28" s="1"/>
  <c r="V74" i="28" s="1"/>
  <c r="W7" i="24"/>
  <c r="W47" i="24"/>
  <c r="W30" i="24"/>
  <c r="W40" i="24"/>
  <c r="W13" i="24"/>
  <c r="W29" i="24"/>
  <c r="W37" i="24"/>
  <c r="W6" i="24"/>
  <c r="W24" i="24"/>
  <c r="W34" i="24"/>
  <c r="W50" i="24"/>
  <c r="W23" i="24"/>
  <c r="W39" i="24"/>
  <c r="W9" i="24"/>
  <c r="W26" i="24"/>
  <c r="W36" i="24"/>
  <c r="W5" i="24"/>
  <c r="W25" i="24"/>
  <c r="W33" i="24"/>
  <c r="W12" i="24"/>
  <c r="W28" i="24"/>
  <c r="W38" i="24"/>
  <c r="W10" i="24"/>
  <c r="W27" i="24"/>
  <c r="W41" i="24"/>
  <c r="W14" i="24"/>
  <c r="W11" i="24"/>
  <c r="W51" i="24"/>
  <c r="W21" i="24"/>
  <c r="W35" i="24"/>
  <c r="W16" i="24"/>
  <c r="W32" i="24"/>
  <c r="W42" i="24"/>
  <c r="W15" i="24"/>
  <c r="W31" i="24"/>
  <c r="W43" i="24"/>
  <c r="W18" i="24"/>
  <c r="W49" i="24"/>
  <c r="W44" i="24"/>
  <c r="W17" i="24"/>
  <c r="W48" i="24"/>
  <c r="W45" i="24"/>
  <c r="W20" i="24"/>
  <c r="W8" i="24"/>
  <c r="W46" i="24"/>
  <c r="W19" i="24"/>
  <c r="W22" i="24"/>
  <c r="Q15" i="28"/>
  <c r="Q67" i="28" s="1"/>
  <c r="Q9" i="28"/>
  <c r="Q61" i="28" s="1"/>
  <c r="Q25" i="28"/>
  <c r="Q77" i="28" s="1"/>
  <c r="Q35" i="28"/>
  <c r="Q87" i="28" s="1"/>
  <c r="AD13" i="28"/>
  <c r="AD65" i="28" s="1"/>
  <c r="AD44" i="28"/>
  <c r="AD96" i="28" s="1"/>
  <c r="AC35" i="24"/>
  <c r="AD35" i="24" s="1"/>
  <c r="AC33" i="24"/>
  <c r="AD33" i="24" s="1"/>
  <c r="AC45" i="24"/>
  <c r="AD45" i="24" s="1"/>
  <c r="AC27" i="24"/>
  <c r="AD27" i="24" s="1"/>
  <c r="AC6" i="24"/>
  <c r="AD6" i="24" s="1"/>
  <c r="AC8" i="24"/>
  <c r="AD8" i="24" s="1"/>
  <c r="AC44" i="24"/>
  <c r="AD44" i="24" s="1"/>
  <c r="AC24" i="24"/>
  <c r="AD24" i="24" s="1"/>
  <c r="AC31" i="24"/>
  <c r="AD31" i="24" s="1"/>
  <c r="AC9" i="24"/>
  <c r="AD9" i="24" s="1"/>
  <c r="AC11" i="24"/>
  <c r="AD11" i="24" s="1"/>
  <c r="AC38" i="24"/>
  <c r="AD38" i="24" s="1"/>
  <c r="AC51" i="24"/>
  <c r="AD51" i="24" s="1"/>
  <c r="AC34" i="24"/>
  <c r="AD34" i="24" s="1"/>
  <c r="AC46" i="24"/>
  <c r="AD46" i="24" s="1"/>
  <c r="AC19" i="24"/>
  <c r="AD19" i="24" s="1"/>
  <c r="AC25" i="24"/>
  <c r="AD25" i="24" s="1"/>
  <c r="AC20" i="24"/>
  <c r="AD20" i="24" s="1"/>
  <c r="AC39" i="24"/>
  <c r="AD39" i="24" s="1"/>
  <c r="AC49" i="24"/>
  <c r="AD49" i="24" s="1"/>
  <c r="AC30" i="24"/>
  <c r="AD30" i="24" s="1"/>
  <c r="AC23" i="24"/>
  <c r="AD23" i="24" s="1"/>
  <c r="AC7" i="24"/>
  <c r="AD7" i="24" s="1"/>
  <c r="AC48" i="24"/>
  <c r="AD48" i="24" s="1"/>
  <c r="AC42" i="24"/>
  <c r="AD42" i="24" s="1"/>
  <c r="AC41" i="24"/>
  <c r="AD41" i="24" s="1"/>
  <c r="AC22" i="24"/>
  <c r="AD22" i="24" s="1"/>
  <c r="AC10" i="24"/>
  <c r="AD10" i="24" s="1"/>
  <c r="AC17" i="24"/>
  <c r="AD17" i="24" s="1"/>
  <c r="AC16" i="24"/>
  <c r="AD16" i="24" s="1"/>
  <c r="AC37" i="24"/>
  <c r="AD37" i="24" s="1"/>
  <c r="AC50" i="24"/>
  <c r="AD50" i="24" s="1"/>
  <c r="AC29" i="24"/>
  <c r="AD29" i="24" s="1"/>
  <c r="AC15" i="24"/>
  <c r="AD15" i="24" s="1"/>
  <c r="AC21" i="24"/>
  <c r="AD21" i="24" s="1"/>
  <c r="AC18" i="24"/>
  <c r="AD18" i="24" s="1"/>
  <c r="AC26" i="24"/>
  <c r="AD26" i="24" s="1"/>
  <c r="AC32" i="24"/>
  <c r="AD32" i="24" s="1"/>
  <c r="AC28" i="24"/>
  <c r="AD28" i="24" s="1"/>
  <c r="AC40" i="24"/>
  <c r="AD40" i="24" s="1"/>
  <c r="AC5" i="24"/>
  <c r="AC12" i="24"/>
  <c r="AD12" i="24" s="1"/>
  <c r="AC36" i="24"/>
  <c r="AD36" i="24" s="1"/>
  <c r="AC47" i="24"/>
  <c r="AD47" i="24" s="1"/>
  <c r="AC43" i="24"/>
  <c r="AD43" i="24" s="1"/>
  <c r="AC13" i="24"/>
  <c r="AD13" i="24" s="1"/>
  <c r="AC14" i="24"/>
  <c r="AD14" i="24" s="1"/>
  <c r="V27" i="28"/>
  <c r="V79" i="28" s="1"/>
  <c r="V10" i="28"/>
  <c r="V62" i="28" s="1"/>
  <c r="V38" i="28"/>
  <c r="V90" i="28" s="1"/>
  <c r="V28" i="28"/>
  <c r="V80" i="28" s="1"/>
  <c r="V12" i="28"/>
  <c r="V64" i="28" s="1"/>
  <c r="V33" i="28"/>
  <c r="V85" i="28" s="1"/>
  <c r="T26" i="28"/>
  <c r="T78" i="28" s="1"/>
  <c r="T9" i="28"/>
  <c r="T61" i="28" s="1"/>
  <c r="T39" i="28"/>
  <c r="T91" i="28" s="1"/>
  <c r="T31" i="28"/>
  <c r="T83" i="28" s="1"/>
  <c r="T15" i="28"/>
  <c r="T67" i="28" s="1"/>
  <c r="T42" i="28"/>
  <c r="T94" i="28" s="1"/>
  <c r="Q21" i="28"/>
  <c r="Q73" i="28" s="1"/>
  <c r="O14" i="28"/>
  <c r="O66" i="28" s="1"/>
  <c r="O43" i="28"/>
  <c r="O95" i="28" s="1"/>
  <c r="O38" i="28"/>
  <c r="O90" i="28" s="1"/>
  <c r="P17" i="28"/>
  <c r="P69" i="28" s="1"/>
  <c r="P43" i="28"/>
  <c r="P95" i="28" s="1"/>
  <c r="Q13" i="28"/>
  <c r="Q65" i="28" s="1"/>
  <c r="Q16" i="28"/>
  <c r="Q68" i="28" s="1"/>
  <c r="Q6" i="28"/>
  <c r="Q58" i="28" s="1"/>
  <c r="Q44" i="28"/>
  <c r="Q96" i="28" s="1"/>
  <c r="Q38" i="28"/>
  <c r="Q90" i="28" s="1"/>
  <c r="Q36" i="28"/>
  <c r="Q88" i="28" s="1"/>
  <c r="AE8" i="28"/>
  <c r="AE60" i="28" s="1"/>
  <c r="AE12" i="28"/>
  <c r="AE64" i="28" s="1"/>
  <c r="AE47" i="28"/>
  <c r="AE99" i="28" s="1"/>
  <c r="AE51" i="28"/>
  <c r="AE103" i="28" s="1"/>
  <c r="AE30" i="28"/>
  <c r="AE82" i="28" s="1"/>
  <c r="Q20" i="28"/>
  <c r="Q72" i="28" s="1"/>
  <c r="Q43" i="28"/>
  <c r="Q95" i="28" s="1"/>
  <c r="AD40" i="28"/>
  <c r="AD92" i="28" s="1"/>
  <c r="O20" i="28"/>
  <c r="O72" i="28" s="1"/>
  <c r="O31" i="28"/>
  <c r="O83" i="28" s="1"/>
  <c r="O17" i="28"/>
  <c r="O69" i="28" s="1"/>
  <c r="O33" i="28"/>
  <c r="O85" i="28" s="1"/>
  <c r="O46" i="28"/>
  <c r="O98" i="28" s="1"/>
  <c r="O37" i="28"/>
  <c r="O89" i="28" s="1"/>
  <c r="P7" i="28"/>
  <c r="P59" i="28" s="1"/>
  <c r="P15" i="28"/>
  <c r="P67" i="28" s="1"/>
  <c r="P40" i="28"/>
  <c r="P92" i="28" s="1"/>
  <c r="P48" i="28"/>
  <c r="P100" i="28" s="1"/>
  <c r="P50" i="28"/>
  <c r="P102" i="28" s="1"/>
  <c r="L18" i="8"/>
  <c r="L18" i="28" s="1"/>
  <c r="L70" i="28" s="1"/>
  <c r="L45" i="24"/>
  <c r="L41" i="24"/>
  <c r="L42" i="24"/>
  <c r="L33" i="24"/>
  <c r="L12" i="24"/>
  <c r="L5" i="24"/>
  <c r="L44" i="24"/>
  <c r="L35" i="24"/>
  <c r="L47" i="24"/>
  <c r="L19" i="24"/>
  <c r="L34" i="24"/>
  <c r="L22" i="24"/>
  <c r="L49" i="24"/>
  <c r="L27" i="24"/>
  <c r="L39" i="24"/>
  <c r="L6" i="24"/>
  <c r="L24" i="24"/>
  <c r="L15" i="24"/>
  <c r="L46" i="24"/>
  <c r="L43" i="24"/>
  <c r="L7" i="24"/>
  <c r="L14" i="24"/>
  <c r="L32" i="24"/>
  <c r="L23" i="24"/>
  <c r="L50" i="24"/>
  <c r="L36" i="24"/>
  <c r="L11" i="24"/>
  <c r="L9" i="24"/>
  <c r="L28" i="24"/>
  <c r="L21" i="24"/>
  <c r="L17" i="24"/>
  <c r="L40" i="24"/>
  <c r="L30" i="24"/>
  <c r="L20" i="24"/>
  <c r="L13" i="24"/>
  <c r="L25" i="24"/>
  <c r="L38" i="24"/>
  <c r="L48" i="24"/>
  <c r="L26" i="24"/>
  <c r="L8" i="24"/>
  <c r="L29" i="24"/>
  <c r="L37" i="24"/>
  <c r="L18" i="24"/>
  <c r="L16" i="24"/>
  <c r="L10" i="24"/>
  <c r="L51" i="24"/>
  <c r="L31" i="24"/>
  <c r="AE19" i="28"/>
  <c r="AE71" i="28" s="1"/>
  <c r="AE50" i="28"/>
  <c r="AE102" i="28" s="1"/>
  <c r="AE35" i="28"/>
  <c r="AE87" i="28" s="1"/>
  <c r="AE49" i="28"/>
  <c r="AE101" i="28" s="1"/>
  <c r="AE24" i="28"/>
  <c r="AE76" i="28" s="1"/>
  <c r="AE32" i="28"/>
  <c r="AE84" i="28" s="1"/>
  <c r="P37" i="28"/>
  <c r="P89" i="28" s="1"/>
  <c r="P35" i="28"/>
  <c r="P87" i="28" s="1"/>
  <c r="O35" i="25"/>
  <c r="O15" i="25"/>
  <c r="O36" i="25"/>
  <c r="O27" i="25"/>
  <c r="O40" i="25"/>
  <c r="O42" i="25"/>
  <c r="O6" i="25"/>
  <c r="O11" i="25"/>
  <c r="O41" i="25"/>
  <c r="O16" i="25"/>
  <c r="P12" i="25"/>
  <c r="P20" i="25"/>
  <c r="P19" i="25"/>
  <c r="P17" i="25"/>
  <c r="P37" i="25"/>
  <c r="P23" i="25"/>
  <c r="P28" i="25"/>
  <c r="P31" i="25"/>
  <c r="P10" i="25"/>
  <c r="P11" i="25"/>
  <c r="R24" i="25"/>
  <c r="S24" i="25" s="1"/>
  <c r="R20" i="25"/>
  <c r="S20" i="25" s="1"/>
  <c r="R22" i="25"/>
  <c r="S22" i="25" s="1"/>
  <c r="R41" i="25"/>
  <c r="S41" i="25" s="1"/>
  <c r="R34" i="25"/>
  <c r="S34" i="25" s="1"/>
  <c r="R39" i="25"/>
  <c r="S39" i="25" s="1"/>
  <c r="R9" i="25"/>
  <c r="S9" i="25" s="1"/>
  <c r="R23" i="25"/>
  <c r="S23" i="25" s="1"/>
  <c r="R11" i="25"/>
  <c r="S11" i="25" s="1"/>
  <c r="R8" i="25"/>
  <c r="S8" i="25" s="1"/>
  <c r="P16" i="24"/>
  <c r="P25" i="24"/>
  <c r="P5" i="24"/>
  <c r="P44" i="24"/>
  <c r="P31" i="24"/>
  <c r="P32" i="24"/>
  <c r="Q23" i="24"/>
  <c r="Q28" i="24"/>
  <c r="Q18" i="24"/>
  <c r="Q42" i="24"/>
  <c r="Q46" i="24"/>
  <c r="Q50" i="24"/>
  <c r="O18" i="24"/>
  <c r="O27" i="24"/>
  <c r="O13" i="24"/>
  <c r="O26" i="24"/>
  <c r="O39" i="24"/>
  <c r="O50" i="24"/>
  <c r="P15" i="24"/>
  <c r="P40" i="24"/>
  <c r="P48" i="24"/>
  <c r="P50" i="24"/>
  <c r="AI15" i="24"/>
  <c r="AI18" i="24"/>
  <c r="AI39" i="24"/>
  <c r="AI38" i="24"/>
  <c r="AI42" i="24"/>
  <c r="AI32" i="24"/>
  <c r="T49" i="10"/>
  <c r="M49" i="10"/>
  <c r="O48" i="25"/>
  <c r="O48" i="12"/>
  <c r="O48" i="11"/>
  <c r="AI36" i="24"/>
  <c r="Q21" i="24"/>
  <c r="Q24" i="24"/>
  <c r="Q14" i="24"/>
  <c r="Q19" i="24"/>
  <c r="Q51" i="24"/>
  <c r="Q47" i="24"/>
  <c r="O16" i="24"/>
  <c r="O23" i="24"/>
  <c r="O5" i="24"/>
  <c r="O42" i="24"/>
  <c r="O40" i="24"/>
  <c r="O34" i="24"/>
  <c r="P21" i="24"/>
  <c r="G10" i="31"/>
  <c r="G6" i="31"/>
  <c r="B10" i="31"/>
  <c r="B6" i="31"/>
  <c r="B8" i="31"/>
  <c r="J10" i="31"/>
  <c r="J6" i="31"/>
  <c r="P9" i="24"/>
  <c r="AI11" i="24"/>
  <c r="AI14" i="24"/>
  <c r="AI7" i="24"/>
  <c r="AI22" i="24"/>
  <c r="O38" i="25"/>
  <c r="O31" i="25"/>
  <c r="O19" i="25"/>
  <c r="O30" i="25"/>
  <c r="O24" i="25"/>
  <c r="O26" i="25"/>
  <c r="O8" i="25"/>
  <c r="O29" i="25"/>
  <c r="O5" i="25"/>
  <c r="P22" i="25"/>
  <c r="P18" i="25"/>
  <c r="P38" i="25"/>
  <c r="P27" i="25"/>
  <c r="P21" i="25"/>
  <c r="P42" i="25"/>
  <c r="P6" i="25"/>
  <c r="P35" i="25"/>
  <c r="P5" i="25"/>
  <c r="R14" i="25"/>
  <c r="S14" i="25" s="1"/>
  <c r="R38" i="25"/>
  <c r="S38" i="25" s="1"/>
  <c r="R40" i="25"/>
  <c r="S40" i="25" s="1"/>
  <c r="R32" i="25"/>
  <c r="S32" i="25" s="1"/>
  <c r="R18" i="25"/>
  <c r="S18" i="25" s="1"/>
  <c r="R19" i="25"/>
  <c r="S19" i="25" s="1"/>
  <c r="R7" i="25"/>
  <c r="S7" i="25" s="1"/>
  <c r="R12" i="25"/>
  <c r="S12" i="25" s="1"/>
  <c r="R16" i="25"/>
  <c r="S16" i="25" s="1"/>
  <c r="Q27" i="24"/>
  <c r="Q32" i="24"/>
  <c r="Q22" i="24"/>
  <c r="Q37" i="24"/>
  <c r="Q7" i="24"/>
  <c r="Q33" i="24"/>
  <c r="O20" i="24"/>
  <c r="O31" i="24"/>
  <c r="O17" i="24"/>
  <c r="O33" i="24"/>
  <c r="O46" i="24"/>
  <c r="O37" i="24"/>
  <c r="AI17" i="24"/>
  <c r="AI20" i="24"/>
  <c r="AI10" i="24"/>
  <c r="AI21" i="24"/>
  <c r="AI26" i="24"/>
  <c r="AI48" i="24"/>
  <c r="AI34" i="24"/>
  <c r="P7" i="24"/>
  <c r="V48" i="11"/>
  <c r="V48" i="25"/>
  <c r="V48" i="12"/>
  <c r="P48" i="12"/>
  <c r="P48" i="25"/>
  <c r="P48" i="11"/>
  <c r="P12" i="24"/>
  <c r="P13" i="24"/>
  <c r="P38" i="24"/>
  <c r="P41" i="24"/>
  <c r="P33" i="24"/>
  <c r="AI25" i="24"/>
  <c r="AI6" i="24"/>
  <c r="AI43" i="24"/>
  <c r="AI40" i="24"/>
  <c r="AI44" i="24"/>
  <c r="I6" i="31"/>
  <c r="L8" i="31"/>
  <c r="L10" i="31"/>
  <c r="C10" i="31"/>
  <c r="C6" i="31"/>
  <c r="C8" i="31"/>
  <c r="Q29" i="24"/>
  <c r="Q8" i="24"/>
  <c r="Q26" i="24"/>
  <c r="Q40" i="24"/>
  <c r="Q45" i="24"/>
  <c r="Q31" i="24"/>
  <c r="O48" i="24"/>
  <c r="O7" i="24"/>
  <c r="O21" i="24"/>
  <c r="O35" i="24"/>
  <c r="O30" i="24"/>
  <c r="O51" i="24"/>
  <c r="P26" i="24"/>
  <c r="P10" i="24"/>
  <c r="P8" i="24"/>
  <c r="P30" i="24"/>
  <c r="P39" i="24"/>
  <c r="O25" i="25"/>
  <c r="O34" i="25"/>
  <c r="O13" i="25"/>
  <c r="O22" i="25"/>
  <c r="O39" i="25"/>
  <c r="O18" i="25"/>
  <c r="O21" i="25"/>
  <c r="O33" i="25"/>
  <c r="O10" i="25"/>
  <c r="P40" i="25"/>
  <c r="P41" i="25"/>
  <c r="P29" i="25"/>
  <c r="P30" i="25"/>
  <c r="P32" i="25"/>
  <c r="P26" i="25"/>
  <c r="P14" i="25"/>
  <c r="P39" i="25"/>
  <c r="P7" i="25"/>
  <c r="R42" i="25"/>
  <c r="S42" i="25" s="1"/>
  <c r="R36" i="25"/>
  <c r="S36" i="25" s="1"/>
  <c r="R35" i="25"/>
  <c r="S35" i="25" s="1"/>
  <c r="R15" i="25"/>
  <c r="S15" i="25" s="1"/>
  <c r="R37" i="25"/>
  <c r="S37" i="25" s="1"/>
  <c r="R30" i="25"/>
  <c r="S30" i="25" s="1"/>
  <c r="R10" i="25"/>
  <c r="S10" i="25" s="1"/>
  <c r="R17" i="25"/>
  <c r="S17" i="25" s="1"/>
  <c r="R21" i="25"/>
  <c r="S21" i="25" s="1"/>
  <c r="AI29" i="24"/>
  <c r="P6" i="24"/>
  <c r="P17" i="24"/>
  <c r="P11" i="24"/>
  <c r="P43" i="24"/>
  <c r="P47" i="24"/>
  <c r="AI27" i="24"/>
  <c r="Q10" i="24"/>
  <c r="Q12" i="24"/>
  <c r="Q11" i="24"/>
  <c r="Q17" i="24"/>
  <c r="Q48" i="24"/>
  <c r="Q49" i="24"/>
  <c r="O11" i="24"/>
  <c r="O9" i="24"/>
  <c r="O10" i="24"/>
  <c r="O44" i="24"/>
  <c r="O32" i="24"/>
  <c r="O36" i="24"/>
  <c r="P22" i="24"/>
  <c r="P46" i="24"/>
  <c r="P36" i="24"/>
  <c r="P49" i="24"/>
  <c r="AI5" i="24"/>
  <c r="AI9" i="24"/>
  <c r="AI23" i="24"/>
  <c r="AI28" i="24"/>
  <c r="Z48" i="12"/>
  <c r="Z48" i="25"/>
  <c r="M48" i="12"/>
  <c r="M48" i="25"/>
  <c r="M48" i="11"/>
  <c r="Z49" i="10"/>
  <c r="U48" i="11"/>
  <c r="U48" i="25"/>
  <c r="U48" i="12"/>
  <c r="V49" i="10"/>
  <c r="Q5" i="24"/>
  <c r="Q30" i="24"/>
  <c r="Q39" i="24"/>
  <c r="Q41" i="24"/>
  <c r="Q34" i="24"/>
  <c r="O8" i="24"/>
  <c r="O6" i="24"/>
  <c r="O25" i="24"/>
  <c r="O45" i="24"/>
  <c r="O41" i="24"/>
  <c r="O49" i="24"/>
  <c r="P28" i="24"/>
  <c r="D6" i="31"/>
  <c r="D8" i="31"/>
  <c r="D10" i="31"/>
  <c r="K10" i="31"/>
  <c r="K6" i="31"/>
  <c r="F8" i="31"/>
  <c r="F6" i="31"/>
  <c r="F10" i="31"/>
  <c r="AI31" i="24"/>
  <c r="P18" i="24"/>
  <c r="P27" i="24"/>
  <c r="AI19" i="24"/>
  <c r="AI50" i="24"/>
  <c r="AI35" i="24"/>
  <c r="AI49" i="24"/>
  <c r="K8" i="31"/>
  <c r="O20" i="25"/>
  <c r="O32" i="25"/>
  <c r="O17" i="25"/>
  <c r="O28" i="25"/>
  <c r="O12" i="25"/>
  <c r="O23" i="25"/>
  <c r="O14" i="25"/>
  <c r="O9" i="25"/>
  <c r="O37" i="25"/>
  <c r="O7" i="25"/>
  <c r="AI15" i="8"/>
  <c r="AE15" i="28" s="1"/>
  <c r="AE67" i="28" s="1"/>
  <c r="AI41" i="24"/>
  <c r="P34" i="25"/>
  <c r="P25" i="25"/>
  <c r="P36" i="25"/>
  <c r="P24" i="25"/>
  <c r="P13" i="25"/>
  <c r="P15" i="25"/>
  <c r="P33" i="25"/>
  <c r="P16" i="25"/>
  <c r="P8" i="25"/>
  <c r="P9" i="25"/>
  <c r="P16" i="8"/>
  <c r="P16" i="28" s="1"/>
  <c r="P68" i="28" s="1"/>
  <c r="R33" i="25"/>
  <c r="S33" i="25" s="1"/>
  <c r="R29" i="25"/>
  <c r="S29" i="25" s="1"/>
  <c r="R31" i="25"/>
  <c r="S31" i="25" s="1"/>
  <c r="R26" i="25"/>
  <c r="S26" i="25" s="1"/>
  <c r="R27" i="25"/>
  <c r="S27" i="25" s="1"/>
  <c r="R28" i="25"/>
  <c r="S28" i="25" s="1"/>
  <c r="R13" i="25"/>
  <c r="S13" i="25" s="1"/>
  <c r="R25" i="25"/>
  <c r="S25" i="25" s="1"/>
  <c r="R6" i="25"/>
  <c r="S6" i="25" s="1"/>
  <c r="R5" i="25"/>
  <c r="AI46" i="24"/>
  <c r="Q13" i="24"/>
  <c r="Q16" i="24"/>
  <c r="Q6" i="24"/>
  <c r="Q44" i="24"/>
  <c r="Q38" i="24"/>
  <c r="Q36" i="24"/>
  <c r="O12" i="24"/>
  <c r="O15" i="24"/>
  <c r="O28" i="24"/>
  <c r="O47" i="24"/>
  <c r="O22" i="24"/>
  <c r="P24" i="24"/>
  <c r="AI8" i="24"/>
  <c r="AI12" i="24"/>
  <c r="AI47" i="24"/>
  <c r="AI51" i="24"/>
  <c r="L6" i="31"/>
  <c r="P14" i="24"/>
  <c r="P23" i="24"/>
  <c r="N48" i="11"/>
  <c r="N48" i="25"/>
  <c r="N48" i="12"/>
  <c r="T48" i="12"/>
  <c r="T48" i="11"/>
  <c r="T48" i="25"/>
  <c r="U12" i="11"/>
  <c r="U32" i="11"/>
  <c r="U20" i="11"/>
  <c r="U17" i="11"/>
  <c r="U28" i="11"/>
  <c r="U18" i="11"/>
  <c r="U9" i="11"/>
  <c r="U25" i="11"/>
  <c r="U14" i="11"/>
  <c r="U37" i="11"/>
  <c r="U31" i="11"/>
  <c r="U16" i="11"/>
  <c r="U30" i="11"/>
  <c r="U39" i="11"/>
  <c r="U36" i="11"/>
  <c r="U27" i="11"/>
  <c r="U15" i="11"/>
  <c r="U35" i="11"/>
  <c r="U7" i="11"/>
  <c r="U41" i="11"/>
  <c r="U26" i="11"/>
  <c r="U38" i="11"/>
  <c r="U22" i="11"/>
  <c r="U23" i="11"/>
  <c r="U19" i="11"/>
  <c r="U5" i="11"/>
  <c r="U8" i="11"/>
  <c r="U33" i="11"/>
  <c r="U40" i="11"/>
  <c r="U13" i="11"/>
  <c r="U6" i="11"/>
  <c r="U24" i="11"/>
  <c r="U21" i="11"/>
  <c r="U42" i="11"/>
  <c r="U34" i="11"/>
  <c r="U11" i="11"/>
  <c r="U10" i="11"/>
  <c r="U29" i="11"/>
  <c r="N49" i="10"/>
  <c r="P20" i="24"/>
  <c r="P29" i="24"/>
  <c r="P42" i="24"/>
  <c r="P37" i="24"/>
  <c r="P35" i="24"/>
  <c r="AI13" i="24"/>
  <c r="AI16" i="24"/>
  <c r="AI37" i="24"/>
  <c r="AI33" i="24"/>
  <c r="AI30" i="24"/>
  <c r="H10" i="31"/>
  <c r="H6" i="31"/>
  <c r="H8" i="31"/>
  <c r="AI45" i="24"/>
  <c r="Q15" i="24"/>
  <c r="Q20" i="24"/>
  <c r="Q9" i="24"/>
  <c r="Q43" i="24"/>
  <c r="Q25" i="24"/>
  <c r="Q35" i="24"/>
  <c r="O14" i="24"/>
  <c r="O19" i="24"/>
  <c r="O43" i="24"/>
  <c r="O29" i="24"/>
  <c r="O38" i="24"/>
  <c r="O24" i="24"/>
  <c r="P19" i="24"/>
  <c r="P34" i="24"/>
  <c r="P51" i="24"/>
  <c r="P45" i="24"/>
  <c r="E6" i="31"/>
  <c r="O15" i="30"/>
  <c r="P15" i="30"/>
  <c r="P13" i="30"/>
  <c r="O13" i="30"/>
  <c r="P14" i="30"/>
  <c r="O14" i="30"/>
  <c r="AR29" i="24"/>
  <c r="AV29" i="24" s="1"/>
  <c r="AV28" i="24"/>
  <c r="AR14" i="24"/>
  <c r="AV14" i="24" s="1"/>
  <c r="AV13" i="24"/>
  <c r="AQ10" i="24"/>
  <c r="L21" i="8"/>
  <c r="L21" i="28" s="1"/>
  <c r="L73" i="28" s="1"/>
  <c r="L23" i="8"/>
  <c r="L23" i="28" s="1"/>
  <c r="L75" i="28" s="1"/>
  <c r="W49" i="8"/>
  <c r="V49" i="28" s="1"/>
  <c r="V101" i="28" s="1"/>
  <c r="U32" i="8"/>
  <c r="T32" i="28" s="1"/>
  <c r="T84" i="28" s="1"/>
  <c r="U6" i="8"/>
  <c r="T6" i="28" s="1"/>
  <c r="T58" i="28" s="1"/>
  <c r="X21" i="8"/>
  <c r="W21" i="28" s="1"/>
  <c r="W73" i="28" s="1"/>
  <c r="W13" i="8"/>
  <c r="V13" i="28" s="1"/>
  <c r="V65" i="28" s="1"/>
  <c r="L13" i="8"/>
  <c r="L13" i="28" s="1"/>
  <c r="L65" i="28" s="1"/>
  <c r="AI9" i="8"/>
  <c r="AE9" i="28" s="1"/>
  <c r="AE61" i="28" s="1"/>
  <c r="X36" i="8"/>
  <c r="W36" i="28" s="1"/>
  <c r="W88" i="28" s="1"/>
  <c r="X27" i="8"/>
  <c r="W27" i="28" s="1"/>
  <c r="W79" i="28" s="1"/>
  <c r="L10" i="8"/>
  <c r="L10" i="28" s="1"/>
  <c r="L62" i="28" s="1"/>
  <c r="AI43" i="8"/>
  <c r="AE43" i="28" s="1"/>
  <c r="AE95" i="28" s="1"/>
  <c r="X5" i="8"/>
  <c r="W5" i="28" s="1"/>
  <c r="W57" i="28" s="1"/>
  <c r="U50" i="8"/>
  <c r="T50" i="28" s="1"/>
  <c r="T102" i="28" s="1"/>
  <c r="W44" i="8"/>
  <c r="V44" i="28" s="1"/>
  <c r="V96" i="28" s="1"/>
  <c r="X13" i="8"/>
  <c r="W13" i="28" s="1"/>
  <c r="W65" i="28" s="1"/>
  <c r="O8" i="8"/>
  <c r="O8" i="28" s="1"/>
  <c r="O60" i="28" s="1"/>
  <c r="O6" i="8"/>
  <c r="O6" i="28" s="1"/>
  <c r="O58" i="28" s="1"/>
  <c r="O25" i="8"/>
  <c r="O25" i="28" s="1"/>
  <c r="O77" i="28" s="1"/>
  <c r="L40" i="8"/>
  <c r="L40" i="28" s="1"/>
  <c r="L92" i="28" s="1"/>
  <c r="AI5" i="8"/>
  <c r="AE5" i="28" s="1"/>
  <c r="AE57" i="28" s="1"/>
  <c r="U11" i="8"/>
  <c r="T11" i="28" s="1"/>
  <c r="T63" i="28" s="1"/>
  <c r="O51" i="8"/>
  <c r="O51" i="28" s="1"/>
  <c r="O103" i="28" s="1"/>
  <c r="P25" i="8"/>
  <c r="P25" i="28" s="1"/>
  <c r="P77" i="28" s="1"/>
  <c r="AI25" i="8"/>
  <c r="AE25" i="28" s="1"/>
  <c r="AE77" i="28" s="1"/>
  <c r="L43" i="8"/>
  <c r="L43" i="28" s="1"/>
  <c r="L95" i="28" s="1"/>
  <c r="W39" i="8"/>
  <c r="V39" i="28" s="1"/>
  <c r="V91" i="28" s="1"/>
  <c r="X16" i="8"/>
  <c r="W16" i="28" s="1"/>
  <c r="W68" i="28" s="1"/>
  <c r="L30" i="8"/>
  <c r="L30" i="28" s="1"/>
  <c r="L82" i="28" s="1"/>
  <c r="AI28" i="8"/>
  <c r="AE28" i="28" s="1"/>
  <c r="AE80" i="28" s="1"/>
  <c r="U44" i="8"/>
  <c r="T44" i="28" s="1"/>
  <c r="T96" i="28" s="1"/>
  <c r="X9" i="8"/>
  <c r="W9" i="28" s="1"/>
  <c r="W61" i="28" s="1"/>
  <c r="O35" i="8"/>
  <c r="O35" i="28" s="1"/>
  <c r="O87" i="28" s="1"/>
  <c r="X45" i="8"/>
  <c r="W45" i="28" s="1"/>
  <c r="W97" i="28" s="1"/>
  <c r="L14" i="8"/>
  <c r="L14" i="28" s="1"/>
  <c r="L66" i="28" s="1"/>
  <c r="W25" i="8"/>
  <c r="V25" i="28" s="1"/>
  <c r="V77" i="28" s="1"/>
  <c r="W5" i="8"/>
  <c r="V5" i="28" s="1"/>
  <c r="V57" i="28" s="1"/>
  <c r="U13" i="8"/>
  <c r="T13" i="28" s="1"/>
  <c r="T65" i="28" s="1"/>
  <c r="X15" i="8"/>
  <c r="W15" i="28" s="1"/>
  <c r="W67" i="28" s="1"/>
  <c r="W14" i="8"/>
  <c r="V14" i="28" s="1"/>
  <c r="V66" i="28" s="1"/>
  <c r="U41" i="8"/>
  <c r="T41" i="28" s="1"/>
  <c r="T93" i="28" s="1"/>
  <c r="X42" i="8"/>
  <c r="W42" i="28" s="1"/>
  <c r="W94" i="28" s="1"/>
  <c r="O16" i="8"/>
  <c r="O16" i="28" s="1"/>
  <c r="O68" i="28" s="1"/>
  <c r="O23" i="8"/>
  <c r="O23" i="28" s="1"/>
  <c r="O75" i="28" s="1"/>
  <c r="L20" i="8"/>
  <c r="L20" i="28" s="1"/>
  <c r="L72" i="28" s="1"/>
  <c r="AI23" i="8"/>
  <c r="AE23" i="28" s="1"/>
  <c r="AE75" i="28" s="1"/>
  <c r="U30" i="8"/>
  <c r="T30" i="28" s="1"/>
  <c r="T82" i="28" s="1"/>
  <c r="U8" i="8"/>
  <c r="T8" i="28" s="1"/>
  <c r="T60" i="28" s="1"/>
  <c r="X26" i="8"/>
  <c r="W26" i="28" s="1"/>
  <c r="W78" i="28" s="1"/>
  <c r="O7" i="8"/>
  <c r="O7" i="28" s="1"/>
  <c r="O59" i="28" s="1"/>
  <c r="AI44" i="8"/>
  <c r="AE44" i="28" s="1"/>
  <c r="AE96" i="28" s="1"/>
  <c r="M44" i="9"/>
  <c r="AC38" i="8"/>
  <c r="AC32" i="8"/>
  <c r="AC35" i="8"/>
  <c r="AC34" i="8"/>
  <c r="M50" i="9"/>
  <c r="M51" i="9"/>
  <c r="V22" i="9"/>
  <c r="V51" i="9"/>
  <c r="V33" i="9"/>
  <c r="D46" i="5"/>
  <c r="AB45" i="25" s="1"/>
  <c r="Q45" i="12"/>
  <c r="Q45" i="13"/>
  <c r="Q45" i="10"/>
  <c r="Q45" i="11"/>
  <c r="M20" i="9"/>
  <c r="AC25" i="8"/>
  <c r="AC5" i="8"/>
  <c r="AA5" i="28" s="1"/>
  <c r="AA57" i="28" s="1"/>
  <c r="AC28" i="8"/>
  <c r="L31" i="8"/>
  <c r="L31" i="28" s="1"/>
  <c r="L83" i="28" s="1"/>
  <c r="L45" i="8"/>
  <c r="L45" i="28" s="1"/>
  <c r="L97" i="28" s="1"/>
  <c r="L17" i="8"/>
  <c r="L17" i="28" s="1"/>
  <c r="L69" i="28" s="1"/>
  <c r="L28" i="8"/>
  <c r="L28" i="28" s="1"/>
  <c r="L80" i="28" s="1"/>
  <c r="L9" i="8"/>
  <c r="L9" i="28" s="1"/>
  <c r="L61" i="28" s="1"/>
  <c r="L11" i="8"/>
  <c r="L11" i="28" s="1"/>
  <c r="L63" i="28" s="1"/>
  <c r="M24" i="9"/>
  <c r="AC51" i="8"/>
  <c r="X40" i="8"/>
  <c r="W40" i="28" s="1"/>
  <c r="W92" i="28" s="1"/>
  <c r="X30" i="8"/>
  <c r="W30" i="28" s="1"/>
  <c r="W82" i="28" s="1"/>
  <c r="X14" i="8"/>
  <c r="W14" i="28" s="1"/>
  <c r="W66" i="28" s="1"/>
  <c r="X43" i="8"/>
  <c r="W43" i="28" s="1"/>
  <c r="W95" i="28" s="1"/>
  <c r="X25" i="8"/>
  <c r="W25" i="28" s="1"/>
  <c r="W77" i="28" s="1"/>
  <c r="M17" i="9"/>
  <c r="L25" i="8"/>
  <c r="L25" i="28" s="1"/>
  <c r="L77" i="28" s="1"/>
  <c r="V24" i="9"/>
  <c r="V9" i="9"/>
  <c r="V26" i="9"/>
  <c r="V34" i="8"/>
  <c r="U34" i="28" s="1"/>
  <c r="U86" i="28" s="1"/>
  <c r="V34" i="9"/>
  <c r="V42" i="9"/>
  <c r="V5" i="8"/>
  <c r="U5" i="28" s="1"/>
  <c r="U57" i="28" s="1"/>
  <c r="V5" i="9"/>
  <c r="V53" i="7"/>
  <c r="V58" i="7" s="1"/>
  <c r="V22" i="8" s="1"/>
  <c r="U22" i="28" s="1"/>
  <c r="U74" i="28" s="1"/>
  <c r="V17" i="9"/>
  <c r="V25" i="9"/>
  <c r="V48" i="8"/>
  <c r="U48" i="28" s="1"/>
  <c r="U100" i="28" s="1"/>
  <c r="V48" i="9"/>
  <c r="V35" i="9"/>
  <c r="V43" i="8"/>
  <c r="U43" i="28" s="1"/>
  <c r="U95" i="28" s="1"/>
  <c r="V43" i="9"/>
  <c r="AH5" i="8"/>
  <c r="AD5" i="28" s="1"/>
  <c r="AD57" i="28" s="1"/>
  <c r="AH39" i="8"/>
  <c r="AD39" i="28" s="1"/>
  <c r="AD91" i="28" s="1"/>
  <c r="AH27" i="8"/>
  <c r="AD27" i="28" s="1"/>
  <c r="AD79" i="28" s="1"/>
  <c r="AC23" i="8"/>
  <c r="X32" i="8"/>
  <c r="W32" i="28" s="1"/>
  <c r="W84" i="28" s="1"/>
  <c r="X29" i="8"/>
  <c r="W29" i="28" s="1"/>
  <c r="W81" i="28" s="1"/>
  <c r="AH19" i="8"/>
  <c r="AD19" i="28" s="1"/>
  <c r="AD71" i="28" s="1"/>
  <c r="AH30" i="8"/>
  <c r="AD30" i="28" s="1"/>
  <c r="AD82" i="28" s="1"/>
  <c r="M36" i="9"/>
  <c r="AC11" i="8"/>
  <c r="AC21" i="8"/>
  <c r="AC29" i="8"/>
  <c r="L15" i="8"/>
  <c r="L15" i="28" s="1"/>
  <c r="L67" i="28" s="1"/>
  <c r="L24" i="8"/>
  <c r="L24" i="28" s="1"/>
  <c r="L76" i="28" s="1"/>
  <c r="L6" i="8"/>
  <c r="L6" i="28" s="1"/>
  <c r="L58" i="28" s="1"/>
  <c r="B11" i="30" s="1"/>
  <c r="L39" i="8"/>
  <c r="L39" i="28" s="1"/>
  <c r="L91" i="28" s="1"/>
  <c r="M48" i="9"/>
  <c r="L36" i="8"/>
  <c r="L36" i="28" s="1"/>
  <c r="L88" i="28" s="1"/>
  <c r="R53" i="9"/>
  <c r="W18" i="8"/>
  <c r="V18" i="28" s="1"/>
  <c r="V70" i="28" s="1"/>
  <c r="W43" i="8"/>
  <c r="V43" i="28" s="1"/>
  <c r="V95" i="28" s="1"/>
  <c r="U16" i="8"/>
  <c r="T16" i="28" s="1"/>
  <c r="T68" i="28" s="1"/>
  <c r="U37" i="8"/>
  <c r="T37" i="28" s="1"/>
  <c r="T89" i="28" s="1"/>
  <c r="U21" i="8"/>
  <c r="T21" i="28" s="1"/>
  <c r="T73" i="28" s="1"/>
  <c r="X46" i="8"/>
  <c r="W46" i="28" s="1"/>
  <c r="W98" i="28" s="1"/>
  <c r="X8" i="8"/>
  <c r="W8" i="28" s="1"/>
  <c r="W60" i="28" s="1"/>
  <c r="X20" i="8"/>
  <c r="W20" i="28" s="1"/>
  <c r="W72" i="28" s="1"/>
  <c r="X50" i="8"/>
  <c r="W50" i="28" s="1"/>
  <c r="W102" i="28" s="1"/>
  <c r="X33" i="8"/>
  <c r="W33" i="28" s="1"/>
  <c r="W85" i="28" s="1"/>
  <c r="M29" i="9"/>
  <c r="AC36" i="8"/>
  <c r="V10" i="9"/>
  <c r="M5" i="9"/>
  <c r="M53" i="7"/>
  <c r="M58" i="7" s="1"/>
  <c r="M28" i="24" s="1"/>
  <c r="U20" i="8"/>
  <c r="T20" i="28" s="1"/>
  <c r="T72" i="28" s="1"/>
  <c r="U36" i="8"/>
  <c r="T36" i="28" s="1"/>
  <c r="T88" i="28" s="1"/>
  <c r="O20" i="12"/>
  <c r="O20" i="29" s="1"/>
  <c r="O63" i="29" s="1"/>
  <c r="O20" i="13"/>
  <c r="O32" i="12"/>
  <c r="O32" i="29" s="1"/>
  <c r="O75" i="29" s="1"/>
  <c r="O32" i="13"/>
  <c r="O17" i="12"/>
  <c r="O17" i="29" s="1"/>
  <c r="O60" i="29" s="1"/>
  <c r="O17" i="13"/>
  <c r="O28" i="12"/>
  <c r="O28" i="29" s="1"/>
  <c r="O71" i="29" s="1"/>
  <c r="O28" i="13"/>
  <c r="O12" i="12"/>
  <c r="O12" i="29" s="1"/>
  <c r="O55" i="29" s="1"/>
  <c r="O12" i="13"/>
  <c r="O23" i="12"/>
  <c r="O23" i="29" s="1"/>
  <c r="O66" i="29" s="1"/>
  <c r="O23" i="13"/>
  <c r="O14" i="12"/>
  <c r="O14" i="29" s="1"/>
  <c r="O57" i="29" s="1"/>
  <c r="O14" i="13"/>
  <c r="O9" i="12"/>
  <c r="O9" i="29" s="1"/>
  <c r="O52" i="29" s="1"/>
  <c r="O9" i="13"/>
  <c r="O37" i="12"/>
  <c r="O37" i="29" s="1"/>
  <c r="O80" i="29" s="1"/>
  <c r="O37" i="13"/>
  <c r="O7" i="12"/>
  <c r="O7" i="29" s="1"/>
  <c r="O50" i="29" s="1"/>
  <c r="O7" i="13"/>
  <c r="O45" i="8"/>
  <c r="O45" i="28" s="1"/>
  <c r="O97" i="28" s="1"/>
  <c r="O41" i="8"/>
  <c r="O41" i="28" s="1"/>
  <c r="O93" i="28" s="1"/>
  <c r="O49" i="8"/>
  <c r="O49" i="28" s="1"/>
  <c r="O101" i="28" s="1"/>
  <c r="AC8" i="8"/>
  <c r="AC17" i="8"/>
  <c r="AC22" i="8"/>
  <c r="M39" i="9"/>
  <c r="W23" i="8"/>
  <c r="V23" i="28" s="1"/>
  <c r="V75" i="28" s="1"/>
  <c r="W50" i="8"/>
  <c r="V50" i="28" s="1"/>
  <c r="V102" i="28" s="1"/>
  <c r="W34" i="8"/>
  <c r="V34" i="28" s="1"/>
  <c r="V86" i="28" s="1"/>
  <c r="W24" i="8"/>
  <c r="V24" i="28" s="1"/>
  <c r="V76" i="28" s="1"/>
  <c r="W6" i="8"/>
  <c r="V6" i="28" s="1"/>
  <c r="V58" i="28" s="1"/>
  <c r="W37" i="8"/>
  <c r="V37" i="28" s="1"/>
  <c r="V89" i="28" s="1"/>
  <c r="U51" i="8"/>
  <c r="T51" i="28" s="1"/>
  <c r="T103" i="28" s="1"/>
  <c r="U10" i="8"/>
  <c r="T10" i="28" s="1"/>
  <c r="T62" i="28" s="1"/>
  <c r="X39" i="8"/>
  <c r="W39" i="28" s="1"/>
  <c r="W91" i="28" s="1"/>
  <c r="P22" i="12"/>
  <c r="P22" i="29" s="1"/>
  <c r="P65" i="29" s="1"/>
  <c r="P22" i="13"/>
  <c r="P18" i="12"/>
  <c r="P18" i="29" s="1"/>
  <c r="P61" i="29" s="1"/>
  <c r="P18" i="13"/>
  <c r="P38" i="12"/>
  <c r="P38" i="29" s="1"/>
  <c r="P81" i="29" s="1"/>
  <c r="P38" i="13"/>
  <c r="P27" i="12"/>
  <c r="P27" i="29" s="1"/>
  <c r="P70" i="29" s="1"/>
  <c r="P27" i="13"/>
  <c r="P21" i="12"/>
  <c r="P21" i="29" s="1"/>
  <c r="P64" i="29" s="1"/>
  <c r="P21" i="13"/>
  <c r="P42" i="12"/>
  <c r="P42" i="29" s="1"/>
  <c r="P85" i="29" s="1"/>
  <c r="P42" i="13"/>
  <c r="P6" i="12"/>
  <c r="P6" i="29" s="1"/>
  <c r="P49" i="29" s="1"/>
  <c r="P6" i="13"/>
  <c r="P35" i="12"/>
  <c r="P35" i="29" s="1"/>
  <c r="P78" i="29" s="1"/>
  <c r="P35" i="13"/>
  <c r="P5" i="12"/>
  <c r="P5" i="29" s="1"/>
  <c r="P48" i="29" s="1"/>
  <c r="P5" i="13"/>
  <c r="P44" i="11"/>
  <c r="Q24" i="8"/>
  <c r="Q24" i="28" s="1"/>
  <c r="Q76" i="28" s="1"/>
  <c r="Q14" i="8"/>
  <c r="Q14" i="28" s="1"/>
  <c r="Q66" i="28" s="1"/>
  <c r="Q19" i="8"/>
  <c r="Q19" i="28" s="1"/>
  <c r="Q71" i="28" s="1"/>
  <c r="Q51" i="8"/>
  <c r="Q51" i="28" s="1"/>
  <c r="Q103" i="28" s="1"/>
  <c r="Q47" i="8"/>
  <c r="Q47" i="28" s="1"/>
  <c r="Q99" i="28" s="1"/>
  <c r="P44" i="8"/>
  <c r="P44" i="28" s="1"/>
  <c r="P96" i="28" s="1"/>
  <c r="P32" i="8"/>
  <c r="P32" i="28" s="1"/>
  <c r="P84" i="28" s="1"/>
  <c r="AC26" i="8"/>
  <c r="R33" i="12"/>
  <c r="S33" i="12" s="1"/>
  <c r="S33" i="11"/>
  <c r="R33" i="13"/>
  <c r="S33" i="13" s="1"/>
  <c r="R29" i="12"/>
  <c r="S29" i="12" s="1"/>
  <c r="S29" i="11"/>
  <c r="R29" i="13"/>
  <c r="S29" i="13" s="1"/>
  <c r="R31" i="12"/>
  <c r="S31" i="12" s="1"/>
  <c r="S31" i="11"/>
  <c r="R31" i="13"/>
  <c r="S31" i="13" s="1"/>
  <c r="R26" i="12"/>
  <c r="S26" i="12" s="1"/>
  <c r="S26" i="11"/>
  <c r="R26" i="13"/>
  <c r="S26" i="13" s="1"/>
  <c r="R27" i="12"/>
  <c r="S27" i="12" s="1"/>
  <c r="S27" i="11"/>
  <c r="R27" i="13"/>
  <c r="S27" i="13" s="1"/>
  <c r="R28" i="12"/>
  <c r="S28" i="12" s="1"/>
  <c r="S28" i="11"/>
  <c r="R28" i="13"/>
  <c r="S28" i="13" s="1"/>
  <c r="R13" i="12"/>
  <c r="S13" i="12" s="1"/>
  <c r="S13" i="11"/>
  <c r="R13" i="13"/>
  <c r="S13" i="13" s="1"/>
  <c r="S25" i="11"/>
  <c r="R25" i="12"/>
  <c r="S25" i="12" s="1"/>
  <c r="R25" i="13"/>
  <c r="S25" i="13" s="1"/>
  <c r="R6" i="12"/>
  <c r="S6" i="12" s="1"/>
  <c r="S6" i="11"/>
  <c r="R6" i="13"/>
  <c r="S6" i="13" s="1"/>
  <c r="R5" i="12"/>
  <c r="Q5" i="29" s="1"/>
  <c r="Q48" i="29" s="1"/>
  <c r="S5" i="11"/>
  <c r="R44" i="11"/>
  <c r="R5" i="13"/>
  <c r="W29" i="8"/>
  <c r="V29" i="28" s="1"/>
  <c r="V81" i="28" s="1"/>
  <c r="W40" i="8"/>
  <c r="V40" i="28" s="1"/>
  <c r="V92" i="28" s="1"/>
  <c r="W7" i="8"/>
  <c r="V7" i="28" s="1"/>
  <c r="V59" i="28" s="1"/>
  <c r="U33" i="8"/>
  <c r="T33" i="28" s="1"/>
  <c r="T85" i="28" s="1"/>
  <c r="AC44" i="8"/>
  <c r="M16" i="9"/>
  <c r="O25" i="12"/>
  <c r="O25" i="29" s="1"/>
  <c r="O68" i="29" s="1"/>
  <c r="O25" i="13"/>
  <c r="O13" i="12"/>
  <c r="O13" i="29" s="1"/>
  <c r="O56" i="29" s="1"/>
  <c r="O13" i="13"/>
  <c r="O39" i="12"/>
  <c r="O39" i="29" s="1"/>
  <c r="O82" i="29" s="1"/>
  <c r="O39" i="13"/>
  <c r="O21" i="12"/>
  <c r="O21" i="29" s="1"/>
  <c r="O64" i="29" s="1"/>
  <c r="O21" i="13"/>
  <c r="O33" i="12"/>
  <c r="O33" i="29" s="1"/>
  <c r="O76" i="29" s="1"/>
  <c r="O33" i="13"/>
  <c r="O10" i="12"/>
  <c r="O10" i="29" s="1"/>
  <c r="O53" i="29" s="1"/>
  <c r="O10" i="13"/>
  <c r="AH8" i="8"/>
  <c r="AD8" i="28" s="1"/>
  <c r="AD60" i="28" s="1"/>
  <c r="AH35" i="8"/>
  <c r="AD35" i="28" s="1"/>
  <c r="AD87" i="28" s="1"/>
  <c r="AH47" i="8"/>
  <c r="AD47" i="28" s="1"/>
  <c r="AD99" i="28" s="1"/>
  <c r="M42" i="8"/>
  <c r="M42" i="28" s="1"/>
  <c r="M94" i="28" s="1"/>
  <c r="M42" i="9"/>
  <c r="M38" i="9"/>
  <c r="P12" i="12"/>
  <c r="P12" i="29" s="1"/>
  <c r="P55" i="29" s="1"/>
  <c r="P12" i="13"/>
  <c r="P19" i="12"/>
  <c r="P19" i="29" s="1"/>
  <c r="P62" i="29" s="1"/>
  <c r="P19" i="13"/>
  <c r="P37" i="12"/>
  <c r="P37" i="29" s="1"/>
  <c r="P80" i="29" s="1"/>
  <c r="P37" i="13"/>
  <c r="P28" i="12"/>
  <c r="P28" i="29" s="1"/>
  <c r="P71" i="29" s="1"/>
  <c r="P28" i="13"/>
  <c r="P10" i="12"/>
  <c r="P10" i="29" s="1"/>
  <c r="P53" i="29" s="1"/>
  <c r="P10" i="13"/>
  <c r="AH18" i="8"/>
  <c r="AD18" i="28" s="1"/>
  <c r="AD70" i="28" s="1"/>
  <c r="AH23" i="8"/>
  <c r="AD23" i="28" s="1"/>
  <c r="AD75" i="28" s="1"/>
  <c r="AC14" i="8"/>
  <c r="R36" i="12"/>
  <c r="S36" i="12" s="1"/>
  <c r="S36" i="11"/>
  <c r="R36" i="13"/>
  <c r="S36" i="13" s="1"/>
  <c r="R37" i="12"/>
  <c r="S37" i="12" s="1"/>
  <c r="S37" i="11"/>
  <c r="R37" i="13"/>
  <c r="S37" i="13" s="1"/>
  <c r="R10" i="12"/>
  <c r="S10" i="12" s="1"/>
  <c r="S10" i="11"/>
  <c r="R10" i="13"/>
  <c r="S10" i="13" s="1"/>
  <c r="R21" i="12"/>
  <c r="S21" i="12" s="1"/>
  <c r="S21" i="11"/>
  <c r="R21" i="13"/>
  <c r="S21" i="13" s="1"/>
  <c r="AH48" i="8"/>
  <c r="AD48" i="28" s="1"/>
  <c r="AD100" i="28" s="1"/>
  <c r="AD53" i="7"/>
  <c r="AC46" i="8"/>
  <c r="M41" i="9"/>
  <c r="M18" i="9"/>
  <c r="AC42" i="8"/>
  <c r="V12" i="8"/>
  <c r="U12" i="28" s="1"/>
  <c r="U64" i="28" s="1"/>
  <c r="V12" i="9"/>
  <c r="V28" i="8"/>
  <c r="U28" i="28" s="1"/>
  <c r="U80" i="28" s="1"/>
  <c r="V28" i="9"/>
  <c r="V14" i="8"/>
  <c r="U14" i="28" s="1"/>
  <c r="U66" i="28" s="1"/>
  <c r="V14" i="9"/>
  <c r="V30" i="8"/>
  <c r="U30" i="28" s="1"/>
  <c r="U82" i="28" s="1"/>
  <c r="V30" i="9"/>
  <c r="V36" i="8"/>
  <c r="U36" i="28" s="1"/>
  <c r="U88" i="28" s="1"/>
  <c r="V36" i="9"/>
  <c r="V44" i="8"/>
  <c r="U44" i="28" s="1"/>
  <c r="U96" i="28" s="1"/>
  <c r="V44" i="9"/>
  <c r="V10" i="8"/>
  <c r="U10" i="28" s="1"/>
  <c r="U62" i="28" s="1"/>
  <c r="V19" i="8"/>
  <c r="U19" i="28" s="1"/>
  <c r="U71" i="28" s="1"/>
  <c r="V19" i="9"/>
  <c r="V27" i="9"/>
  <c r="V49" i="8"/>
  <c r="U49" i="28" s="1"/>
  <c r="U101" i="28" s="1"/>
  <c r="V49" i="9"/>
  <c r="V37" i="9"/>
  <c r="V45" i="8"/>
  <c r="U45" i="28" s="1"/>
  <c r="U97" i="28" s="1"/>
  <c r="V45" i="9"/>
  <c r="AC7" i="8"/>
  <c r="L51" i="8"/>
  <c r="L51" i="28" s="1"/>
  <c r="L103" i="28" s="1"/>
  <c r="L32" i="8"/>
  <c r="L32" i="28" s="1"/>
  <c r="L84" i="28" s="1"/>
  <c r="L7" i="8"/>
  <c r="L7" i="28" s="1"/>
  <c r="L59" i="28" s="1"/>
  <c r="U53" i="9"/>
  <c r="AH9" i="8"/>
  <c r="AD9" i="28" s="1"/>
  <c r="AD61" i="28" s="1"/>
  <c r="AH38" i="8"/>
  <c r="AD38" i="28" s="1"/>
  <c r="AD90" i="28" s="1"/>
  <c r="AH45" i="8"/>
  <c r="AD45" i="28" s="1"/>
  <c r="AD97" i="28" s="1"/>
  <c r="AH21" i="8"/>
  <c r="AD21" i="28" s="1"/>
  <c r="AD73" i="28" s="1"/>
  <c r="AC9" i="8"/>
  <c r="AC24" i="8"/>
  <c r="M21" i="8"/>
  <c r="M21" i="28" s="1"/>
  <c r="M73" i="28" s="1"/>
  <c r="M21" i="9"/>
  <c r="W36" i="8"/>
  <c r="V36" i="28" s="1"/>
  <c r="V88" i="28" s="1"/>
  <c r="U24" i="8"/>
  <c r="T24" i="28" s="1"/>
  <c r="T76" i="28" s="1"/>
  <c r="U34" i="8"/>
  <c r="T34" i="28" s="1"/>
  <c r="T86" i="28" s="1"/>
  <c r="X31" i="8"/>
  <c r="W31" i="28" s="1"/>
  <c r="W83" i="28" s="1"/>
  <c r="M46" i="9"/>
  <c r="M6" i="8"/>
  <c r="M6" i="28" s="1"/>
  <c r="M58" i="28" s="1"/>
  <c r="M6" i="9"/>
  <c r="M10" i="9"/>
  <c r="W11" i="8"/>
  <c r="V11" i="28" s="1"/>
  <c r="V63" i="28" s="1"/>
  <c r="W41" i="8"/>
  <c r="V41" i="28" s="1"/>
  <c r="V93" i="28" s="1"/>
  <c r="X34" i="8"/>
  <c r="W34" i="28" s="1"/>
  <c r="W86" i="28" s="1"/>
  <c r="X37" i="8"/>
  <c r="W37" i="28" s="1"/>
  <c r="W89" i="28" s="1"/>
  <c r="O35" i="12"/>
  <c r="O35" i="29" s="1"/>
  <c r="O78" i="29" s="1"/>
  <c r="O35" i="13"/>
  <c r="O15" i="12"/>
  <c r="O15" i="29" s="1"/>
  <c r="O58" i="29" s="1"/>
  <c r="O15" i="13"/>
  <c r="O36" i="12"/>
  <c r="O36" i="29" s="1"/>
  <c r="O79" i="29" s="1"/>
  <c r="O36" i="13"/>
  <c r="O27" i="12"/>
  <c r="O27" i="29" s="1"/>
  <c r="O70" i="29" s="1"/>
  <c r="O27" i="13"/>
  <c r="O40" i="12"/>
  <c r="O40" i="29" s="1"/>
  <c r="O83" i="29" s="1"/>
  <c r="O40" i="13"/>
  <c r="O42" i="12"/>
  <c r="O42" i="29" s="1"/>
  <c r="O85" i="29" s="1"/>
  <c r="O42" i="13"/>
  <c r="O6" i="12"/>
  <c r="O6" i="29" s="1"/>
  <c r="O49" i="29" s="1"/>
  <c r="O6" i="13"/>
  <c r="O11" i="12"/>
  <c r="O11" i="29" s="1"/>
  <c r="O54" i="29" s="1"/>
  <c r="O11" i="13"/>
  <c r="O41" i="12"/>
  <c r="O41" i="29" s="1"/>
  <c r="O84" i="29" s="1"/>
  <c r="O41" i="13"/>
  <c r="O16" i="12"/>
  <c r="O16" i="29" s="1"/>
  <c r="O59" i="29" s="1"/>
  <c r="O16" i="13"/>
  <c r="Y20" i="7"/>
  <c r="Y18" i="7"/>
  <c r="Y16" i="7"/>
  <c r="Y14" i="7"/>
  <c r="Y12" i="7"/>
  <c r="Y9" i="7"/>
  <c r="Y6" i="7"/>
  <c r="Y46" i="7"/>
  <c r="Y44" i="7"/>
  <c r="Y7" i="7"/>
  <c r="Y25" i="7"/>
  <c r="Y19" i="7"/>
  <c r="Y17" i="7"/>
  <c r="Y15" i="7"/>
  <c r="Y13" i="7"/>
  <c r="Y10" i="7"/>
  <c r="Y5" i="7"/>
  <c r="Y38" i="7"/>
  <c r="Y8" i="7"/>
  <c r="Y36" i="7"/>
  <c r="Y42" i="7"/>
  <c r="Y34" i="7"/>
  <c r="Y11" i="7"/>
  <c r="Y40" i="7"/>
  <c r="Y33" i="7"/>
  <c r="Y49" i="7"/>
  <c r="Y50" i="7"/>
  <c r="Y22" i="7"/>
  <c r="Y39" i="7"/>
  <c r="Y28" i="7"/>
  <c r="Y37" i="7"/>
  <c r="Y21" i="7"/>
  <c r="Y27" i="7"/>
  <c r="Y43" i="7"/>
  <c r="Y32" i="7"/>
  <c r="Y29" i="7"/>
  <c r="Y31" i="7"/>
  <c r="Y23" i="7"/>
  <c r="Y24" i="7"/>
  <c r="Y51" i="7"/>
  <c r="Y41" i="7"/>
  <c r="Y26" i="7"/>
  <c r="Y35" i="7"/>
  <c r="Y48" i="7"/>
  <c r="Y45" i="7"/>
  <c r="Y30" i="7"/>
  <c r="Y47" i="7"/>
  <c r="AH17" i="8"/>
  <c r="AD17" i="28" s="1"/>
  <c r="AD69" i="28" s="1"/>
  <c r="AH26" i="8"/>
  <c r="AD26" i="28" s="1"/>
  <c r="AD78" i="28" s="1"/>
  <c r="AH12" i="8"/>
  <c r="AD12" i="28" s="1"/>
  <c r="AD64" i="28" s="1"/>
  <c r="AH42" i="8"/>
  <c r="AD42" i="28" s="1"/>
  <c r="AD94" i="28" s="1"/>
  <c r="AH46" i="8"/>
  <c r="AD46" i="28" s="1"/>
  <c r="AD98" i="28" s="1"/>
  <c r="AH34" i="8"/>
  <c r="AD34" i="28" s="1"/>
  <c r="AD86" i="28" s="1"/>
  <c r="O53" i="9"/>
  <c r="AC45" i="8"/>
  <c r="M23" i="8"/>
  <c r="M23" i="28" s="1"/>
  <c r="M75" i="28" s="1"/>
  <c r="M23" i="9"/>
  <c r="L27" i="8"/>
  <c r="L27" i="28" s="1"/>
  <c r="L79" i="28" s="1"/>
  <c r="L49" i="8"/>
  <c r="L49" i="28" s="1"/>
  <c r="L101" i="28" s="1"/>
  <c r="L22" i="8"/>
  <c r="L22" i="28" s="1"/>
  <c r="L74" i="28" s="1"/>
  <c r="L34" i="8"/>
  <c r="L34" i="28" s="1"/>
  <c r="L86" i="28" s="1"/>
  <c r="L19" i="8"/>
  <c r="L19" i="28" s="1"/>
  <c r="L71" i="28" s="1"/>
  <c r="AI31" i="8"/>
  <c r="AE31" i="28" s="1"/>
  <c r="AE83" i="28" s="1"/>
  <c r="AI48" i="8"/>
  <c r="AE48" i="28" s="1"/>
  <c r="AE100" i="28" s="1"/>
  <c r="AI46" i="8"/>
  <c r="AE46" i="28" s="1"/>
  <c r="AE98" i="28" s="1"/>
  <c r="AI29" i="8"/>
  <c r="AE29" i="28" s="1"/>
  <c r="AE81" i="28" s="1"/>
  <c r="AI34" i="8"/>
  <c r="AE34" i="28" s="1"/>
  <c r="AE86" i="28" s="1"/>
  <c r="AI36" i="8"/>
  <c r="AE36" i="28" s="1"/>
  <c r="AE88" i="28" s="1"/>
  <c r="AI45" i="8"/>
  <c r="AE45" i="28" s="1"/>
  <c r="AE97" i="28" s="1"/>
  <c r="AI41" i="8"/>
  <c r="AE41" i="28" s="1"/>
  <c r="AE93" i="28" s="1"/>
  <c r="AI18" i="8"/>
  <c r="AE18" i="28" s="1"/>
  <c r="AE70" i="28" s="1"/>
  <c r="AI39" i="8"/>
  <c r="AE39" i="28" s="1"/>
  <c r="AE91" i="28" s="1"/>
  <c r="AI38" i="8"/>
  <c r="AE38" i="28" s="1"/>
  <c r="AE90" i="28" s="1"/>
  <c r="AI42" i="8"/>
  <c r="AE42" i="28" s="1"/>
  <c r="AE94" i="28" s="1"/>
  <c r="AB37" i="7"/>
  <c r="U14" i="8"/>
  <c r="T14" i="28" s="1"/>
  <c r="T66" i="28" s="1"/>
  <c r="U35" i="8"/>
  <c r="T35" i="28" s="1"/>
  <c r="T87" i="28" s="1"/>
  <c r="U19" i="8"/>
  <c r="T19" i="28" s="1"/>
  <c r="T71" i="28" s="1"/>
  <c r="X44" i="8"/>
  <c r="W44" i="28" s="1"/>
  <c r="W96" i="28" s="1"/>
  <c r="X49" i="8"/>
  <c r="W49" i="28" s="1"/>
  <c r="W101" i="28" s="1"/>
  <c r="X18" i="8"/>
  <c r="W18" i="28" s="1"/>
  <c r="W70" i="28" s="1"/>
  <c r="X17" i="8"/>
  <c r="W17" i="28" s="1"/>
  <c r="W69" i="28" s="1"/>
  <c r="X10" i="8"/>
  <c r="W10" i="28" s="1"/>
  <c r="W62" i="28" s="1"/>
  <c r="L35" i="8"/>
  <c r="L35" i="28" s="1"/>
  <c r="L87" i="28" s="1"/>
  <c r="P40" i="12"/>
  <c r="P40" i="29" s="1"/>
  <c r="P83" i="29" s="1"/>
  <c r="P40" i="13"/>
  <c r="P41" i="12"/>
  <c r="P41" i="29" s="1"/>
  <c r="P84" i="29" s="1"/>
  <c r="P41" i="13"/>
  <c r="P29" i="12"/>
  <c r="P29" i="29" s="1"/>
  <c r="P72" i="29" s="1"/>
  <c r="P29" i="13"/>
  <c r="P30" i="12"/>
  <c r="P30" i="29" s="1"/>
  <c r="P73" i="29" s="1"/>
  <c r="P30" i="13"/>
  <c r="P32" i="12"/>
  <c r="P32" i="29" s="1"/>
  <c r="P75" i="29" s="1"/>
  <c r="P32" i="13"/>
  <c r="P26" i="12"/>
  <c r="P26" i="29" s="1"/>
  <c r="P69" i="29" s="1"/>
  <c r="P26" i="13"/>
  <c r="P14" i="12"/>
  <c r="P14" i="29" s="1"/>
  <c r="P57" i="29" s="1"/>
  <c r="P14" i="13"/>
  <c r="P39" i="12"/>
  <c r="P39" i="29" s="1"/>
  <c r="P82" i="29" s="1"/>
  <c r="P39" i="13"/>
  <c r="P7" i="12"/>
  <c r="P7" i="29" s="1"/>
  <c r="P50" i="29" s="1"/>
  <c r="P7" i="13"/>
  <c r="Q53" i="9"/>
  <c r="M27" i="9"/>
  <c r="AH15" i="8"/>
  <c r="AD15" i="28" s="1"/>
  <c r="AD67" i="28" s="1"/>
  <c r="AH24" i="8"/>
  <c r="AD24" i="28" s="1"/>
  <c r="AD76" i="28" s="1"/>
  <c r="AH43" i="8"/>
  <c r="AD43" i="28" s="1"/>
  <c r="AD95" i="28" s="1"/>
  <c r="O48" i="8"/>
  <c r="O48" i="28" s="1"/>
  <c r="O100" i="28" s="1"/>
  <c r="O21" i="8"/>
  <c r="O21" i="28" s="1"/>
  <c r="O73" i="28" s="1"/>
  <c r="O30" i="8"/>
  <c r="O30" i="28" s="1"/>
  <c r="O82" i="28" s="1"/>
  <c r="P53" i="9"/>
  <c r="M49" i="8"/>
  <c r="M49" i="28" s="1"/>
  <c r="M101" i="28" s="1"/>
  <c r="M49" i="9"/>
  <c r="AC43" i="8"/>
  <c r="AC47" i="8"/>
  <c r="L16" i="8"/>
  <c r="L16" i="28" s="1"/>
  <c r="L68" i="28" s="1"/>
  <c r="L37" i="8"/>
  <c r="L37" i="28" s="1"/>
  <c r="L89" i="28" s="1"/>
  <c r="R24" i="12"/>
  <c r="S24" i="12" s="1"/>
  <c r="S24" i="11"/>
  <c r="R24" i="13"/>
  <c r="S24" i="13" s="1"/>
  <c r="R20" i="12"/>
  <c r="S20" i="12" s="1"/>
  <c r="S20" i="11"/>
  <c r="R20" i="13"/>
  <c r="S20" i="13" s="1"/>
  <c r="R22" i="12"/>
  <c r="S22" i="12" s="1"/>
  <c r="S22" i="11"/>
  <c r="R22" i="13"/>
  <c r="S22" i="13" s="1"/>
  <c r="R41" i="12"/>
  <c r="S41" i="12" s="1"/>
  <c r="S41" i="11"/>
  <c r="R41" i="13"/>
  <c r="S41" i="13" s="1"/>
  <c r="R34" i="12"/>
  <c r="S34" i="12" s="1"/>
  <c r="S34" i="11"/>
  <c r="R34" i="13"/>
  <c r="S34" i="13" s="1"/>
  <c r="R39" i="12"/>
  <c r="S39" i="12" s="1"/>
  <c r="S39" i="11"/>
  <c r="R39" i="13"/>
  <c r="S39" i="13" s="1"/>
  <c r="R9" i="12"/>
  <c r="S9" i="12" s="1"/>
  <c r="S9" i="11"/>
  <c r="R9" i="13"/>
  <c r="S9" i="13" s="1"/>
  <c r="R23" i="12"/>
  <c r="S23" i="12" s="1"/>
  <c r="S23" i="11"/>
  <c r="R23" i="13"/>
  <c r="S23" i="13" s="1"/>
  <c r="R11" i="12"/>
  <c r="S11" i="12" s="1"/>
  <c r="S11" i="11"/>
  <c r="R11" i="13"/>
  <c r="S11" i="13" s="1"/>
  <c r="R8" i="12"/>
  <c r="S8" i="12" s="1"/>
  <c r="S8" i="11"/>
  <c r="R8" i="13"/>
  <c r="S8" i="13" s="1"/>
  <c r="AI6" i="8"/>
  <c r="AI40" i="8"/>
  <c r="AE40" i="28" s="1"/>
  <c r="AE92" i="28" s="1"/>
  <c r="L47" i="8"/>
  <c r="L47" i="28" s="1"/>
  <c r="L99" i="28" s="1"/>
  <c r="X24" i="8"/>
  <c r="W24" i="28" s="1"/>
  <c r="W76" i="28" s="1"/>
  <c r="X23" i="8"/>
  <c r="W23" i="28" s="1"/>
  <c r="W75" i="28" s="1"/>
  <c r="M35" i="9"/>
  <c r="AC19" i="8"/>
  <c r="M37" i="9"/>
  <c r="V20" i="8"/>
  <c r="U20" i="28" s="1"/>
  <c r="U72" i="28" s="1"/>
  <c r="V20" i="9"/>
  <c r="V6" i="8"/>
  <c r="U6" i="28" s="1"/>
  <c r="U58" i="28" s="1"/>
  <c r="V6" i="9"/>
  <c r="V11" i="8"/>
  <c r="U11" i="28" s="1"/>
  <c r="U63" i="28" s="1"/>
  <c r="V11" i="9"/>
  <c r="V40" i="8"/>
  <c r="U40" i="28" s="1"/>
  <c r="U92" i="28" s="1"/>
  <c r="V40" i="9"/>
  <c r="V15" i="8"/>
  <c r="U15" i="28" s="1"/>
  <c r="U67" i="28" s="1"/>
  <c r="V15" i="9"/>
  <c r="V23" i="8"/>
  <c r="U23" i="28" s="1"/>
  <c r="U75" i="28" s="1"/>
  <c r="V23" i="9"/>
  <c r="V31" i="8"/>
  <c r="U31" i="28" s="1"/>
  <c r="U83" i="28" s="1"/>
  <c r="V31" i="9"/>
  <c r="V41" i="8"/>
  <c r="U41" i="28" s="1"/>
  <c r="U93" i="28" s="1"/>
  <c r="V41" i="9"/>
  <c r="V50" i="8"/>
  <c r="U50" i="28" s="1"/>
  <c r="U102" i="28" s="1"/>
  <c r="V50" i="9"/>
  <c r="AC30" i="8"/>
  <c r="AC49" i="8"/>
  <c r="AH16" i="8"/>
  <c r="AD16" i="28" s="1"/>
  <c r="AD68" i="28" s="1"/>
  <c r="AH37" i="8"/>
  <c r="AD37" i="28" s="1"/>
  <c r="AD89" i="28" s="1"/>
  <c r="AH41" i="8"/>
  <c r="AD41" i="28" s="1"/>
  <c r="AD93" i="28" s="1"/>
  <c r="AH29" i="8"/>
  <c r="AD29" i="28" s="1"/>
  <c r="AD81" i="28" s="1"/>
  <c r="AC31" i="8"/>
  <c r="M34" i="9"/>
  <c r="W53" i="9"/>
  <c r="AC39" i="8"/>
  <c r="O34" i="12"/>
  <c r="O34" i="29" s="1"/>
  <c r="O77" i="29" s="1"/>
  <c r="O34" i="13"/>
  <c r="O22" i="12"/>
  <c r="O22" i="29" s="1"/>
  <c r="O65" i="29" s="1"/>
  <c r="O22" i="13"/>
  <c r="O18" i="12"/>
  <c r="O18" i="29" s="1"/>
  <c r="O61" i="29" s="1"/>
  <c r="O18" i="13"/>
  <c r="AH10" i="8"/>
  <c r="AD10" i="28" s="1"/>
  <c r="AD62" i="28" s="1"/>
  <c r="AH28" i="8"/>
  <c r="AD28" i="28" s="1"/>
  <c r="AD80" i="28" s="1"/>
  <c r="AH50" i="8"/>
  <c r="AD50" i="28" s="1"/>
  <c r="AD102" i="28" s="1"/>
  <c r="AC27" i="8"/>
  <c r="AC10" i="8"/>
  <c r="AC33" i="8"/>
  <c r="M40" i="8"/>
  <c r="M40" i="28" s="1"/>
  <c r="M92" i="28" s="1"/>
  <c r="M40" i="9"/>
  <c r="AC41" i="8"/>
  <c r="P20" i="12"/>
  <c r="P20" i="29" s="1"/>
  <c r="P63" i="29" s="1"/>
  <c r="P20" i="13"/>
  <c r="P17" i="12"/>
  <c r="P17" i="29" s="1"/>
  <c r="P60" i="29" s="1"/>
  <c r="P17" i="13"/>
  <c r="P23" i="12"/>
  <c r="P23" i="29" s="1"/>
  <c r="P66" i="29" s="1"/>
  <c r="P23" i="13"/>
  <c r="P31" i="12"/>
  <c r="P31" i="29" s="1"/>
  <c r="P74" i="29" s="1"/>
  <c r="P31" i="13"/>
  <c r="P11" i="12"/>
  <c r="P11" i="29" s="1"/>
  <c r="P54" i="29" s="1"/>
  <c r="P11" i="13"/>
  <c r="AH7" i="8"/>
  <c r="AD7" i="28" s="1"/>
  <c r="AD59" i="28" s="1"/>
  <c r="AH51" i="8"/>
  <c r="AD51" i="28" s="1"/>
  <c r="AD103" i="28" s="1"/>
  <c r="R42" i="12"/>
  <c r="S42" i="12" s="1"/>
  <c r="S42" i="11"/>
  <c r="R42" i="13"/>
  <c r="S42" i="13" s="1"/>
  <c r="R35" i="12"/>
  <c r="S35" i="12" s="1"/>
  <c r="S35" i="11"/>
  <c r="R35" i="13"/>
  <c r="S35" i="13" s="1"/>
  <c r="R15" i="12"/>
  <c r="S15" i="12" s="1"/>
  <c r="S15" i="11"/>
  <c r="R15" i="13"/>
  <c r="S15" i="13" s="1"/>
  <c r="R30" i="12"/>
  <c r="S30" i="12" s="1"/>
  <c r="S30" i="11"/>
  <c r="R30" i="13"/>
  <c r="S30" i="13" s="1"/>
  <c r="S17" i="11"/>
  <c r="R17" i="12"/>
  <c r="S17" i="12" s="1"/>
  <c r="R17" i="13"/>
  <c r="S17" i="13" s="1"/>
  <c r="L49" i="12"/>
  <c r="F35" i="5"/>
  <c r="Q47" i="25" s="1"/>
  <c r="L47" i="13"/>
  <c r="L47" i="12"/>
  <c r="L47" i="10"/>
  <c r="L47" i="11"/>
  <c r="AH25" i="8"/>
  <c r="AD25" i="28" s="1"/>
  <c r="AD77" i="28" s="1"/>
  <c r="AH6" i="8"/>
  <c r="AD6" i="28" s="1"/>
  <c r="AD58" i="28" s="1"/>
  <c r="AH20" i="8"/>
  <c r="AD20" i="28" s="1"/>
  <c r="AD72" i="28" s="1"/>
  <c r="AH36" i="8"/>
  <c r="AD36" i="28" s="1"/>
  <c r="AD88" i="28" s="1"/>
  <c r="AH22" i="8"/>
  <c r="AD22" i="28" s="1"/>
  <c r="AD74" i="28" s="1"/>
  <c r="AC12" i="8"/>
  <c r="L53" i="9"/>
  <c r="M33" i="8"/>
  <c r="M33" i="28" s="1"/>
  <c r="M85" i="28" s="1"/>
  <c r="M33" i="9"/>
  <c r="N54" i="8"/>
  <c r="N54" i="9"/>
  <c r="N54" i="7"/>
  <c r="M28" i="9"/>
  <c r="M19" i="8"/>
  <c r="M19" i="28" s="1"/>
  <c r="M71" i="28" s="1"/>
  <c r="M19" i="9"/>
  <c r="AC20" i="8"/>
  <c r="AD5" i="9"/>
  <c r="AD53" i="9" s="1"/>
  <c r="AC53" i="9"/>
  <c r="AC40" i="8"/>
  <c r="L5" i="8"/>
  <c r="L5" i="28" s="1"/>
  <c r="L57" i="28" s="1"/>
  <c r="L12" i="8"/>
  <c r="L12" i="28" s="1"/>
  <c r="L64" i="28" s="1"/>
  <c r="L33" i="8"/>
  <c r="L33" i="28" s="1"/>
  <c r="L85" i="28" s="1"/>
  <c r="L42" i="8"/>
  <c r="L42" i="28" s="1"/>
  <c r="L94" i="28" s="1"/>
  <c r="AB26" i="7"/>
  <c r="AB15" i="7"/>
  <c r="X51" i="8"/>
  <c r="W51" i="28" s="1"/>
  <c r="W103" i="28" s="1"/>
  <c r="X11" i="8"/>
  <c r="W11" i="28" s="1"/>
  <c r="W63" i="28" s="1"/>
  <c r="X22" i="8"/>
  <c r="W22" i="28" s="1"/>
  <c r="W74" i="28" s="1"/>
  <c r="X48" i="8"/>
  <c r="W48" i="28" s="1"/>
  <c r="W100" i="28" s="1"/>
  <c r="X35" i="8"/>
  <c r="W35" i="28" s="1"/>
  <c r="W87" i="28" s="1"/>
  <c r="X53" i="9"/>
  <c r="X19" i="8"/>
  <c r="W19" i="28" s="1"/>
  <c r="W71" i="28" s="1"/>
  <c r="M14" i="9"/>
  <c r="V16" i="8"/>
  <c r="U16" i="28" s="1"/>
  <c r="U68" i="28" s="1"/>
  <c r="V16" i="9"/>
  <c r="V32" i="8"/>
  <c r="U32" i="28" s="1"/>
  <c r="U84" i="28" s="1"/>
  <c r="V32" i="9"/>
  <c r="V18" i="8"/>
  <c r="U18" i="28" s="1"/>
  <c r="U70" i="28" s="1"/>
  <c r="V18" i="9"/>
  <c r="V8" i="8"/>
  <c r="U8" i="28" s="1"/>
  <c r="U60" i="28" s="1"/>
  <c r="V8" i="9"/>
  <c r="V38" i="8"/>
  <c r="U38" i="28" s="1"/>
  <c r="U90" i="28" s="1"/>
  <c r="V38" i="9"/>
  <c r="V46" i="8"/>
  <c r="U46" i="28" s="1"/>
  <c r="U98" i="28" s="1"/>
  <c r="V46" i="9"/>
  <c r="V13" i="8"/>
  <c r="U13" i="28" s="1"/>
  <c r="U65" i="28" s="1"/>
  <c r="V13" i="9"/>
  <c r="V21" i="8"/>
  <c r="U21" i="28" s="1"/>
  <c r="U73" i="28" s="1"/>
  <c r="V21" i="9"/>
  <c r="V29" i="8"/>
  <c r="U29" i="28" s="1"/>
  <c r="U81" i="28" s="1"/>
  <c r="V29" i="9"/>
  <c r="V7" i="8"/>
  <c r="U7" i="28" s="1"/>
  <c r="U59" i="28" s="1"/>
  <c r="V7" i="9"/>
  <c r="V39" i="8"/>
  <c r="U39" i="28" s="1"/>
  <c r="U91" i="28" s="1"/>
  <c r="V39" i="9"/>
  <c r="V47" i="8"/>
  <c r="U47" i="28" s="1"/>
  <c r="U99" i="28" s="1"/>
  <c r="V47" i="9"/>
  <c r="AH53" i="9"/>
  <c r="AH33" i="8"/>
  <c r="AD33" i="28" s="1"/>
  <c r="AD85" i="28" s="1"/>
  <c r="AH31" i="8"/>
  <c r="AD31" i="28" s="1"/>
  <c r="AD83" i="28" s="1"/>
  <c r="AC48" i="8"/>
  <c r="U48" i="8"/>
  <c r="T48" i="28" s="1"/>
  <c r="T100" i="28" s="1"/>
  <c r="U5" i="8"/>
  <c r="T5" i="28" s="1"/>
  <c r="T57" i="28" s="1"/>
  <c r="X6" i="8"/>
  <c r="W6" i="28" s="1"/>
  <c r="W58" i="28" s="1"/>
  <c r="M43" i="8"/>
  <c r="M43" i="28" s="1"/>
  <c r="M95" i="28" s="1"/>
  <c r="M43" i="9"/>
  <c r="AC18" i="8"/>
  <c r="AC15" i="8"/>
  <c r="AC50" i="8"/>
  <c r="L29" i="8"/>
  <c r="L29" i="28" s="1"/>
  <c r="L81" i="28" s="1"/>
  <c r="L8" i="8"/>
  <c r="L8" i="28" s="1"/>
  <c r="L60" i="28" s="1"/>
  <c r="L26" i="8"/>
  <c r="L26" i="28" s="1"/>
  <c r="L78" i="28" s="1"/>
  <c r="L48" i="8"/>
  <c r="L48" i="28" s="1"/>
  <c r="L100" i="28" s="1"/>
  <c r="L38" i="8"/>
  <c r="L38" i="28" s="1"/>
  <c r="L90" i="28" s="1"/>
  <c r="M11" i="9"/>
  <c r="R58" i="7"/>
  <c r="S58" i="7"/>
  <c r="W48" i="8"/>
  <c r="V48" i="28" s="1"/>
  <c r="V100" i="28" s="1"/>
  <c r="W17" i="8"/>
  <c r="V17" i="28" s="1"/>
  <c r="V69" i="28" s="1"/>
  <c r="W26" i="8"/>
  <c r="V26" i="28" s="1"/>
  <c r="V78" i="28" s="1"/>
  <c r="W9" i="8"/>
  <c r="V9" i="28" s="1"/>
  <c r="V61" i="28" s="1"/>
  <c r="U45" i="8"/>
  <c r="T45" i="28" s="1"/>
  <c r="T97" i="28" s="1"/>
  <c r="U46" i="8"/>
  <c r="T46" i="28" s="1"/>
  <c r="T98" i="28" s="1"/>
  <c r="U29" i="8"/>
  <c r="T29" i="28" s="1"/>
  <c r="T81" i="28" s="1"/>
  <c r="U38" i="8"/>
  <c r="T38" i="28" s="1"/>
  <c r="T90" i="28" s="1"/>
  <c r="X38" i="8"/>
  <c r="W38" i="28" s="1"/>
  <c r="W90" i="28" s="1"/>
  <c r="X28" i="8"/>
  <c r="W28" i="28" s="1"/>
  <c r="W80" i="28" s="1"/>
  <c r="X12" i="8"/>
  <c r="W12" i="28" s="1"/>
  <c r="W64" i="28" s="1"/>
  <c r="X41" i="8"/>
  <c r="W41" i="28" s="1"/>
  <c r="W93" i="28" s="1"/>
  <c r="M7" i="9"/>
  <c r="L50" i="8"/>
  <c r="L50" i="28" s="1"/>
  <c r="L102" i="28" s="1"/>
  <c r="M9" i="9"/>
  <c r="M15" i="9"/>
  <c r="AB41" i="7"/>
  <c r="U25" i="8"/>
  <c r="T25" i="28" s="1"/>
  <c r="T77" i="28" s="1"/>
  <c r="AC37" i="8"/>
  <c r="O38" i="12"/>
  <c r="O38" i="29" s="1"/>
  <c r="O81" i="29" s="1"/>
  <c r="O38" i="13"/>
  <c r="O31" i="12"/>
  <c r="O31" i="29" s="1"/>
  <c r="O74" i="29" s="1"/>
  <c r="O31" i="13"/>
  <c r="O19" i="12"/>
  <c r="O19" i="29" s="1"/>
  <c r="O62" i="29" s="1"/>
  <c r="O19" i="13"/>
  <c r="O30" i="12"/>
  <c r="O30" i="29" s="1"/>
  <c r="O73" i="29" s="1"/>
  <c r="O30" i="13"/>
  <c r="O24" i="12"/>
  <c r="O24" i="29" s="1"/>
  <c r="O67" i="29" s="1"/>
  <c r="O24" i="13"/>
  <c r="O26" i="12"/>
  <c r="O26" i="29" s="1"/>
  <c r="O69" i="29" s="1"/>
  <c r="O26" i="13"/>
  <c r="O8" i="12"/>
  <c r="O8" i="29" s="1"/>
  <c r="O51" i="29" s="1"/>
  <c r="O8" i="13"/>
  <c r="O29" i="12"/>
  <c r="O29" i="29" s="1"/>
  <c r="O72" i="29" s="1"/>
  <c r="O29" i="13"/>
  <c r="O5" i="12"/>
  <c r="O5" i="29" s="1"/>
  <c r="O48" i="29" s="1"/>
  <c r="O44" i="11"/>
  <c r="O5" i="13"/>
  <c r="O5" i="8"/>
  <c r="O5" i="28" s="1"/>
  <c r="O57" i="28" s="1"/>
  <c r="O42" i="8"/>
  <c r="O42" i="28" s="1"/>
  <c r="O94" i="28" s="1"/>
  <c r="O40" i="8"/>
  <c r="O40" i="28" s="1"/>
  <c r="O92" i="28" s="1"/>
  <c r="AC16" i="8"/>
  <c r="AC6" i="8"/>
  <c r="M47" i="9"/>
  <c r="AI53" i="9"/>
  <c r="L41" i="8"/>
  <c r="L41" i="28" s="1"/>
  <c r="L93" i="28" s="1"/>
  <c r="W31" i="8"/>
  <c r="V31" i="28" s="1"/>
  <c r="V83" i="28" s="1"/>
  <c r="W15" i="8"/>
  <c r="V15" i="28" s="1"/>
  <c r="V67" i="28" s="1"/>
  <c r="W42" i="8"/>
  <c r="V42" i="28" s="1"/>
  <c r="V94" i="28" s="1"/>
  <c r="W32" i="8"/>
  <c r="V32" i="28" s="1"/>
  <c r="V84" i="28" s="1"/>
  <c r="W16" i="8"/>
  <c r="V16" i="28" s="1"/>
  <c r="V68" i="28" s="1"/>
  <c r="W35" i="8"/>
  <c r="V35" i="28" s="1"/>
  <c r="V87" i="28" s="1"/>
  <c r="U22" i="8"/>
  <c r="T22" i="28" s="1"/>
  <c r="T74" i="28" s="1"/>
  <c r="U43" i="8"/>
  <c r="T43" i="28" s="1"/>
  <c r="T95" i="28" s="1"/>
  <c r="U27" i="8"/>
  <c r="T27" i="28" s="1"/>
  <c r="T79" i="28" s="1"/>
  <c r="AB19" i="7"/>
  <c r="X47" i="8"/>
  <c r="W47" i="28" s="1"/>
  <c r="W99" i="28" s="1"/>
  <c r="M13" i="9"/>
  <c r="P34" i="12"/>
  <c r="P34" i="29" s="1"/>
  <c r="P77" i="29" s="1"/>
  <c r="P34" i="13"/>
  <c r="P25" i="12"/>
  <c r="P25" i="29" s="1"/>
  <c r="P68" i="29" s="1"/>
  <c r="P25" i="13"/>
  <c r="P36" i="12"/>
  <c r="P36" i="29" s="1"/>
  <c r="P79" i="29" s="1"/>
  <c r="P36" i="13"/>
  <c r="P24" i="12"/>
  <c r="P24" i="29" s="1"/>
  <c r="P67" i="29" s="1"/>
  <c r="P24" i="13"/>
  <c r="P13" i="12"/>
  <c r="P13" i="29" s="1"/>
  <c r="P56" i="29" s="1"/>
  <c r="P13" i="13"/>
  <c r="P15" i="12"/>
  <c r="P15" i="29" s="1"/>
  <c r="P58" i="29" s="1"/>
  <c r="P15" i="13"/>
  <c r="P33" i="12"/>
  <c r="P33" i="29" s="1"/>
  <c r="P76" i="29" s="1"/>
  <c r="P33" i="13"/>
  <c r="P16" i="12"/>
  <c r="P16" i="29" s="1"/>
  <c r="P59" i="29" s="1"/>
  <c r="P16" i="13"/>
  <c r="P8" i="12"/>
  <c r="P8" i="29" s="1"/>
  <c r="P51" i="29" s="1"/>
  <c r="P8" i="13"/>
  <c r="P9" i="12"/>
  <c r="P9" i="29" s="1"/>
  <c r="P52" i="29" s="1"/>
  <c r="P9" i="13"/>
  <c r="Q5" i="8"/>
  <c r="Q5" i="28" s="1"/>
  <c r="Q57" i="28" s="1"/>
  <c r="Q30" i="8"/>
  <c r="Q30" i="28" s="1"/>
  <c r="Q82" i="28" s="1"/>
  <c r="Q39" i="8"/>
  <c r="Q39" i="28" s="1"/>
  <c r="Q91" i="28" s="1"/>
  <c r="Q41" i="8"/>
  <c r="Q41" i="28" s="1"/>
  <c r="Q93" i="28" s="1"/>
  <c r="P5" i="8"/>
  <c r="AC13" i="8"/>
  <c r="S14" i="11"/>
  <c r="R14" i="12"/>
  <c r="S14" i="12" s="1"/>
  <c r="R14" i="13"/>
  <c r="S14" i="13" s="1"/>
  <c r="R38" i="12"/>
  <c r="S38" i="12" s="1"/>
  <c r="S38" i="11"/>
  <c r="R38" i="13"/>
  <c r="S38" i="13" s="1"/>
  <c r="R40" i="12"/>
  <c r="S40" i="12" s="1"/>
  <c r="S40" i="11"/>
  <c r="R40" i="13"/>
  <c r="S40" i="13" s="1"/>
  <c r="S32" i="11"/>
  <c r="R32" i="12"/>
  <c r="S32" i="12" s="1"/>
  <c r="R32" i="13"/>
  <c r="S32" i="13" s="1"/>
  <c r="R18" i="12"/>
  <c r="S18" i="12" s="1"/>
  <c r="S18" i="11"/>
  <c r="R18" i="13"/>
  <c r="S18" i="13" s="1"/>
  <c r="R19" i="12"/>
  <c r="S19" i="12" s="1"/>
  <c r="S19" i="11"/>
  <c r="R19" i="13"/>
  <c r="S19" i="13" s="1"/>
  <c r="R7" i="12"/>
  <c r="S7" i="12" s="1"/>
  <c r="S7" i="11"/>
  <c r="R7" i="13"/>
  <c r="S7" i="13" s="1"/>
  <c r="S12" i="11"/>
  <c r="R12" i="12"/>
  <c r="S12" i="12" s="1"/>
  <c r="R12" i="13"/>
  <c r="S12" i="13" s="1"/>
  <c r="R16" i="12"/>
  <c r="S16" i="12" s="1"/>
  <c r="S16" i="11"/>
  <c r="R16" i="13"/>
  <c r="S16" i="13" s="1"/>
  <c r="W21" i="8"/>
  <c r="V21" i="28" s="1"/>
  <c r="V73" i="28" s="1"/>
  <c r="U12" i="8"/>
  <c r="T12" i="28" s="1"/>
  <c r="T64" i="28" s="1"/>
  <c r="L48" i="10"/>
  <c r="L49" i="10" s="1"/>
  <c r="F4" i="5"/>
  <c r="N56" i="24" s="1"/>
  <c r="N58" i="24" s="1"/>
  <c r="D10" i="5"/>
  <c r="T56" i="6" s="1"/>
  <c r="T54" i="24" s="1"/>
  <c r="E4" i="5"/>
  <c r="N55" i="24" s="1"/>
  <c r="E30" i="5"/>
  <c r="L46" i="25" s="1"/>
  <c r="F9" i="31" l="1"/>
  <c r="F11" i="31"/>
  <c r="F7" i="31"/>
  <c r="K11" i="30"/>
  <c r="E11" i="31"/>
  <c r="E9" i="31"/>
  <c r="E7" i="31"/>
  <c r="U29" i="25"/>
  <c r="U29" i="13"/>
  <c r="U29" i="12"/>
  <c r="S29" i="29" s="1"/>
  <c r="S72" i="29" s="1"/>
  <c r="U42" i="25"/>
  <c r="U42" i="12"/>
  <c r="S42" i="29" s="1"/>
  <c r="S85" i="29" s="1"/>
  <c r="U42" i="13"/>
  <c r="U13" i="25"/>
  <c r="U13" i="12"/>
  <c r="S13" i="29" s="1"/>
  <c r="S56" i="29" s="1"/>
  <c r="U13" i="13"/>
  <c r="U5" i="25"/>
  <c r="U5" i="12"/>
  <c r="U44" i="11"/>
  <c r="U5" i="13"/>
  <c r="U38" i="12"/>
  <c r="S38" i="29"/>
  <c r="S81" i="29" s="1"/>
  <c r="U38" i="25"/>
  <c r="U38" i="13"/>
  <c r="U35" i="25"/>
  <c r="U35" i="13"/>
  <c r="S35" i="29" s="1"/>
  <c r="S78" i="29" s="1"/>
  <c r="U35" i="12"/>
  <c r="U39" i="12"/>
  <c r="S39" i="29"/>
  <c r="S82" i="29" s="1"/>
  <c r="U39" i="25"/>
  <c r="U39" i="13"/>
  <c r="U37" i="25"/>
  <c r="U37" i="12"/>
  <c r="S37" i="29" s="1"/>
  <c r="S80" i="29" s="1"/>
  <c r="U37" i="13"/>
  <c r="U18" i="25"/>
  <c r="U18" i="12"/>
  <c r="S18" i="29" s="1"/>
  <c r="S61" i="29" s="1"/>
  <c r="U18" i="13"/>
  <c r="U32" i="12"/>
  <c r="S32" i="29"/>
  <c r="S75" i="29" s="1"/>
  <c r="U32" i="25"/>
  <c r="U32" i="13"/>
  <c r="M30" i="24"/>
  <c r="S5" i="25"/>
  <c r="S44" i="25" s="1"/>
  <c r="R44" i="25"/>
  <c r="AI53" i="24"/>
  <c r="M26" i="24"/>
  <c r="M45" i="24"/>
  <c r="M49" i="24"/>
  <c r="M13" i="24"/>
  <c r="M16" i="24"/>
  <c r="Q12" i="29"/>
  <c r="Q55" i="29" s="1"/>
  <c r="Q19" i="29"/>
  <c r="Q62" i="29" s="1"/>
  <c r="Q32" i="29"/>
  <c r="Q75" i="29" s="1"/>
  <c r="Q38" i="29"/>
  <c r="Q81" i="29" s="1"/>
  <c r="M8" i="31"/>
  <c r="M32" i="24"/>
  <c r="M39" i="24"/>
  <c r="M10" i="24"/>
  <c r="M46" i="24"/>
  <c r="M43" i="24"/>
  <c r="V39" i="24"/>
  <c r="V29" i="24"/>
  <c r="V13" i="24"/>
  <c r="V38" i="24"/>
  <c r="V18" i="24"/>
  <c r="V16" i="24"/>
  <c r="M44" i="24"/>
  <c r="W53" i="24"/>
  <c r="M48" i="24"/>
  <c r="V35" i="24"/>
  <c r="V25" i="24"/>
  <c r="V5" i="24"/>
  <c r="V34" i="24"/>
  <c r="V9" i="24"/>
  <c r="M17" i="24"/>
  <c r="M41" i="24"/>
  <c r="M7" i="24"/>
  <c r="AH53" i="24"/>
  <c r="AD50" i="8"/>
  <c r="AA50" i="28"/>
  <c r="AA102" i="28" s="1"/>
  <c r="AD49" i="8"/>
  <c r="AA49" i="28"/>
  <c r="AA101" i="28" s="1"/>
  <c r="AI53" i="8"/>
  <c r="AE6" i="28"/>
  <c r="AE58" i="28" s="1"/>
  <c r="U7" i="30" s="1"/>
  <c r="U13" i="30" s="1"/>
  <c r="AB51" i="7"/>
  <c r="AB10" i="7"/>
  <c r="AD42" i="8"/>
  <c r="AA42" i="28"/>
  <c r="AA94" i="28" s="1"/>
  <c r="AD44" i="8"/>
  <c r="AA44" i="28"/>
  <c r="AA96" i="28" s="1"/>
  <c r="AD8" i="8"/>
  <c r="AA8" i="28"/>
  <c r="AA60" i="28" s="1"/>
  <c r="AD21" i="8"/>
  <c r="AA21" i="28"/>
  <c r="AA73" i="28" s="1"/>
  <c r="AD23" i="8"/>
  <c r="AA23" i="28"/>
  <c r="AA75" i="28" s="1"/>
  <c r="AD25" i="8"/>
  <c r="AA25" i="28"/>
  <c r="AA77" i="28" s="1"/>
  <c r="U6" i="25"/>
  <c r="U6" i="12"/>
  <c r="S6" i="29" s="1"/>
  <c r="S49" i="29" s="1"/>
  <c r="U6" i="13"/>
  <c r="U22" i="25"/>
  <c r="U22" i="12"/>
  <c r="S22" i="29" s="1"/>
  <c r="S65" i="29" s="1"/>
  <c r="U22" i="13"/>
  <c r="U36" i="25"/>
  <c r="U36" i="12"/>
  <c r="S36" i="29" s="1"/>
  <c r="S79" i="29" s="1"/>
  <c r="U36" i="13"/>
  <c r="U9" i="25"/>
  <c r="U9" i="12"/>
  <c r="S9" i="29" s="1"/>
  <c r="S52" i="29" s="1"/>
  <c r="U9" i="13"/>
  <c r="Q13" i="29"/>
  <c r="Q56" i="29" s="1"/>
  <c r="Q27" i="29"/>
  <c r="Q70" i="29" s="1"/>
  <c r="Q31" i="29"/>
  <c r="Q74" i="29" s="1"/>
  <c r="M47" i="24"/>
  <c r="M7" i="8"/>
  <c r="M7" i="28" s="1"/>
  <c r="M59" i="28" s="1"/>
  <c r="AD47" i="8"/>
  <c r="AA47" i="28"/>
  <c r="AA99" i="28" s="1"/>
  <c r="AD36" i="8"/>
  <c r="AA36" i="28"/>
  <c r="AA88" i="28" s="1"/>
  <c r="AD11" i="8"/>
  <c r="AA11" i="28"/>
  <c r="AA63" i="28" s="1"/>
  <c r="AD38" i="8"/>
  <c r="AA38" i="28"/>
  <c r="AA90" i="28" s="1"/>
  <c r="G9" i="30"/>
  <c r="G7" i="30"/>
  <c r="G13" i="30" s="1"/>
  <c r="G11" i="30"/>
  <c r="M13" i="8"/>
  <c r="M13" i="28" s="1"/>
  <c r="M65" i="28" s="1"/>
  <c r="M47" i="8"/>
  <c r="M47" i="28" s="1"/>
  <c r="M99" i="28" s="1"/>
  <c r="S43" i="24"/>
  <c r="S37" i="24"/>
  <c r="S22" i="24"/>
  <c r="S45" i="24"/>
  <c r="S6" i="24"/>
  <c r="S50" i="24"/>
  <c r="S10" i="24"/>
  <c r="S44" i="24"/>
  <c r="S9" i="24"/>
  <c r="S20" i="24"/>
  <c r="S38" i="24"/>
  <c r="S39" i="24"/>
  <c r="S25" i="24"/>
  <c r="S46" i="24"/>
  <c r="S24" i="24"/>
  <c r="S27" i="24"/>
  <c r="S32" i="24"/>
  <c r="S41" i="24"/>
  <c r="S26" i="24"/>
  <c r="S21" i="24"/>
  <c r="S51" i="24"/>
  <c r="S12" i="24"/>
  <c r="S15" i="24"/>
  <c r="S14" i="24"/>
  <c r="S5" i="24"/>
  <c r="S17" i="24"/>
  <c r="S33" i="24"/>
  <c r="S47" i="24"/>
  <c r="S35" i="24"/>
  <c r="S7" i="24"/>
  <c r="S28" i="24"/>
  <c r="S11" i="24"/>
  <c r="S31" i="24"/>
  <c r="S30" i="24"/>
  <c r="S40" i="24"/>
  <c r="S36" i="24"/>
  <c r="S16" i="24"/>
  <c r="S19" i="24"/>
  <c r="S42" i="24"/>
  <c r="S49" i="24"/>
  <c r="S18" i="24"/>
  <c r="S8" i="24"/>
  <c r="S13" i="24"/>
  <c r="S29" i="24"/>
  <c r="S48" i="24"/>
  <c r="S34" i="24"/>
  <c r="S23" i="24"/>
  <c r="AD18" i="8"/>
  <c r="AA18" i="28"/>
  <c r="AA70" i="28" s="1"/>
  <c r="B7" i="30"/>
  <c r="B13" i="30" s="1"/>
  <c r="AD20" i="8"/>
  <c r="AA20" i="28"/>
  <c r="AA72" i="28" s="1"/>
  <c r="M28" i="8"/>
  <c r="M28" i="28" s="1"/>
  <c r="M80" i="28" s="1"/>
  <c r="AB40" i="7"/>
  <c r="AD12" i="8"/>
  <c r="AA12" i="28"/>
  <c r="AA64" i="28" s="1"/>
  <c r="AD41" i="8"/>
  <c r="AA41" i="28"/>
  <c r="AA93" i="28" s="1"/>
  <c r="AD10" i="8"/>
  <c r="AA10" i="28"/>
  <c r="AA62" i="28" s="1"/>
  <c r="AD19" i="8"/>
  <c r="AA19" i="28"/>
  <c r="AA71" i="28" s="1"/>
  <c r="AD43" i="8"/>
  <c r="AA43" i="28"/>
  <c r="AA95" i="28" s="1"/>
  <c r="AB30" i="7"/>
  <c r="M10" i="8"/>
  <c r="M10" i="28" s="1"/>
  <c r="M62" i="28" s="1"/>
  <c r="M46" i="8"/>
  <c r="M46" i="28" s="1"/>
  <c r="M98" i="28" s="1"/>
  <c r="AD9" i="8"/>
  <c r="AA9" i="28"/>
  <c r="AA61" i="28" s="1"/>
  <c r="M38" i="8"/>
  <c r="M38" i="28" s="1"/>
  <c r="M90" i="28" s="1"/>
  <c r="M16" i="8"/>
  <c r="M16" i="28" s="1"/>
  <c r="M68" i="28" s="1"/>
  <c r="AD22" i="8"/>
  <c r="AA22" i="28"/>
  <c r="AA74" i="28" s="1"/>
  <c r="AD51" i="8"/>
  <c r="AA51" i="28"/>
  <c r="AA103" i="28" s="1"/>
  <c r="AD28" i="8"/>
  <c r="AA28" i="28"/>
  <c r="AA80" i="28" s="1"/>
  <c r="X49" i="25"/>
  <c r="AD34" i="8"/>
  <c r="AA34" i="28"/>
  <c r="AA86" i="28" s="1"/>
  <c r="M9" i="30"/>
  <c r="J7" i="30"/>
  <c r="J13" i="30" s="1"/>
  <c r="U10" i="25"/>
  <c r="U10" i="13"/>
  <c r="U10" i="12"/>
  <c r="S10" i="29" s="1"/>
  <c r="S53" i="29" s="1"/>
  <c r="U21" i="25"/>
  <c r="U21" i="12"/>
  <c r="S21" i="29" s="1"/>
  <c r="S64" i="29" s="1"/>
  <c r="U21" i="13"/>
  <c r="U40" i="25"/>
  <c r="U40" i="13"/>
  <c r="U40" i="12"/>
  <c r="S40" i="29" s="1"/>
  <c r="S83" i="29" s="1"/>
  <c r="U19" i="25"/>
  <c r="U19" i="12"/>
  <c r="S19" i="29" s="1"/>
  <c r="S62" i="29" s="1"/>
  <c r="U19" i="13"/>
  <c r="U26" i="25"/>
  <c r="U26" i="12"/>
  <c r="S26" i="29" s="1"/>
  <c r="S69" i="29" s="1"/>
  <c r="U26" i="13"/>
  <c r="U15" i="25"/>
  <c r="U15" i="12"/>
  <c r="S15" i="29" s="1"/>
  <c r="S58" i="29" s="1"/>
  <c r="U15" i="13"/>
  <c r="U30" i="25"/>
  <c r="U30" i="12"/>
  <c r="S30" i="29" s="1"/>
  <c r="S73" i="29" s="1"/>
  <c r="U30" i="13"/>
  <c r="U14" i="25"/>
  <c r="U14" i="13"/>
  <c r="U14" i="12"/>
  <c r="S14" i="29" s="1"/>
  <c r="S57" i="29" s="1"/>
  <c r="U28" i="25"/>
  <c r="U28" i="13"/>
  <c r="U28" i="12"/>
  <c r="S28" i="29" s="1"/>
  <c r="S71" i="29" s="1"/>
  <c r="U12" i="12"/>
  <c r="S12" i="29"/>
  <c r="S55" i="29" s="1"/>
  <c r="U12" i="25"/>
  <c r="U12" i="13"/>
  <c r="Q25" i="29"/>
  <c r="Q68" i="29" s="1"/>
  <c r="Q28" i="29"/>
  <c r="Q71" i="29" s="1"/>
  <c r="Q26" i="29"/>
  <c r="Q69" i="29" s="1"/>
  <c r="Q29" i="29"/>
  <c r="Q72" i="29" s="1"/>
  <c r="M38" i="24"/>
  <c r="M5" i="24"/>
  <c r="Q17" i="29"/>
  <c r="Q60" i="29" s="1"/>
  <c r="Q30" i="29"/>
  <c r="Q73" i="29" s="1"/>
  <c r="Q15" i="29"/>
  <c r="Q58" i="29" s="1"/>
  <c r="Q36" i="29"/>
  <c r="Q79" i="29" s="1"/>
  <c r="M31" i="24"/>
  <c r="M23" i="24"/>
  <c r="M15" i="24"/>
  <c r="M6" i="31"/>
  <c r="O53" i="24"/>
  <c r="P53" i="24"/>
  <c r="Q11" i="29"/>
  <c r="Q54" i="29" s="1"/>
  <c r="Q9" i="29"/>
  <c r="Q52" i="29" s="1"/>
  <c r="Q34" i="29"/>
  <c r="Q77" i="29" s="1"/>
  <c r="Q22" i="29"/>
  <c r="Q65" i="29" s="1"/>
  <c r="Q24" i="29"/>
  <c r="Q67" i="29" s="1"/>
  <c r="L53" i="24"/>
  <c r="L48" i="25"/>
  <c r="M21" i="24"/>
  <c r="V45" i="24"/>
  <c r="V49" i="24"/>
  <c r="V19" i="24"/>
  <c r="V44" i="24"/>
  <c r="V30" i="24"/>
  <c r="V28" i="24"/>
  <c r="M33" i="24"/>
  <c r="AD5" i="24"/>
  <c r="AD53" i="24" s="1"/>
  <c r="AC53" i="24"/>
  <c r="U53" i="24"/>
  <c r="V50" i="24"/>
  <c r="V33" i="24"/>
  <c r="V23" i="24"/>
  <c r="V51" i="24"/>
  <c r="V11" i="24"/>
  <c r="V6" i="24"/>
  <c r="M51" i="24"/>
  <c r="M24" i="24"/>
  <c r="AD16" i="8"/>
  <c r="AA16" i="28"/>
  <c r="AA68" i="28" s="1"/>
  <c r="AD39" i="8"/>
  <c r="AA39" i="28"/>
  <c r="AA91" i="28" s="1"/>
  <c r="AD31" i="8"/>
  <c r="AA31" i="28"/>
  <c r="AA83" i="28" s="1"/>
  <c r="AB29" i="7"/>
  <c r="AB22" i="7"/>
  <c r="AB36" i="7"/>
  <c r="AD7" i="8"/>
  <c r="AA7" i="28"/>
  <c r="AA59" i="28" s="1"/>
  <c r="Q11" i="30" s="1"/>
  <c r="AD46" i="8"/>
  <c r="AA46" i="28"/>
  <c r="AA98" i="28" s="1"/>
  <c r="M44" i="8"/>
  <c r="M44" i="28" s="1"/>
  <c r="M96" i="28" s="1"/>
  <c r="M8" i="24"/>
  <c r="AD32" i="8"/>
  <c r="AA32" i="28"/>
  <c r="AA84" i="28" s="1"/>
  <c r="N6" i="11"/>
  <c r="N37" i="11"/>
  <c r="N11" i="11"/>
  <c r="N18" i="11"/>
  <c r="N22" i="11"/>
  <c r="N15" i="11"/>
  <c r="N42" i="11"/>
  <c r="N30" i="11"/>
  <c r="N12" i="11"/>
  <c r="N9" i="11"/>
  <c r="N33" i="11"/>
  <c r="N39" i="11"/>
  <c r="N5" i="11"/>
  <c r="N38" i="11"/>
  <c r="N36" i="11"/>
  <c r="N23" i="11"/>
  <c r="N27" i="11"/>
  <c r="N13" i="11"/>
  <c r="N10" i="11"/>
  <c r="N7" i="11"/>
  <c r="N29" i="11"/>
  <c r="N35" i="11"/>
  <c r="N32" i="11"/>
  <c r="N19" i="11"/>
  <c r="N21" i="11"/>
  <c r="N34" i="11"/>
  <c r="N20" i="11"/>
  <c r="N14" i="11"/>
  <c r="N8" i="11"/>
  <c r="N41" i="11"/>
  <c r="N16" i="11"/>
  <c r="N31" i="11"/>
  <c r="N17" i="11"/>
  <c r="N28" i="11"/>
  <c r="N26" i="11"/>
  <c r="N40" i="11"/>
  <c r="N24" i="11"/>
  <c r="N25" i="11"/>
  <c r="U34" i="25"/>
  <c r="U34" i="12"/>
  <c r="U34" i="13"/>
  <c r="S34" i="29" s="1"/>
  <c r="S77" i="29" s="1"/>
  <c r="U8" i="25"/>
  <c r="U8" i="13"/>
  <c r="U8" i="12"/>
  <c r="S8" i="29" s="1"/>
  <c r="S51" i="29" s="1"/>
  <c r="U7" i="25"/>
  <c r="U7" i="12"/>
  <c r="U7" i="13"/>
  <c r="S7" i="29" s="1"/>
  <c r="S50" i="29" s="1"/>
  <c r="U31" i="25"/>
  <c r="U31" i="13"/>
  <c r="U31" i="12"/>
  <c r="S31" i="29" s="1"/>
  <c r="S74" i="29" s="1"/>
  <c r="U20" i="25"/>
  <c r="U20" i="12"/>
  <c r="U20" i="13"/>
  <c r="S20" i="29" s="1"/>
  <c r="S63" i="29" s="1"/>
  <c r="Q6" i="29"/>
  <c r="Q49" i="29" s="1"/>
  <c r="G11" i="31" s="1"/>
  <c r="Q33" i="29"/>
  <c r="Q76" i="29" s="1"/>
  <c r="M42" i="24"/>
  <c r="AD13" i="8"/>
  <c r="AA13" i="28"/>
  <c r="AA65" i="28" s="1"/>
  <c r="M9" i="8"/>
  <c r="M9" i="28" s="1"/>
  <c r="M61" i="28" s="1"/>
  <c r="M11" i="8"/>
  <c r="M11" i="28" s="1"/>
  <c r="M63" i="28" s="1"/>
  <c r="AD15" i="8"/>
  <c r="AA15" i="28"/>
  <c r="AA67" i="28" s="1"/>
  <c r="J11" i="30"/>
  <c r="J9" i="30"/>
  <c r="M14" i="8"/>
  <c r="M14" i="28" s="1"/>
  <c r="M66" i="28" s="1"/>
  <c r="AD33" i="8"/>
  <c r="AA33" i="28"/>
  <c r="AA85" i="28" s="1"/>
  <c r="AD30" i="8"/>
  <c r="AA30" i="28"/>
  <c r="AA82" i="28" s="1"/>
  <c r="AD45" i="8"/>
  <c r="AA45" i="28"/>
  <c r="AA97" i="28" s="1"/>
  <c r="AB50" i="7"/>
  <c r="AB25" i="7"/>
  <c r="AD24" i="8"/>
  <c r="AA24" i="28"/>
  <c r="AA76" i="28" s="1"/>
  <c r="P53" i="8"/>
  <c r="P5" i="28"/>
  <c r="P57" i="28" s="1"/>
  <c r="AB14" i="7"/>
  <c r="AD6" i="8"/>
  <c r="AA6" i="28"/>
  <c r="AA58" i="28" s="1"/>
  <c r="E11" i="30"/>
  <c r="E9" i="30"/>
  <c r="E7" i="30"/>
  <c r="E13" i="30" s="1"/>
  <c r="AD37" i="8"/>
  <c r="AA37" i="28"/>
  <c r="AA89" i="28" s="1"/>
  <c r="M15" i="8"/>
  <c r="M15" i="28" s="1"/>
  <c r="M67" i="28" s="1"/>
  <c r="R43" i="24"/>
  <c r="R39" i="24"/>
  <c r="R25" i="24"/>
  <c r="R30" i="24"/>
  <c r="R40" i="24"/>
  <c r="R16" i="24"/>
  <c r="R27" i="24"/>
  <c r="R42" i="24"/>
  <c r="R41" i="24"/>
  <c r="R26" i="24"/>
  <c r="R8" i="24"/>
  <c r="R21" i="24"/>
  <c r="R48" i="24"/>
  <c r="R51" i="24"/>
  <c r="R34" i="24"/>
  <c r="R15" i="24"/>
  <c r="R22" i="24"/>
  <c r="R17" i="24"/>
  <c r="R33" i="24"/>
  <c r="R6" i="24"/>
  <c r="R50" i="24"/>
  <c r="R47" i="24"/>
  <c r="R35" i="24"/>
  <c r="R20" i="24"/>
  <c r="R11" i="24"/>
  <c r="R31" i="24"/>
  <c r="R38" i="24"/>
  <c r="R46" i="24"/>
  <c r="R36" i="24"/>
  <c r="R24" i="24"/>
  <c r="R19" i="24"/>
  <c r="R32" i="24"/>
  <c r="R49" i="24"/>
  <c r="R18" i="24"/>
  <c r="R13" i="24"/>
  <c r="R29" i="24"/>
  <c r="R12" i="24"/>
  <c r="R23" i="24"/>
  <c r="R37" i="24"/>
  <c r="R14" i="24"/>
  <c r="R45" i="24"/>
  <c r="R5" i="24"/>
  <c r="R10" i="24"/>
  <c r="R44" i="24"/>
  <c r="R9" i="24"/>
  <c r="R7" i="24"/>
  <c r="R28" i="24"/>
  <c r="AD48" i="8"/>
  <c r="AA48" i="28"/>
  <c r="AA100" i="28" s="1"/>
  <c r="AD40" i="8"/>
  <c r="AA40" i="28"/>
  <c r="AA92" i="28" s="1"/>
  <c r="AD27" i="8"/>
  <c r="AA27" i="28"/>
  <c r="AA79" i="28" s="1"/>
  <c r="M34" i="8"/>
  <c r="M34" i="28" s="1"/>
  <c r="M86" i="28" s="1"/>
  <c r="AB33" i="7"/>
  <c r="M41" i="8"/>
  <c r="M41" i="28" s="1"/>
  <c r="M93" i="28" s="1"/>
  <c r="AD14" i="8"/>
  <c r="AA14" i="28"/>
  <c r="AA66" i="28" s="1"/>
  <c r="AD26" i="8"/>
  <c r="AA26" i="28"/>
  <c r="AA78" i="28" s="1"/>
  <c r="AD17" i="8"/>
  <c r="AA17" i="28"/>
  <c r="AA69" i="28" s="1"/>
  <c r="AD29" i="8"/>
  <c r="AA29" i="28"/>
  <c r="AA81" i="28" s="1"/>
  <c r="T9" i="30"/>
  <c r="T7" i="30"/>
  <c r="T13" i="30" s="1"/>
  <c r="T11" i="30"/>
  <c r="Q7" i="30"/>
  <c r="Q13" i="30" s="1"/>
  <c r="AD35" i="8"/>
  <c r="AA35" i="28"/>
  <c r="AA87" i="28" s="1"/>
  <c r="L7" i="30"/>
  <c r="L13" i="30" s="1"/>
  <c r="L11" i="30"/>
  <c r="L9" i="30"/>
  <c r="U11" i="30"/>
  <c r="M7" i="30"/>
  <c r="M13" i="30" s="1"/>
  <c r="M11" i="30"/>
  <c r="B9" i="30"/>
  <c r="S11" i="29"/>
  <c r="S54" i="29" s="1"/>
  <c r="U11" i="25"/>
  <c r="U11" i="12"/>
  <c r="U11" i="13"/>
  <c r="S24" i="29"/>
  <c r="S67" i="29" s="1"/>
  <c r="U24" i="25"/>
  <c r="U24" i="12"/>
  <c r="U24" i="13"/>
  <c r="S33" i="29"/>
  <c r="S76" i="29" s="1"/>
  <c r="U33" i="25"/>
  <c r="U33" i="12"/>
  <c r="U33" i="13"/>
  <c r="S23" i="29"/>
  <c r="S66" i="29" s="1"/>
  <c r="U23" i="25"/>
  <c r="U23" i="13"/>
  <c r="U23" i="12"/>
  <c r="S41" i="29"/>
  <c r="S84" i="29" s="1"/>
  <c r="U41" i="25"/>
  <c r="U41" i="12"/>
  <c r="U41" i="13"/>
  <c r="S27" i="29"/>
  <c r="S70" i="29" s="1"/>
  <c r="U27" i="25"/>
  <c r="U27" i="12"/>
  <c r="U27" i="13"/>
  <c r="S16" i="29"/>
  <c r="S59" i="29" s="1"/>
  <c r="U16" i="25"/>
  <c r="U16" i="13"/>
  <c r="U16" i="12"/>
  <c r="S25" i="29"/>
  <c r="S68" i="29" s="1"/>
  <c r="U25" i="25"/>
  <c r="U25" i="12"/>
  <c r="U25" i="13"/>
  <c r="S17" i="29"/>
  <c r="S60" i="29" s="1"/>
  <c r="U17" i="25"/>
  <c r="U17" i="12"/>
  <c r="U17" i="13"/>
  <c r="M25" i="24"/>
  <c r="Q53" i="24"/>
  <c r="M22" i="24"/>
  <c r="Q16" i="29"/>
  <c r="Q59" i="29" s="1"/>
  <c r="Q7" i="29"/>
  <c r="Q50" i="29" s="1"/>
  <c r="G9" i="31" s="1"/>
  <c r="Q18" i="29"/>
  <c r="Q61" i="29" s="1"/>
  <c r="Q40" i="29"/>
  <c r="Q83" i="29" s="1"/>
  <c r="Q14" i="29"/>
  <c r="Q57" i="29" s="1"/>
  <c r="M10" i="31"/>
  <c r="M11" i="11"/>
  <c r="M7" i="11"/>
  <c r="M8" i="11"/>
  <c r="M31" i="11"/>
  <c r="M13" i="11"/>
  <c r="M36" i="11"/>
  <c r="M38" i="11"/>
  <c r="M25" i="11"/>
  <c r="M41" i="11"/>
  <c r="M24" i="11"/>
  <c r="M6" i="11"/>
  <c r="M5" i="11"/>
  <c r="M17" i="11"/>
  <c r="M15" i="11"/>
  <c r="M30" i="11"/>
  <c r="M21" i="11"/>
  <c r="M23" i="11"/>
  <c r="M18" i="11"/>
  <c r="M14" i="11"/>
  <c r="M9" i="11"/>
  <c r="M27" i="11"/>
  <c r="M26" i="11"/>
  <c r="M32" i="11"/>
  <c r="M35" i="11"/>
  <c r="M37" i="11"/>
  <c r="M28" i="11"/>
  <c r="M39" i="11"/>
  <c r="M22" i="11"/>
  <c r="M16" i="11"/>
  <c r="M10" i="11"/>
  <c r="M19" i="11"/>
  <c r="M42" i="11"/>
  <c r="M33" i="11"/>
  <c r="M20" i="11"/>
  <c r="M12" i="11"/>
  <c r="M29" i="11"/>
  <c r="M40" i="11"/>
  <c r="M34" i="11"/>
  <c r="M27" i="24"/>
  <c r="M40" i="24"/>
  <c r="M6" i="24"/>
  <c r="V47" i="24"/>
  <c r="V7" i="24"/>
  <c r="V21" i="24"/>
  <c r="V46" i="24"/>
  <c r="V8" i="24"/>
  <c r="V32" i="24"/>
  <c r="M14" i="24"/>
  <c r="M50" i="24"/>
  <c r="M29" i="24"/>
  <c r="M20" i="24"/>
  <c r="M11" i="24"/>
  <c r="V43" i="24"/>
  <c r="V48" i="24"/>
  <c r="V17" i="24"/>
  <c r="V42" i="24"/>
  <c r="V26" i="24"/>
  <c r="V24" i="24"/>
  <c r="X53" i="24"/>
  <c r="M18" i="24"/>
  <c r="M35" i="24"/>
  <c r="V8" i="11"/>
  <c r="V11" i="11"/>
  <c r="V39" i="11"/>
  <c r="V19" i="11"/>
  <c r="V15" i="11"/>
  <c r="V42" i="11"/>
  <c r="V13" i="11"/>
  <c r="V34" i="11"/>
  <c r="V36" i="11"/>
  <c r="V10" i="11"/>
  <c r="V5" i="11"/>
  <c r="V21" i="11"/>
  <c r="V35" i="11"/>
  <c r="V9" i="11"/>
  <c r="V40" i="11"/>
  <c r="V28" i="11"/>
  <c r="V30" i="11"/>
  <c r="V32" i="11"/>
  <c r="V41" i="11"/>
  <c r="V7" i="11"/>
  <c r="V16" i="11"/>
  <c r="V17" i="11"/>
  <c r="V31" i="11"/>
  <c r="V6" i="11"/>
  <c r="V29" i="11"/>
  <c r="V24" i="11"/>
  <c r="V25" i="11"/>
  <c r="V37" i="11"/>
  <c r="V22" i="11"/>
  <c r="V23" i="11"/>
  <c r="V14" i="11"/>
  <c r="V12" i="11"/>
  <c r="V27" i="11"/>
  <c r="V20" i="11"/>
  <c r="V26" i="11"/>
  <c r="V33" i="11"/>
  <c r="V38" i="11"/>
  <c r="V18" i="11"/>
  <c r="Z9" i="11"/>
  <c r="Z17" i="11"/>
  <c r="Z16" i="11"/>
  <c r="Z42" i="11"/>
  <c r="Z40" i="11"/>
  <c r="Z30" i="11"/>
  <c r="Z25" i="11"/>
  <c r="Z23" i="11"/>
  <c r="Z32" i="11"/>
  <c r="Z36" i="11"/>
  <c r="Z7" i="11"/>
  <c r="Z12" i="11"/>
  <c r="Z8" i="11"/>
  <c r="Z14" i="11"/>
  <c r="Z21" i="11"/>
  <c r="Z19" i="11"/>
  <c r="Z22" i="11"/>
  <c r="Z37" i="11"/>
  <c r="Z18" i="11"/>
  <c r="Z5" i="11"/>
  <c r="Z10" i="11"/>
  <c r="Z29" i="11"/>
  <c r="Z31" i="11"/>
  <c r="Z33" i="11"/>
  <c r="Z35" i="11"/>
  <c r="Z27" i="11"/>
  <c r="Z34" i="11"/>
  <c r="Z41" i="11"/>
  <c r="Z11" i="11"/>
  <c r="Z6" i="11"/>
  <c r="Z24" i="11"/>
  <c r="Z26" i="11"/>
  <c r="Z20" i="11"/>
  <c r="Z13" i="11"/>
  <c r="Z28" i="11"/>
  <c r="Z15" i="11"/>
  <c r="Z39" i="11"/>
  <c r="Z38" i="11"/>
  <c r="Q21" i="29"/>
  <c r="Q64" i="29" s="1"/>
  <c r="Q10" i="29"/>
  <c r="Q53" i="29" s="1"/>
  <c r="Q37" i="29"/>
  <c r="Q80" i="29" s="1"/>
  <c r="Q35" i="29"/>
  <c r="Q78" i="29" s="1"/>
  <c r="Q42" i="29"/>
  <c r="Q85" i="29" s="1"/>
  <c r="M12" i="24"/>
  <c r="P44" i="25"/>
  <c r="O44" i="25"/>
  <c r="M9" i="24"/>
  <c r="T7" i="11"/>
  <c r="T5" i="11"/>
  <c r="T15" i="11"/>
  <c r="T27" i="11"/>
  <c r="T12" i="11"/>
  <c r="T16" i="11"/>
  <c r="T10" i="11"/>
  <c r="T34" i="11"/>
  <c r="T25" i="11"/>
  <c r="T18" i="11"/>
  <c r="T29" i="11"/>
  <c r="T23" i="11"/>
  <c r="T9" i="11"/>
  <c r="T11" i="11"/>
  <c r="T14" i="11"/>
  <c r="T41" i="11"/>
  <c r="T38" i="11"/>
  <c r="T22" i="11"/>
  <c r="T37" i="11"/>
  <c r="T6" i="11"/>
  <c r="T8" i="11"/>
  <c r="T40" i="11"/>
  <c r="T13" i="11"/>
  <c r="T20" i="11"/>
  <c r="T31" i="11"/>
  <c r="T28" i="11"/>
  <c r="T19" i="11"/>
  <c r="T36" i="11"/>
  <c r="T39" i="11"/>
  <c r="T42" i="11"/>
  <c r="T33" i="11"/>
  <c r="T26" i="11"/>
  <c r="T30" i="11"/>
  <c r="T17" i="11"/>
  <c r="T32" i="11"/>
  <c r="T24" i="11"/>
  <c r="T35" i="11"/>
  <c r="T21" i="11"/>
  <c r="Q8" i="29"/>
  <c r="Q51" i="29" s="1"/>
  <c r="Q23" i="29"/>
  <c r="Q66" i="29" s="1"/>
  <c r="Q39" i="29"/>
  <c r="Q82" i="29" s="1"/>
  <c r="Q41" i="29"/>
  <c r="Q84" i="29" s="1"/>
  <c r="Q20" i="29"/>
  <c r="Q63" i="29" s="1"/>
  <c r="M36" i="24"/>
  <c r="V37" i="24"/>
  <c r="V27" i="24"/>
  <c r="V10" i="24"/>
  <c r="V36" i="24"/>
  <c r="V14" i="24"/>
  <c r="V12" i="24"/>
  <c r="M34" i="24"/>
  <c r="V41" i="24"/>
  <c r="V31" i="24"/>
  <c r="V15" i="24"/>
  <c r="V40" i="24"/>
  <c r="V22" i="24"/>
  <c r="V20" i="24"/>
  <c r="M37" i="24"/>
  <c r="M19" i="24"/>
  <c r="AQ11" i="24"/>
  <c r="W53" i="8"/>
  <c r="V17" i="8"/>
  <c r="U17" i="28" s="1"/>
  <c r="U69" i="28" s="1"/>
  <c r="M17" i="8"/>
  <c r="M17" i="28" s="1"/>
  <c r="M69" i="28" s="1"/>
  <c r="V9" i="8"/>
  <c r="U9" i="28" s="1"/>
  <c r="U61" i="28" s="1"/>
  <c r="K7" i="30" s="1"/>
  <c r="K13" i="30" s="1"/>
  <c r="O53" i="8"/>
  <c r="M36" i="8"/>
  <c r="M36" i="28" s="1"/>
  <c r="M88" i="28" s="1"/>
  <c r="V51" i="8"/>
  <c r="U51" i="28" s="1"/>
  <c r="U103" i="28" s="1"/>
  <c r="M50" i="8"/>
  <c r="M50" i="28" s="1"/>
  <c r="M102" i="28" s="1"/>
  <c r="L11" i="11"/>
  <c r="L9" i="11"/>
  <c r="L7" i="11"/>
  <c r="L5" i="11"/>
  <c r="L8" i="11"/>
  <c r="L16" i="11"/>
  <c r="L6" i="11"/>
  <c r="L10" i="11"/>
  <c r="L32" i="11"/>
  <c r="L40" i="11"/>
  <c r="L26" i="11"/>
  <c r="L36" i="11"/>
  <c r="L31" i="11"/>
  <c r="L28" i="11"/>
  <c r="L21" i="11"/>
  <c r="L37" i="11"/>
  <c r="L30" i="11"/>
  <c r="L27" i="11"/>
  <c r="L35" i="11"/>
  <c r="L15" i="11"/>
  <c r="L25" i="11"/>
  <c r="L41" i="11"/>
  <c r="L13" i="11"/>
  <c r="L34" i="11"/>
  <c r="L24" i="11"/>
  <c r="L17" i="11"/>
  <c r="L22" i="11"/>
  <c r="L20" i="11"/>
  <c r="L29" i="11"/>
  <c r="L38" i="11"/>
  <c r="L19" i="11"/>
  <c r="L14" i="11"/>
  <c r="L33" i="11"/>
  <c r="L42" i="11"/>
  <c r="L23" i="11"/>
  <c r="L39" i="11"/>
  <c r="L12" i="11"/>
  <c r="L18" i="11"/>
  <c r="N56" i="9"/>
  <c r="N56" i="8"/>
  <c r="N56" i="7"/>
  <c r="Y16" i="9"/>
  <c r="AB16" i="9" s="1"/>
  <c r="S44" i="11"/>
  <c r="R31" i="8"/>
  <c r="R31" i="28" s="1"/>
  <c r="R83" i="28" s="1"/>
  <c r="R43" i="8"/>
  <c r="R43" i="28" s="1"/>
  <c r="R95" i="28" s="1"/>
  <c r="R32" i="8"/>
  <c r="R32" i="28" s="1"/>
  <c r="R84" i="28" s="1"/>
  <c r="R44" i="8"/>
  <c r="R44" i="28" s="1"/>
  <c r="R96" i="28" s="1"/>
  <c r="R30" i="8"/>
  <c r="R30" i="28" s="1"/>
  <c r="R82" i="28" s="1"/>
  <c r="R17" i="8"/>
  <c r="R17" i="28" s="1"/>
  <c r="R69" i="28" s="1"/>
  <c r="R13" i="8"/>
  <c r="R13" i="28" s="1"/>
  <c r="R65" i="28" s="1"/>
  <c r="R50" i="8"/>
  <c r="R50" i="28" s="1"/>
  <c r="R102" i="28" s="1"/>
  <c r="R11" i="8"/>
  <c r="R11" i="28" s="1"/>
  <c r="R63" i="28" s="1"/>
  <c r="R23" i="8"/>
  <c r="R48" i="8"/>
  <c r="R48" i="28" s="1"/>
  <c r="R100" i="28" s="1"/>
  <c r="R39" i="8"/>
  <c r="R39" i="28" s="1"/>
  <c r="R91" i="28" s="1"/>
  <c r="R37" i="8"/>
  <c r="R37" i="28" s="1"/>
  <c r="R89" i="28" s="1"/>
  <c r="R14" i="8"/>
  <c r="R14" i="28" s="1"/>
  <c r="R66" i="28" s="1"/>
  <c r="R22" i="8"/>
  <c r="R45" i="8"/>
  <c r="R45" i="28" s="1"/>
  <c r="R97" i="28" s="1"/>
  <c r="R25" i="8"/>
  <c r="R25" i="28" s="1"/>
  <c r="R77" i="28" s="1"/>
  <c r="R41" i="8"/>
  <c r="R41" i="28" s="1"/>
  <c r="R93" i="28" s="1"/>
  <c r="R26" i="8"/>
  <c r="R21" i="8"/>
  <c r="R46" i="8"/>
  <c r="R46" i="28" s="1"/>
  <c r="R98" i="28" s="1"/>
  <c r="R47" i="8"/>
  <c r="R47" i="28" s="1"/>
  <c r="R99" i="28" s="1"/>
  <c r="R18" i="8"/>
  <c r="R18" i="28" s="1"/>
  <c r="R70" i="28" s="1"/>
  <c r="R29" i="8"/>
  <c r="R16" i="8"/>
  <c r="R16" i="28" s="1"/>
  <c r="R68" i="28" s="1"/>
  <c r="R10" i="8"/>
  <c r="R10" i="28" s="1"/>
  <c r="R62" i="28" s="1"/>
  <c r="R15" i="8"/>
  <c r="R15" i="28" s="1"/>
  <c r="R67" i="28" s="1"/>
  <c r="R35" i="8"/>
  <c r="R35" i="28" s="1"/>
  <c r="R87" i="28" s="1"/>
  <c r="R51" i="8"/>
  <c r="R51" i="28" s="1"/>
  <c r="R103" i="28" s="1"/>
  <c r="R34" i="8"/>
  <c r="R34" i="28" s="1"/>
  <c r="R86" i="28" s="1"/>
  <c r="R7" i="8"/>
  <c r="R7" i="28" s="1"/>
  <c r="R59" i="28" s="1"/>
  <c r="R12" i="8"/>
  <c r="R12" i="28" s="1"/>
  <c r="R64" i="28" s="1"/>
  <c r="R20" i="8"/>
  <c r="R20" i="28" s="1"/>
  <c r="R72" i="28" s="1"/>
  <c r="R28" i="8"/>
  <c r="R49" i="8"/>
  <c r="R49" i="28" s="1"/>
  <c r="R101" i="28" s="1"/>
  <c r="R9" i="8"/>
  <c r="R9" i="28" s="1"/>
  <c r="R61" i="28" s="1"/>
  <c r="R8" i="8"/>
  <c r="R8" i="28" s="1"/>
  <c r="R60" i="28" s="1"/>
  <c r="R38" i="8"/>
  <c r="R38" i="28" s="1"/>
  <c r="R90" i="28" s="1"/>
  <c r="R5" i="8"/>
  <c r="R5" i="28" s="1"/>
  <c r="R57" i="28" s="1"/>
  <c r="R42" i="8"/>
  <c r="R42" i="28" s="1"/>
  <c r="R94" i="28" s="1"/>
  <c r="R40" i="8"/>
  <c r="R40" i="28" s="1"/>
  <c r="R92" i="28" s="1"/>
  <c r="R36" i="8"/>
  <c r="R36" i="28" s="1"/>
  <c r="R88" i="28" s="1"/>
  <c r="R33" i="8"/>
  <c r="R33" i="28" s="1"/>
  <c r="R85" i="28" s="1"/>
  <c r="R6" i="8"/>
  <c r="R6" i="28" s="1"/>
  <c r="R58" i="28" s="1"/>
  <c r="R24" i="8"/>
  <c r="R19" i="8"/>
  <c r="R19" i="28" s="1"/>
  <c r="R71" i="28" s="1"/>
  <c r="R27" i="8"/>
  <c r="Y35" i="9"/>
  <c r="AB35" i="9" s="1"/>
  <c r="AB35" i="7"/>
  <c r="Y24" i="9"/>
  <c r="AB24" i="9" s="1"/>
  <c r="Y37" i="9"/>
  <c r="AB37" i="9" s="1"/>
  <c r="Y11" i="9"/>
  <c r="AB11" i="9" s="1"/>
  <c r="Y13" i="9"/>
  <c r="AB13" i="9" s="1"/>
  <c r="Y6" i="9"/>
  <c r="AB6" i="9" s="1"/>
  <c r="AB16" i="7"/>
  <c r="O44" i="13"/>
  <c r="AB24" i="7"/>
  <c r="L53" i="8"/>
  <c r="Y30" i="9"/>
  <c r="AB30" i="9" s="1"/>
  <c r="Y26" i="9"/>
  <c r="AB26" i="9" s="1"/>
  <c r="Y23" i="9"/>
  <c r="AB23" i="9" s="1"/>
  <c r="AB23" i="7"/>
  <c r="Y43" i="9"/>
  <c r="AB43" i="9" s="1"/>
  <c r="Y28" i="9"/>
  <c r="AB28" i="9" s="1"/>
  <c r="Y49" i="9"/>
  <c r="AB49" i="9" s="1"/>
  <c r="Y34" i="9"/>
  <c r="AB34" i="9" s="1"/>
  <c r="Y38" i="9"/>
  <c r="AB38" i="9" s="1"/>
  <c r="AB38" i="7"/>
  <c r="Y15" i="9"/>
  <c r="AB15" i="9" s="1"/>
  <c r="Y7" i="9"/>
  <c r="AB7" i="9" s="1"/>
  <c r="AB7" i="7"/>
  <c r="Y9" i="9"/>
  <c r="AB9" i="9" s="1"/>
  <c r="Y18" i="9"/>
  <c r="AB18" i="9" s="1"/>
  <c r="AB18" i="7"/>
  <c r="AB43" i="7"/>
  <c r="AB28" i="7"/>
  <c r="S5" i="12"/>
  <c r="S44" i="12" s="1"/>
  <c r="R44" i="12"/>
  <c r="AB9" i="7"/>
  <c r="M5" i="8"/>
  <c r="M5" i="28" s="1"/>
  <c r="M57" i="28" s="1"/>
  <c r="V42" i="8"/>
  <c r="U42" i="28" s="1"/>
  <c r="U94" i="28" s="1"/>
  <c r="V26" i="8"/>
  <c r="U26" i="28" s="1"/>
  <c r="U78" i="28" s="1"/>
  <c r="V24" i="8"/>
  <c r="U24" i="28" s="1"/>
  <c r="U76" i="28" s="1"/>
  <c r="M20" i="8"/>
  <c r="M20" i="28" s="1"/>
  <c r="M72" i="28" s="1"/>
  <c r="M51" i="8"/>
  <c r="M51" i="28" s="1"/>
  <c r="M103" i="28" s="1"/>
  <c r="AB11" i="7"/>
  <c r="N58" i="8"/>
  <c r="Y47" i="9"/>
  <c r="AB47" i="9" s="1"/>
  <c r="Y32" i="9"/>
  <c r="AB32" i="9" s="1"/>
  <c r="Y50" i="9"/>
  <c r="AB50" i="9" s="1"/>
  <c r="Y8" i="9"/>
  <c r="AB8" i="9" s="1"/>
  <c r="Y25" i="9"/>
  <c r="AB25" i="9" s="1"/>
  <c r="M53" i="9"/>
  <c r="E35" i="5"/>
  <c r="Q46" i="25" s="1"/>
  <c r="L46" i="13"/>
  <c r="L46" i="11"/>
  <c r="L49" i="11" s="1"/>
  <c r="L48" i="11" s="1"/>
  <c r="L46" i="10"/>
  <c r="L46" i="12"/>
  <c r="AB47" i="7"/>
  <c r="N55" i="9"/>
  <c r="N55" i="8"/>
  <c r="N55" i="7"/>
  <c r="P44" i="13"/>
  <c r="AB34" i="7"/>
  <c r="AB32" i="7"/>
  <c r="U53" i="8"/>
  <c r="V53" i="9"/>
  <c r="M37" i="8"/>
  <c r="M37" i="28" s="1"/>
  <c r="M89" i="28" s="1"/>
  <c r="M35" i="8"/>
  <c r="M35" i="28" s="1"/>
  <c r="M87" i="28" s="1"/>
  <c r="M27" i="8"/>
  <c r="M27" i="28" s="1"/>
  <c r="M79" i="28" s="1"/>
  <c r="Y45" i="9"/>
  <c r="AB45" i="9" s="1"/>
  <c r="AB45" i="7"/>
  <c r="Y41" i="9"/>
  <c r="AB41" i="9" s="1"/>
  <c r="Y31" i="9"/>
  <c r="AB31" i="9" s="1"/>
  <c r="Y27" i="9"/>
  <c r="AB27" i="9" s="1"/>
  <c r="AB27" i="7"/>
  <c r="Y39" i="9"/>
  <c r="AB39" i="9" s="1"/>
  <c r="Y33" i="9"/>
  <c r="AB33" i="9" s="1"/>
  <c r="Y42" i="9"/>
  <c r="AB42" i="9" s="1"/>
  <c r="AB42" i="7"/>
  <c r="Y5" i="9"/>
  <c r="Y53" i="7"/>
  <c r="Y58" i="7" s="1"/>
  <c r="Y24" i="8" s="1"/>
  <c r="AB24" i="8" s="1"/>
  <c r="AB5" i="7"/>
  <c r="Y17" i="9"/>
  <c r="AB17" i="9" s="1"/>
  <c r="AB17" i="7"/>
  <c r="Y44" i="9"/>
  <c r="AB44" i="9" s="1"/>
  <c r="Y12" i="9"/>
  <c r="AB12" i="9" s="1"/>
  <c r="AB12" i="7"/>
  <c r="Y20" i="9"/>
  <c r="AB20" i="9" s="1"/>
  <c r="V37" i="8"/>
  <c r="U37" i="28" s="1"/>
  <c r="U89" i="28" s="1"/>
  <c r="V27" i="8"/>
  <c r="U27" i="28" s="1"/>
  <c r="U79" i="28" s="1"/>
  <c r="M18" i="8"/>
  <c r="M18" i="28" s="1"/>
  <c r="M70" i="28" s="1"/>
  <c r="S5" i="13"/>
  <c r="S44" i="13" s="1"/>
  <c r="R44" i="13"/>
  <c r="M39" i="8"/>
  <c r="M39" i="28" s="1"/>
  <c r="M91" i="28" s="1"/>
  <c r="AH53" i="8"/>
  <c r="V35" i="8"/>
  <c r="U35" i="28" s="1"/>
  <c r="U87" i="28" s="1"/>
  <c r="V25" i="8"/>
  <c r="U25" i="28" s="1"/>
  <c r="U77" i="28" s="1"/>
  <c r="M24" i="8"/>
  <c r="M24" i="28" s="1"/>
  <c r="M76" i="28" s="1"/>
  <c r="AC53" i="8"/>
  <c r="AD5" i="8"/>
  <c r="AB45" i="13"/>
  <c r="AB45" i="11"/>
  <c r="AB45" i="10"/>
  <c r="AB45" i="12"/>
  <c r="X49" i="12" s="1"/>
  <c r="V33" i="8"/>
  <c r="U33" i="28" s="1"/>
  <c r="U85" i="28" s="1"/>
  <c r="AB49" i="7"/>
  <c r="AB6" i="7"/>
  <c r="AB31" i="7"/>
  <c r="AB39" i="7"/>
  <c r="T54" i="9"/>
  <c r="T54" i="8"/>
  <c r="T54" i="7"/>
  <c r="L48" i="12"/>
  <c r="Q53" i="8"/>
  <c r="O44" i="12"/>
  <c r="S43" i="8"/>
  <c r="S32" i="8"/>
  <c r="S31" i="8"/>
  <c r="S44" i="8"/>
  <c r="S41" i="8"/>
  <c r="S26" i="8"/>
  <c r="S21" i="8"/>
  <c r="S25" i="8"/>
  <c r="S47" i="8"/>
  <c r="S18" i="8"/>
  <c r="S29" i="8"/>
  <c r="S36" i="8"/>
  <c r="S6" i="8"/>
  <c r="S24" i="8"/>
  <c r="S19" i="8"/>
  <c r="S34" i="8"/>
  <c r="S12" i="8"/>
  <c r="S20" i="8"/>
  <c r="S30" i="8"/>
  <c r="S38" i="8"/>
  <c r="S5" i="8"/>
  <c r="S17" i="8"/>
  <c r="S42" i="8"/>
  <c r="S35" i="8"/>
  <c r="S49" i="8"/>
  <c r="S9" i="8"/>
  <c r="S8" i="8"/>
  <c r="S13" i="8"/>
  <c r="S40" i="8"/>
  <c r="S33" i="8"/>
  <c r="S27" i="8"/>
  <c r="S51" i="8"/>
  <c r="S7" i="8"/>
  <c r="S28" i="8"/>
  <c r="S46" i="8"/>
  <c r="S11" i="8"/>
  <c r="S15" i="8"/>
  <c r="S23" i="8"/>
  <c r="S48" i="8"/>
  <c r="S39" i="8"/>
  <c r="S37" i="8"/>
  <c r="S14" i="8"/>
  <c r="S22" i="8"/>
  <c r="S45" i="8"/>
  <c r="S16" i="8"/>
  <c r="S50" i="8"/>
  <c r="S10" i="8"/>
  <c r="F46" i="5"/>
  <c r="AB47" i="25" s="1"/>
  <c r="Q47" i="13"/>
  <c r="Q47" i="12"/>
  <c r="Q47" i="11"/>
  <c r="Q47" i="10"/>
  <c r="X53" i="8"/>
  <c r="Y48" i="9"/>
  <c r="AB48" i="9" s="1"/>
  <c r="AB48" i="7"/>
  <c r="Y51" i="9"/>
  <c r="AB51" i="9" s="1"/>
  <c r="Y29" i="8"/>
  <c r="AB29" i="8" s="1"/>
  <c r="Y29" i="9"/>
  <c r="AB29" i="9" s="1"/>
  <c r="Y21" i="9"/>
  <c r="AB21" i="9" s="1"/>
  <c r="Y22" i="8"/>
  <c r="AB22" i="8" s="1"/>
  <c r="Y22" i="9"/>
  <c r="AB22" i="9" s="1"/>
  <c r="Y40" i="9"/>
  <c r="AB40" i="9" s="1"/>
  <c r="Y36" i="8"/>
  <c r="AB36" i="8" s="1"/>
  <c r="Y36" i="9"/>
  <c r="AB36" i="9" s="1"/>
  <c r="Y10" i="9"/>
  <c r="AB10" i="9" s="1"/>
  <c r="Y19" i="8"/>
  <c r="AB19" i="8" s="1"/>
  <c r="Y19" i="9"/>
  <c r="AB19" i="9" s="1"/>
  <c r="Y46" i="9"/>
  <c r="AB46" i="9" s="1"/>
  <c r="AB46" i="7"/>
  <c r="Y14" i="9"/>
  <c r="AB14" i="9" s="1"/>
  <c r="P44" i="12"/>
  <c r="M26" i="8"/>
  <c r="M26" i="28" s="1"/>
  <c r="M78" i="28" s="1"/>
  <c r="M22" i="8"/>
  <c r="M22" i="28" s="1"/>
  <c r="M74" i="28" s="1"/>
  <c r="M30" i="8"/>
  <c r="M30" i="28" s="1"/>
  <c r="M82" i="28" s="1"/>
  <c r="M12" i="8"/>
  <c r="M12" i="28" s="1"/>
  <c r="M64" i="28" s="1"/>
  <c r="M45" i="8"/>
  <c r="M45" i="28" s="1"/>
  <c r="M97" i="28" s="1"/>
  <c r="M32" i="8"/>
  <c r="M32" i="28" s="1"/>
  <c r="M84" i="28" s="1"/>
  <c r="M25" i="8"/>
  <c r="M25" i="28" s="1"/>
  <c r="M77" i="28" s="1"/>
  <c r="M31" i="8"/>
  <c r="M31" i="28" s="1"/>
  <c r="M83" i="28" s="1"/>
  <c r="M8" i="8"/>
  <c r="M8" i="28" s="1"/>
  <c r="M60" i="28" s="1"/>
  <c r="M29" i="8"/>
  <c r="M29" i="28" s="1"/>
  <c r="M81" i="28" s="1"/>
  <c r="M48" i="8"/>
  <c r="M48" i="28" s="1"/>
  <c r="M100" i="28" s="1"/>
  <c r="V53" i="8"/>
  <c r="AB44" i="7"/>
  <c r="AB21" i="7"/>
  <c r="AB20" i="7"/>
  <c r="AB8" i="7"/>
  <c r="AB13" i="7"/>
  <c r="E10" i="5"/>
  <c r="T55" i="24" s="1"/>
  <c r="N57" i="6"/>
  <c r="F10" i="5"/>
  <c r="T56" i="24" s="1"/>
  <c r="N58" i="6"/>
  <c r="D47" i="5"/>
  <c r="D29" i="5"/>
  <c r="F29" i="5"/>
  <c r="AM56" i="24" s="1"/>
  <c r="AB51" i="24" l="1"/>
  <c r="AB22" i="24"/>
  <c r="AB23" i="24"/>
  <c r="AB40" i="24"/>
  <c r="L29" i="25"/>
  <c r="L31" i="29"/>
  <c r="L74" i="29" s="1"/>
  <c r="L31" i="25"/>
  <c r="T33" i="25"/>
  <c r="W33" i="11"/>
  <c r="T33" i="13"/>
  <c r="T33" i="12"/>
  <c r="R33" i="29" s="1"/>
  <c r="R76" i="29" s="1"/>
  <c r="T19" i="25"/>
  <c r="T19" i="12"/>
  <c r="R19" i="29" s="1"/>
  <c r="R62" i="29" s="1"/>
  <c r="T19" i="13"/>
  <c r="T37" i="25"/>
  <c r="W37" i="25" s="1"/>
  <c r="T37" i="12"/>
  <c r="R37" i="29" s="1"/>
  <c r="R80" i="29" s="1"/>
  <c r="T37" i="13"/>
  <c r="T14" i="25"/>
  <c r="W14" i="25" s="1"/>
  <c r="T14" i="12"/>
  <c r="R14" i="29" s="1"/>
  <c r="R57" i="29" s="1"/>
  <c r="T14" i="13"/>
  <c r="W14" i="11"/>
  <c r="R10" i="29"/>
  <c r="R53" i="29" s="1"/>
  <c r="T10" i="25"/>
  <c r="T10" i="13"/>
  <c r="T10" i="12"/>
  <c r="R15" i="29"/>
  <c r="R58" i="29" s="1"/>
  <c r="T15" i="25"/>
  <c r="T15" i="12"/>
  <c r="W15" i="11"/>
  <c r="T15" i="13"/>
  <c r="Z13" i="25"/>
  <c r="AA13" i="25" s="1"/>
  <c r="Z13" i="12"/>
  <c r="AA13" i="12" s="1"/>
  <c r="AA13" i="11"/>
  <c r="Z13" i="13"/>
  <c r="AA13" i="13" s="1"/>
  <c r="Z29" i="25"/>
  <c r="AA29" i="25" s="1"/>
  <c r="AA29" i="11"/>
  <c r="Z29" i="13"/>
  <c r="AA29" i="13" s="1"/>
  <c r="Z29" i="12"/>
  <c r="AA29" i="12" s="1"/>
  <c r="Z36" i="25"/>
  <c r="AA36" i="25" s="1"/>
  <c r="Z36" i="12"/>
  <c r="AA36" i="12" s="1"/>
  <c r="Z36" i="13"/>
  <c r="AA36" i="13" s="1"/>
  <c r="AA36" i="11"/>
  <c r="T33" i="29"/>
  <c r="T76" i="29" s="1"/>
  <c r="V33" i="25"/>
  <c r="V33" i="12"/>
  <c r="W33" i="12" s="1"/>
  <c r="V33" i="13"/>
  <c r="T6" i="29"/>
  <c r="T49" i="29" s="1"/>
  <c r="V6" i="25"/>
  <c r="V6" i="12"/>
  <c r="V6" i="13"/>
  <c r="T21" i="29"/>
  <c r="T64" i="29" s="1"/>
  <c r="V21" i="25"/>
  <c r="V21" i="12"/>
  <c r="V21" i="13"/>
  <c r="M29" i="29"/>
  <c r="M72" i="29" s="1"/>
  <c r="M29" i="25"/>
  <c r="M29" i="13"/>
  <c r="M29" i="12"/>
  <c r="M9" i="29"/>
  <c r="M52" i="29" s="1"/>
  <c r="M9" i="25"/>
  <c r="M9" i="12"/>
  <c r="M9" i="13"/>
  <c r="M25" i="29"/>
  <c r="M68" i="29" s="1"/>
  <c r="M25" i="25"/>
  <c r="M25" i="13"/>
  <c r="M25" i="12"/>
  <c r="T14" i="30"/>
  <c r="T15" i="30"/>
  <c r="Y17" i="24"/>
  <c r="AB17" i="24" s="1"/>
  <c r="Y25" i="24"/>
  <c r="AB25" i="24" s="1"/>
  <c r="N34" i="29"/>
  <c r="N77" i="29" s="1"/>
  <c r="N34" i="25"/>
  <c r="N34" i="12"/>
  <c r="N34" i="13"/>
  <c r="N9" i="29"/>
  <c r="N52" i="29" s="1"/>
  <c r="N9" i="25"/>
  <c r="N9" i="12"/>
  <c r="N9" i="13"/>
  <c r="Y19" i="24"/>
  <c r="AB19" i="24" s="1"/>
  <c r="Y29" i="24"/>
  <c r="AB29" i="24" s="1"/>
  <c r="E13" i="31"/>
  <c r="F13" i="31"/>
  <c r="W40" i="25"/>
  <c r="V53" i="24"/>
  <c r="Y48" i="8"/>
  <c r="C9" i="30"/>
  <c r="C11" i="30"/>
  <c r="C7" i="30"/>
  <c r="C13" i="30" s="1"/>
  <c r="L39" i="25"/>
  <c r="L14" i="25"/>
  <c r="L20" i="25"/>
  <c r="L34" i="25"/>
  <c r="L15" i="25"/>
  <c r="L37" i="29"/>
  <c r="L80" i="29" s="1"/>
  <c r="L37" i="25"/>
  <c r="L36" i="25"/>
  <c r="L10" i="29"/>
  <c r="L53" i="29" s="1"/>
  <c r="L10" i="25"/>
  <c r="L5" i="25"/>
  <c r="T21" i="25"/>
  <c r="W21" i="25" s="1"/>
  <c r="W21" i="11"/>
  <c r="T21" i="13"/>
  <c r="T21" i="12"/>
  <c r="R21" i="29" s="1"/>
  <c r="R64" i="29" s="1"/>
  <c r="T17" i="25"/>
  <c r="T17" i="13"/>
  <c r="T17" i="12"/>
  <c r="R17" i="29" s="1"/>
  <c r="R60" i="29" s="1"/>
  <c r="W17" i="11"/>
  <c r="T42" i="25"/>
  <c r="T42" i="13"/>
  <c r="T42" i="12"/>
  <c r="R42" i="29" s="1"/>
  <c r="R85" i="29" s="1"/>
  <c r="W42" i="11"/>
  <c r="T28" i="25"/>
  <c r="W28" i="25" s="1"/>
  <c r="T28" i="12"/>
  <c r="W28" i="11"/>
  <c r="T28" i="13"/>
  <c r="R28" i="29" s="1"/>
  <c r="R71" i="29" s="1"/>
  <c r="R40" i="29"/>
  <c r="R83" i="29" s="1"/>
  <c r="T40" i="25"/>
  <c r="T40" i="12"/>
  <c r="T40" i="13"/>
  <c r="R22" i="29"/>
  <c r="R65" i="29" s="1"/>
  <c r="T22" i="25"/>
  <c r="T22" i="13"/>
  <c r="T22" i="12"/>
  <c r="W22" i="11"/>
  <c r="T11" i="25"/>
  <c r="T11" i="13"/>
  <c r="T11" i="12"/>
  <c r="W11" i="12" s="1"/>
  <c r="T18" i="25"/>
  <c r="T18" i="12"/>
  <c r="R18" i="29" s="1"/>
  <c r="R61" i="29" s="1"/>
  <c r="T18" i="13"/>
  <c r="T16" i="25"/>
  <c r="T16" i="12"/>
  <c r="T16" i="13"/>
  <c r="W16" i="13" s="1"/>
  <c r="W16" i="11"/>
  <c r="T5" i="25"/>
  <c r="T5" i="12"/>
  <c r="W5" i="11"/>
  <c r="T5" i="13"/>
  <c r="T44" i="11"/>
  <c r="Z39" i="25"/>
  <c r="AA39" i="25" s="1"/>
  <c r="AA39" i="11"/>
  <c r="Z39" i="13"/>
  <c r="AA39" i="13" s="1"/>
  <c r="Z39" i="12"/>
  <c r="AA39" i="12" s="1"/>
  <c r="Z20" i="25"/>
  <c r="AA20" i="25" s="1"/>
  <c r="AA20" i="11"/>
  <c r="Z20" i="13"/>
  <c r="AA20" i="13" s="1"/>
  <c r="Z20" i="12"/>
  <c r="AA20" i="12" s="1"/>
  <c r="Z11" i="25"/>
  <c r="AA11" i="25" s="1"/>
  <c r="Z11" i="12"/>
  <c r="AA11" i="12" s="1"/>
  <c r="AA11" i="11"/>
  <c r="Z11" i="13"/>
  <c r="AA11" i="13" s="1"/>
  <c r="Z35" i="25"/>
  <c r="AA35" i="25" s="1"/>
  <c r="Z35" i="12"/>
  <c r="AA35" i="12" s="1"/>
  <c r="AA35" i="11"/>
  <c r="Z35" i="13"/>
  <c r="AA35" i="13" s="1"/>
  <c r="Z10" i="25"/>
  <c r="AA10" i="25" s="1"/>
  <c r="AA10" i="11"/>
  <c r="Z10" i="13"/>
  <c r="AA10" i="13" s="1"/>
  <c r="Z10" i="12"/>
  <c r="AA10" i="12" s="1"/>
  <c r="Z22" i="25"/>
  <c r="AA22" i="25" s="1"/>
  <c r="Z22" i="12"/>
  <c r="AA22" i="12" s="1"/>
  <c r="Z22" i="13"/>
  <c r="AA22" i="13" s="1"/>
  <c r="AA22" i="11"/>
  <c r="Z8" i="25"/>
  <c r="AA8" i="25" s="1"/>
  <c r="AA8" i="11"/>
  <c r="Z8" i="13"/>
  <c r="AA8" i="13" s="1"/>
  <c r="Z8" i="12"/>
  <c r="AA8" i="12" s="1"/>
  <c r="Z32" i="25"/>
  <c r="AA32" i="25" s="1"/>
  <c r="Z32" i="13"/>
  <c r="AA32" i="13" s="1"/>
  <c r="AA32" i="11"/>
  <c r="Z32" i="12"/>
  <c r="AA32" i="12" s="1"/>
  <c r="Z40" i="25"/>
  <c r="AA40" i="25" s="1"/>
  <c r="Z40" i="13"/>
  <c r="AA40" i="13" s="1"/>
  <c r="AA40" i="11"/>
  <c r="Z40" i="12"/>
  <c r="AA40" i="12" s="1"/>
  <c r="Z9" i="25"/>
  <c r="AA9" i="25" s="1"/>
  <c r="Z9" i="13"/>
  <c r="AA9" i="13" s="1"/>
  <c r="Z9" i="12"/>
  <c r="AA9" i="12" s="1"/>
  <c r="AA9" i="11"/>
  <c r="V26" i="25"/>
  <c r="V26" i="12"/>
  <c r="W26" i="12" s="1"/>
  <c r="V26" i="13"/>
  <c r="V14" i="25"/>
  <c r="V14" i="13"/>
  <c r="V14" i="12"/>
  <c r="W14" i="12" s="1"/>
  <c r="V25" i="25"/>
  <c r="V25" i="12"/>
  <c r="T25" i="29" s="1"/>
  <c r="T68" i="29" s="1"/>
  <c r="V25" i="13"/>
  <c r="V31" i="25"/>
  <c r="V31" i="13"/>
  <c r="V31" i="12"/>
  <c r="T31" i="29" s="1"/>
  <c r="T74" i="29" s="1"/>
  <c r="W41" i="11"/>
  <c r="T41" i="29"/>
  <c r="T84" i="29" s="1"/>
  <c r="V41" i="25"/>
  <c r="V41" i="12"/>
  <c r="V41" i="13"/>
  <c r="W40" i="11"/>
  <c r="T40" i="29"/>
  <c r="T83" i="29" s="1"/>
  <c r="V40" i="25"/>
  <c r="V40" i="12"/>
  <c r="W40" i="12" s="1"/>
  <c r="V40" i="13"/>
  <c r="V5" i="25"/>
  <c r="V44" i="11"/>
  <c r="V5" i="13"/>
  <c r="V5" i="12"/>
  <c r="T5" i="29" s="1"/>
  <c r="T48" i="29" s="1"/>
  <c r="W13" i="11"/>
  <c r="V13" i="25"/>
  <c r="V13" i="13"/>
  <c r="V13" i="12"/>
  <c r="T13" i="29" s="1"/>
  <c r="T56" i="29" s="1"/>
  <c r="V39" i="25"/>
  <c r="V39" i="12"/>
  <c r="W39" i="12" s="1"/>
  <c r="V39" i="13"/>
  <c r="M12" i="25"/>
  <c r="M12" i="12"/>
  <c r="M12" i="29" s="1"/>
  <c r="M55" i="29" s="1"/>
  <c r="M12" i="13"/>
  <c r="M19" i="25"/>
  <c r="M19" i="12"/>
  <c r="M19" i="29" s="1"/>
  <c r="M62" i="29" s="1"/>
  <c r="M19" i="13"/>
  <c r="M39" i="25"/>
  <c r="M39" i="12"/>
  <c r="M39" i="29" s="1"/>
  <c r="M82" i="29" s="1"/>
  <c r="M39" i="13"/>
  <c r="M32" i="25"/>
  <c r="M32" i="12"/>
  <c r="M32" i="29" s="1"/>
  <c r="M75" i="29" s="1"/>
  <c r="M32" i="13"/>
  <c r="M14" i="25"/>
  <c r="M14" i="12"/>
  <c r="M14" i="29" s="1"/>
  <c r="M57" i="29" s="1"/>
  <c r="M14" i="13"/>
  <c r="M30" i="25"/>
  <c r="M30" i="12"/>
  <c r="M30" i="29" s="1"/>
  <c r="M73" i="29" s="1"/>
  <c r="M30" i="13"/>
  <c r="M6" i="25"/>
  <c r="M6" i="13"/>
  <c r="M6" i="12"/>
  <c r="M6" i="29" s="1"/>
  <c r="M49" i="29" s="1"/>
  <c r="M38" i="25"/>
  <c r="M38" i="12"/>
  <c r="M38" i="29" s="1"/>
  <c r="M81" i="29" s="1"/>
  <c r="M38" i="13"/>
  <c r="M8" i="25"/>
  <c r="M8" i="12"/>
  <c r="M8" i="29" s="1"/>
  <c r="M51" i="29" s="1"/>
  <c r="M8" i="13"/>
  <c r="B15" i="30"/>
  <c r="B14" i="30"/>
  <c r="U9" i="30"/>
  <c r="Y39" i="24"/>
  <c r="AB39" i="24" s="1"/>
  <c r="Y31" i="24"/>
  <c r="AB31" i="24" s="1"/>
  <c r="Y45" i="24"/>
  <c r="AB45" i="24" s="1"/>
  <c r="E15" i="30"/>
  <c r="E14" i="30"/>
  <c r="Y50" i="24"/>
  <c r="AB50" i="24" s="1"/>
  <c r="J15" i="30"/>
  <c r="J14" i="30"/>
  <c r="N24" i="25"/>
  <c r="N24" i="12"/>
  <c r="N24" i="13"/>
  <c r="N24" i="29" s="1"/>
  <c r="N67" i="29" s="1"/>
  <c r="N17" i="25"/>
  <c r="N17" i="12"/>
  <c r="N17" i="13"/>
  <c r="N17" i="29" s="1"/>
  <c r="N60" i="29" s="1"/>
  <c r="N8" i="25"/>
  <c r="N8" i="13"/>
  <c r="N8" i="12"/>
  <c r="N8" i="29" s="1"/>
  <c r="N51" i="29" s="1"/>
  <c r="N21" i="25"/>
  <c r="N21" i="12"/>
  <c r="N21" i="13"/>
  <c r="N21" i="29" s="1"/>
  <c r="N64" i="29" s="1"/>
  <c r="N29" i="25"/>
  <c r="N29" i="12"/>
  <c r="N29" i="13"/>
  <c r="N29" i="29" s="1"/>
  <c r="N72" i="29" s="1"/>
  <c r="N27" i="25"/>
  <c r="N27" i="13"/>
  <c r="N27" i="12"/>
  <c r="N27" i="29" s="1"/>
  <c r="N70" i="29" s="1"/>
  <c r="N5" i="25"/>
  <c r="N5" i="13"/>
  <c r="N44" i="11"/>
  <c r="N5" i="12"/>
  <c r="N12" i="25"/>
  <c r="N12" i="13"/>
  <c r="N12" i="12"/>
  <c r="N12" i="29" s="1"/>
  <c r="N55" i="29" s="1"/>
  <c r="N22" i="25"/>
  <c r="N22" i="13"/>
  <c r="N22" i="12"/>
  <c r="N22" i="29" s="1"/>
  <c r="N65" i="29" s="1"/>
  <c r="N6" i="25"/>
  <c r="N6" i="13"/>
  <c r="N6" i="12"/>
  <c r="N6" i="29" s="1"/>
  <c r="N49" i="29" s="1"/>
  <c r="X19" i="28"/>
  <c r="X71" i="28" s="1"/>
  <c r="Y22" i="24"/>
  <c r="X29" i="28"/>
  <c r="X81" i="28" s="1"/>
  <c r="Y9" i="24"/>
  <c r="AB9" i="24" s="1"/>
  <c r="Y15" i="24"/>
  <c r="AB15" i="24" s="1"/>
  <c r="Y34" i="24"/>
  <c r="AB34" i="24" s="1"/>
  <c r="Y28" i="24"/>
  <c r="AB28" i="24" s="1"/>
  <c r="Y23" i="24"/>
  <c r="Y30" i="24"/>
  <c r="AB30" i="24" s="1"/>
  <c r="Y13" i="24"/>
  <c r="AB13" i="24" s="1"/>
  <c r="Y37" i="24"/>
  <c r="AB37" i="24" s="1"/>
  <c r="Y40" i="24"/>
  <c r="Y51" i="24"/>
  <c r="G15" i="31"/>
  <c r="F15" i="31"/>
  <c r="E15" i="31"/>
  <c r="U44" i="12"/>
  <c r="K9" i="30"/>
  <c r="H11" i="30"/>
  <c r="H7" i="30"/>
  <c r="H13" i="30" s="1"/>
  <c r="L12" i="25"/>
  <c r="L25" i="25"/>
  <c r="Z38" i="25"/>
  <c r="AA38" i="25" s="1"/>
  <c r="AA38" i="11"/>
  <c r="Z38" i="12"/>
  <c r="AA38" i="12" s="1"/>
  <c r="Z38" i="13"/>
  <c r="AA38" i="13" s="1"/>
  <c r="Z27" i="25"/>
  <c r="AA27" i="25" s="1"/>
  <c r="AA27" i="11"/>
  <c r="Z27" i="12"/>
  <c r="AA27" i="12" s="1"/>
  <c r="Z27" i="13"/>
  <c r="AA27" i="13" s="1"/>
  <c r="Z14" i="25"/>
  <c r="AA14" i="25" s="1"/>
  <c r="Z14" i="12"/>
  <c r="AA14" i="12" s="1"/>
  <c r="AA14" i="11"/>
  <c r="Z14" i="13"/>
  <c r="AA14" i="13" s="1"/>
  <c r="Z17" i="25"/>
  <c r="AA17" i="25" s="1"/>
  <c r="Z17" i="12"/>
  <c r="AA17" i="12" s="1"/>
  <c r="AA17" i="11"/>
  <c r="Z17" i="13"/>
  <c r="AA17" i="13" s="1"/>
  <c r="V7" i="25"/>
  <c r="V7" i="13"/>
  <c r="W7" i="13" s="1"/>
  <c r="V7" i="12"/>
  <c r="T7" i="29" s="1"/>
  <c r="T50" i="29" s="1"/>
  <c r="J9" i="31" s="1"/>
  <c r="V34" i="25"/>
  <c r="V34" i="13"/>
  <c r="V34" i="12"/>
  <c r="T34" i="29" s="1"/>
  <c r="T77" i="29" s="1"/>
  <c r="M42" i="25"/>
  <c r="M42" i="12"/>
  <c r="M42" i="29" s="1"/>
  <c r="M85" i="29" s="1"/>
  <c r="M42" i="13"/>
  <c r="M35" i="25"/>
  <c r="M35" i="12"/>
  <c r="M35" i="29" s="1"/>
  <c r="M78" i="29" s="1"/>
  <c r="M35" i="13"/>
  <c r="M5" i="25"/>
  <c r="M5" i="13"/>
  <c r="M5" i="12"/>
  <c r="M5" i="29" s="1"/>
  <c r="M48" i="29" s="1"/>
  <c r="M44" i="11"/>
  <c r="E14" i="31"/>
  <c r="F14" i="31"/>
  <c r="G14" i="31"/>
  <c r="Y12" i="24"/>
  <c r="AB12" i="24" s="1"/>
  <c r="Y32" i="24"/>
  <c r="AB32" i="24" s="1"/>
  <c r="Y47" i="24"/>
  <c r="AB47" i="24" s="1"/>
  <c r="N28" i="29"/>
  <c r="N71" i="29" s="1"/>
  <c r="N28" i="25"/>
  <c r="N28" i="12"/>
  <c r="N28" i="13"/>
  <c r="N13" i="29"/>
  <c r="N56" i="29" s="1"/>
  <c r="N13" i="25"/>
  <c r="N13" i="13"/>
  <c r="N13" i="12"/>
  <c r="M53" i="24"/>
  <c r="G14" i="30"/>
  <c r="G15" i="30"/>
  <c r="Y46" i="24"/>
  <c r="AB46" i="24" s="1"/>
  <c r="Y46" i="8"/>
  <c r="Y10" i="8"/>
  <c r="Y40" i="8"/>
  <c r="Y21" i="8"/>
  <c r="Y51" i="8"/>
  <c r="L23" i="25"/>
  <c r="Q23" i="25" s="1"/>
  <c r="L19" i="25"/>
  <c r="L22" i="25"/>
  <c r="L13" i="25"/>
  <c r="L35" i="25"/>
  <c r="Q35" i="25" s="1"/>
  <c r="L21" i="25"/>
  <c r="L26" i="25"/>
  <c r="L6" i="25"/>
  <c r="Q6" i="25" s="1"/>
  <c r="L7" i="25"/>
  <c r="T35" i="25"/>
  <c r="T35" i="13"/>
  <c r="T35" i="12"/>
  <c r="R35" i="29" s="1"/>
  <c r="R78" i="29" s="1"/>
  <c r="W35" i="11"/>
  <c r="T30" i="25"/>
  <c r="T30" i="12"/>
  <c r="R30" i="29" s="1"/>
  <c r="R73" i="29" s="1"/>
  <c r="T30" i="13"/>
  <c r="W30" i="11"/>
  <c r="T39" i="25"/>
  <c r="W39" i="25" s="1"/>
  <c r="T39" i="13"/>
  <c r="R39" i="29" s="1"/>
  <c r="R82" i="29" s="1"/>
  <c r="T39" i="12"/>
  <c r="W39" i="11"/>
  <c r="R31" i="29"/>
  <c r="R74" i="29" s="1"/>
  <c r="T31" i="25"/>
  <c r="W31" i="25" s="1"/>
  <c r="T31" i="12"/>
  <c r="W31" i="12" s="1"/>
  <c r="T31" i="13"/>
  <c r="W31" i="11"/>
  <c r="T8" i="25"/>
  <c r="T8" i="12"/>
  <c r="T8" i="13"/>
  <c r="R8" i="29" s="1"/>
  <c r="R51" i="29" s="1"/>
  <c r="T38" i="25"/>
  <c r="T38" i="12"/>
  <c r="T38" i="13"/>
  <c r="W38" i="13" s="1"/>
  <c r="W38" i="11"/>
  <c r="T9" i="25"/>
  <c r="T9" i="12"/>
  <c r="R9" i="29" s="1"/>
  <c r="R52" i="29" s="1"/>
  <c r="T9" i="13"/>
  <c r="W9" i="11"/>
  <c r="T25" i="25"/>
  <c r="W25" i="25" s="1"/>
  <c r="T25" i="13"/>
  <c r="W25" i="13" s="1"/>
  <c r="T25" i="12"/>
  <c r="W25" i="11"/>
  <c r="R12" i="29"/>
  <c r="R55" i="29" s="1"/>
  <c r="T12" i="25"/>
  <c r="T12" i="12"/>
  <c r="T12" i="13"/>
  <c r="W12" i="11"/>
  <c r="T7" i="25"/>
  <c r="W7" i="25" s="1"/>
  <c r="T7" i="12"/>
  <c r="W7" i="11"/>
  <c r="T7" i="13"/>
  <c r="R7" i="29" s="1"/>
  <c r="R50" i="29" s="1"/>
  <c r="Z15" i="25"/>
  <c r="AA15" i="25" s="1"/>
  <c r="AA15" i="11"/>
  <c r="Z15" i="13"/>
  <c r="AA15" i="13" s="1"/>
  <c r="Z15" i="12"/>
  <c r="AA15" i="12" s="1"/>
  <c r="Z26" i="25"/>
  <c r="AA26" i="25" s="1"/>
  <c r="Z26" i="12"/>
  <c r="AA26" i="12" s="1"/>
  <c r="AA26" i="11"/>
  <c r="Z26" i="13"/>
  <c r="AA26" i="13" s="1"/>
  <c r="Z41" i="25"/>
  <c r="AA41" i="25" s="1"/>
  <c r="Z41" i="13"/>
  <c r="AA41" i="13" s="1"/>
  <c r="AA41" i="11"/>
  <c r="Z41" i="12"/>
  <c r="AA41" i="12" s="1"/>
  <c r="Z33" i="25"/>
  <c r="AA33" i="25" s="1"/>
  <c r="Z33" i="13"/>
  <c r="AA33" i="13" s="1"/>
  <c r="AA33" i="11"/>
  <c r="Z33" i="12"/>
  <c r="AA33" i="12" s="1"/>
  <c r="Z5" i="25"/>
  <c r="Z5" i="13"/>
  <c r="Z44" i="11"/>
  <c r="Z5" i="12"/>
  <c r="AA5" i="11"/>
  <c r="Z19" i="25"/>
  <c r="AA19" i="25" s="1"/>
  <c r="AA19" i="11"/>
  <c r="Z19" i="13"/>
  <c r="AA19" i="13" s="1"/>
  <c r="Z19" i="12"/>
  <c r="AA19" i="12" s="1"/>
  <c r="Z12" i="25"/>
  <c r="AA12" i="25" s="1"/>
  <c r="Z12" i="13"/>
  <c r="AA12" i="13" s="1"/>
  <c r="Z12" i="12"/>
  <c r="AA12" i="12" s="1"/>
  <c r="AA12" i="11"/>
  <c r="Z23" i="25"/>
  <c r="AA23" i="25" s="1"/>
  <c r="Z23" i="13"/>
  <c r="AA23" i="13" s="1"/>
  <c r="AA23" i="11"/>
  <c r="Z23" i="12"/>
  <c r="AA23" i="12" s="1"/>
  <c r="Z42" i="25"/>
  <c r="AA42" i="25" s="1"/>
  <c r="Z42" i="12"/>
  <c r="AA42" i="12" s="1"/>
  <c r="Z42" i="13"/>
  <c r="AA42" i="13" s="1"/>
  <c r="AA42" i="11"/>
  <c r="W18" i="11"/>
  <c r="V18" i="25"/>
  <c r="V18" i="12"/>
  <c r="W18" i="12" s="1"/>
  <c r="V18" i="13"/>
  <c r="T18" i="29" s="1"/>
  <c r="T61" i="29" s="1"/>
  <c r="V20" i="25"/>
  <c r="V20" i="13"/>
  <c r="V20" i="12"/>
  <c r="W20" i="12" s="1"/>
  <c r="V23" i="25"/>
  <c r="V23" i="12"/>
  <c r="V23" i="13"/>
  <c r="T23" i="29" s="1"/>
  <c r="T66" i="29" s="1"/>
  <c r="V24" i="25"/>
  <c r="V24" i="12"/>
  <c r="V24" i="13"/>
  <c r="W24" i="13" s="1"/>
  <c r="V17" i="25"/>
  <c r="V17" i="12"/>
  <c r="V17" i="13"/>
  <c r="W17" i="13" s="1"/>
  <c r="V32" i="25"/>
  <c r="V32" i="13"/>
  <c r="V32" i="12"/>
  <c r="W32" i="12" s="1"/>
  <c r="V9" i="25"/>
  <c r="V9" i="12"/>
  <c r="V9" i="13"/>
  <c r="T9" i="29" s="1"/>
  <c r="T52" i="29" s="1"/>
  <c r="W10" i="11"/>
  <c r="V10" i="25"/>
  <c r="V10" i="12"/>
  <c r="T10" i="29" s="1"/>
  <c r="T53" i="29" s="1"/>
  <c r="V10" i="13"/>
  <c r="V42" i="25"/>
  <c r="V42" i="12"/>
  <c r="W42" i="12" s="1"/>
  <c r="V42" i="13"/>
  <c r="W11" i="11"/>
  <c r="V11" i="25"/>
  <c r="V11" i="13"/>
  <c r="W11" i="13" s="1"/>
  <c r="V11" i="12"/>
  <c r="M34" i="25"/>
  <c r="Q34" i="25" s="1"/>
  <c r="M34" i="12"/>
  <c r="M34" i="29" s="1"/>
  <c r="M77" i="29" s="1"/>
  <c r="M34" i="13"/>
  <c r="M20" i="25"/>
  <c r="Q20" i="25" s="1"/>
  <c r="M20" i="12"/>
  <c r="M20" i="29" s="1"/>
  <c r="M63" i="29" s="1"/>
  <c r="M20" i="13"/>
  <c r="M10" i="25"/>
  <c r="M10" i="12"/>
  <c r="M10" i="29" s="1"/>
  <c r="M53" i="29" s="1"/>
  <c r="M10" i="13"/>
  <c r="M28" i="25"/>
  <c r="M28" i="13"/>
  <c r="M28" i="29" s="1"/>
  <c r="M71" i="29" s="1"/>
  <c r="M28" i="12"/>
  <c r="M26" i="25"/>
  <c r="M26" i="12"/>
  <c r="M26" i="29" s="1"/>
  <c r="M69" i="29" s="1"/>
  <c r="M26" i="13"/>
  <c r="M18" i="25"/>
  <c r="M18" i="12"/>
  <c r="M18" i="29" s="1"/>
  <c r="M61" i="29" s="1"/>
  <c r="M18" i="13"/>
  <c r="M15" i="25"/>
  <c r="M15" i="12"/>
  <c r="M15" i="29" s="1"/>
  <c r="M58" i="29" s="1"/>
  <c r="M15" i="13"/>
  <c r="M24" i="25"/>
  <c r="M24" i="13"/>
  <c r="M24" i="29" s="1"/>
  <c r="M67" i="29" s="1"/>
  <c r="M24" i="12"/>
  <c r="M36" i="25"/>
  <c r="Q36" i="25" s="1"/>
  <c r="M36" i="13"/>
  <c r="M36" i="29" s="1"/>
  <c r="M79" i="29" s="1"/>
  <c r="M36" i="12"/>
  <c r="M7" i="25"/>
  <c r="M7" i="13"/>
  <c r="M7" i="29" s="1"/>
  <c r="M50" i="29" s="1"/>
  <c r="M7" i="12"/>
  <c r="Y20" i="24"/>
  <c r="AB20" i="24" s="1"/>
  <c r="Y44" i="24"/>
  <c r="AB44" i="24" s="1"/>
  <c r="Y5" i="24"/>
  <c r="Y33" i="24"/>
  <c r="AB33" i="24" s="1"/>
  <c r="F9" i="30"/>
  <c r="F7" i="30"/>
  <c r="F13" i="30" s="1"/>
  <c r="Y16" i="24"/>
  <c r="AB16" i="24" s="1"/>
  <c r="Y24" i="24"/>
  <c r="AB24" i="24" s="1"/>
  <c r="W8" i="25"/>
  <c r="N40" i="25"/>
  <c r="N40" i="12"/>
  <c r="N40" i="13"/>
  <c r="N40" i="29" s="1"/>
  <c r="N83" i="29" s="1"/>
  <c r="N31" i="25"/>
  <c r="N31" i="12"/>
  <c r="N31" i="13"/>
  <c r="N31" i="29" s="1"/>
  <c r="N74" i="29" s="1"/>
  <c r="N14" i="25"/>
  <c r="N14" i="12"/>
  <c r="N14" i="13"/>
  <c r="N14" i="29" s="1"/>
  <c r="N57" i="29" s="1"/>
  <c r="N19" i="25"/>
  <c r="N19" i="12"/>
  <c r="N19" i="13"/>
  <c r="N19" i="29" s="1"/>
  <c r="N62" i="29" s="1"/>
  <c r="N7" i="25"/>
  <c r="N7" i="12"/>
  <c r="N7" i="13"/>
  <c r="N7" i="29" s="1"/>
  <c r="N50" i="29" s="1"/>
  <c r="N23" i="25"/>
  <c r="N23" i="13"/>
  <c r="N23" i="12"/>
  <c r="N23" i="29" s="1"/>
  <c r="N66" i="29" s="1"/>
  <c r="N39" i="25"/>
  <c r="N39" i="12"/>
  <c r="N39" i="13"/>
  <c r="N39" i="29" s="1"/>
  <c r="N82" i="29" s="1"/>
  <c r="N30" i="25"/>
  <c r="N30" i="12"/>
  <c r="N30" i="13"/>
  <c r="N30" i="29" s="1"/>
  <c r="N73" i="29" s="1"/>
  <c r="N18" i="25"/>
  <c r="N18" i="12"/>
  <c r="N18" i="13"/>
  <c r="N18" i="29" s="1"/>
  <c r="N61" i="29" s="1"/>
  <c r="Y14" i="24"/>
  <c r="AB14" i="24" s="1"/>
  <c r="Y36" i="24"/>
  <c r="AB36" i="24" s="1"/>
  <c r="X22" i="28"/>
  <c r="X74" i="28" s="1"/>
  <c r="W36" i="25"/>
  <c r="Y10" i="24"/>
  <c r="AB10" i="24" s="1"/>
  <c r="U44" i="25"/>
  <c r="G7" i="31"/>
  <c r="G13" i="31" s="1"/>
  <c r="L33" i="25"/>
  <c r="L24" i="25"/>
  <c r="L30" i="25"/>
  <c r="L32" i="25"/>
  <c r="L8" i="25"/>
  <c r="L11" i="25"/>
  <c r="Q11" i="25" s="1"/>
  <c r="T32" i="25"/>
  <c r="W32" i="25" s="1"/>
  <c r="T32" i="12"/>
  <c r="R32" i="29" s="1"/>
  <c r="R75" i="29" s="1"/>
  <c r="W32" i="11"/>
  <c r="T32" i="13"/>
  <c r="T13" i="25"/>
  <c r="W13" i="25" s="1"/>
  <c r="T13" i="12"/>
  <c r="R13" i="29" s="1"/>
  <c r="R56" i="29" s="1"/>
  <c r="T13" i="13"/>
  <c r="T29" i="25"/>
  <c r="T29" i="13"/>
  <c r="W29" i="13" s="1"/>
  <c r="T29" i="12"/>
  <c r="R29" i="29" s="1"/>
  <c r="R72" i="29" s="1"/>
  <c r="Z6" i="25"/>
  <c r="AA6" i="25" s="1"/>
  <c r="AA6" i="11"/>
  <c r="Z6" i="13"/>
  <c r="AA6" i="13" s="1"/>
  <c r="Z6" i="12"/>
  <c r="AA6" i="12" s="1"/>
  <c r="Z37" i="25"/>
  <c r="AA37" i="25" s="1"/>
  <c r="Z37" i="12"/>
  <c r="AA37" i="12" s="1"/>
  <c r="AA37" i="11"/>
  <c r="Z37" i="13"/>
  <c r="AA37" i="13" s="1"/>
  <c r="Z30" i="25"/>
  <c r="AA30" i="25" s="1"/>
  <c r="Z30" i="12"/>
  <c r="AA30" i="12" s="1"/>
  <c r="AA30" i="11"/>
  <c r="Z30" i="13"/>
  <c r="AA30" i="13" s="1"/>
  <c r="V12" i="25"/>
  <c r="V12" i="13"/>
  <c r="W12" i="13" s="1"/>
  <c r="V12" i="12"/>
  <c r="W12" i="12" s="1"/>
  <c r="W37" i="11"/>
  <c r="V37" i="25"/>
  <c r="V37" i="12"/>
  <c r="T37" i="29" s="1"/>
  <c r="T80" i="29" s="1"/>
  <c r="V37" i="13"/>
  <c r="W37" i="13" s="1"/>
  <c r="V28" i="25"/>
  <c r="V28" i="12"/>
  <c r="W28" i="12" s="1"/>
  <c r="V28" i="13"/>
  <c r="W28" i="13" s="1"/>
  <c r="W19" i="11"/>
  <c r="V19" i="25"/>
  <c r="V19" i="12"/>
  <c r="W19" i="12" s="1"/>
  <c r="V19" i="13"/>
  <c r="W19" i="13" s="1"/>
  <c r="M22" i="25"/>
  <c r="M22" i="12"/>
  <c r="M22" i="29" s="1"/>
  <c r="M65" i="29" s="1"/>
  <c r="M22" i="13"/>
  <c r="M21" i="25"/>
  <c r="M21" i="12"/>
  <c r="M21" i="29" s="1"/>
  <c r="M64" i="29" s="1"/>
  <c r="M21" i="13"/>
  <c r="M31" i="25"/>
  <c r="M31" i="13"/>
  <c r="M31" i="29" s="1"/>
  <c r="M74" i="29" s="1"/>
  <c r="M31" i="12"/>
  <c r="Y42" i="24"/>
  <c r="AB42" i="24" s="1"/>
  <c r="N25" i="29"/>
  <c r="N68" i="29" s="1"/>
  <c r="N25" i="25"/>
  <c r="N25" i="13"/>
  <c r="N25" i="12"/>
  <c r="N41" i="29"/>
  <c r="N84" i="29" s="1"/>
  <c r="N41" i="25"/>
  <c r="N41" i="12"/>
  <c r="N41" i="13"/>
  <c r="N35" i="29"/>
  <c r="N78" i="29" s="1"/>
  <c r="N35" i="25"/>
  <c r="N35" i="12"/>
  <c r="N35" i="13"/>
  <c r="N38" i="29"/>
  <c r="N81" i="29" s="1"/>
  <c r="N38" i="25"/>
  <c r="N38" i="13"/>
  <c r="N38" i="12"/>
  <c r="N15" i="29"/>
  <c r="N58" i="29" s="1"/>
  <c r="N15" i="25"/>
  <c r="N15" i="13"/>
  <c r="N15" i="12"/>
  <c r="N37" i="29"/>
  <c r="N80" i="29" s="1"/>
  <c r="N37" i="25"/>
  <c r="N37" i="12"/>
  <c r="N37" i="13"/>
  <c r="F47" i="5"/>
  <c r="Y14" i="8"/>
  <c r="AD53" i="8"/>
  <c r="H9" i="30"/>
  <c r="L18" i="25"/>
  <c r="Q18" i="25" s="1"/>
  <c r="L42" i="25"/>
  <c r="L38" i="25"/>
  <c r="L17" i="25"/>
  <c r="L41" i="25"/>
  <c r="Q41" i="25" s="1"/>
  <c r="L27" i="25"/>
  <c r="L28" i="25"/>
  <c r="L40" i="25"/>
  <c r="L16" i="25"/>
  <c r="L9" i="25"/>
  <c r="Q9" i="25" s="1"/>
  <c r="T24" i="25"/>
  <c r="W24" i="25" s="1"/>
  <c r="W24" i="11"/>
  <c r="T24" i="12"/>
  <c r="W24" i="12" s="1"/>
  <c r="T24" i="13"/>
  <c r="R24" i="29" s="1"/>
  <c r="R67" i="29" s="1"/>
  <c r="T26" i="25"/>
  <c r="W26" i="25" s="1"/>
  <c r="T26" i="12"/>
  <c r="W26" i="11"/>
  <c r="T26" i="13"/>
  <c r="R26" i="29" s="1"/>
  <c r="R69" i="29" s="1"/>
  <c r="T36" i="25"/>
  <c r="W36" i="11"/>
  <c r="T36" i="13"/>
  <c r="T36" i="12"/>
  <c r="R36" i="29" s="1"/>
  <c r="R79" i="29" s="1"/>
  <c r="T20" i="25"/>
  <c r="W20" i="25" s="1"/>
  <c r="T20" i="13"/>
  <c r="T20" i="12"/>
  <c r="R20" i="29" s="1"/>
  <c r="R63" i="29" s="1"/>
  <c r="W20" i="11"/>
  <c r="T6" i="25"/>
  <c r="W6" i="25" s="1"/>
  <c r="W6" i="11"/>
  <c r="T6" i="13"/>
  <c r="T6" i="12"/>
  <c r="W6" i="12" s="1"/>
  <c r="R41" i="29"/>
  <c r="R84" i="29" s="1"/>
  <c r="T41" i="25"/>
  <c r="T41" i="13"/>
  <c r="W41" i="13" s="1"/>
  <c r="T41" i="12"/>
  <c r="R23" i="29"/>
  <c r="R66" i="29" s="1"/>
  <c r="T23" i="25"/>
  <c r="W23" i="25" s="1"/>
  <c r="T23" i="12"/>
  <c r="T23" i="13"/>
  <c r="W23" i="11"/>
  <c r="T34" i="25"/>
  <c r="W34" i="25" s="1"/>
  <c r="T34" i="12"/>
  <c r="T34" i="13"/>
  <c r="R34" i="29" s="1"/>
  <c r="R77" i="29" s="1"/>
  <c r="W34" i="11"/>
  <c r="T27" i="25"/>
  <c r="T27" i="13"/>
  <c r="T27" i="12"/>
  <c r="R27" i="29" s="1"/>
  <c r="R70" i="29" s="1"/>
  <c r="W27" i="11"/>
  <c r="Z28" i="25"/>
  <c r="AA28" i="25" s="1"/>
  <c r="Z28" i="13"/>
  <c r="AA28" i="13" s="1"/>
  <c r="Z28" i="12"/>
  <c r="AA28" i="12" s="1"/>
  <c r="AA28" i="11"/>
  <c r="Z24" i="25"/>
  <c r="AA24" i="25" s="1"/>
  <c r="Z24" i="13"/>
  <c r="AA24" i="13" s="1"/>
  <c r="AA24" i="11"/>
  <c r="Z24" i="12"/>
  <c r="AA24" i="12" s="1"/>
  <c r="Z34" i="25"/>
  <c r="AA34" i="25" s="1"/>
  <c r="Z34" i="12"/>
  <c r="AA34" i="12" s="1"/>
  <c r="Z34" i="13"/>
  <c r="AA34" i="13" s="1"/>
  <c r="AA34" i="11"/>
  <c r="Z31" i="25"/>
  <c r="AA31" i="25" s="1"/>
  <c r="Z31" i="13"/>
  <c r="AA31" i="13" s="1"/>
  <c r="AA31" i="11"/>
  <c r="Z31" i="12"/>
  <c r="AA31" i="12" s="1"/>
  <c r="Z18" i="25"/>
  <c r="AA18" i="25" s="1"/>
  <c r="AA18" i="11"/>
  <c r="Z18" i="13"/>
  <c r="AA18" i="13" s="1"/>
  <c r="Z18" i="12"/>
  <c r="AA18" i="12" s="1"/>
  <c r="Z21" i="25"/>
  <c r="AA21" i="25" s="1"/>
  <c r="Z21" i="13"/>
  <c r="AA21" i="13" s="1"/>
  <c r="AA21" i="11"/>
  <c r="Z21" i="12"/>
  <c r="AA21" i="12" s="1"/>
  <c r="Z7" i="25"/>
  <c r="AA7" i="25" s="1"/>
  <c r="Z7" i="12"/>
  <c r="AA7" i="12" s="1"/>
  <c r="Z7" i="13"/>
  <c r="AA7" i="13" s="1"/>
  <c r="AA7" i="11"/>
  <c r="Z25" i="25"/>
  <c r="AA25" i="25" s="1"/>
  <c r="AA25" i="11"/>
  <c r="Z25" i="13"/>
  <c r="AA25" i="13" s="1"/>
  <c r="Z25" i="12"/>
  <c r="AA25" i="12" s="1"/>
  <c r="Z16" i="25"/>
  <c r="AA16" i="25" s="1"/>
  <c r="AA16" i="11"/>
  <c r="Z16" i="12"/>
  <c r="AA16" i="12" s="1"/>
  <c r="Z16" i="13"/>
  <c r="AA16" i="13" s="1"/>
  <c r="T38" i="29"/>
  <c r="T81" i="29" s="1"/>
  <c r="V38" i="25"/>
  <c r="V38" i="12"/>
  <c r="V38" i="13"/>
  <c r="T27" i="29"/>
  <c r="T70" i="29" s="1"/>
  <c r="V27" i="25"/>
  <c r="V27" i="13"/>
  <c r="V27" i="12"/>
  <c r="W27" i="12" s="1"/>
  <c r="T22" i="29"/>
  <c r="T65" i="29" s="1"/>
  <c r="V22" i="25"/>
  <c r="V22" i="13"/>
  <c r="V22" i="12"/>
  <c r="W29" i="11"/>
  <c r="V29" i="25"/>
  <c r="V29" i="13"/>
  <c r="V29" i="12"/>
  <c r="T29" i="29" s="1"/>
  <c r="T72" i="29" s="1"/>
  <c r="V16" i="25"/>
  <c r="V16" i="13"/>
  <c r="V16" i="12"/>
  <c r="T16" i="29" s="1"/>
  <c r="T59" i="29" s="1"/>
  <c r="V30" i="25"/>
  <c r="V30" i="12"/>
  <c r="V30" i="13"/>
  <c r="W30" i="13" s="1"/>
  <c r="V35" i="25"/>
  <c r="V35" i="12"/>
  <c r="V35" i="13"/>
  <c r="T35" i="29" s="1"/>
  <c r="T78" i="29" s="1"/>
  <c r="V36" i="25"/>
  <c r="V36" i="12"/>
  <c r="W36" i="12" s="1"/>
  <c r="V36" i="13"/>
  <c r="W36" i="13" s="1"/>
  <c r="V15" i="25"/>
  <c r="V15" i="12"/>
  <c r="W15" i="12" s="1"/>
  <c r="V15" i="13"/>
  <c r="W15" i="13" s="1"/>
  <c r="W8" i="11"/>
  <c r="V8" i="25"/>
  <c r="V8" i="13"/>
  <c r="W8" i="13" s="1"/>
  <c r="V8" i="12"/>
  <c r="W8" i="12" s="1"/>
  <c r="M40" i="25"/>
  <c r="Q40" i="25" s="1"/>
  <c r="M40" i="12"/>
  <c r="M40" i="29" s="1"/>
  <c r="M83" i="29" s="1"/>
  <c r="M40" i="13"/>
  <c r="M33" i="25"/>
  <c r="M33" i="12"/>
  <c r="M33" i="29" s="1"/>
  <c r="M76" i="29" s="1"/>
  <c r="M33" i="13"/>
  <c r="M16" i="25"/>
  <c r="M16" i="12"/>
  <c r="M16" i="29" s="1"/>
  <c r="M59" i="29" s="1"/>
  <c r="M16" i="13"/>
  <c r="M37" i="25"/>
  <c r="M37" i="12"/>
  <c r="M37" i="29" s="1"/>
  <c r="M80" i="29" s="1"/>
  <c r="M37" i="13"/>
  <c r="M27" i="25"/>
  <c r="M27" i="12"/>
  <c r="M27" i="29" s="1"/>
  <c r="M70" i="29" s="1"/>
  <c r="M27" i="13"/>
  <c r="M23" i="25"/>
  <c r="M23" i="12"/>
  <c r="M23" i="29" s="1"/>
  <c r="M66" i="29" s="1"/>
  <c r="M23" i="13"/>
  <c r="M17" i="25"/>
  <c r="M17" i="12"/>
  <c r="M17" i="29" s="1"/>
  <c r="M60" i="29" s="1"/>
  <c r="M17" i="13"/>
  <c r="M41" i="25"/>
  <c r="M41" i="13"/>
  <c r="M41" i="12"/>
  <c r="M41" i="29" s="1"/>
  <c r="M84" i="29" s="1"/>
  <c r="M13" i="25"/>
  <c r="M13" i="13"/>
  <c r="M13" i="12"/>
  <c r="M13" i="29" s="1"/>
  <c r="M56" i="29" s="1"/>
  <c r="M11" i="25"/>
  <c r="M11" i="13"/>
  <c r="M11" i="12"/>
  <c r="M11" i="29" s="1"/>
  <c r="M54" i="29" s="1"/>
  <c r="W16" i="25"/>
  <c r="L15" i="30"/>
  <c r="L14" i="30"/>
  <c r="Y27" i="24"/>
  <c r="AB27" i="24" s="1"/>
  <c r="Y41" i="24"/>
  <c r="AB41" i="24" s="1"/>
  <c r="R53" i="24"/>
  <c r="S58" i="24" s="1"/>
  <c r="Y8" i="24"/>
  <c r="AB8" i="24" s="1"/>
  <c r="X24" i="28"/>
  <c r="X76" i="28" s="1"/>
  <c r="Q9" i="30"/>
  <c r="N26" i="29"/>
  <c r="N69" i="29" s="1"/>
  <c r="N26" i="25"/>
  <c r="N26" i="12"/>
  <c r="N26" i="13"/>
  <c r="N16" i="29"/>
  <c r="N59" i="29" s="1"/>
  <c r="N16" i="25"/>
  <c r="N16" i="12"/>
  <c r="N16" i="13"/>
  <c r="N20" i="29"/>
  <c r="N63" i="29" s="1"/>
  <c r="N20" i="25"/>
  <c r="N20" i="13"/>
  <c r="N20" i="12"/>
  <c r="N32" i="29"/>
  <c r="N75" i="29" s="1"/>
  <c r="N32" i="25"/>
  <c r="N32" i="13"/>
  <c r="N32" i="12"/>
  <c r="N10" i="29"/>
  <c r="N53" i="29" s="1"/>
  <c r="N10" i="25"/>
  <c r="N10" i="13"/>
  <c r="N10" i="12"/>
  <c r="N36" i="29"/>
  <c r="N79" i="29" s="1"/>
  <c r="N36" i="25"/>
  <c r="N36" i="13"/>
  <c r="N36" i="12"/>
  <c r="N33" i="29"/>
  <c r="N76" i="29" s="1"/>
  <c r="N33" i="25"/>
  <c r="N33" i="12"/>
  <c r="N33" i="13"/>
  <c r="N42" i="29"/>
  <c r="N85" i="29" s="1"/>
  <c r="N42" i="25"/>
  <c r="N42" i="13"/>
  <c r="N42" i="12"/>
  <c r="N11" i="29"/>
  <c r="N54" i="29" s="1"/>
  <c r="N11" i="25"/>
  <c r="N11" i="13"/>
  <c r="N11" i="12"/>
  <c r="X36" i="28"/>
  <c r="X88" i="28" s="1"/>
  <c r="Y48" i="24"/>
  <c r="AB48" i="24" s="1"/>
  <c r="F11" i="30"/>
  <c r="AB5" i="24"/>
  <c r="W12" i="25"/>
  <c r="M15" i="30"/>
  <c r="M14" i="30"/>
  <c r="Y18" i="24"/>
  <c r="AB18" i="24" s="1"/>
  <c r="Y7" i="24"/>
  <c r="AB7" i="24" s="1"/>
  <c r="Y38" i="24"/>
  <c r="AB38" i="24" s="1"/>
  <c r="Y49" i="24"/>
  <c r="AB49" i="24" s="1"/>
  <c r="Y43" i="24"/>
  <c r="AB43" i="24" s="1"/>
  <c r="Y26" i="24"/>
  <c r="AB26" i="24" s="1"/>
  <c r="S53" i="24"/>
  <c r="Y6" i="24"/>
  <c r="AB6" i="24" s="1"/>
  <c r="Y11" i="24"/>
  <c r="AB11" i="24" s="1"/>
  <c r="Y35" i="24"/>
  <c r="AB35" i="24" s="1"/>
  <c r="Y21" i="24"/>
  <c r="AB21" i="24" s="1"/>
  <c r="U44" i="13"/>
  <c r="S5" i="29"/>
  <c r="S48" i="29" s="1"/>
  <c r="AQ12" i="24"/>
  <c r="Y20" i="8"/>
  <c r="Y39" i="8"/>
  <c r="Y31" i="8"/>
  <c r="Y42" i="8"/>
  <c r="X42" i="28" s="1"/>
  <c r="X94" i="28" s="1"/>
  <c r="Y12" i="8"/>
  <c r="Y17" i="8"/>
  <c r="Y5" i="8"/>
  <c r="X5" i="28" s="1"/>
  <c r="X57" i="28" s="1"/>
  <c r="AM58" i="6"/>
  <c r="AM56" i="9"/>
  <c r="AM56" i="8"/>
  <c r="AM56" i="7"/>
  <c r="T58" i="6"/>
  <c r="T56" i="9"/>
  <c r="T56" i="8"/>
  <c r="T56" i="7"/>
  <c r="Y53" i="9"/>
  <c r="AB5" i="9"/>
  <c r="AB53" i="9" s="1"/>
  <c r="M53" i="8"/>
  <c r="Y15" i="8"/>
  <c r="Y26" i="8"/>
  <c r="X26" i="28" s="1"/>
  <c r="X78" i="28" s="1"/>
  <c r="R53" i="8"/>
  <c r="S58" i="8" s="1"/>
  <c r="Y16" i="8"/>
  <c r="L12" i="12"/>
  <c r="L12" i="13"/>
  <c r="Q12" i="13" s="1"/>
  <c r="Q12" i="11"/>
  <c r="Q33" i="11"/>
  <c r="L33" i="12"/>
  <c r="L33" i="13"/>
  <c r="Q33" i="13" s="1"/>
  <c r="Q29" i="11"/>
  <c r="L29" i="12"/>
  <c r="Q29" i="12" s="1"/>
  <c r="L29" i="13"/>
  <c r="Q24" i="11"/>
  <c r="AB24" i="11" s="1"/>
  <c r="L24" i="12"/>
  <c r="Q24" i="12" s="1"/>
  <c r="L24" i="13"/>
  <c r="L25" i="12"/>
  <c r="Q25" i="12" s="1"/>
  <c r="L25" i="13"/>
  <c r="Q25" i="13" s="1"/>
  <c r="Q25" i="11"/>
  <c r="Q30" i="11"/>
  <c r="AB30" i="11" s="1"/>
  <c r="L30" i="12"/>
  <c r="L30" i="13"/>
  <c r="Q30" i="13" s="1"/>
  <c r="Q31" i="11"/>
  <c r="L31" i="12"/>
  <c r="Q31" i="12" s="1"/>
  <c r="L31" i="13"/>
  <c r="Q32" i="11"/>
  <c r="AB32" i="11" s="1"/>
  <c r="L32" i="12"/>
  <c r="L32" i="29" s="1"/>
  <c r="L75" i="29" s="1"/>
  <c r="L32" i="13"/>
  <c r="Q32" i="13" s="1"/>
  <c r="L8" i="12"/>
  <c r="L8" i="13"/>
  <c r="Q8" i="13" s="1"/>
  <c r="Q8" i="11"/>
  <c r="L11" i="12"/>
  <c r="Q11" i="12" s="1"/>
  <c r="L11" i="13"/>
  <c r="Q11" i="11"/>
  <c r="AB11" i="11" s="1"/>
  <c r="AM56" i="6"/>
  <c r="AM54" i="9"/>
  <c r="AM54" i="7"/>
  <c r="AB47" i="13"/>
  <c r="AB47" i="12"/>
  <c r="AB47" i="11"/>
  <c r="AB47" i="10"/>
  <c r="Q46" i="13"/>
  <c r="Q46" i="12"/>
  <c r="Q46" i="11"/>
  <c r="Q46" i="10"/>
  <c r="Y25" i="8"/>
  <c r="Y50" i="8"/>
  <c r="Y47" i="8"/>
  <c r="AB53" i="7"/>
  <c r="Y18" i="8"/>
  <c r="Y34" i="8"/>
  <c r="Y28" i="8"/>
  <c r="Y13" i="8"/>
  <c r="Y37" i="8"/>
  <c r="Q39" i="11"/>
  <c r="AB39" i="11" s="1"/>
  <c r="L39" i="12"/>
  <c r="L39" i="13"/>
  <c r="L14" i="12"/>
  <c r="Q14" i="12" s="1"/>
  <c r="L14" i="13"/>
  <c r="Q14" i="11"/>
  <c r="AB14" i="11" s="1"/>
  <c r="Q20" i="11"/>
  <c r="AB20" i="11" s="1"/>
  <c r="L20" i="12"/>
  <c r="Q20" i="12" s="1"/>
  <c r="L20" i="13"/>
  <c r="Q20" i="13" s="1"/>
  <c r="Q34" i="11"/>
  <c r="AB34" i="11" s="1"/>
  <c r="L34" i="12"/>
  <c r="Q34" i="12" s="1"/>
  <c r="L34" i="13"/>
  <c r="Q34" i="13" s="1"/>
  <c r="Q15" i="11"/>
  <c r="L15" i="12"/>
  <c r="Q15" i="12" s="1"/>
  <c r="L15" i="13"/>
  <c r="Q15" i="13" s="1"/>
  <c r="Q37" i="11"/>
  <c r="AB37" i="11" s="1"/>
  <c r="L37" i="12"/>
  <c r="L37" i="13"/>
  <c r="Q37" i="13" s="1"/>
  <c r="Q36" i="11"/>
  <c r="AB36" i="11" s="1"/>
  <c r="L36" i="12"/>
  <c r="Q36" i="12" s="1"/>
  <c r="L36" i="13"/>
  <c r="Q36" i="13" s="1"/>
  <c r="L10" i="12"/>
  <c r="Q10" i="12" s="1"/>
  <c r="L10" i="13"/>
  <c r="Q10" i="13" s="1"/>
  <c r="Q10" i="11"/>
  <c r="AB10" i="11" s="1"/>
  <c r="L5" i="12"/>
  <c r="L5" i="29" s="1"/>
  <c r="L48" i="29" s="1"/>
  <c r="L5" i="13"/>
  <c r="L44" i="11"/>
  <c r="Q5" i="11"/>
  <c r="T57" i="6"/>
  <c r="T55" i="9"/>
  <c r="T55" i="8"/>
  <c r="T55" i="7"/>
  <c r="Y44" i="8"/>
  <c r="Y33" i="8"/>
  <c r="Y45" i="8"/>
  <c r="AB5" i="8"/>
  <c r="Y7" i="8"/>
  <c r="Y23" i="8"/>
  <c r="Y30" i="8"/>
  <c r="Y35" i="8"/>
  <c r="Q23" i="11"/>
  <c r="L23" i="12"/>
  <c r="L23" i="13"/>
  <c r="Q23" i="13" s="1"/>
  <c r="Q19" i="11"/>
  <c r="AB19" i="11" s="1"/>
  <c r="L19" i="12"/>
  <c r="L19" i="13"/>
  <c r="Q22" i="11"/>
  <c r="AB22" i="11" s="1"/>
  <c r="L22" i="12"/>
  <c r="Q22" i="12" s="1"/>
  <c r="L22" i="13"/>
  <c r="L13" i="12"/>
  <c r="Q13" i="12" s="1"/>
  <c r="L13" i="13"/>
  <c r="Q13" i="13" s="1"/>
  <c r="Q13" i="11"/>
  <c r="Q35" i="11"/>
  <c r="AB35" i="11" s="1"/>
  <c r="L35" i="12"/>
  <c r="L35" i="13"/>
  <c r="Q35" i="13" s="1"/>
  <c r="Q21" i="11"/>
  <c r="AB21" i="11" s="1"/>
  <c r="L21" i="12"/>
  <c r="Q21" i="12" s="1"/>
  <c r="L21" i="13"/>
  <c r="Q26" i="11"/>
  <c r="AB26" i="11" s="1"/>
  <c r="L26" i="12"/>
  <c r="Q26" i="12" s="1"/>
  <c r="L26" i="13"/>
  <c r="Q26" i="13" s="1"/>
  <c r="L6" i="12"/>
  <c r="Q6" i="12" s="1"/>
  <c r="L6" i="13"/>
  <c r="Q6" i="13" s="1"/>
  <c r="Q6" i="11"/>
  <c r="L7" i="12"/>
  <c r="Q7" i="12" s="1"/>
  <c r="L7" i="13"/>
  <c r="Q7" i="11"/>
  <c r="AB7" i="11" s="1"/>
  <c r="S53" i="8"/>
  <c r="Y27" i="8"/>
  <c r="Y41" i="8"/>
  <c r="Y8" i="8"/>
  <c r="Y32" i="8"/>
  <c r="Y9" i="8"/>
  <c r="Y38" i="8"/>
  <c r="Y49" i="8"/>
  <c r="Y43" i="8"/>
  <c r="Y6" i="8"/>
  <c r="Y11" i="8"/>
  <c r="Q18" i="11"/>
  <c r="L18" i="12"/>
  <c r="Q18" i="12" s="1"/>
  <c r="L18" i="13"/>
  <c r="Q42" i="11"/>
  <c r="AB42" i="11" s="1"/>
  <c r="L42" i="12"/>
  <c r="L42" i="13"/>
  <c r="Q42" i="13" s="1"/>
  <c r="Q38" i="11"/>
  <c r="L38" i="12"/>
  <c r="Q38" i="12" s="1"/>
  <c r="L38" i="13"/>
  <c r="Q38" i="13" s="1"/>
  <c r="Q17" i="11"/>
  <c r="L17" i="12"/>
  <c r="L17" i="13"/>
  <c r="Q17" i="13" s="1"/>
  <c r="Q41" i="11"/>
  <c r="AB41" i="11" s="1"/>
  <c r="L41" i="12"/>
  <c r="Q41" i="12" s="1"/>
  <c r="L41" i="13"/>
  <c r="Q27" i="11"/>
  <c r="AB27" i="11" s="1"/>
  <c r="L27" i="12"/>
  <c r="L27" i="13"/>
  <c r="Q27" i="13" s="1"/>
  <c r="Q28" i="11"/>
  <c r="AB28" i="11" s="1"/>
  <c r="L28" i="12"/>
  <c r="Q28" i="12" s="1"/>
  <c r="L28" i="13"/>
  <c r="Q28" i="13" s="1"/>
  <c r="Q40" i="11"/>
  <c r="AB40" i="11" s="1"/>
  <c r="L40" i="12"/>
  <c r="L40" i="13"/>
  <c r="Q40" i="13" s="1"/>
  <c r="Q16" i="11"/>
  <c r="AB16" i="11" s="1"/>
  <c r="L16" i="12"/>
  <c r="L16" i="29" s="1"/>
  <c r="L59" i="29" s="1"/>
  <c r="L16" i="13"/>
  <c r="Q16" i="13" s="1"/>
  <c r="L9" i="12"/>
  <c r="Q9" i="12" s="1"/>
  <c r="L9" i="13"/>
  <c r="Q9" i="13" s="1"/>
  <c r="Q9" i="11"/>
  <c r="AB9" i="11" s="1"/>
  <c r="E42" i="5"/>
  <c r="X46" i="25" s="1"/>
  <c r="E21" i="5"/>
  <c r="AE55" i="24" s="1"/>
  <c r="AO54" i="24" s="1"/>
  <c r="C9" i="31" l="1"/>
  <c r="C7" i="31"/>
  <c r="C13" i="31" s="1"/>
  <c r="C11" i="31"/>
  <c r="J14" i="31"/>
  <c r="J15" i="31"/>
  <c r="J11" i="31"/>
  <c r="X27" i="25"/>
  <c r="Y27" i="25" s="1"/>
  <c r="AB37" i="8"/>
  <c r="X37" i="28"/>
  <c r="X89" i="28" s="1"/>
  <c r="AB25" i="8"/>
  <c r="X25" i="28"/>
  <c r="X77" i="28" s="1"/>
  <c r="V21" i="29"/>
  <c r="V64" i="29" s="1"/>
  <c r="Q24" i="25"/>
  <c r="Z44" i="13"/>
  <c r="AA5" i="13"/>
  <c r="AA44" i="13" s="1"/>
  <c r="V41" i="29"/>
  <c r="V84" i="29" s="1"/>
  <c r="Q7" i="25"/>
  <c r="V10" i="29"/>
  <c r="V53" i="29" s="1"/>
  <c r="V39" i="29"/>
  <c r="V82" i="29" s="1"/>
  <c r="W5" i="12"/>
  <c r="T44" i="12"/>
  <c r="W18" i="13"/>
  <c r="Q40" i="12"/>
  <c r="AB38" i="11"/>
  <c r="AB6" i="8"/>
  <c r="X6" i="28"/>
  <c r="X58" i="28" s="1"/>
  <c r="AB41" i="8"/>
  <c r="X41" i="28"/>
  <c r="X93" i="28" s="1"/>
  <c r="Q35" i="12"/>
  <c r="Q19" i="13"/>
  <c r="Q23" i="12"/>
  <c r="AB23" i="8"/>
  <c r="X23" i="28"/>
  <c r="X75" i="28" s="1"/>
  <c r="AB45" i="8"/>
  <c r="X45" i="28"/>
  <c r="X97" i="28" s="1"/>
  <c r="Q39" i="13"/>
  <c r="AB13" i="8"/>
  <c r="X13" i="28"/>
  <c r="X65" i="28" s="1"/>
  <c r="AM54" i="8"/>
  <c r="AM54" i="24"/>
  <c r="Q11" i="13"/>
  <c r="Q8" i="12"/>
  <c r="Q31" i="13"/>
  <c r="Q30" i="12"/>
  <c r="Q29" i="13"/>
  <c r="Q33" i="12"/>
  <c r="Q12" i="12"/>
  <c r="AB15" i="8"/>
  <c r="X15" i="28"/>
  <c r="X67" i="28" s="1"/>
  <c r="AB31" i="8"/>
  <c r="X31" i="28"/>
  <c r="X83" i="28" s="1"/>
  <c r="I9" i="31"/>
  <c r="I11" i="31"/>
  <c r="I7" i="31"/>
  <c r="I13" i="31" s="1"/>
  <c r="AB53" i="24"/>
  <c r="Q15" i="30"/>
  <c r="Q14" i="30"/>
  <c r="Q16" i="25"/>
  <c r="W35" i="12"/>
  <c r="W30" i="12"/>
  <c r="V16" i="29"/>
  <c r="V59" i="29" s="1"/>
  <c r="V18" i="29"/>
  <c r="V61" i="29" s="1"/>
  <c r="V28" i="29"/>
  <c r="V71" i="29" s="1"/>
  <c r="W27" i="25"/>
  <c r="W23" i="13"/>
  <c r="R6" i="29"/>
  <c r="R49" i="29" s="1"/>
  <c r="L28" i="29"/>
  <c r="L71" i="29" s="1"/>
  <c r="L41" i="29"/>
  <c r="L84" i="29" s="1"/>
  <c r="L38" i="29"/>
  <c r="L81" i="29" s="1"/>
  <c r="L18" i="29"/>
  <c r="L61" i="29" s="1"/>
  <c r="T19" i="29"/>
  <c r="T62" i="29" s="1"/>
  <c r="V37" i="29"/>
  <c r="V80" i="29" s="1"/>
  <c r="W29" i="25"/>
  <c r="L11" i="29"/>
  <c r="L54" i="29" s="1"/>
  <c r="L24" i="29"/>
  <c r="L67" i="29" s="1"/>
  <c r="F15" i="30"/>
  <c r="F14" i="30"/>
  <c r="T11" i="29"/>
  <c r="T54" i="29" s="1"/>
  <c r="W9" i="12"/>
  <c r="W32" i="13"/>
  <c r="W17" i="12"/>
  <c r="W23" i="12"/>
  <c r="W20" i="13"/>
  <c r="V42" i="29"/>
  <c r="V85" i="29" s="1"/>
  <c r="AA44" i="11"/>
  <c r="AA5" i="25"/>
  <c r="AA44" i="25" s="1"/>
  <c r="Z44" i="25"/>
  <c r="V26" i="29"/>
  <c r="V69" i="29" s="1"/>
  <c r="R25" i="29"/>
  <c r="R68" i="29" s="1"/>
  <c r="W9" i="25"/>
  <c r="W38" i="12"/>
  <c r="W31" i="13"/>
  <c r="W30" i="25"/>
  <c r="W35" i="13"/>
  <c r="L7" i="29"/>
  <c r="L50" i="29" s="1"/>
  <c r="L26" i="29"/>
  <c r="L69" i="29" s="1"/>
  <c r="L35" i="29"/>
  <c r="L78" i="29" s="1"/>
  <c r="L22" i="29"/>
  <c r="L65" i="29" s="1"/>
  <c r="L23" i="29"/>
  <c r="L66" i="29" s="1"/>
  <c r="AB10" i="8"/>
  <c r="X10" i="28"/>
  <c r="X62" i="28" s="1"/>
  <c r="M44" i="25"/>
  <c r="Q42" i="25"/>
  <c r="V27" i="29"/>
  <c r="V70" i="29" s="1"/>
  <c r="N44" i="13"/>
  <c r="Q8" i="25"/>
  <c r="Q38" i="25"/>
  <c r="Q30" i="25"/>
  <c r="Q32" i="25"/>
  <c r="Q12" i="25"/>
  <c r="W5" i="13"/>
  <c r="V44" i="13"/>
  <c r="V32" i="29"/>
  <c r="V75" i="29" s="1"/>
  <c r="V35" i="29"/>
  <c r="V78" i="29" s="1"/>
  <c r="W5" i="25"/>
  <c r="T44" i="25"/>
  <c r="W16" i="12"/>
  <c r="W22" i="12"/>
  <c r="W40" i="13"/>
  <c r="W42" i="25"/>
  <c r="Q5" i="25"/>
  <c r="L44" i="25"/>
  <c r="Q15" i="25"/>
  <c r="Q39" i="25"/>
  <c r="C14" i="30"/>
  <c r="C15" i="30"/>
  <c r="W21" i="13"/>
  <c r="W6" i="13"/>
  <c r="V36" i="29"/>
  <c r="V79" i="29" s="1"/>
  <c r="W10" i="12"/>
  <c r="W33" i="25"/>
  <c r="Q29" i="25"/>
  <c r="AB11" i="8"/>
  <c r="AB53" i="8" s="1"/>
  <c r="X11" i="28"/>
  <c r="X63" i="28" s="1"/>
  <c r="AB8" i="8"/>
  <c r="X8" i="28"/>
  <c r="X60" i="28" s="1"/>
  <c r="X22" i="25"/>
  <c r="Y22" i="25" s="1"/>
  <c r="AB30" i="8"/>
  <c r="X30" i="28"/>
  <c r="X82" i="28" s="1"/>
  <c r="X11" i="25"/>
  <c r="Y11" i="25" s="1"/>
  <c r="Q28" i="25"/>
  <c r="V19" i="29"/>
  <c r="V62" i="29" s="1"/>
  <c r="Q22" i="25"/>
  <c r="AB40" i="8"/>
  <c r="X40" i="28"/>
  <c r="X92" i="28" s="1"/>
  <c r="M44" i="13"/>
  <c r="V14" i="29"/>
  <c r="V57" i="29" s="1"/>
  <c r="U14" i="30"/>
  <c r="U15" i="30"/>
  <c r="V40" i="29"/>
  <c r="V83" i="29" s="1"/>
  <c r="L34" i="29"/>
  <c r="L77" i="29" s="1"/>
  <c r="L14" i="29"/>
  <c r="L57" i="29" s="1"/>
  <c r="W19" i="25"/>
  <c r="Q41" i="13"/>
  <c r="Q17" i="12"/>
  <c r="Q18" i="13"/>
  <c r="AB9" i="8"/>
  <c r="X9" i="28"/>
  <c r="X61" i="28" s="1"/>
  <c r="N11" i="30" s="1"/>
  <c r="Q7" i="13"/>
  <c r="Q21" i="13"/>
  <c r="Q16" i="12"/>
  <c r="AB17" i="11"/>
  <c r="AB43" i="8"/>
  <c r="X43" i="28"/>
  <c r="X95" i="28" s="1"/>
  <c r="AB42" i="8"/>
  <c r="AB27" i="8"/>
  <c r="X27" i="28"/>
  <c r="X79" i="28" s="1"/>
  <c r="Q22" i="13"/>
  <c r="Q19" i="12"/>
  <c r="AB23" i="11"/>
  <c r="AB7" i="8"/>
  <c r="X7" i="28"/>
  <c r="X59" i="28" s="1"/>
  <c r="N9" i="30" s="1"/>
  <c r="AB33" i="8"/>
  <c r="X33" i="28"/>
  <c r="X85" i="28" s="1"/>
  <c r="Q39" i="12"/>
  <c r="AB28" i="8"/>
  <c r="X28" i="28"/>
  <c r="X80" i="28" s="1"/>
  <c r="AB47" i="8"/>
  <c r="X47" i="28"/>
  <c r="X99" i="28" s="1"/>
  <c r="Q24" i="13"/>
  <c r="AB33" i="11"/>
  <c r="AB16" i="8"/>
  <c r="X16" i="28"/>
  <c r="X68" i="28" s="1"/>
  <c r="AB17" i="8"/>
  <c r="X17" i="28"/>
  <c r="X69" i="28" s="1"/>
  <c r="AB39" i="8"/>
  <c r="X39" i="28"/>
  <c r="X91" i="28" s="1"/>
  <c r="T8" i="29"/>
  <c r="T51" i="29" s="1"/>
  <c r="J7" i="31" s="1"/>
  <c r="J13" i="31" s="1"/>
  <c r="W27" i="13"/>
  <c r="V25" i="29"/>
  <c r="V68" i="29" s="1"/>
  <c r="V31" i="29"/>
  <c r="V74" i="29" s="1"/>
  <c r="Q27" i="25"/>
  <c r="Q17" i="25"/>
  <c r="H14" i="30"/>
  <c r="H15" i="30"/>
  <c r="T28" i="29"/>
  <c r="T71" i="29" s="1"/>
  <c r="V6" i="29"/>
  <c r="V49" i="29" s="1"/>
  <c r="Q33" i="25"/>
  <c r="T42" i="29"/>
  <c r="T85" i="29" s="1"/>
  <c r="V23" i="29"/>
  <c r="V66" i="29" s="1"/>
  <c r="Z44" i="12"/>
  <c r="AA5" i="12"/>
  <c r="AA44" i="12" s="1"/>
  <c r="V5" i="29"/>
  <c r="V48" i="29" s="1"/>
  <c r="V15" i="29"/>
  <c r="V58" i="29" s="1"/>
  <c r="W25" i="12"/>
  <c r="W38" i="25"/>
  <c r="W35" i="25"/>
  <c r="Q21" i="25"/>
  <c r="Q13" i="25"/>
  <c r="Q19" i="25"/>
  <c r="AB51" i="8"/>
  <c r="X51" i="28"/>
  <c r="X103" i="28" s="1"/>
  <c r="AB46" i="8"/>
  <c r="X46" i="28"/>
  <c r="X98" i="28" s="1"/>
  <c r="V38" i="29"/>
  <c r="V81" i="29" s="1"/>
  <c r="L12" i="29"/>
  <c r="L55" i="29" s="1"/>
  <c r="K14" i="30"/>
  <c r="K15" i="30"/>
  <c r="N44" i="25"/>
  <c r="T39" i="29"/>
  <c r="T82" i="29" s="1"/>
  <c r="T14" i="29"/>
  <c r="T57" i="29" s="1"/>
  <c r="T26" i="29"/>
  <c r="T69" i="29" s="1"/>
  <c r="V8" i="29"/>
  <c r="V51" i="29" s="1"/>
  <c r="V11" i="29"/>
  <c r="V54" i="29" s="1"/>
  <c r="T44" i="13"/>
  <c r="R5" i="29"/>
  <c r="R48" i="29" s="1"/>
  <c r="W18" i="25"/>
  <c r="W11" i="25"/>
  <c r="W22" i="13"/>
  <c r="W17" i="25"/>
  <c r="L36" i="29"/>
  <c r="L79" i="29" s="1"/>
  <c r="L15" i="29"/>
  <c r="L58" i="29" s="1"/>
  <c r="L20" i="29"/>
  <c r="L63" i="29" s="1"/>
  <c r="L39" i="29"/>
  <c r="L82" i="29" s="1"/>
  <c r="AB48" i="8"/>
  <c r="X48" i="28"/>
  <c r="X100" i="28" s="1"/>
  <c r="W21" i="12"/>
  <c r="V29" i="29"/>
  <c r="V72" i="29" s="1"/>
  <c r="W10" i="13"/>
  <c r="W14" i="13"/>
  <c r="L29" i="29"/>
  <c r="L72" i="29" s="1"/>
  <c r="AB38" i="8"/>
  <c r="X38" i="28"/>
  <c r="X90" i="28" s="1"/>
  <c r="AB18" i="8"/>
  <c r="X18" i="28"/>
  <c r="X70" i="28" s="1"/>
  <c r="V24" i="29"/>
  <c r="V67" i="29" s="1"/>
  <c r="V30" i="29"/>
  <c r="V73" i="29" s="1"/>
  <c r="Q26" i="25"/>
  <c r="W34" i="13"/>
  <c r="L25" i="29"/>
  <c r="L68" i="29" s="1"/>
  <c r="V44" i="12"/>
  <c r="Q27" i="12"/>
  <c r="X41" i="25"/>
  <c r="Y41" i="25" s="1"/>
  <c r="Q42" i="12"/>
  <c r="AB18" i="11"/>
  <c r="AB49" i="8"/>
  <c r="X49" i="28"/>
  <c r="X101" i="28" s="1"/>
  <c r="AB32" i="8"/>
  <c r="X32" i="28"/>
  <c r="X84" i="28" s="1"/>
  <c r="AB6" i="11"/>
  <c r="AB13" i="11"/>
  <c r="X19" i="25"/>
  <c r="Y19" i="25" s="1"/>
  <c r="AB35" i="8"/>
  <c r="X35" i="28"/>
  <c r="X87" i="28" s="1"/>
  <c r="AB26" i="8"/>
  <c r="AB44" i="8"/>
  <c r="X44" i="28"/>
  <c r="X96" i="28" s="1"/>
  <c r="Q37" i="12"/>
  <c r="AB15" i="11"/>
  <c r="Q14" i="13"/>
  <c r="AB34" i="8"/>
  <c r="X34" i="28"/>
  <c r="X86" i="28" s="1"/>
  <c r="AB50" i="8"/>
  <c r="X50" i="28"/>
  <c r="X102" i="28" s="1"/>
  <c r="AB8" i="11"/>
  <c r="Q32" i="12"/>
  <c r="AB31" i="11"/>
  <c r="AB25" i="11"/>
  <c r="AB29" i="11"/>
  <c r="AB12" i="11"/>
  <c r="AB12" i="8"/>
  <c r="X12" i="28"/>
  <c r="X64" i="28" s="1"/>
  <c r="AB20" i="8"/>
  <c r="X20" i="28"/>
  <c r="X72" i="28" s="1"/>
  <c r="T15" i="29"/>
  <c r="T58" i="29" s="1"/>
  <c r="T36" i="29"/>
  <c r="T79" i="29" s="1"/>
  <c r="T30" i="29"/>
  <c r="T73" i="29" s="1"/>
  <c r="V7" i="29"/>
  <c r="V50" i="29" s="1"/>
  <c r="V34" i="29"/>
  <c r="V77" i="29" s="1"/>
  <c r="W41" i="25"/>
  <c r="L9" i="29"/>
  <c r="L52" i="29" s="1"/>
  <c r="L40" i="29"/>
  <c r="L83" i="29" s="1"/>
  <c r="L27" i="29"/>
  <c r="L70" i="29" s="1"/>
  <c r="L17" i="29"/>
  <c r="L60" i="29" s="1"/>
  <c r="L42" i="29"/>
  <c r="L85" i="29" s="1"/>
  <c r="AB14" i="8"/>
  <c r="X14" i="28"/>
  <c r="X66" i="28" s="1"/>
  <c r="T12" i="29"/>
  <c r="T55" i="29" s="1"/>
  <c r="W29" i="12"/>
  <c r="W13" i="13"/>
  <c r="L8" i="29"/>
  <c r="L51" i="29" s="1"/>
  <c r="L30" i="29"/>
  <c r="L73" i="29" s="1"/>
  <c r="L33" i="29"/>
  <c r="L76" i="29" s="1"/>
  <c r="Y53" i="24"/>
  <c r="W42" i="13"/>
  <c r="T32" i="29"/>
  <c r="T75" i="29" s="1"/>
  <c r="T17" i="29"/>
  <c r="T60" i="29" s="1"/>
  <c r="T24" i="29"/>
  <c r="T67" i="29" s="1"/>
  <c r="T20" i="29"/>
  <c r="T63" i="29" s="1"/>
  <c r="V12" i="29"/>
  <c r="V55" i="29" s="1"/>
  <c r="V33" i="29"/>
  <c r="V76" i="29" s="1"/>
  <c r="W9" i="13"/>
  <c r="R38" i="29"/>
  <c r="R81" i="29" s="1"/>
  <c r="L6" i="29"/>
  <c r="L49" i="29" s="1"/>
  <c r="B9" i="31" s="1"/>
  <c r="L21" i="29"/>
  <c r="L64" i="29" s="1"/>
  <c r="L13" i="29"/>
  <c r="L56" i="29" s="1"/>
  <c r="L19" i="29"/>
  <c r="L62" i="29" s="1"/>
  <c r="AB21" i="8"/>
  <c r="X21" i="28"/>
  <c r="X73" i="28" s="1"/>
  <c r="M44" i="12"/>
  <c r="W34" i="12"/>
  <c r="W7" i="12"/>
  <c r="V17" i="29"/>
  <c r="V60" i="29" s="1"/>
  <c r="Q25" i="25"/>
  <c r="N44" i="12"/>
  <c r="N5" i="29"/>
  <c r="N48" i="29" s="1"/>
  <c r="W39" i="13"/>
  <c r="W13" i="12"/>
  <c r="V44" i="25"/>
  <c r="W41" i="12"/>
  <c r="W26" i="13"/>
  <c r="V9" i="29"/>
  <c r="V52" i="29" s="1"/>
  <c r="V22" i="29"/>
  <c r="V65" i="29" s="1"/>
  <c r="V20" i="29"/>
  <c r="V63" i="29" s="1"/>
  <c r="W44" i="11"/>
  <c r="R16" i="29"/>
  <c r="R59" i="29" s="1"/>
  <c r="R11" i="29"/>
  <c r="R54" i="29" s="1"/>
  <c r="W22" i="25"/>
  <c r="Q10" i="25"/>
  <c r="Q37" i="25"/>
  <c r="Q14" i="25"/>
  <c r="V13" i="29"/>
  <c r="V56" i="29" s="1"/>
  <c r="W15" i="25"/>
  <c r="W10" i="25"/>
  <c r="W44" i="25" s="1"/>
  <c r="W37" i="12"/>
  <c r="W33" i="13"/>
  <c r="Q31" i="25"/>
  <c r="AQ13" i="24"/>
  <c r="X16" i="13"/>
  <c r="X41" i="13"/>
  <c r="X18" i="13"/>
  <c r="X6" i="13"/>
  <c r="X21" i="13"/>
  <c r="X13" i="13"/>
  <c r="X19" i="13"/>
  <c r="Q5" i="12"/>
  <c r="L44" i="12"/>
  <c r="X15" i="13"/>
  <c r="X39" i="13"/>
  <c r="X30" i="13"/>
  <c r="X27" i="13"/>
  <c r="X42" i="13"/>
  <c r="X7" i="13"/>
  <c r="X26" i="13"/>
  <c r="X22" i="13"/>
  <c r="AB5" i="11"/>
  <c r="Q44" i="11"/>
  <c r="X10" i="13"/>
  <c r="X37" i="13"/>
  <c r="X8" i="13"/>
  <c r="X31" i="13"/>
  <c r="X25" i="13"/>
  <c r="X29" i="13"/>
  <c r="X12" i="13"/>
  <c r="S43" i="9"/>
  <c r="S43" i="28" s="1"/>
  <c r="S95" i="28" s="1"/>
  <c r="S31" i="9"/>
  <c r="S31" i="28" s="1"/>
  <c r="S83" i="28" s="1"/>
  <c r="S32" i="9"/>
  <c r="S32" i="28" s="1"/>
  <c r="S84" i="28" s="1"/>
  <c r="S44" i="9"/>
  <c r="S44" i="28" s="1"/>
  <c r="S96" i="28" s="1"/>
  <c r="S51" i="9"/>
  <c r="S51" i="28" s="1"/>
  <c r="S103" i="28" s="1"/>
  <c r="S7" i="9"/>
  <c r="S7" i="28" s="1"/>
  <c r="S59" i="28" s="1"/>
  <c r="S12" i="9"/>
  <c r="S12" i="28" s="1"/>
  <c r="S64" i="28" s="1"/>
  <c r="S20" i="9"/>
  <c r="S20" i="28" s="1"/>
  <c r="S72" i="28" s="1"/>
  <c r="S11" i="9"/>
  <c r="S11" i="28" s="1"/>
  <c r="S63" i="28" s="1"/>
  <c r="S15" i="9"/>
  <c r="S15" i="28" s="1"/>
  <c r="S67" i="28" s="1"/>
  <c r="S23" i="9"/>
  <c r="S23" i="28" s="1"/>
  <c r="S75" i="28" s="1"/>
  <c r="S48" i="9"/>
  <c r="S48" i="28" s="1"/>
  <c r="S100" i="28" s="1"/>
  <c r="S38" i="9"/>
  <c r="S38" i="28" s="1"/>
  <c r="S90" i="28" s="1"/>
  <c r="S39" i="9"/>
  <c r="S39" i="28" s="1"/>
  <c r="S91" i="28" s="1"/>
  <c r="S37" i="9"/>
  <c r="S37" i="28" s="1"/>
  <c r="S89" i="28" s="1"/>
  <c r="S14" i="9"/>
  <c r="S14" i="28" s="1"/>
  <c r="S66" i="28" s="1"/>
  <c r="S22" i="9"/>
  <c r="S22" i="28" s="1"/>
  <c r="S74" i="28" s="1"/>
  <c r="S45" i="9"/>
  <c r="S45" i="28" s="1"/>
  <c r="S97" i="28" s="1"/>
  <c r="S40" i="9"/>
  <c r="S40" i="28" s="1"/>
  <c r="S92" i="28" s="1"/>
  <c r="S50" i="9"/>
  <c r="S50" i="28" s="1"/>
  <c r="S102" i="28" s="1"/>
  <c r="S10" i="9"/>
  <c r="S10" i="28" s="1"/>
  <c r="S62" i="28" s="1"/>
  <c r="S49" i="9"/>
  <c r="S49" i="28" s="1"/>
  <c r="S101" i="28" s="1"/>
  <c r="S9" i="9"/>
  <c r="S9" i="28" s="1"/>
  <c r="S61" i="28" s="1"/>
  <c r="S33" i="9"/>
  <c r="S33" i="28" s="1"/>
  <c r="S85" i="28" s="1"/>
  <c r="S19" i="9"/>
  <c r="S19" i="28" s="1"/>
  <c r="S71" i="28" s="1"/>
  <c r="S34" i="9"/>
  <c r="S34" i="28" s="1"/>
  <c r="S86" i="28" s="1"/>
  <c r="S28" i="9"/>
  <c r="S28" i="28" s="1"/>
  <c r="S80" i="28" s="1"/>
  <c r="S30" i="9"/>
  <c r="S30" i="28" s="1"/>
  <c r="S82" i="28" s="1"/>
  <c r="S5" i="9"/>
  <c r="S5" i="28" s="1"/>
  <c r="S57" i="28" s="1"/>
  <c r="S17" i="9"/>
  <c r="S17" i="28" s="1"/>
  <c r="S69" i="28" s="1"/>
  <c r="S25" i="9"/>
  <c r="S25" i="28" s="1"/>
  <c r="S77" i="28" s="1"/>
  <c r="S42" i="9"/>
  <c r="S42" i="28" s="1"/>
  <c r="S94" i="28" s="1"/>
  <c r="S46" i="9"/>
  <c r="S46" i="28" s="1"/>
  <c r="S98" i="28" s="1"/>
  <c r="S35" i="9"/>
  <c r="S35" i="28" s="1"/>
  <c r="S87" i="28" s="1"/>
  <c r="S8" i="9"/>
  <c r="S8" i="28" s="1"/>
  <c r="S60" i="28" s="1"/>
  <c r="S36" i="9"/>
  <c r="S36" i="28" s="1"/>
  <c r="S88" i="28" s="1"/>
  <c r="S16" i="9"/>
  <c r="S16" i="28" s="1"/>
  <c r="S68" i="28" s="1"/>
  <c r="S41" i="9"/>
  <c r="S41" i="28" s="1"/>
  <c r="S93" i="28" s="1"/>
  <c r="S26" i="9"/>
  <c r="S26" i="28" s="1"/>
  <c r="S78" i="28" s="1"/>
  <c r="S21" i="9"/>
  <c r="S21" i="28" s="1"/>
  <c r="S73" i="28" s="1"/>
  <c r="S47" i="9"/>
  <c r="S47" i="28" s="1"/>
  <c r="S99" i="28" s="1"/>
  <c r="S18" i="9"/>
  <c r="S18" i="28" s="1"/>
  <c r="S70" i="28" s="1"/>
  <c r="S13" i="9"/>
  <c r="S13" i="28" s="1"/>
  <c r="S65" i="28" s="1"/>
  <c r="S29" i="9"/>
  <c r="S29" i="28" s="1"/>
  <c r="S81" i="28" s="1"/>
  <c r="S6" i="9"/>
  <c r="S6" i="28" s="1"/>
  <c r="S58" i="28" s="1"/>
  <c r="S24" i="9"/>
  <c r="S24" i="28" s="1"/>
  <c r="S76" i="28" s="1"/>
  <c r="S27" i="9"/>
  <c r="S27" i="28" s="1"/>
  <c r="S79" i="28" s="1"/>
  <c r="AE55" i="9"/>
  <c r="AE55" i="8"/>
  <c r="AO54" i="8" s="1"/>
  <c r="AE55" i="7"/>
  <c r="X38" i="13"/>
  <c r="X36" i="13"/>
  <c r="X20" i="13"/>
  <c r="Y53" i="8"/>
  <c r="X11" i="13"/>
  <c r="X32" i="13"/>
  <c r="X24" i="13"/>
  <c r="E43" i="5"/>
  <c r="Y46" i="25" s="1"/>
  <c r="X46" i="13"/>
  <c r="X46" i="12"/>
  <c r="X46" i="10"/>
  <c r="X46" i="11"/>
  <c r="X49" i="11" s="1"/>
  <c r="X21" i="12" s="1"/>
  <c r="Y21" i="12" s="1"/>
  <c r="AB21" i="12" s="1"/>
  <c r="X28" i="13"/>
  <c r="X9" i="12"/>
  <c r="Y9" i="12" s="1"/>
  <c r="X9" i="13"/>
  <c r="X40" i="13"/>
  <c r="X35" i="13"/>
  <c r="X23" i="12"/>
  <c r="Y23" i="12" s="1"/>
  <c r="X23" i="13"/>
  <c r="Q5" i="13"/>
  <c r="L44" i="13"/>
  <c r="X34" i="12"/>
  <c r="Y34" i="12" s="1"/>
  <c r="AB34" i="12" s="1"/>
  <c r="X34" i="13"/>
  <c r="X14" i="13"/>
  <c r="E23" i="5"/>
  <c r="AG55" i="24" s="1"/>
  <c r="AE57" i="6"/>
  <c r="B15" i="31" l="1"/>
  <c r="B14" i="31"/>
  <c r="N15" i="30"/>
  <c r="N14" i="30"/>
  <c r="X12" i="25"/>
  <c r="Y12" i="25" s="1"/>
  <c r="X33" i="25"/>
  <c r="Y33" i="25" s="1"/>
  <c r="X17" i="25"/>
  <c r="Y17" i="25" s="1"/>
  <c r="W44" i="13"/>
  <c r="C14" i="31"/>
  <c r="C15" i="31"/>
  <c r="E29" i="5"/>
  <c r="AM55" i="24" s="1"/>
  <c r="X14" i="12"/>
  <c r="Y14" i="12" s="1"/>
  <c r="AB14" i="12" s="1"/>
  <c r="X35" i="12"/>
  <c r="Y35" i="12" s="1"/>
  <c r="AB35" i="12" s="1"/>
  <c r="X40" i="12"/>
  <c r="Y40" i="12" s="1"/>
  <c r="AB40" i="12" s="1"/>
  <c r="X24" i="12"/>
  <c r="Y24" i="12" s="1"/>
  <c r="AB24" i="12" s="1"/>
  <c r="X38" i="12"/>
  <c r="Y38" i="12" s="1"/>
  <c r="AB38" i="12" s="1"/>
  <c r="X29" i="25"/>
  <c r="Y29" i="25" s="1"/>
  <c r="X8" i="25"/>
  <c r="Y8" i="25" s="1"/>
  <c r="X15" i="25"/>
  <c r="Y15" i="25" s="1"/>
  <c r="X13" i="25"/>
  <c r="Y13" i="25" s="1"/>
  <c r="X18" i="25"/>
  <c r="Y18" i="25" s="1"/>
  <c r="X14" i="25"/>
  <c r="Y14" i="25" s="1"/>
  <c r="X9" i="25"/>
  <c r="Y9" i="25" s="1"/>
  <c r="X28" i="25"/>
  <c r="Y28" i="25" s="1"/>
  <c r="H11" i="31"/>
  <c r="X20" i="25"/>
  <c r="Y20" i="25" s="1"/>
  <c r="N7" i="30"/>
  <c r="N13" i="30" s="1"/>
  <c r="X10" i="25"/>
  <c r="Y10" i="25" s="1"/>
  <c r="B11" i="31"/>
  <c r="X5" i="25"/>
  <c r="L11" i="31"/>
  <c r="X17" i="13"/>
  <c r="X28" i="12"/>
  <c r="Y28" i="12" s="1"/>
  <c r="AB28" i="12" s="1"/>
  <c r="D9" i="31"/>
  <c r="D7" i="31"/>
  <c r="D13" i="31" s="1"/>
  <c r="X25" i="25"/>
  <c r="Y25" i="25" s="1"/>
  <c r="X32" i="25"/>
  <c r="Y32" i="25" s="1"/>
  <c r="X37" i="25"/>
  <c r="Y37" i="25" s="1"/>
  <c r="H9" i="31"/>
  <c r="H7" i="31"/>
  <c r="H13" i="31" s="1"/>
  <c r="L9" i="31"/>
  <c r="L7" i="31"/>
  <c r="L13" i="31" s="1"/>
  <c r="X34" i="25"/>
  <c r="Y34" i="25" s="1"/>
  <c r="X35" i="25"/>
  <c r="Y35" i="25" s="1"/>
  <c r="X40" i="25"/>
  <c r="Y40" i="25" s="1"/>
  <c r="X42" i="25"/>
  <c r="Y42" i="25" s="1"/>
  <c r="Q44" i="25"/>
  <c r="X7" i="25"/>
  <c r="Y7" i="25" s="1"/>
  <c r="B7" i="31"/>
  <c r="B13" i="31" s="1"/>
  <c r="X6" i="25"/>
  <c r="Y6" i="25" s="1"/>
  <c r="AB23" i="12"/>
  <c r="X17" i="12"/>
  <c r="Y17" i="12" s="1"/>
  <c r="AB17" i="12" s="1"/>
  <c r="AB9" i="12"/>
  <c r="X32" i="12"/>
  <c r="Y32" i="12" s="1"/>
  <c r="AB32" i="12" s="1"/>
  <c r="I9" i="30"/>
  <c r="I7" i="30"/>
  <c r="I13" i="30" s="1"/>
  <c r="I11" i="30"/>
  <c r="X33" i="13"/>
  <c r="X31" i="25"/>
  <c r="Y31" i="25" s="1"/>
  <c r="X39" i="25"/>
  <c r="Y39" i="25" s="1"/>
  <c r="X21" i="25"/>
  <c r="Y21" i="25" s="1"/>
  <c r="X16" i="25"/>
  <c r="Y16" i="25" s="1"/>
  <c r="X26" i="25"/>
  <c r="Y26" i="25" s="1"/>
  <c r="X30" i="25"/>
  <c r="Y30" i="25" s="1"/>
  <c r="X23" i="25"/>
  <c r="Y23" i="25" s="1"/>
  <c r="I15" i="31"/>
  <c r="I14" i="31"/>
  <c r="X36" i="25"/>
  <c r="Y36" i="25" s="1"/>
  <c r="X38" i="25"/>
  <c r="Y38" i="25" s="1"/>
  <c r="W44" i="12"/>
  <c r="X24" i="25"/>
  <c r="Y24" i="25" s="1"/>
  <c r="D11" i="31"/>
  <c r="Y35" i="13"/>
  <c r="AB35" i="13" s="1"/>
  <c r="AJ35" i="25" s="1"/>
  <c r="U35" i="29"/>
  <c r="U78" i="29" s="1"/>
  <c r="Y17" i="13"/>
  <c r="AB17" i="13" s="1"/>
  <c r="Y32" i="13"/>
  <c r="AB32" i="13" s="1"/>
  <c r="AJ32" i="25" s="1"/>
  <c r="U32" i="29"/>
  <c r="U75" i="29" s="1"/>
  <c r="Y10" i="13"/>
  <c r="AB10" i="13" s="1"/>
  <c r="Y22" i="13"/>
  <c r="AB22" i="13" s="1"/>
  <c r="Y19" i="13"/>
  <c r="AB19" i="13" s="1"/>
  <c r="Y34" i="13"/>
  <c r="AB34" i="13" s="1"/>
  <c r="AJ34" i="25" s="1"/>
  <c r="U34" i="29"/>
  <c r="U77" i="29" s="1"/>
  <c r="Y23" i="13"/>
  <c r="AB23" i="13" s="1"/>
  <c r="U23" i="29"/>
  <c r="U66" i="29" s="1"/>
  <c r="Y9" i="13"/>
  <c r="AB9" i="13" s="1"/>
  <c r="AJ9" i="25" s="1"/>
  <c r="U9" i="29"/>
  <c r="U52" i="29" s="1"/>
  <c r="Y28" i="13"/>
  <c r="AB28" i="13" s="1"/>
  <c r="AJ28" i="25" s="1"/>
  <c r="U28" i="29"/>
  <c r="U71" i="29" s="1"/>
  <c r="Y20" i="13"/>
  <c r="AB20" i="13" s="1"/>
  <c r="AJ20" i="25" s="1"/>
  <c r="Y38" i="13"/>
  <c r="AB38" i="13" s="1"/>
  <c r="AA347" i="16" s="1"/>
  <c r="U38" i="29"/>
  <c r="U81" i="29" s="1"/>
  <c r="Y31" i="13"/>
  <c r="AB31" i="13" s="1"/>
  <c r="Y27" i="13"/>
  <c r="AB27" i="13" s="1"/>
  <c r="Y15" i="13"/>
  <c r="AB15" i="13" s="1"/>
  <c r="Y13" i="13"/>
  <c r="AB13" i="13" s="1"/>
  <c r="Y41" i="13"/>
  <c r="AB41" i="13" s="1"/>
  <c r="AJ41" i="25" s="1"/>
  <c r="Y25" i="13"/>
  <c r="AB25" i="13" s="1"/>
  <c r="Y42" i="13"/>
  <c r="AB42" i="13" s="1"/>
  <c r="AA473" i="16" s="1"/>
  <c r="Y18" i="13"/>
  <c r="AB18" i="13" s="1"/>
  <c r="Y24" i="13"/>
  <c r="AB24" i="13" s="1"/>
  <c r="AJ24" i="25" s="1"/>
  <c r="Y12" i="13"/>
  <c r="AB12" i="13" s="1"/>
  <c r="Y8" i="13"/>
  <c r="AB8" i="13" s="1"/>
  <c r="AJ8" i="25" s="1"/>
  <c r="Y26" i="13"/>
  <c r="AB26" i="13" s="1"/>
  <c r="Y33" i="13"/>
  <c r="AB33" i="13" s="1"/>
  <c r="AJ33" i="25" s="1"/>
  <c r="Y21" i="13"/>
  <c r="AB21" i="13" s="1"/>
  <c r="U21" i="29"/>
  <c r="U64" i="29" s="1"/>
  <c r="Y16" i="13"/>
  <c r="AB16" i="13" s="1"/>
  <c r="Y39" i="13"/>
  <c r="AB39" i="13" s="1"/>
  <c r="AA403" i="16" s="1"/>
  <c r="Y14" i="13"/>
  <c r="AB14" i="13" s="1"/>
  <c r="AJ14" i="25" s="1"/>
  <c r="U14" i="29"/>
  <c r="U57" i="29" s="1"/>
  <c r="Y40" i="13"/>
  <c r="AB40" i="13" s="1"/>
  <c r="AJ40" i="25" s="1"/>
  <c r="U40" i="29"/>
  <c r="U83" i="29" s="1"/>
  <c r="Y11" i="13"/>
  <c r="AB11" i="13" s="1"/>
  <c r="AJ11" i="25" s="1"/>
  <c r="Y36" i="13"/>
  <c r="AB36" i="13" s="1"/>
  <c r="Y29" i="13"/>
  <c r="AB29" i="13" s="1"/>
  <c r="Y37" i="13"/>
  <c r="AB37" i="13" s="1"/>
  <c r="Y7" i="13"/>
  <c r="AB7" i="13" s="1"/>
  <c r="AJ7" i="25" s="1"/>
  <c r="Y30" i="13"/>
  <c r="AB30" i="13" s="1"/>
  <c r="Y6" i="13"/>
  <c r="AB6" i="13" s="1"/>
  <c r="AJ6" i="25" s="1"/>
  <c r="AQ14" i="24"/>
  <c r="AA146" i="16"/>
  <c r="AG146" i="16" s="1"/>
  <c r="AA194" i="16"/>
  <c r="AA465" i="16"/>
  <c r="AA467" i="16"/>
  <c r="AA115" i="16"/>
  <c r="AA345" i="16"/>
  <c r="AA349" i="16"/>
  <c r="AA339" i="16"/>
  <c r="AG339" i="16" s="1"/>
  <c r="AA323" i="16"/>
  <c r="AG323" i="16" s="1"/>
  <c r="AA307" i="16"/>
  <c r="AG307" i="16" s="1"/>
  <c r="AA291" i="16"/>
  <c r="AG291" i="16" s="1"/>
  <c r="AA171" i="17"/>
  <c r="AA167" i="17"/>
  <c r="AA163" i="17"/>
  <c r="AA159" i="17"/>
  <c r="AA155" i="17"/>
  <c r="AA151" i="17"/>
  <c r="AA147" i="17"/>
  <c r="AA143" i="17"/>
  <c r="AA139" i="17"/>
  <c r="AA135" i="17"/>
  <c r="AA131" i="17"/>
  <c r="AA127" i="17"/>
  <c r="AA123" i="17"/>
  <c r="AA324" i="16"/>
  <c r="AG324" i="16" s="1"/>
  <c r="AA302" i="16"/>
  <c r="AG302" i="16" s="1"/>
  <c r="AA332" i="16"/>
  <c r="AG332" i="16" s="1"/>
  <c r="AA294" i="16"/>
  <c r="AG294" i="16" s="1"/>
  <c r="AA322" i="16"/>
  <c r="AG322" i="16" s="1"/>
  <c r="AA301" i="16"/>
  <c r="AG301" i="16" s="1"/>
  <c r="AA310" i="16"/>
  <c r="AG310" i="16" s="1"/>
  <c r="AA330" i="16"/>
  <c r="AG330" i="16" s="1"/>
  <c r="AA309" i="16"/>
  <c r="AG309" i="16" s="1"/>
  <c r="AA215" i="16"/>
  <c r="AA212" i="16"/>
  <c r="AA210" i="16"/>
  <c r="AG57" i="6"/>
  <c r="AG55" i="9"/>
  <c r="AG55" i="7"/>
  <c r="AG55" i="8"/>
  <c r="X25" i="12"/>
  <c r="Y25" i="12" s="1"/>
  <c r="AB25" i="12" s="1"/>
  <c r="X42" i="12"/>
  <c r="Y42" i="12" s="1"/>
  <c r="AB42" i="12" s="1"/>
  <c r="AJ42" i="25" s="1"/>
  <c r="X27" i="12"/>
  <c r="Y27" i="12" s="1"/>
  <c r="AB27" i="12" s="1"/>
  <c r="X39" i="12"/>
  <c r="Y39" i="12" s="1"/>
  <c r="AB39" i="12" s="1"/>
  <c r="AA181" i="17" s="1"/>
  <c r="X15" i="12"/>
  <c r="Y15" i="12" s="1"/>
  <c r="AB15" i="12" s="1"/>
  <c r="AA283" i="16" s="1"/>
  <c r="AG283" i="16" s="1"/>
  <c r="Q44" i="12"/>
  <c r="X18" i="12"/>
  <c r="Y18" i="12" s="1"/>
  <c r="AB18" i="12" s="1"/>
  <c r="X41" i="12"/>
  <c r="Y41" i="12" s="1"/>
  <c r="AB41" i="12" s="1"/>
  <c r="X16" i="12"/>
  <c r="Y16" i="12" s="1"/>
  <c r="AB16" i="12" s="1"/>
  <c r="S53" i="9"/>
  <c r="X29" i="12"/>
  <c r="Y29" i="12" s="1"/>
  <c r="AB29" i="12" s="1"/>
  <c r="X8" i="12"/>
  <c r="Y8" i="12" s="1"/>
  <c r="AB8" i="12" s="1"/>
  <c r="AA211" i="16" s="1"/>
  <c r="X10" i="12"/>
  <c r="Y10" i="12" s="1"/>
  <c r="AB10" i="12" s="1"/>
  <c r="AA185" i="16" s="1"/>
  <c r="X13" i="12"/>
  <c r="Y13" i="12" s="1"/>
  <c r="AB13" i="12" s="1"/>
  <c r="AA91" i="17" s="1"/>
  <c r="Q44" i="13"/>
  <c r="X31" i="12"/>
  <c r="Y31" i="12" s="1"/>
  <c r="AB31" i="12" s="1"/>
  <c r="X37" i="12"/>
  <c r="Y37" i="12" s="1"/>
  <c r="AB37" i="12" s="1"/>
  <c r="X7" i="12"/>
  <c r="Y7" i="12" s="1"/>
  <c r="AB7" i="12" s="1"/>
  <c r="X19" i="12"/>
  <c r="Y19" i="12" s="1"/>
  <c r="AB19" i="12" s="1"/>
  <c r="X6" i="12"/>
  <c r="Y6" i="12" s="1"/>
  <c r="AB6" i="12" s="1"/>
  <c r="AA46" i="17" s="1"/>
  <c r="AM57" i="6"/>
  <c r="E47" i="5"/>
  <c r="E46" i="5"/>
  <c r="AB46" i="25" s="1"/>
  <c r="Y46" i="13"/>
  <c r="Y46" i="12"/>
  <c r="Y46" i="11"/>
  <c r="Y46" i="10"/>
  <c r="X11" i="12"/>
  <c r="Y11" i="12" s="1"/>
  <c r="AB11" i="12" s="1"/>
  <c r="X20" i="12"/>
  <c r="Y20" i="12" s="1"/>
  <c r="AB20" i="12" s="1"/>
  <c r="X36" i="12"/>
  <c r="Y36" i="12" s="1"/>
  <c r="AB36" i="12" s="1"/>
  <c r="AA373" i="16" s="1"/>
  <c r="X12" i="12"/>
  <c r="Y12" i="12" s="1"/>
  <c r="AB12" i="12" s="1"/>
  <c r="X5" i="12"/>
  <c r="AB44" i="11"/>
  <c r="X5" i="13"/>
  <c r="U5" i="29" s="1"/>
  <c r="U48" i="29" s="1"/>
  <c r="X22" i="12"/>
  <c r="Y22" i="12" s="1"/>
  <c r="AB22" i="12" s="1"/>
  <c r="X26" i="12"/>
  <c r="Y26" i="12" s="1"/>
  <c r="AB26" i="12" s="1"/>
  <c r="X33" i="12"/>
  <c r="Y33" i="12" s="1"/>
  <c r="AB33" i="12" s="1"/>
  <c r="X30" i="12"/>
  <c r="Y30" i="12" s="1"/>
  <c r="AB30" i="12" s="1"/>
  <c r="AJ29" i="25" l="1"/>
  <c r="AA120" i="16"/>
  <c r="AA41" i="16"/>
  <c r="AA39" i="16"/>
  <c r="AA242" i="16"/>
  <c r="AA105" i="17"/>
  <c r="AA78" i="16"/>
  <c r="AA150" i="16"/>
  <c r="AG150" i="16" s="1"/>
  <c r="AA335" i="16"/>
  <c r="AG335" i="16" s="1"/>
  <c r="AA267" i="16"/>
  <c r="AG267" i="16" s="1"/>
  <c r="AA201" i="16"/>
  <c r="AA233" i="16"/>
  <c r="AA223" i="16"/>
  <c r="AA86" i="17"/>
  <c r="AA274" i="16"/>
  <c r="AG274" i="16" s="1"/>
  <c r="AA224" i="16"/>
  <c r="AG224" i="16" s="1"/>
  <c r="AA227" i="16"/>
  <c r="AA100" i="17"/>
  <c r="AA197" i="16"/>
  <c r="AA236" i="16"/>
  <c r="L236" i="21" s="1"/>
  <c r="O236" i="21" s="1"/>
  <c r="AA281" i="16"/>
  <c r="AG281" i="16" s="1"/>
  <c r="G14" i="23"/>
  <c r="I14" i="23" s="1"/>
  <c r="AJ15" i="25"/>
  <c r="AM55" i="7"/>
  <c r="AA208" i="16"/>
  <c r="AA216" i="16"/>
  <c r="AA217" i="16"/>
  <c r="AA293" i="16"/>
  <c r="AG293" i="16" s="1"/>
  <c r="AA314" i="16"/>
  <c r="AG314" i="16" s="1"/>
  <c r="AA336" i="16"/>
  <c r="AG336" i="16" s="1"/>
  <c r="AA321" i="16"/>
  <c r="AG321" i="16" s="1"/>
  <c r="AA306" i="16"/>
  <c r="AG306" i="16" s="1"/>
  <c r="AA328" i="16"/>
  <c r="AG328" i="16" s="1"/>
  <c r="AA305" i="16"/>
  <c r="AG305" i="16" s="1"/>
  <c r="AA342" i="16"/>
  <c r="AG342" i="16" s="1"/>
  <c r="AA308" i="16"/>
  <c r="AG308" i="16" s="1"/>
  <c r="AA329" i="16"/>
  <c r="AG329" i="16" s="1"/>
  <c r="AA124" i="17"/>
  <c r="AA128" i="17"/>
  <c r="AA132" i="17"/>
  <c r="AA136" i="17"/>
  <c r="AA140" i="17"/>
  <c r="AA144" i="17"/>
  <c r="AA148" i="17"/>
  <c r="AA152" i="17"/>
  <c r="AA156" i="17"/>
  <c r="AA160" i="17"/>
  <c r="AA164" i="17"/>
  <c r="AA168" i="17"/>
  <c r="AA172" i="17"/>
  <c r="AA295" i="16"/>
  <c r="AG295" i="16" s="1"/>
  <c r="AA311" i="16"/>
  <c r="AG311" i="16" s="1"/>
  <c r="AA327" i="16"/>
  <c r="AG327" i="16" s="1"/>
  <c r="AA277" i="16"/>
  <c r="AG277" i="16" s="1"/>
  <c r="AA273" i="16"/>
  <c r="AG273" i="16" s="1"/>
  <c r="AA101" i="17"/>
  <c r="AA107" i="17"/>
  <c r="AA271" i="16"/>
  <c r="AG271" i="16" s="1"/>
  <c r="AA42" i="16"/>
  <c r="AA49" i="16"/>
  <c r="AG49" i="16" s="1"/>
  <c r="AA117" i="16"/>
  <c r="AA46" i="16"/>
  <c r="AA43" i="16"/>
  <c r="AA282" i="16"/>
  <c r="AG282" i="16" s="1"/>
  <c r="AA285" i="16"/>
  <c r="AG285" i="16" s="1"/>
  <c r="AA286" i="16"/>
  <c r="AG286" i="16" s="1"/>
  <c r="AA114" i="17"/>
  <c r="AA118" i="17"/>
  <c r="AA122" i="17"/>
  <c r="AA466" i="16"/>
  <c r="AA475" i="16"/>
  <c r="AA469" i="16"/>
  <c r="AG469" i="16" s="1"/>
  <c r="AA202" i="16"/>
  <c r="AA200" i="16"/>
  <c r="AA195" i="16"/>
  <c r="AA253" i="16"/>
  <c r="AG253" i="16" s="1"/>
  <c r="AA229" i="16"/>
  <c r="AA221" i="16"/>
  <c r="AA230" i="16"/>
  <c r="AA238" i="16"/>
  <c r="AG238" i="16" s="1"/>
  <c r="AA231" i="16"/>
  <c r="AA426" i="16"/>
  <c r="AA425" i="16"/>
  <c r="AA47" i="17"/>
  <c r="AA148" i="16"/>
  <c r="AG148" i="16" s="1"/>
  <c r="AJ31" i="25"/>
  <c r="AJ22" i="25"/>
  <c r="U30" i="29"/>
  <c r="U73" i="29" s="1"/>
  <c r="U37" i="29"/>
  <c r="U80" i="29" s="1"/>
  <c r="U36" i="29"/>
  <c r="U79" i="29" s="1"/>
  <c r="U39" i="29"/>
  <c r="U82" i="29" s="1"/>
  <c r="U26" i="29"/>
  <c r="U69" i="29" s="1"/>
  <c r="U12" i="29"/>
  <c r="U55" i="29" s="1"/>
  <c r="U18" i="29"/>
  <c r="U61" i="29" s="1"/>
  <c r="U25" i="29"/>
  <c r="U68" i="29" s="1"/>
  <c r="U13" i="29"/>
  <c r="U56" i="29" s="1"/>
  <c r="U27" i="29"/>
  <c r="U70" i="29" s="1"/>
  <c r="U19" i="29"/>
  <c r="U62" i="29" s="1"/>
  <c r="U10" i="29"/>
  <c r="U53" i="29" s="1"/>
  <c r="U17" i="29"/>
  <c r="U60" i="29" s="1"/>
  <c r="I15" i="30"/>
  <c r="I14" i="30"/>
  <c r="L14" i="31"/>
  <c r="L15" i="31"/>
  <c r="D14" i="31"/>
  <c r="D15" i="31"/>
  <c r="AA280" i="16"/>
  <c r="AG280" i="16" s="1"/>
  <c r="AA117" i="17"/>
  <c r="AJ16" i="25"/>
  <c r="AA213" i="16"/>
  <c r="AA209" i="16"/>
  <c r="AG209" i="16" s="1"/>
  <c r="AA207" i="16"/>
  <c r="AA298" i="16"/>
  <c r="AG298" i="16" s="1"/>
  <c r="AA320" i="16"/>
  <c r="AG320" i="16" s="1"/>
  <c r="AA341" i="16"/>
  <c r="AG341" i="16" s="1"/>
  <c r="AA337" i="16"/>
  <c r="AG337" i="16" s="1"/>
  <c r="AA312" i="16"/>
  <c r="AG312" i="16" s="1"/>
  <c r="AA333" i="16"/>
  <c r="AG333" i="16" s="1"/>
  <c r="AA316" i="16"/>
  <c r="AG316" i="16" s="1"/>
  <c r="AA292" i="16"/>
  <c r="AG292" i="16" s="1"/>
  <c r="AA313" i="16"/>
  <c r="AG313" i="16" s="1"/>
  <c r="AA334" i="16"/>
  <c r="AG334" i="16" s="1"/>
  <c r="AA125" i="17"/>
  <c r="AA129" i="17"/>
  <c r="AA133" i="17"/>
  <c r="AA137" i="17"/>
  <c r="AA141" i="17"/>
  <c r="AA145" i="17"/>
  <c r="AA149" i="17"/>
  <c r="AA153" i="17"/>
  <c r="AA157" i="17"/>
  <c r="AA161" i="17"/>
  <c r="AA165" i="17"/>
  <c r="AA169" i="17"/>
  <c r="AA173" i="17"/>
  <c r="AA299" i="16"/>
  <c r="AG299" i="16" s="1"/>
  <c r="AA315" i="16"/>
  <c r="AG315" i="16" s="1"/>
  <c r="AA331" i="16"/>
  <c r="AG331" i="16" s="1"/>
  <c r="AA268" i="16"/>
  <c r="AG268" i="16" s="1"/>
  <c r="AA270" i="16"/>
  <c r="AG270" i="16" s="1"/>
  <c r="AA103" i="17"/>
  <c r="AA108" i="17"/>
  <c r="AA275" i="16"/>
  <c r="AG275" i="16" s="1"/>
  <c r="AA48" i="16"/>
  <c r="AA121" i="16"/>
  <c r="AG121" i="16" s="1"/>
  <c r="AA44" i="16"/>
  <c r="AA80" i="16"/>
  <c r="AG80" i="16" s="1"/>
  <c r="AA79" i="16"/>
  <c r="AA288" i="16"/>
  <c r="AG288" i="16" s="1"/>
  <c r="AA290" i="16"/>
  <c r="AG290" i="16" s="1"/>
  <c r="AA111" i="17"/>
  <c r="AA115" i="17"/>
  <c r="AA119" i="17"/>
  <c r="AA279" i="16"/>
  <c r="AA470" i="16"/>
  <c r="AG470" i="16" s="1"/>
  <c r="AA464" i="16"/>
  <c r="AA265" i="16"/>
  <c r="AG265" i="16" s="1"/>
  <c r="AA198" i="16"/>
  <c r="AA205" i="16"/>
  <c r="AG205" i="16" s="1"/>
  <c r="AA199" i="16"/>
  <c r="AA75" i="17"/>
  <c r="AA234" i="16"/>
  <c r="AA232" i="16"/>
  <c r="L232" i="21" s="1"/>
  <c r="O232" i="21" s="1"/>
  <c r="AA241" i="16"/>
  <c r="AA74" i="17"/>
  <c r="AA239" i="16"/>
  <c r="AA406" i="16"/>
  <c r="AG406" i="16" s="1"/>
  <c r="AA441" i="16"/>
  <c r="AA45" i="17"/>
  <c r="AA456" i="16"/>
  <c r="AG456" i="16" s="1"/>
  <c r="AJ36" i="25"/>
  <c r="AJ37" i="25"/>
  <c r="AA375" i="16"/>
  <c r="L375" i="21" s="1"/>
  <c r="O375" i="21" s="1"/>
  <c r="AJ39" i="25"/>
  <c r="AJ26" i="25"/>
  <c r="AJ12" i="25"/>
  <c r="AJ18" i="25"/>
  <c r="AJ25" i="25"/>
  <c r="AJ13" i="25"/>
  <c r="AJ19" i="25"/>
  <c r="AJ10" i="25"/>
  <c r="AA113" i="17"/>
  <c r="AA121" i="17"/>
  <c r="AA287" i="16"/>
  <c r="AG287" i="16" s="1"/>
  <c r="AA187" i="16"/>
  <c r="AG187" i="16" s="1"/>
  <c r="AM55" i="8"/>
  <c r="AM55" i="9"/>
  <c r="AA214" i="16"/>
  <c r="AG214" i="16" s="1"/>
  <c r="AA206" i="16"/>
  <c r="AG206" i="16" s="1"/>
  <c r="AA304" i="16"/>
  <c r="AG304" i="16" s="1"/>
  <c r="AA325" i="16"/>
  <c r="AG325" i="16" s="1"/>
  <c r="AA300" i="16"/>
  <c r="AG300" i="16" s="1"/>
  <c r="AA296" i="16"/>
  <c r="AG296" i="16" s="1"/>
  <c r="AA317" i="16"/>
  <c r="AG317" i="16" s="1"/>
  <c r="AA338" i="16"/>
  <c r="AG338" i="16" s="1"/>
  <c r="AA326" i="16"/>
  <c r="AG326" i="16" s="1"/>
  <c r="AA297" i="16"/>
  <c r="AG297" i="16" s="1"/>
  <c r="AA318" i="16"/>
  <c r="AG318" i="16" s="1"/>
  <c r="AA340" i="16"/>
  <c r="AG340" i="16" s="1"/>
  <c r="AA126" i="17"/>
  <c r="AA130" i="17"/>
  <c r="AA134" i="17"/>
  <c r="AA138" i="17"/>
  <c r="AA142" i="17"/>
  <c r="AA146" i="17"/>
  <c r="AA150" i="17"/>
  <c r="AA154" i="17"/>
  <c r="AA158" i="17"/>
  <c r="AA162" i="17"/>
  <c r="AA166" i="17"/>
  <c r="AA170" i="17"/>
  <c r="AA174" i="17"/>
  <c r="AA303" i="16"/>
  <c r="AG303" i="16" s="1"/>
  <c r="AA319" i="16"/>
  <c r="AG319" i="16" s="1"/>
  <c r="AA278" i="16"/>
  <c r="AG278" i="16" s="1"/>
  <c r="AA99" i="17"/>
  <c r="AA104" i="17"/>
  <c r="AA109" i="17"/>
  <c r="AA114" i="16"/>
  <c r="AA45" i="16"/>
  <c r="AG45" i="16" s="1"/>
  <c r="AA77" i="16"/>
  <c r="AG77" i="16" s="1"/>
  <c r="AA113" i="16"/>
  <c r="AA83" i="16"/>
  <c r="AA289" i="16"/>
  <c r="AG289" i="16" s="1"/>
  <c r="AA284" i="16"/>
  <c r="AG284" i="16" s="1"/>
  <c r="AA112" i="17"/>
  <c r="AA116" i="17"/>
  <c r="AA120" i="17"/>
  <c r="AA471" i="16"/>
  <c r="L471" i="21" s="1"/>
  <c r="O471" i="21" s="1"/>
  <c r="AA472" i="16"/>
  <c r="AA204" i="16"/>
  <c r="AA196" i="16"/>
  <c r="AG196" i="16" s="1"/>
  <c r="AA203" i="16"/>
  <c r="AG203" i="16" s="1"/>
  <c r="AA225" i="16"/>
  <c r="AA237" i="16"/>
  <c r="AA222" i="16"/>
  <c r="AG222" i="16" s="1"/>
  <c r="AA417" i="16"/>
  <c r="AG417" i="16" s="1"/>
  <c r="AA38" i="17"/>
  <c r="U6" i="29"/>
  <c r="U49" i="29" s="1"/>
  <c r="U7" i="29"/>
  <c r="U50" i="29" s="1"/>
  <c r="K9" i="31" s="1"/>
  <c r="U29" i="29"/>
  <c r="U72" i="29" s="1"/>
  <c r="U11" i="29"/>
  <c r="U54" i="29" s="1"/>
  <c r="U16" i="29"/>
  <c r="U59" i="29" s="1"/>
  <c r="U33" i="29"/>
  <c r="U76" i="29" s="1"/>
  <c r="U8" i="29"/>
  <c r="U51" i="29" s="1"/>
  <c r="U24" i="29"/>
  <c r="U67" i="29" s="1"/>
  <c r="U42" i="29"/>
  <c r="U85" i="29" s="1"/>
  <c r="U41" i="29"/>
  <c r="U84" i="29" s="1"/>
  <c r="U15" i="29"/>
  <c r="U58" i="29" s="1"/>
  <c r="U31" i="29"/>
  <c r="U74" i="29" s="1"/>
  <c r="U20" i="29"/>
  <c r="U63" i="29" s="1"/>
  <c r="U22" i="29"/>
  <c r="U65" i="29" s="1"/>
  <c r="H15" i="31"/>
  <c r="H14" i="31"/>
  <c r="Y5" i="25"/>
  <c r="Y44" i="25" s="1"/>
  <c r="X44" i="25"/>
  <c r="AA272" i="16"/>
  <c r="AG272" i="16" s="1"/>
  <c r="AA269" i="16"/>
  <c r="AG269" i="16" s="1"/>
  <c r="AA276" i="16"/>
  <c r="AG276" i="16" s="1"/>
  <c r="AA102" i="17"/>
  <c r="AA106" i="17"/>
  <c r="AA110" i="17"/>
  <c r="AA81" i="16"/>
  <c r="AA110" i="16"/>
  <c r="AG110" i="16" s="1"/>
  <c r="AA84" i="16"/>
  <c r="AG84" i="16" s="1"/>
  <c r="AA116" i="16"/>
  <c r="AA85" i="16"/>
  <c r="AA75" i="16"/>
  <c r="AG75" i="16" s="1"/>
  <c r="AA119" i="16"/>
  <c r="AG119" i="16" s="1"/>
  <c r="AA474" i="16"/>
  <c r="AA468" i="16"/>
  <c r="AA368" i="16"/>
  <c r="L368" i="21" s="1"/>
  <c r="O368" i="21" s="1"/>
  <c r="AA218" i="16"/>
  <c r="L340" i="21" s="1"/>
  <c r="O340" i="21" s="1"/>
  <c r="AA240" i="16"/>
  <c r="AA226" i="16"/>
  <c r="AA220" i="16"/>
  <c r="AG220" i="16" s="1"/>
  <c r="AA228" i="16"/>
  <c r="AG228" i="16" s="1"/>
  <c r="AA219" i="16"/>
  <c r="AA235" i="16"/>
  <c r="AA390" i="16"/>
  <c r="AG390" i="16" s="1"/>
  <c r="AA391" i="16"/>
  <c r="AG391" i="16" s="1"/>
  <c r="AA49" i="17"/>
  <c r="AA149" i="16"/>
  <c r="AG149" i="16" s="1"/>
  <c r="AA48" i="17"/>
  <c r="AA351" i="16"/>
  <c r="AG351" i="16" s="1"/>
  <c r="AA256" i="16"/>
  <c r="AG256" i="16" s="1"/>
  <c r="AA94" i="17"/>
  <c r="AA377" i="16"/>
  <c r="AG377" i="16" s="1"/>
  <c r="AA78" i="17"/>
  <c r="AA400" i="16"/>
  <c r="AA397" i="16"/>
  <c r="AA409" i="16"/>
  <c r="AG409" i="16" s="1"/>
  <c r="AA443" i="16"/>
  <c r="AG443" i="16" s="1"/>
  <c r="AA362" i="16"/>
  <c r="AA186" i="17"/>
  <c r="AA462" i="16"/>
  <c r="AG462" i="16" s="1"/>
  <c r="G9" i="23"/>
  <c r="I9" i="23" s="1"/>
  <c r="AA344" i="16"/>
  <c r="AA264" i="16"/>
  <c r="AG264" i="16" s="1"/>
  <c r="AA255" i="16"/>
  <c r="AG255" i="16" s="1"/>
  <c r="AA250" i="16"/>
  <c r="AG250" i="16" s="1"/>
  <c r="AA83" i="17"/>
  <c r="AA188" i="16"/>
  <c r="AG188" i="16" s="1"/>
  <c r="AA416" i="16"/>
  <c r="AA413" i="16"/>
  <c r="AG413" i="16" s="1"/>
  <c r="AA414" i="16"/>
  <c r="AA428" i="16"/>
  <c r="AG428" i="16" s="1"/>
  <c r="AA364" i="16"/>
  <c r="AA455" i="16"/>
  <c r="AG455" i="16" s="1"/>
  <c r="AA346" i="16"/>
  <c r="AG346" i="16" s="1"/>
  <c r="AA350" i="16"/>
  <c r="AA76" i="16"/>
  <c r="AA38" i="16"/>
  <c r="AG38" i="16" s="1"/>
  <c r="AA40" i="16"/>
  <c r="AG40" i="16" s="1"/>
  <c r="AA112" i="16"/>
  <c r="AA82" i="16"/>
  <c r="AA74" i="16"/>
  <c r="L74" i="21" s="1"/>
  <c r="O74" i="21" s="1"/>
  <c r="AA118" i="16"/>
  <c r="AG118" i="16" s="1"/>
  <c r="AA47" i="16"/>
  <c r="AA111" i="16"/>
  <c r="AA261" i="16"/>
  <c r="AG261" i="16" s="1"/>
  <c r="AA87" i="17"/>
  <c r="AA95" i="17"/>
  <c r="AA378" i="16"/>
  <c r="AA367" i="16"/>
  <c r="AG367" i="16" s="1"/>
  <c r="AA252" i="16"/>
  <c r="AG252" i="16" s="1"/>
  <c r="AA79" i="17"/>
  <c r="AA243" i="16"/>
  <c r="AG243" i="16" s="1"/>
  <c r="AA184" i="16"/>
  <c r="AG184" i="16" s="1"/>
  <c r="AA191" i="16"/>
  <c r="AG191" i="16" s="1"/>
  <c r="AA423" i="16"/>
  <c r="AA447" i="16"/>
  <c r="AA418" i="16"/>
  <c r="AG418" i="16" s="1"/>
  <c r="AA388" i="16"/>
  <c r="AG388" i="16" s="1"/>
  <c r="AA442" i="16"/>
  <c r="AA407" i="16"/>
  <c r="AA432" i="16"/>
  <c r="AG432" i="16" s="1"/>
  <c r="AA445" i="16"/>
  <c r="AG445" i="16" s="1"/>
  <c r="AA361" i="16"/>
  <c r="AA42" i="17"/>
  <c r="AA157" i="16"/>
  <c r="AG157" i="16" s="1"/>
  <c r="AA44" i="17"/>
  <c r="AA457" i="16"/>
  <c r="AG457" i="16" s="1"/>
  <c r="AA175" i="17"/>
  <c r="AJ38" i="25"/>
  <c r="AJ23" i="25"/>
  <c r="AA258" i="16"/>
  <c r="AG258" i="16" s="1"/>
  <c r="AA90" i="17"/>
  <c r="AA98" i="17"/>
  <c r="AA376" i="16"/>
  <c r="AG376" i="16" s="1"/>
  <c r="AA245" i="16"/>
  <c r="AG245" i="16" s="1"/>
  <c r="AA254" i="16"/>
  <c r="AG254" i="16" s="1"/>
  <c r="AA82" i="17"/>
  <c r="AA193" i="16"/>
  <c r="AG193" i="16" s="1"/>
  <c r="AA394" i="16"/>
  <c r="AA380" i="16"/>
  <c r="AA392" i="16"/>
  <c r="AG392" i="16" s="1"/>
  <c r="AA450" i="16"/>
  <c r="AG450" i="16" s="1"/>
  <c r="AA393" i="16"/>
  <c r="AA387" i="16"/>
  <c r="AA427" i="16"/>
  <c r="AG427" i="16" s="1"/>
  <c r="AA448" i="16"/>
  <c r="L448" i="21" s="1"/>
  <c r="O448" i="21" s="1"/>
  <c r="AA357" i="16"/>
  <c r="AA363" i="16"/>
  <c r="AA184" i="17"/>
  <c r="AA179" i="17"/>
  <c r="AJ17" i="25"/>
  <c r="AA352" i="16"/>
  <c r="AG352" i="16" s="1"/>
  <c r="AA354" i="16"/>
  <c r="L354" i="21" s="1"/>
  <c r="O354" i="21" s="1"/>
  <c r="AA343" i="16"/>
  <c r="AG343" i="16" s="1"/>
  <c r="AA266" i="16"/>
  <c r="AG266" i="16" s="1"/>
  <c r="AA262" i="16"/>
  <c r="AG262" i="16" s="1"/>
  <c r="AA88" i="17"/>
  <c r="AA92" i="17"/>
  <c r="AA96" i="17"/>
  <c r="AA259" i="16"/>
  <c r="AG259" i="16" s="1"/>
  <c r="AA369" i="16"/>
  <c r="AG369" i="16" s="1"/>
  <c r="AA374" i="16"/>
  <c r="L374" i="21" s="1"/>
  <c r="O374" i="21" s="1"/>
  <c r="AA371" i="16"/>
  <c r="AG371" i="16" s="1"/>
  <c r="AA246" i="16"/>
  <c r="AG246" i="16" s="1"/>
  <c r="AA244" i="16"/>
  <c r="AG244" i="16" s="1"/>
  <c r="AA76" i="17"/>
  <c r="AA80" i="17"/>
  <c r="AA84" i="17"/>
  <c r="AA247" i="16"/>
  <c r="AG247" i="16" s="1"/>
  <c r="AA186" i="16"/>
  <c r="L186" i="21" s="1"/>
  <c r="O186" i="21" s="1"/>
  <c r="AA189" i="16"/>
  <c r="AG189" i="16" s="1"/>
  <c r="AA190" i="16"/>
  <c r="L190" i="21" s="1"/>
  <c r="O190" i="21" s="1"/>
  <c r="AA384" i="16"/>
  <c r="AG384" i="16" s="1"/>
  <c r="AA405" i="16"/>
  <c r="L405" i="21" s="1"/>
  <c r="O405" i="21" s="1"/>
  <c r="AA434" i="16"/>
  <c r="L434" i="21" s="1"/>
  <c r="O434" i="21" s="1"/>
  <c r="AA401" i="16"/>
  <c r="AG401" i="16" s="1"/>
  <c r="AA381" i="16"/>
  <c r="AG381" i="16" s="1"/>
  <c r="AA402" i="16"/>
  <c r="L402" i="21" s="1"/>
  <c r="O402" i="21" s="1"/>
  <c r="AA430" i="16"/>
  <c r="AG430" i="16" s="1"/>
  <c r="AA385" i="16"/>
  <c r="AG385" i="16" s="1"/>
  <c r="AA438" i="16"/>
  <c r="L438" i="21" s="1"/>
  <c r="O438" i="21" s="1"/>
  <c r="AA398" i="16"/>
  <c r="AG398" i="16" s="1"/>
  <c r="AA422" i="16"/>
  <c r="L422" i="21" s="1"/>
  <c r="O422" i="21" s="1"/>
  <c r="AA379" i="16"/>
  <c r="AG379" i="16" s="1"/>
  <c r="AA395" i="16"/>
  <c r="L395" i="21" s="1"/>
  <c r="O395" i="21" s="1"/>
  <c r="AA415" i="16"/>
  <c r="L415" i="21" s="1"/>
  <c r="O415" i="21" s="1"/>
  <c r="AA451" i="16"/>
  <c r="L454" i="21" s="1"/>
  <c r="AA436" i="16"/>
  <c r="AG436" i="16" s="1"/>
  <c r="AA429" i="16"/>
  <c r="AG429" i="16" s="1"/>
  <c r="AA449" i="16"/>
  <c r="L449" i="21" s="1"/>
  <c r="O449" i="21" s="1"/>
  <c r="AA360" i="16"/>
  <c r="AG360" i="16" s="1"/>
  <c r="AA366" i="16"/>
  <c r="AG366" i="16" s="1"/>
  <c r="AA147" i="16"/>
  <c r="AG147" i="16" s="1"/>
  <c r="AA43" i="17"/>
  <c r="AA41" i="17"/>
  <c r="AA154" i="16"/>
  <c r="AG154" i="16" s="1"/>
  <c r="AA156" i="16"/>
  <c r="AG156" i="16" s="1"/>
  <c r="AA183" i="17"/>
  <c r="AA459" i="16"/>
  <c r="AG459" i="16" s="1"/>
  <c r="AA177" i="17"/>
  <c r="AA185" i="17"/>
  <c r="AJ30" i="25"/>
  <c r="AJ27" i="25"/>
  <c r="AJ21" i="25"/>
  <c r="AA348" i="16"/>
  <c r="AG348" i="16" s="1"/>
  <c r="AA353" i="16"/>
  <c r="AG353" i="16" s="1"/>
  <c r="AA257" i="16"/>
  <c r="AG257" i="16" s="1"/>
  <c r="AA260" i="16"/>
  <c r="AG260" i="16" s="1"/>
  <c r="AA89" i="17"/>
  <c r="AA93" i="17"/>
  <c r="AA97" i="17"/>
  <c r="AA263" i="16"/>
  <c r="AG263" i="16" s="1"/>
  <c r="AA370" i="16"/>
  <c r="AG370" i="16" s="1"/>
  <c r="AA372" i="16"/>
  <c r="L372" i="21" s="1"/>
  <c r="O372" i="21" s="1"/>
  <c r="AA248" i="16"/>
  <c r="AG248" i="16" s="1"/>
  <c r="AA249" i="16"/>
  <c r="AG249" i="16" s="1"/>
  <c r="AA77" i="17"/>
  <c r="AA81" i="17"/>
  <c r="AA85" i="17"/>
  <c r="AA251" i="16"/>
  <c r="AG251" i="16" s="1"/>
  <c r="AA192" i="16"/>
  <c r="AG192" i="16" s="1"/>
  <c r="AA182" i="16"/>
  <c r="AG182" i="16" s="1"/>
  <c r="AA183" i="16"/>
  <c r="L183" i="21" s="1"/>
  <c r="O183" i="21" s="1"/>
  <c r="AA389" i="16"/>
  <c r="AG389" i="16" s="1"/>
  <c r="AA410" i="16"/>
  <c r="AG410" i="16" s="1"/>
  <c r="AA446" i="16"/>
  <c r="AG446" i="16" s="1"/>
  <c r="AA412" i="16"/>
  <c r="L412" i="21" s="1"/>
  <c r="O412" i="21" s="1"/>
  <c r="AA386" i="16"/>
  <c r="L386" i="21" s="1"/>
  <c r="O386" i="21" s="1"/>
  <c r="AA408" i="16"/>
  <c r="L408" i="21" s="1"/>
  <c r="O408" i="21" s="1"/>
  <c r="AA439" i="16"/>
  <c r="AG439" i="16" s="1"/>
  <c r="AA396" i="16"/>
  <c r="L396" i="21" s="1"/>
  <c r="O396" i="21" s="1"/>
  <c r="AA382" i="16"/>
  <c r="AG382" i="16" s="1"/>
  <c r="AA404" i="16"/>
  <c r="AG404" i="16" s="1"/>
  <c r="AA431" i="16"/>
  <c r="AG431" i="16" s="1"/>
  <c r="AA383" i="16"/>
  <c r="L383" i="21" s="1"/>
  <c r="O383" i="21" s="1"/>
  <c r="AA399" i="16"/>
  <c r="AG399" i="16" s="1"/>
  <c r="AA419" i="16"/>
  <c r="AG419" i="16" s="1"/>
  <c r="AA420" i="16"/>
  <c r="AG420" i="16" s="1"/>
  <c r="AA444" i="16"/>
  <c r="AG444" i="16" s="1"/>
  <c r="AA433" i="16"/>
  <c r="L433" i="21" s="1"/>
  <c r="O433" i="21" s="1"/>
  <c r="AA365" i="16"/>
  <c r="AG365" i="16" s="1"/>
  <c r="AA355" i="16"/>
  <c r="AG355" i="16" s="1"/>
  <c r="AA182" i="17"/>
  <c r="AA452" i="16"/>
  <c r="AG452" i="16" s="1"/>
  <c r="AA461" i="16"/>
  <c r="AG461" i="16" s="1"/>
  <c r="AA178" i="17"/>
  <c r="AA454" i="16"/>
  <c r="AG454" i="16" s="1"/>
  <c r="AA411" i="16"/>
  <c r="AG411" i="16" s="1"/>
  <c r="AA435" i="16"/>
  <c r="AG435" i="16" s="1"/>
  <c r="AA424" i="16"/>
  <c r="L424" i="21" s="1"/>
  <c r="O424" i="21" s="1"/>
  <c r="AA440" i="16"/>
  <c r="AG440" i="16" s="1"/>
  <c r="AA421" i="16"/>
  <c r="AG421" i="16" s="1"/>
  <c r="AA437" i="16"/>
  <c r="L437" i="21" s="1"/>
  <c r="O437" i="21" s="1"/>
  <c r="AA358" i="16"/>
  <c r="L358" i="21" s="1"/>
  <c r="O358" i="21" s="1"/>
  <c r="AA356" i="16"/>
  <c r="L356" i="21" s="1"/>
  <c r="O356" i="21" s="1"/>
  <c r="AA359" i="16"/>
  <c r="AG359" i="16" s="1"/>
  <c r="AA155" i="16"/>
  <c r="AG155" i="16" s="1"/>
  <c r="AA39" i="17"/>
  <c r="AA153" i="16"/>
  <c r="AG153" i="16" s="1"/>
  <c r="AA151" i="16"/>
  <c r="AG151" i="16" s="1"/>
  <c r="AA40" i="17"/>
  <c r="AA152" i="16"/>
  <c r="AG152" i="16" s="1"/>
  <c r="AA453" i="16"/>
  <c r="AG453" i="16" s="1"/>
  <c r="AA460" i="16"/>
  <c r="AG460" i="16" s="1"/>
  <c r="AA463" i="16"/>
  <c r="AG463" i="16" s="1"/>
  <c r="AA176" i="17"/>
  <c r="AA180" i="17"/>
  <c r="AA458" i="16"/>
  <c r="AG458" i="16" s="1"/>
  <c r="AG208" i="16"/>
  <c r="L208" i="21"/>
  <c r="O208" i="21" s="1"/>
  <c r="AG216" i="16"/>
  <c r="L216" i="21"/>
  <c r="O216" i="21" s="1"/>
  <c r="AG217" i="16"/>
  <c r="L217" i="21"/>
  <c r="O217" i="21" s="1"/>
  <c r="AG349" i="16"/>
  <c r="L349" i="21"/>
  <c r="O349" i="21" s="1"/>
  <c r="AG350" i="16"/>
  <c r="L350" i="21"/>
  <c r="O350" i="21" s="1"/>
  <c r="AG42" i="16"/>
  <c r="L42" i="21"/>
  <c r="O42" i="21" s="1"/>
  <c r="AG114" i="16"/>
  <c r="L114" i="21"/>
  <c r="O114" i="21" s="1"/>
  <c r="AG116" i="16"/>
  <c r="L116" i="21"/>
  <c r="O116" i="21" s="1"/>
  <c r="AG43" i="16"/>
  <c r="L43" i="21"/>
  <c r="O43" i="21" s="1"/>
  <c r="AG83" i="16"/>
  <c r="L83" i="21"/>
  <c r="O83" i="21" s="1"/>
  <c r="AG279" i="16"/>
  <c r="L290" i="21"/>
  <c r="O290" i="21" s="1"/>
  <c r="L288" i="21"/>
  <c r="L286" i="21"/>
  <c r="O286" i="21" s="1"/>
  <c r="L284" i="21"/>
  <c r="L282" i="21"/>
  <c r="L280" i="21"/>
  <c r="L278" i="21"/>
  <c r="O278" i="21" s="1"/>
  <c r="L276" i="21"/>
  <c r="O276" i="21" s="1"/>
  <c r="L274" i="21"/>
  <c r="O274" i="21" s="1"/>
  <c r="L272" i="21"/>
  <c r="L270" i="21"/>
  <c r="O270" i="21" s="1"/>
  <c r="L268" i="21"/>
  <c r="L266" i="21"/>
  <c r="L264" i="21"/>
  <c r="L262" i="21"/>
  <c r="L260" i="21"/>
  <c r="L258" i="21"/>
  <c r="O258" i="21" s="1"/>
  <c r="L256" i="21"/>
  <c r="O256" i="21" s="1"/>
  <c r="L254" i="21"/>
  <c r="O254" i="21" s="1"/>
  <c r="L252" i="21"/>
  <c r="L250" i="21"/>
  <c r="O250" i="21" s="1"/>
  <c r="L248" i="21"/>
  <c r="O248" i="21" s="1"/>
  <c r="L246" i="21"/>
  <c r="L244" i="21"/>
  <c r="L281" i="21"/>
  <c r="O281" i="21" s="1"/>
  <c r="L275" i="21"/>
  <c r="L265" i="21"/>
  <c r="L259" i="21"/>
  <c r="O259" i="21" s="1"/>
  <c r="L249" i="21"/>
  <c r="L243" i="21"/>
  <c r="O243" i="21" s="1"/>
  <c r="L285" i="21"/>
  <c r="O285" i="21" s="1"/>
  <c r="L279" i="21"/>
  <c r="O279" i="21" s="1"/>
  <c r="L269" i="21"/>
  <c r="O269" i="21" s="1"/>
  <c r="L263" i="21"/>
  <c r="L253" i="21"/>
  <c r="L247" i="21"/>
  <c r="L289" i="21"/>
  <c r="L283" i="21"/>
  <c r="O283" i="21" s="1"/>
  <c r="L273" i="21"/>
  <c r="O273" i="21" s="1"/>
  <c r="L267" i="21"/>
  <c r="O267" i="21" s="1"/>
  <c r="L257" i="21"/>
  <c r="L251" i="21"/>
  <c r="L271" i="21"/>
  <c r="O271" i="21" s="1"/>
  <c r="L287" i="21"/>
  <c r="L245" i="21"/>
  <c r="O245" i="21" s="1"/>
  <c r="L261" i="21"/>
  <c r="L255" i="21"/>
  <c r="O255" i="21" s="1"/>
  <c r="L277" i="21"/>
  <c r="O277" i="21" s="1"/>
  <c r="AG475" i="16"/>
  <c r="L475" i="21"/>
  <c r="O475" i="21" s="1"/>
  <c r="AG465" i="16"/>
  <c r="L465" i="21"/>
  <c r="O465" i="21" s="1"/>
  <c r="AG202" i="16"/>
  <c r="L202" i="21"/>
  <c r="O202" i="21" s="1"/>
  <c r="AG200" i="16"/>
  <c r="L200" i="21"/>
  <c r="O200" i="21" s="1"/>
  <c r="AG195" i="16"/>
  <c r="L195" i="21"/>
  <c r="O195" i="21" s="1"/>
  <c r="AG378" i="16"/>
  <c r="L378" i="21"/>
  <c r="O378" i="21" s="1"/>
  <c r="L224" i="21"/>
  <c r="O224" i="21" s="1"/>
  <c r="AG225" i="16"/>
  <c r="L225" i="21"/>
  <c r="O225" i="21" s="1"/>
  <c r="AG230" i="16"/>
  <c r="L230" i="21"/>
  <c r="O230" i="21" s="1"/>
  <c r="AG233" i="16"/>
  <c r="L233" i="21"/>
  <c r="O233" i="21" s="1"/>
  <c r="AG223" i="16"/>
  <c r="L223" i="21"/>
  <c r="O223" i="21" s="1"/>
  <c r="AG239" i="16"/>
  <c r="L239" i="21"/>
  <c r="O239" i="21" s="1"/>
  <c r="AG185" i="16"/>
  <c r="L185" i="21"/>
  <c r="O185" i="21" s="1"/>
  <c r="AG400" i="16"/>
  <c r="L400" i="21"/>
  <c r="O400" i="21" s="1"/>
  <c r="AG423" i="16"/>
  <c r="L423" i="21"/>
  <c r="O423" i="21" s="1"/>
  <c r="AG447" i="16"/>
  <c r="L447" i="21"/>
  <c r="O447" i="21" s="1"/>
  <c r="AG397" i="16"/>
  <c r="L397" i="21"/>
  <c r="O397" i="21" s="1"/>
  <c r="AG442" i="16"/>
  <c r="L442" i="21"/>
  <c r="O442" i="21" s="1"/>
  <c r="AG383" i="16"/>
  <c r="AG415" i="16"/>
  <c r="L443" i="21"/>
  <c r="O443" i="21" s="1"/>
  <c r="AG424" i="16"/>
  <c r="AG449" i="16"/>
  <c r="AG357" i="16"/>
  <c r="L357" i="21"/>
  <c r="O357" i="21" s="1"/>
  <c r="L343" i="21"/>
  <c r="AG48" i="16"/>
  <c r="L48" i="21"/>
  <c r="O48" i="21" s="1"/>
  <c r="AG120" i="16"/>
  <c r="L120" i="21"/>
  <c r="O120" i="21" s="1"/>
  <c r="AG112" i="16"/>
  <c r="L112" i="21"/>
  <c r="O112" i="21" s="1"/>
  <c r="AG44" i="16"/>
  <c r="L44" i="21"/>
  <c r="O44" i="21" s="1"/>
  <c r="L80" i="21"/>
  <c r="O80" i="21" s="1"/>
  <c r="AG47" i="16"/>
  <c r="L47" i="21"/>
  <c r="O47" i="21" s="1"/>
  <c r="AG111" i="16"/>
  <c r="L111" i="21"/>
  <c r="O111" i="21" s="1"/>
  <c r="AG471" i="16"/>
  <c r="AG464" i="16"/>
  <c r="L464" i="21"/>
  <c r="AG198" i="16"/>
  <c r="L198" i="21"/>
  <c r="O198" i="21" s="1"/>
  <c r="AG199" i="16"/>
  <c r="L199" i="21"/>
  <c r="O199" i="21" s="1"/>
  <c r="AG374" i="16"/>
  <c r="AG229" i="16"/>
  <c r="L229" i="21"/>
  <c r="O229" i="21" s="1"/>
  <c r="AG236" i="16"/>
  <c r="AG237" i="16"/>
  <c r="L237" i="21"/>
  <c r="O237" i="21" s="1"/>
  <c r="AG241" i="16"/>
  <c r="L241" i="21"/>
  <c r="O241" i="21" s="1"/>
  <c r="AG227" i="16"/>
  <c r="L227" i="21"/>
  <c r="O227" i="21" s="1"/>
  <c r="AG186" i="16"/>
  <c r="AG190" i="16"/>
  <c r="AG405" i="16"/>
  <c r="AG402" i="16"/>
  <c r="AG393" i="16"/>
  <c r="L393" i="21"/>
  <c r="O393" i="21" s="1"/>
  <c r="AG414" i="16"/>
  <c r="L414" i="21"/>
  <c r="O414" i="21" s="1"/>
  <c r="AG387" i="16"/>
  <c r="L387" i="21"/>
  <c r="O387" i="21" s="1"/>
  <c r="AG403" i="16"/>
  <c r="L403" i="21"/>
  <c r="O403" i="21" s="1"/>
  <c r="L458" i="21"/>
  <c r="L455" i="21"/>
  <c r="L457" i="21"/>
  <c r="O457" i="21" s="1"/>
  <c r="L444" i="21"/>
  <c r="O444" i="21" s="1"/>
  <c r="AG362" i="16"/>
  <c r="L362" i="21"/>
  <c r="O362" i="21" s="1"/>
  <c r="AG364" i="16"/>
  <c r="L364" i="21"/>
  <c r="O364" i="21" s="1"/>
  <c r="AG213" i="16"/>
  <c r="L213" i="21"/>
  <c r="O213" i="21" s="1"/>
  <c r="AG207" i="16"/>
  <c r="L207" i="21"/>
  <c r="O207" i="21" s="1"/>
  <c r="L214" i="21"/>
  <c r="O214" i="21" s="1"/>
  <c r="L206" i="21"/>
  <c r="O206" i="21" s="1"/>
  <c r="AG211" i="16"/>
  <c r="L211" i="21"/>
  <c r="O211" i="21" s="1"/>
  <c r="AG347" i="16"/>
  <c r="L347" i="21"/>
  <c r="O347" i="21" s="1"/>
  <c r="AG76" i="16"/>
  <c r="L76" i="21"/>
  <c r="O76" i="21" s="1"/>
  <c r="AG117" i="16"/>
  <c r="L117" i="21"/>
  <c r="O117" i="21" s="1"/>
  <c r="AG41" i="16"/>
  <c r="L41" i="21"/>
  <c r="O41" i="21" s="1"/>
  <c r="AG85" i="16"/>
  <c r="L85" i="21"/>
  <c r="O85" i="21" s="1"/>
  <c r="AG115" i="16"/>
  <c r="L115" i="21"/>
  <c r="O115" i="21" s="1"/>
  <c r="AG474" i="16"/>
  <c r="L474" i="21"/>
  <c r="O474" i="21" s="1"/>
  <c r="AG468" i="16"/>
  <c r="L468" i="21"/>
  <c r="O468" i="21" s="1"/>
  <c r="AG473" i="16"/>
  <c r="L473" i="21"/>
  <c r="O473" i="21" s="1"/>
  <c r="AG204" i="16"/>
  <c r="L204" i="21"/>
  <c r="O204" i="21" s="1"/>
  <c r="L196" i="21"/>
  <c r="O196" i="21" s="1"/>
  <c r="AG375" i="16"/>
  <c r="AG234" i="16"/>
  <c r="L234" i="21"/>
  <c r="O234" i="21" s="1"/>
  <c r="AG221" i="16"/>
  <c r="L221" i="21"/>
  <c r="O221" i="21" s="1"/>
  <c r="AG242" i="16"/>
  <c r="L242" i="21"/>
  <c r="O242" i="21" s="1"/>
  <c r="AG231" i="16"/>
  <c r="L231" i="21"/>
  <c r="O231" i="21" s="1"/>
  <c r="AG183" i="16"/>
  <c r="AG412" i="16"/>
  <c r="AG396" i="16"/>
  <c r="L398" i="21"/>
  <c r="O398" i="21" s="1"/>
  <c r="AG422" i="16"/>
  <c r="AG407" i="16"/>
  <c r="L407" i="21"/>
  <c r="O407" i="21" s="1"/>
  <c r="AG425" i="16"/>
  <c r="L425" i="21"/>
  <c r="O425" i="21" s="1"/>
  <c r="AG441" i="16"/>
  <c r="L441" i="21"/>
  <c r="O441" i="21" s="1"/>
  <c r="AG358" i="16"/>
  <c r="AG210" i="16"/>
  <c r="L210" i="21"/>
  <c r="O210" i="21" s="1"/>
  <c r="AG212" i="16"/>
  <c r="L212" i="21"/>
  <c r="O212" i="21" s="1"/>
  <c r="AG215" i="16"/>
  <c r="L215" i="21"/>
  <c r="O215" i="21" s="1"/>
  <c r="AG344" i="16"/>
  <c r="L344" i="21"/>
  <c r="O344" i="21" s="1"/>
  <c r="AG345" i="16"/>
  <c r="L345" i="21"/>
  <c r="O345" i="21" s="1"/>
  <c r="AG81" i="16"/>
  <c r="L81" i="21"/>
  <c r="O81" i="21" s="1"/>
  <c r="L148" i="21"/>
  <c r="O148" i="21" s="1"/>
  <c r="L150" i="21"/>
  <c r="O150" i="21" s="1"/>
  <c r="L155" i="21"/>
  <c r="AG78" i="16"/>
  <c r="L78" i="21"/>
  <c r="O78" i="21" s="1"/>
  <c r="AG82" i="16"/>
  <c r="L82" i="21"/>
  <c r="O82" i="21" s="1"/>
  <c r="AG46" i="16"/>
  <c r="L46" i="21"/>
  <c r="O46" i="21" s="1"/>
  <c r="AG113" i="16"/>
  <c r="L113" i="21"/>
  <c r="O113" i="21" s="1"/>
  <c r="AG39" i="16"/>
  <c r="L39" i="21"/>
  <c r="O39" i="21" s="1"/>
  <c r="AG79" i="16"/>
  <c r="L79" i="21"/>
  <c r="O79" i="21" s="1"/>
  <c r="L119" i="21"/>
  <c r="O119" i="21" s="1"/>
  <c r="AG466" i="16"/>
  <c r="L466" i="21"/>
  <c r="O466" i="21" s="1"/>
  <c r="AG467" i="16"/>
  <c r="L467" i="21"/>
  <c r="O467" i="21" s="1"/>
  <c r="AG472" i="16"/>
  <c r="L472" i="21"/>
  <c r="O472" i="21" s="1"/>
  <c r="AG197" i="16"/>
  <c r="L197" i="21"/>
  <c r="O197" i="21" s="1"/>
  <c r="AG194" i="16"/>
  <c r="L194" i="21"/>
  <c r="O194" i="21" s="1"/>
  <c r="AG201" i="16"/>
  <c r="L201" i="21"/>
  <c r="O201" i="21" s="1"/>
  <c r="AG373" i="16"/>
  <c r="L373" i="21"/>
  <c r="O373" i="21" s="1"/>
  <c r="L342" i="21"/>
  <c r="O342" i="21" s="1"/>
  <c r="L334" i="21"/>
  <c r="O334" i="21" s="1"/>
  <c r="L326" i="21"/>
  <c r="L339" i="21"/>
  <c r="O339" i="21" s="1"/>
  <c r="L323" i="21"/>
  <c r="O323" i="21" s="1"/>
  <c r="L307" i="21"/>
  <c r="O307" i="21" s="1"/>
  <c r="L291" i="21"/>
  <c r="L329" i="21"/>
  <c r="O329" i="21" s="1"/>
  <c r="L313" i="21"/>
  <c r="O313" i="21" s="1"/>
  <c r="L297" i="21"/>
  <c r="O297" i="21" s="1"/>
  <c r="L304" i="21"/>
  <c r="O304" i="21" s="1"/>
  <c r="L310" i="21"/>
  <c r="O310" i="21" s="1"/>
  <c r="L317" i="21"/>
  <c r="O317" i="21" s="1"/>
  <c r="L218" i="21"/>
  <c r="O218" i="21" s="1"/>
  <c r="AG240" i="16"/>
  <c r="L240" i="21"/>
  <c r="O240" i="21" s="1"/>
  <c r="AG226" i="16"/>
  <c r="L226" i="21"/>
  <c r="O226" i="21" s="1"/>
  <c r="AG219" i="16"/>
  <c r="L219" i="21"/>
  <c r="O219" i="21" s="1"/>
  <c r="AG235" i="16"/>
  <c r="L235" i="21"/>
  <c r="O235" i="21" s="1"/>
  <c r="L187" i="21"/>
  <c r="O187" i="21" s="1"/>
  <c r="AG394" i="16"/>
  <c r="L394" i="21"/>
  <c r="O394" i="21" s="1"/>
  <c r="AG416" i="16"/>
  <c r="L416" i="21"/>
  <c r="O416" i="21" s="1"/>
  <c r="AG380" i="16"/>
  <c r="L380" i="21"/>
  <c r="O380" i="21" s="1"/>
  <c r="AG426" i="16"/>
  <c r="L426" i="21"/>
  <c r="O426" i="21" s="1"/>
  <c r="L382" i="21"/>
  <c r="O382" i="21" s="1"/>
  <c r="L404" i="21"/>
  <c r="O404" i="21" s="1"/>
  <c r="L379" i="21"/>
  <c r="O379" i="21" s="1"/>
  <c r="L411" i="21"/>
  <c r="O411" i="21" s="1"/>
  <c r="AG361" i="16"/>
  <c r="L361" i="21"/>
  <c r="O361" i="21" s="1"/>
  <c r="AG363" i="16"/>
  <c r="L363" i="21"/>
  <c r="O363" i="21" s="1"/>
  <c r="AB46" i="13"/>
  <c r="AB46" i="10"/>
  <c r="AB46" i="12"/>
  <c r="AB46" i="11"/>
  <c r="Y5" i="13"/>
  <c r="X44" i="13"/>
  <c r="Y5" i="12"/>
  <c r="X44" i="12"/>
  <c r="L435" i="21" l="1"/>
  <c r="O435" i="21" s="1"/>
  <c r="L294" i="21"/>
  <c r="O294" i="21" s="1"/>
  <c r="L311" i="21"/>
  <c r="O311" i="21" s="1"/>
  <c r="L314" i="21"/>
  <c r="O314" i="21" s="1"/>
  <c r="L292" i="21"/>
  <c r="O292" i="21" s="1"/>
  <c r="L327" i="21"/>
  <c r="O327" i="21" s="1"/>
  <c r="L328" i="21"/>
  <c r="O328" i="21" s="1"/>
  <c r="AG218" i="16"/>
  <c r="L151" i="21"/>
  <c r="L149" i="21"/>
  <c r="O149" i="21" s="1"/>
  <c r="L152" i="21"/>
  <c r="O152" i="21" s="1"/>
  <c r="L410" i="21"/>
  <c r="O410" i="21" s="1"/>
  <c r="L203" i="21"/>
  <c r="O203" i="21" s="1"/>
  <c r="O455" i="21"/>
  <c r="O284" i="21"/>
  <c r="L84" i="21"/>
  <c r="O84" i="21" s="1"/>
  <c r="L293" i="21"/>
  <c r="O293" i="21" s="1"/>
  <c r="L318" i="21"/>
  <c r="O318" i="21" s="1"/>
  <c r="L298" i="21"/>
  <c r="O298" i="21" s="1"/>
  <c r="L333" i="21"/>
  <c r="O333" i="21" s="1"/>
  <c r="L308" i="21"/>
  <c r="O308" i="21" s="1"/>
  <c r="L320" i="21"/>
  <c r="O320" i="21" s="1"/>
  <c r="L336" i="21"/>
  <c r="O336" i="21" s="1"/>
  <c r="L413" i="21"/>
  <c r="O413" i="21" s="1"/>
  <c r="L228" i="21"/>
  <c r="O228" i="21" s="1"/>
  <c r="L295" i="21"/>
  <c r="O295" i="21" s="1"/>
  <c r="L296" i="21"/>
  <c r="O296" i="21" s="1"/>
  <c r="L301" i="21"/>
  <c r="O301" i="21" s="1"/>
  <c r="L312" i="21"/>
  <c r="O312" i="21" s="1"/>
  <c r="L305" i="21"/>
  <c r="O305" i="21" s="1"/>
  <c r="L321" i="21"/>
  <c r="O321" i="21" s="1"/>
  <c r="L337" i="21"/>
  <c r="O337" i="21" s="1"/>
  <c r="L299" i="21"/>
  <c r="O299" i="21" s="1"/>
  <c r="L315" i="21"/>
  <c r="O315" i="21" s="1"/>
  <c r="L331" i="21"/>
  <c r="O331" i="21" s="1"/>
  <c r="L322" i="21"/>
  <c r="O322" i="21" s="1"/>
  <c r="L330" i="21"/>
  <c r="O330" i="21" s="1"/>
  <c r="L338" i="21"/>
  <c r="O338" i="21" s="1"/>
  <c r="L121" i="21"/>
  <c r="O121" i="21" s="1"/>
  <c r="L147" i="21"/>
  <c r="L153" i="21"/>
  <c r="L156" i="21"/>
  <c r="L351" i="21"/>
  <c r="O351" i="21" s="1"/>
  <c r="L391" i="21"/>
  <c r="O391" i="21" s="1"/>
  <c r="L77" i="21"/>
  <c r="O77" i="21" s="1"/>
  <c r="L417" i="21"/>
  <c r="O417" i="21" s="1"/>
  <c r="O265" i="21"/>
  <c r="AG74" i="16"/>
  <c r="L309" i="21"/>
  <c r="O309" i="21" s="1"/>
  <c r="L302" i="21"/>
  <c r="O302" i="21" s="1"/>
  <c r="L303" i="21"/>
  <c r="O303" i="21" s="1"/>
  <c r="L319" i="21"/>
  <c r="O319" i="21" s="1"/>
  <c r="L306" i="21"/>
  <c r="L325" i="21"/>
  <c r="O325" i="21" s="1"/>
  <c r="L341" i="21"/>
  <c r="L300" i="21"/>
  <c r="L316" i="21"/>
  <c r="L335" i="21"/>
  <c r="O335" i="21" s="1"/>
  <c r="L324" i="21"/>
  <c r="O324" i="21" s="1"/>
  <c r="L332" i="21"/>
  <c r="O332" i="21" s="1"/>
  <c r="L146" i="21"/>
  <c r="O146" i="21" s="1"/>
  <c r="L154" i="21"/>
  <c r="O154" i="21" s="1"/>
  <c r="L157" i="21"/>
  <c r="O157" i="21" s="1"/>
  <c r="L427" i="21"/>
  <c r="O427" i="21" s="1"/>
  <c r="AG408" i="16"/>
  <c r="L365" i="21"/>
  <c r="O365" i="21" s="1"/>
  <c r="O272" i="21"/>
  <c r="O288" i="21"/>
  <c r="AP4" i="16"/>
  <c r="AQ4" i="16" s="1"/>
  <c r="AC10" i="21"/>
  <c r="L222" i="21"/>
  <c r="O222" i="21" s="1"/>
  <c r="AG232" i="16"/>
  <c r="O287" i="21"/>
  <c r="O268" i="21"/>
  <c r="K11" i="31"/>
  <c r="M11" i="31" s="1"/>
  <c r="L75" i="21"/>
  <c r="O75" i="21" s="1"/>
  <c r="L406" i="21"/>
  <c r="O406" i="21" s="1"/>
  <c r="AG448" i="16"/>
  <c r="L45" i="21"/>
  <c r="O45" i="21" s="1"/>
  <c r="L238" i="21"/>
  <c r="O238" i="21" s="1"/>
  <c r="AG354" i="16"/>
  <c r="AG368" i="16"/>
  <c r="O253" i="21"/>
  <c r="K7" i="31"/>
  <c r="K13" i="31" s="1"/>
  <c r="L377" i="21"/>
  <c r="O377" i="21" s="1"/>
  <c r="L220" i="21"/>
  <c r="O220" i="21" s="1"/>
  <c r="O306" i="21"/>
  <c r="O341" i="21"/>
  <c r="O300" i="21"/>
  <c r="O316" i="21"/>
  <c r="AG437" i="16"/>
  <c r="O458" i="21"/>
  <c r="L205" i="21"/>
  <c r="O205" i="21" s="1"/>
  <c r="L469" i="21"/>
  <c r="O469" i="21" s="1"/>
  <c r="L49" i="21"/>
  <c r="O49" i="21" s="1"/>
  <c r="L209" i="21"/>
  <c r="O209" i="21" s="1"/>
  <c r="L470" i="21"/>
  <c r="O470" i="21" s="1"/>
  <c r="O275" i="21"/>
  <c r="O280" i="21"/>
  <c r="L429" i="21"/>
  <c r="O429" i="21" s="1"/>
  <c r="L450" i="21"/>
  <c r="O450" i="21" s="1"/>
  <c r="O326" i="21"/>
  <c r="L110" i="21"/>
  <c r="O110" i="21" s="1"/>
  <c r="O289" i="21"/>
  <c r="O282" i="21"/>
  <c r="L188" i="21"/>
  <c r="O188" i="21" s="1"/>
  <c r="O147" i="21"/>
  <c r="O156" i="21"/>
  <c r="AG372" i="16"/>
  <c r="AG438" i="16"/>
  <c r="L390" i="21"/>
  <c r="O390" i="21" s="1"/>
  <c r="L346" i="21"/>
  <c r="O346" i="21" s="1"/>
  <c r="L445" i="21"/>
  <c r="O445" i="21" s="1"/>
  <c r="AG395" i="16"/>
  <c r="L388" i="21"/>
  <c r="O388" i="21" s="1"/>
  <c r="O247" i="21"/>
  <c r="O244" i="21"/>
  <c r="O252" i="21"/>
  <c r="L439" i="21"/>
  <c r="O439" i="21" s="1"/>
  <c r="L446" i="21"/>
  <c r="O446" i="21" s="1"/>
  <c r="L182" i="21"/>
  <c r="O182" i="21" s="1"/>
  <c r="L353" i="21"/>
  <c r="O353" i="21" s="1"/>
  <c r="L355" i="21"/>
  <c r="O355" i="21" s="1"/>
  <c r="L384" i="21"/>
  <c r="O384" i="21" s="1"/>
  <c r="L118" i="21"/>
  <c r="O118" i="21" s="1"/>
  <c r="L420" i="21"/>
  <c r="O420" i="21" s="1"/>
  <c r="L431" i="21"/>
  <c r="O431" i="21" s="1"/>
  <c r="L193" i="21"/>
  <c r="O193" i="21" s="1"/>
  <c r="L376" i="21"/>
  <c r="O376" i="21" s="1"/>
  <c r="O155" i="21"/>
  <c r="L428" i="21"/>
  <c r="O428" i="21" s="1"/>
  <c r="L381" i="21"/>
  <c r="O381" i="21" s="1"/>
  <c r="L369" i="21"/>
  <c r="O369" i="21" s="1"/>
  <c r="L40" i="21"/>
  <c r="O40" i="21" s="1"/>
  <c r="L409" i="21"/>
  <c r="O409" i="21" s="1"/>
  <c r="L191" i="21"/>
  <c r="O191" i="21" s="1"/>
  <c r="O264" i="21"/>
  <c r="L392" i="21"/>
  <c r="O392" i="21" s="1"/>
  <c r="L359" i="21"/>
  <c r="O359" i="21" s="1"/>
  <c r="L192" i="21"/>
  <c r="O192" i="21" s="1"/>
  <c r="L370" i="21"/>
  <c r="O370" i="21" s="1"/>
  <c r="L348" i="21"/>
  <c r="O348" i="21" s="1"/>
  <c r="L421" i="21"/>
  <c r="O421" i="21" s="1"/>
  <c r="L419" i="21"/>
  <c r="O419" i="21" s="1"/>
  <c r="L385" i="21"/>
  <c r="O385" i="21" s="1"/>
  <c r="O246" i="21"/>
  <c r="O262" i="21"/>
  <c r="L38" i="21"/>
  <c r="O38" i="21" s="1"/>
  <c r="O454" i="21"/>
  <c r="O151" i="21"/>
  <c r="L432" i="21"/>
  <c r="O432" i="21" s="1"/>
  <c r="L401" i="21"/>
  <c r="O401" i="21" s="1"/>
  <c r="L352" i="21"/>
  <c r="O352" i="21" s="1"/>
  <c r="L366" i="21"/>
  <c r="O366" i="21" s="1"/>
  <c r="L418" i="21"/>
  <c r="O418" i="21" s="1"/>
  <c r="L184" i="21"/>
  <c r="O184" i="21" s="1"/>
  <c r="L367" i="21"/>
  <c r="O367" i="21" s="1"/>
  <c r="O261" i="21"/>
  <c r="L436" i="21"/>
  <c r="O436" i="21" s="1"/>
  <c r="L389" i="21"/>
  <c r="O389" i="21" s="1"/>
  <c r="L451" i="21"/>
  <c r="O451" i="21" s="1"/>
  <c r="L459" i="21"/>
  <c r="O459" i="21" s="1"/>
  <c r="L430" i="21"/>
  <c r="O430" i="21" s="1"/>
  <c r="L189" i="21"/>
  <c r="O189" i="21" s="1"/>
  <c r="L371" i="21"/>
  <c r="O371" i="21" s="1"/>
  <c r="L399" i="21"/>
  <c r="O399" i="21" s="1"/>
  <c r="O251" i="21"/>
  <c r="O263" i="21"/>
  <c r="L360" i="21"/>
  <c r="O360" i="21" s="1"/>
  <c r="AG356" i="16"/>
  <c r="AG386" i="16"/>
  <c r="AP3" i="16"/>
  <c r="AQ3" i="16" s="1"/>
  <c r="L461" i="21"/>
  <c r="O461" i="21" s="1"/>
  <c r="L460" i="21"/>
  <c r="O460" i="21" s="1"/>
  <c r="L463" i="21"/>
  <c r="O463" i="21" s="1"/>
  <c r="AG451" i="16"/>
  <c r="AG434" i="16"/>
  <c r="AG433" i="16"/>
  <c r="O257" i="21"/>
  <c r="O249" i="21"/>
  <c r="O266" i="21"/>
  <c r="L453" i="21"/>
  <c r="O453" i="21" s="1"/>
  <c r="L462" i="21"/>
  <c r="O462" i="21" s="1"/>
  <c r="L452" i="21"/>
  <c r="O452" i="21" s="1"/>
  <c r="L456" i="21"/>
  <c r="O456" i="21" s="1"/>
  <c r="O260" i="21"/>
  <c r="L440" i="21"/>
  <c r="O440" i="21" s="1"/>
  <c r="M9" i="31"/>
  <c r="K15" i="31"/>
  <c r="K14" i="31"/>
  <c r="O153" i="21"/>
  <c r="M7" i="31"/>
  <c r="M13" i="31" s="1"/>
  <c r="AP6" i="16"/>
  <c r="AQ6" i="16" s="1"/>
  <c r="AC12" i="21"/>
  <c r="O343" i="21"/>
  <c r="AC9" i="21"/>
  <c r="T10" i="21"/>
  <c r="O291" i="21"/>
  <c r="O464" i="21"/>
  <c r="W12" i="21" s="1"/>
  <c r="Y44" i="12"/>
  <c r="AB5" i="12"/>
  <c r="AB44" i="12" s="1"/>
  <c r="Y44" i="13"/>
  <c r="AB5" i="13"/>
  <c r="T12" i="21" l="1"/>
  <c r="W10" i="21"/>
  <c r="T9" i="21"/>
  <c r="W9" i="21"/>
  <c r="AC11" i="21"/>
  <c r="AP5" i="16"/>
  <c r="AQ5" i="16" s="1"/>
  <c r="W11" i="21"/>
  <c r="T11" i="21"/>
  <c r="M15" i="31"/>
  <c r="M14" i="31"/>
  <c r="AJ5" i="25"/>
  <c r="G8" i="23"/>
  <c r="I8" i="23" s="1"/>
  <c r="D18" i="23" s="1"/>
  <c r="G13" i="23"/>
  <c r="I13" i="23" s="1"/>
  <c r="Z12" i="21"/>
  <c r="AH12" i="21" s="1"/>
  <c r="Z10" i="21"/>
  <c r="AH10" i="21" s="1"/>
  <c r="AA172" i="16"/>
  <c r="AG172" i="16" s="1"/>
  <c r="AA72" i="17"/>
  <c r="AA68" i="17"/>
  <c r="AA64" i="17"/>
  <c r="AA170" i="16"/>
  <c r="AG170" i="16" s="1"/>
  <c r="AA66" i="17"/>
  <c r="AA62" i="17"/>
  <c r="AA181" i="16"/>
  <c r="AG181" i="16" s="1"/>
  <c r="AA179" i="16"/>
  <c r="AG179" i="16" s="1"/>
  <c r="AA177" i="16"/>
  <c r="AG177" i="16" s="1"/>
  <c r="AA171" i="16"/>
  <c r="AG171" i="16" s="1"/>
  <c r="AA73" i="17"/>
  <c r="AA65" i="17"/>
  <c r="AA173" i="16"/>
  <c r="AG173" i="16" s="1"/>
  <c r="AA71" i="17"/>
  <c r="AA67" i="17"/>
  <c r="AA63" i="17"/>
  <c r="AA174" i="16"/>
  <c r="AG174" i="16" s="1"/>
  <c r="AA70" i="17"/>
  <c r="AA180" i="16"/>
  <c r="AG180" i="16" s="1"/>
  <c r="AA178" i="16"/>
  <c r="AG178" i="16" s="1"/>
  <c r="AA176" i="16"/>
  <c r="AG176" i="16" s="1"/>
  <c r="AA175" i="16"/>
  <c r="AG175" i="16" s="1"/>
  <c r="AA69" i="17"/>
  <c r="AB44" i="13"/>
  <c r="AA143" i="16"/>
  <c r="AA139" i="16"/>
  <c r="AA135" i="16"/>
  <c r="AA107" i="16"/>
  <c r="AA103" i="16"/>
  <c r="AA99" i="16"/>
  <c r="AA71" i="16"/>
  <c r="AA67" i="16"/>
  <c r="AA63" i="16"/>
  <c r="AA141" i="16"/>
  <c r="AA136" i="16"/>
  <c r="AA108" i="16"/>
  <c r="AA102" i="16"/>
  <c r="AA69" i="16"/>
  <c r="AA64" i="16"/>
  <c r="AA138" i="16"/>
  <c r="AA105" i="16"/>
  <c r="AA66" i="16"/>
  <c r="AA145" i="16"/>
  <c r="AA140" i="16"/>
  <c r="AA134" i="16"/>
  <c r="AA106" i="16"/>
  <c r="AA101" i="16"/>
  <c r="AA73" i="16"/>
  <c r="AA68" i="16"/>
  <c r="AA62" i="16"/>
  <c r="AA144" i="16"/>
  <c r="AA100" i="16"/>
  <c r="AA72" i="16"/>
  <c r="AA142" i="16"/>
  <c r="AA137" i="16"/>
  <c r="AA109" i="16"/>
  <c r="AA104" i="16"/>
  <c r="AA98" i="16"/>
  <c r="AA70" i="16"/>
  <c r="AA65" i="16"/>
  <c r="Z9" i="21" l="1"/>
  <c r="AH9" i="21" s="1"/>
  <c r="AP8" i="16"/>
  <c r="AQ8" i="16" s="1"/>
  <c r="Z11" i="21"/>
  <c r="AH11" i="21" s="1"/>
  <c r="AG98" i="16"/>
  <c r="L98" i="21"/>
  <c r="O98" i="21" s="1"/>
  <c r="AG68" i="16"/>
  <c r="L68" i="21"/>
  <c r="O68" i="21" s="1"/>
  <c r="AG65" i="16"/>
  <c r="L65" i="21"/>
  <c r="O65" i="21" s="1"/>
  <c r="AG101" i="16"/>
  <c r="L101" i="21"/>
  <c r="O101" i="21" s="1"/>
  <c r="AG105" i="16"/>
  <c r="L105" i="21"/>
  <c r="O105" i="21" s="1"/>
  <c r="AG141" i="16"/>
  <c r="L141" i="21"/>
  <c r="O141" i="21" s="1"/>
  <c r="AG135" i="16"/>
  <c r="L135" i="21"/>
  <c r="O135" i="21" s="1"/>
  <c r="AG142" i="16"/>
  <c r="L142" i="21"/>
  <c r="O142" i="21" s="1"/>
  <c r="AG134" i="16"/>
  <c r="L134" i="21"/>
  <c r="O134" i="21" s="1"/>
  <c r="AG108" i="16"/>
  <c r="L108" i="21"/>
  <c r="O108" i="21" s="1"/>
  <c r="AG109" i="16"/>
  <c r="L109" i="21"/>
  <c r="O109" i="21" s="1"/>
  <c r="AG145" i="16"/>
  <c r="L180" i="21"/>
  <c r="O180" i="21" s="1"/>
  <c r="L176" i="21"/>
  <c r="O176" i="21" s="1"/>
  <c r="L172" i="21"/>
  <c r="O172" i="21" s="1"/>
  <c r="L181" i="21"/>
  <c r="O181" i="21" s="1"/>
  <c r="L177" i="21"/>
  <c r="O177" i="21" s="1"/>
  <c r="L173" i="21"/>
  <c r="O173" i="21" s="1"/>
  <c r="L179" i="21"/>
  <c r="O179" i="21" s="1"/>
  <c r="L170" i="21"/>
  <c r="O170" i="21" s="1"/>
  <c r="L174" i="21"/>
  <c r="O174" i="21" s="1"/>
  <c r="L178" i="21"/>
  <c r="O178" i="21" s="1"/>
  <c r="L171" i="21"/>
  <c r="O171" i="21" s="1"/>
  <c r="L175" i="21"/>
  <c r="O175" i="21" s="1"/>
  <c r="L145" i="21"/>
  <c r="O145" i="21" s="1"/>
  <c r="AG69" i="16"/>
  <c r="L69" i="21"/>
  <c r="O69" i="21" s="1"/>
  <c r="AG71" i="16"/>
  <c r="L71" i="21"/>
  <c r="O71" i="21" s="1"/>
  <c r="AG70" i="16"/>
  <c r="L70" i="21"/>
  <c r="O70" i="21" s="1"/>
  <c r="AG137" i="16"/>
  <c r="L137" i="21"/>
  <c r="O137" i="21" s="1"/>
  <c r="AG72" i="16"/>
  <c r="L72" i="21"/>
  <c r="O72" i="21" s="1"/>
  <c r="AG62" i="16"/>
  <c r="L62" i="21"/>
  <c r="AG106" i="16"/>
  <c r="L106" i="21"/>
  <c r="O106" i="21" s="1"/>
  <c r="AG138" i="16"/>
  <c r="L138" i="21"/>
  <c r="O138" i="21" s="1"/>
  <c r="AG102" i="16"/>
  <c r="L102" i="21"/>
  <c r="O102" i="21" s="1"/>
  <c r="AG99" i="16"/>
  <c r="L99" i="21"/>
  <c r="O99" i="21" s="1"/>
  <c r="AG139" i="16"/>
  <c r="L139" i="21"/>
  <c r="O139" i="21" s="1"/>
  <c r="AG100" i="16"/>
  <c r="L100" i="21"/>
  <c r="O100" i="21" s="1"/>
  <c r="AG63" i="16"/>
  <c r="L63" i="21"/>
  <c r="O63" i="21" s="1"/>
  <c r="AG103" i="16"/>
  <c r="L103" i="21"/>
  <c r="O103" i="21" s="1"/>
  <c r="AG143" i="16"/>
  <c r="L143" i="21"/>
  <c r="O143" i="21" s="1"/>
  <c r="AG104" i="16"/>
  <c r="L104" i="21"/>
  <c r="O104" i="21" s="1"/>
  <c r="AG144" i="16"/>
  <c r="L144" i="21"/>
  <c r="O144" i="21" s="1"/>
  <c r="AG73" i="16"/>
  <c r="L73" i="21"/>
  <c r="O73" i="21" s="1"/>
  <c r="AG140" i="16"/>
  <c r="L140" i="21"/>
  <c r="O140" i="21" s="1"/>
  <c r="AG66" i="16"/>
  <c r="L66" i="21"/>
  <c r="O66" i="21" s="1"/>
  <c r="AG64" i="16"/>
  <c r="L64" i="21"/>
  <c r="O64" i="21" s="1"/>
  <c r="AG136" i="16"/>
  <c r="L136" i="21"/>
  <c r="O136" i="21" s="1"/>
  <c r="AG67" i="16"/>
  <c r="L67" i="21"/>
  <c r="O67" i="21" s="1"/>
  <c r="AG107" i="16"/>
  <c r="L107" i="21"/>
  <c r="O107" i="21" s="1"/>
  <c r="AP2" i="16" l="1"/>
  <c r="AP7" i="16" s="1"/>
  <c r="O62" i="21"/>
  <c r="W7" i="21" s="1"/>
  <c r="T7" i="21"/>
  <c r="AC7" i="21"/>
  <c r="AQ2" i="16" l="1"/>
  <c r="Z7" i="21"/>
  <c r="AH7" i="21" s="1"/>
  <c r="AQ7" i="16"/>
  <c r="AP9" i="16"/>
  <c r="AQ9" i="16" s="1"/>
  <c r="J2" i="21"/>
  <c r="K2" i="21"/>
  <c r="M2" i="21"/>
  <c r="N2" i="21"/>
  <c r="J3" i="21"/>
  <c r="K3" i="21"/>
  <c r="M3" i="21"/>
  <c r="N3" i="21"/>
  <c r="J4" i="21"/>
  <c r="K4" i="21"/>
  <c r="M4" i="21"/>
  <c r="N4" i="21"/>
  <c r="J5" i="21"/>
  <c r="K5" i="21"/>
  <c r="M5" i="21"/>
  <c r="N5" i="21"/>
  <c r="J6" i="21"/>
  <c r="K6" i="21"/>
  <c r="M6" i="21"/>
  <c r="N6" i="21"/>
  <c r="J7" i="21"/>
  <c r="K7" i="21"/>
  <c r="M7" i="21"/>
  <c r="N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K8" i="21"/>
  <c r="M8" i="21"/>
  <c r="N8" i="21"/>
  <c r="J9" i="21"/>
  <c r="K9" i="21"/>
  <c r="M9" i="21"/>
  <c r="N9" i="21"/>
  <c r="S9" i="21"/>
  <c r="V9" i="21"/>
  <c r="Y9" i="21"/>
  <c r="AB9" i="21"/>
  <c r="AE9" i="21"/>
  <c r="AG9" i="21"/>
  <c r="AJ9" i="21"/>
  <c r="J10" i="21"/>
  <c r="K10" i="21"/>
  <c r="M10" i="21"/>
  <c r="N10" i="21"/>
  <c r="S10" i="21"/>
  <c r="V10" i="21"/>
  <c r="Y10" i="21"/>
  <c r="AB10" i="21"/>
  <c r="AE10" i="21"/>
  <c r="AG10" i="21"/>
  <c r="AJ10" i="21"/>
  <c r="J11" i="21"/>
  <c r="K11" i="21"/>
  <c r="M11" i="21"/>
  <c r="N11" i="21"/>
  <c r="S11" i="21"/>
  <c r="V11" i="21"/>
  <c r="Y11" i="21"/>
  <c r="AB11" i="21"/>
  <c r="AE11" i="21"/>
  <c r="AG11" i="21"/>
  <c r="AJ11" i="21"/>
  <c r="J12" i="21"/>
  <c r="K12" i="21"/>
  <c r="M12" i="21"/>
  <c r="N12" i="21"/>
  <c r="S12" i="21"/>
  <c r="V12" i="21"/>
  <c r="Y12" i="21"/>
  <c r="AB12" i="21"/>
  <c r="AG12" i="21"/>
  <c r="AJ12" i="21"/>
  <c r="J13" i="21"/>
  <c r="K13" i="21"/>
  <c r="M13" i="21"/>
  <c r="N13" i="21"/>
  <c r="K14" i="21"/>
  <c r="N14" i="21"/>
  <c r="K15" i="21"/>
  <c r="N15" i="21"/>
  <c r="K16" i="21"/>
  <c r="N16" i="21"/>
  <c r="K17" i="21"/>
  <c r="N17" i="21"/>
  <c r="K18" i="21"/>
  <c r="N18" i="21"/>
  <c r="K19" i="21"/>
  <c r="N19" i="21"/>
  <c r="K20" i="21"/>
  <c r="N20" i="21"/>
  <c r="K21" i="21"/>
  <c r="N21" i="21"/>
  <c r="K22" i="21"/>
  <c r="N22" i="21"/>
  <c r="K23" i="21"/>
  <c r="N23" i="21"/>
  <c r="K24" i="21"/>
  <c r="N24" i="21"/>
  <c r="K25" i="21"/>
  <c r="N25" i="21"/>
  <c r="J26" i="21"/>
  <c r="K26" i="21"/>
  <c r="M26" i="21"/>
  <c r="N26" i="21"/>
  <c r="J27" i="21"/>
  <c r="K27" i="21"/>
  <c r="M27" i="21"/>
  <c r="N27" i="21"/>
  <c r="J28" i="21"/>
  <c r="K28" i="21"/>
  <c r="M28" i="21"/>
  <c r="N28" i="21"/>
  <c r="J29" i="21"/>
  <c r="K29" i="21"/>
  <c r="M29" i="21"/>
  <c r="N29" i="21"/>
  <c r="J30" i="21"/>
  <c r="K30" i="21"/>
  <c r="M30" i="21"/>
  <c r="N30" i="21"/>
  <c r="J31" i="21"/>
  <c r="K31" i="21"/>
  <c r="M31" i="21"/>
  <c r="N31" i="21"/>
  <c r="J32" i="21"/>
  <c r="K32" i="21"/>
  <c r="M32" i="21"/>
  <c r="N32" i="21"/>
  <c r="J33" i="21"/>
  <c r="K33" i="21"/>
  <c r="M33" i="21"/>
  <c r="N33" i="21"/>
  <c r="J34" i="21"/>
  <c r="K34" i="21"/>
  <c r="M34" i="21"/>
  <c r="N34" i="21"/>
  <c r="J35" i="21"/>
  <c r="K35" i="21"/>
  <c r="M35" i="21"/>
  <c r="N35" i="21"/>
  <c r="J36" i="21"/>
  <c r="K36" i="21"/>
  <c r="M36" i="21"/>
  <c r="N36" i="21"/>
  <c r="J37" i="21"/>
  <c r="K37" i="21"/>
  <c r="M37" i="21"/>
  <c r="N37" i="21"/>
  <c r="K38" i="21"/>
  <c r="N38" i="21"/>
  <c r="K39" i="21"/>
  <c r="N39" i="21"/>
  <c r="K40" i="21"/>
  <c r="N40" i="21"/>
  <c r="K41" i="21"/>
  <c r="N41" i="21"/>
  <c r="K42" i="21"/>
  <c r="N42" i="21"/>
  <c r="K43" i="21"/>
  <c r="N43" i="21"/>
  <c r="K44" i="21"/>
  <c r="N44" i="21"/>
  <c r="K45" i="21"/>
  <c r="N45" i="21"/>
  <c r="K46" i="21"/>
  <c r="N46" i="21"/>
  <c r="K47" i="21"/>
  <c r="N47" i="21"/>
  <c r="K48" i="21"/>
  <c r="N48" i="21"/>
  <c r="K49" i="21"/>
  <c r="N49" i="21"/>
  <c r="J50" i="21"/>
  <c r="M50" i="21"/>
  <c r="J51" i="21"/>
  <c r="M51" i="21"/>
  <c r="J52" i="21"/>
  <c r="M52" i="21"/>
  <c r="J53" i="21"/>
  <c r="M53" i="21"/>
  <c r="J54" i="21"/>
  <c r="M54" i="21"/>
  <c r="J55" i="21"/>
  <c r="M55" i="21"/>
  <c r="J56" i="21"/>
  <c r="M56" i="21"/>
  <c r="J57" i="21"/>
  <c r="M57" i="21"/>
  <c r="J58" i="21"/>
  <c r="M58" i="21"/>
  <c r="J59" i="21"/>
  <c r="M59" i="21"/>
  <c r="J60" i="21"/>
  <c r="M60" i="21"/>
  <c r="J61" i="21"/>
  <c r="M61" i="21"/>
  <c r="K62" i="21"/>
  <c r="N62" i="21"/>
  <c r="K63" i="21"/>
  <c r="N63" i="21"/>
  <c r="K64" i="21"/>
  <c r="N64" i="21"/>
  <c r="K65" i="21"/>
  <c r="N65" i="21"/>
  <c r="K66" i="21"/>
  <c r="N66" i="21"/>
  <c r="K67" i="21"/>
  <c r="N67" i="21"/>
  <c r="K68" i="21"/>
  <c r="N68" i="21"/>
  <c r="K69" i="21"/>
  <c r="N69" i="21"/>
  <c r="K70" i="21"/>
  <c r="N70" i="21"/>
  <c r="K71" i="21"/>
  <c r="N71" i="21"/>
  <c r="K72" i="21"/>
  <c r="N72" i="21"/>
  <c r="K73" i="21"/>
  <c r="N73" i="21"/>
  <c r="K74" i="21"/>
  <c r="N74" i="21"/>
  <c r="K75" i="21"/>
  <c r="N75" i="21"/>
  <c r="K76" i="21"/>
  <c r="N76" i="21"/>
  <c r="K77" i="21"/>
  <c r="N77" i="21"/>
  <c r="K78" i="21"/>
  <c r="N78" i="21"/>
  <c r="K79" i="21"/>
  <c r="N79" i="21"/>
  <c r="K80" i="21"/>
  <c r="N80" i="21"/>
  <c r="K81" i="21"/>
  <c r="N81" i="21"/>
  <c r="K82" i="21"/>
  <c r="N82" i="21"/>
  <c r="K83" i="21"/>
  <c r="N83" i="21"/>
  <c r="K84" i="21"/>
  <c r="N84" i="21"/>
  <c r="K85" i="21"/>
  <c r="N85" i="21"/>
  <c r="J86" i="21"/>
  <c r="M86" i="21"/>
  <c r="J87" i="21"/>
  <c r="M87" i="21"/>
  <c r="J88" i="21"/>
  <c r="M88" i="21"/>
  <c r="J89" i="21"/>
  <c r="M89" i="21"/>
  <c r="J90" i="21"/>
  <c r="M90" i="21"/>
  <c r="J91" i="21"/>
  <c r="M91" i="21"/>
  <c r="J92" i="21"/>
  <c r="M92" i="21"/>
  <c r="J93" i="21"/>
  <c r="M93" i="21"/>
  <c r="J94" i="21"/>
  <c r="M94" i="21"/>
  <c r="J95" i="21"/>
  <c r="M95" i="21"/>
  <c r="J96" i="21"/>
  <c r="M96" i="21"/>
  <c r="J97" i="21"/>
  <c r="M97" i="21"/>
  <c r="K98" i="21"/>
  <c r="N98" i="21"/>
  <c r="K99" i="21"/>
  <c r="N99" i="21"/>
  <c r="K100" i="21"/>
  <c r="N100" i="21"/>
  <c r="K101" i="21"/>
  <c r="N101" i="21"/>
  <c r="K102" i="21"/>
  <c r="N102" i="21"/>
  <c r="K103" i="21"/>
  <c r="N103" i="21"/>
  <c r="K104" i="21"/>
  <c r="N104" i="21"/>
  <c r="K105" i="21"/>
  <c r="N105" i="21"/>
  <c r="K106" i="21"/>
  <c r="N106" i="21"/>
  <c r="K107" i="21"/>
  <c r="N107" i="21"/>
  <c r="K108" i="21"/>
  <c r="N108" i="21"/>
  <c r="K109" i="21"/>
  <c r="N109" i="21"/>
  <c r="K110" i="21"/>
  <c r="N110" i="21"/>
  <c r="K111" i="21"/>
  <c r="N111" i="21"/>
  <c r="K112" i="21"/>
  <c r="N112" i="21"/>
  <c r="K113" i="21"/>
  <c r="N113" i="21"/>
  <c r="K114" i="21"/>
  <c r="N114" i="21"/>
  <c r="K115" i="21"/>
  <c r="N115" i="21"/>
  <c r="K116" i="21"/>
  <c r="N116" i="21"/>
  <c r="K117" i="21"/>
  <c r="N117" i="21"/>
  <c r="K118" i="21"/>
  <c r="N118" i="21"/>
  <c r="K119" i="21"/>
  <c r="N119" i="21"/>
  <c r="K120" i="21"/>
  <c r="N120" i="21"/>
  <c r="K121" i="21"/>
  <c r="N121" i="21"/>
  <c r="J122" i="21"/>
  <c r="M122" i="21"/>
  <c r="J123" i="21"/>
  <c r="M123" i="21"/>
  <c r="J124" i="21"/>
  <c r="M124" i="21"/>
  <c r="J125" i="21"/>
  <c r="M125" i="21"/>
  <c r="J126" i="21"/>
  <c r="M126" i="21"/>
  <c r="J127" i="21"/>
  <c r="M127" i="21"/>
  <c r="J128" i="21"/>
  <c r="M128" i="21"/>
  <c r="J129" i="21"/>
  <c r="M129" i="21"/>
  <c r="J130" i="21"/>
  <c r="M130" i="21"/>
  <c r="J131" i="21"/>
  <c r="M131" i="21"/>
  <c r="J132" i="21"/>
  <c r="M132" i="21"/>
  <c r="J133" i="21"/>
  <c r="M133" i="21"/>
  <c r="K134" i="21"/>
  <c r="N134" i="21"/>
  <c r="K135" i="21"/>
  <c r="N135" i="21"/>
  <c r="K136" i="21"/>
  <c r="N136" i="21"/>
  <c r="K137" i="21"/>
  <c r="N137" i="21"/>
  <c r="K138" i="21"/>
  <c r="N138" i="21"/>
  <c r="K139" i="21"/>
  <c r="N139" i="21"/>
  <c r="K140" i="21"/>
  <c r="N140" i="21"/>
  <c r="K141" i="21"/>
  <c r="N141" i="21"/>
  <c r="K142" i="21"/>
  <c r="N142" i="21"/>
  <c r="K143" i="21"/>
  <c r="N143" i="21"/>
  <c r="K144" i="21"/>
  <c r="N144" i="21"/>
  <c r="K145" i="21"/>
  <c r="N145" i="21"/>
  <c r="K146" i="21"/>
  <c r="N146" i="21"/>
  <c r="K147" i="21"/>
  <c r="N147" i="21"/>
  <c r="K148" i="21"/>
  <c r="N148" i="21"/>
  <c r="K149" i="21"/>
  <c r="N149" i="21"/>
  <c r="K150" i="21"/>
  <c r="N150" i="21"/>
  <c r="K151" i="21"/>
  <c r="N151" i="21"/>
  <c r="K152" i="21"/>
  <c r="N152" i="21"/>
  <c r="K153" i="21"/>
  <c r="N153" i="21"/>
  <c r="K154" i="21"/>
  <c r="N154" i="21"/>
  <c r="K155" i="21"/>
  <c r="N155" i="21"/>
  <c r="K156" i="21"/>
  <c r="N156" i="21"/>
  <c r="K157" i="21"/>
  <c r="N157" i="21"/>
  <c r="J158" i="21"/>
  <c r="M158" i="21"/>
  <c r="J159" i="21"/>
  <c r="M159" i="21"/>
  <c r="J160" i="21"/>
  <c r="M160" i="21"/>
  <c r="J161" i="21"/>
  <c r="M161" i="21"/>
  <c r="J162" i="21"/>
  <c r="M162" i="21"/>
  <c r="J163" i="21"/>
  <c r="M163" i="21"/>
  <c r="J164" i="21"/>
  <c r="M164" i="21"/>
  <c r="J165" i="21"/>
  <c r="M165" i="21"/>
  <c r="J166" i="21"/>
  <c r="M166" i="21"/>
  <c r="J167" i="21"/>
  <c r="M167" i="21"/>
  <c r="J168" i="21"/>
  <c r="M168" i="21"/>
  <c r="J169" i="21"/>
  <c r="M169" i="21"/>
  <c r="K170" i="21"/>
  <c r="N170" i="21"/>
  <c r="K171" i="21"/>
  <c r="N171" i="21"/>
  <c r="K172" i="21"/>
  <c r="N172" i="21"/>
  <c r="K173" i="21"/>
  <c r="N173" i="21"/>
  <c r="K174" i="21"/>
  <c r="N174" i="21"/>
  <c r="K175" i="21"/>
  <c r="N175" i="21"/>
  <c r="K176" i="21"/>
  <c r="N176" i="21"/>
  <c r="K177" i="21"/>
  <c r="N177" i="21"/>
  <c r="K178" i="21"/>
  <c r="N178" i="21"/>
  <c r="K179" i="21"/>
  <c r="N179" i="21"/>
  <c r="K180" i="21"/>
  <c r="N180" i="21"/>
  <c r="K181" i="21"/>
  <c r="N181" i="21"/>
  <c r="K182" i="21"/>
  <c r="N182" i="21"/>
  <c r="K183" i="21"/>
  <c r="N183" i="21"/>
  <c r="K184" i="21"/>
  <c r="N184" i="21"/>
  <c r="K185" i="21"/>
  <c r="N185" i="21"/>
  <c r="K186" i="21"/>
  <c r="N186" i="21"/>
  <c r="K187" i="21"/>
  <c r="N187" i="21"/>
  <c r="K188" i="21"/>
  <c r="N188" i="21"/>
  <c r="K189" i="21"/>
  <c r="N189" i="21"/>
  <c r="K190" i="21"/>
  <c r="N190" i="21"/>
  <c r="K191" i="21"/>
  <c r="N191" i="21"/>
  <c r="K192" i="21"/>
  <c r="N192" i="21"/>
  <c r="K193" i="21"/>
  <c r="N193" i="21"/>
  <c r="K194" i="21"/>
  <c r="N194" i="21"/>
  <c r="K195" i="21"/>
  <c r="N195" i="21"/>
  <c r="K196" i="21"/>
  <c r="N196" i="21"/>
  <c r="K197" i="21"/>
  <c r="N197" i="21"/>
  <c r="K198" i="21"/>
  <c r="N198" i="21"/>
  <c r="K199" i="21"/>
  <c r="N199" i="21"/>
  <c r="K200" i="21"/>
  <c r="N200" i="21"/>
  <c r="K201" i="21"/>
  <c r="N201" i="21"/>
  <c r="K202" i="21"/>
  <c r="N202" i="21"/>
  <c r="K203" i="21"/>
  <c r="N203" i="21"/>
  <c r="K204" i="21"/>
  <c r="N204" i="21"/>
  <c r="K205" i="21"/>
  <c r="N205" i="21"/>
  <c r="K206" i="21"/>
  <c r="N206" i="21"/>
  <c r="K207" i="21"/>
  <c r="N207" i="21"/>
  <c r="K208" i="21"/>
  <c r="N208" i="21"/>
  <c r="K209" i="21"/>
  <c r="N209" i="21"/>
  <c r="K210" i="21"/>
  <c r="N210" i="21"/>
  <c r="K211" i="21"/>
  <c r="N211" i="21"/>
  <c r="K212" i="21"/>
  <c r="N212" i="21"/>
  <c r="K213" i="21"/>
  <c r="N213" i="21"/>
  <c r="K214" i="21"/>
  <c r="N214" i="21"/>
  <c r="K215" i="21"/>
  <c r="N215" i="21"/>
  <c r="K216" i="21"/>
  <c r="N216" i="21"/>
  <c r="K217" i="21"/>
  <c r="N217" i="21"/>
  <c r="K218" i="21"/>
  <c r="N218" i="21"/>
  <c r="K219" i="21"/>
  <c r="N219" i="21"/>
  <c r="K220" i="21"/>
  <c r="N220" i="21"/>
  <c r="K221" i="21"/>
  <c r="N221" i="21"/>
  <c r="K222" i="21"/>
  <c r="N222" i="21"/>
  <c r="K223" i="21"/>
  <c r="N223" i="21"/>
  <c r="K224" i="21"/>
  <c r="N224" i="21"/>
  <c r="K225" i="21"/>
  <c r="N225" i="21"/>
  <c r="K226" i="21"/>
  <c r="N226" i="21"/>
  <c r="K227" i="21"/>
  <c r="N227" i="21"/>
  <c r="K228" i="21"/>
  <c r="N228" i="21"/>
  <c r="K229" i="21"/>
  <c r="N229" i="21"/>
  <c r="K230" i="21"/>
  <c r="N230" i="21"/>
  <c r="K231" i="21"/>
  <c r="N231" i="21"/>
  <c r="K232" i="21"/>
  <c r="N232" i="21"/>
  <c r="K233" i="21"/>
  <c r="N233" i="21"/>
  <c r="K234" i="21"/>
  <c r="N234" i="21"/>
  <c r="K235" i="21"/>
  <c r="N235" i="21"/>
  <c r="K236" i="21"/>
  <c r="N236" i="21"/>
  <c r="K237" i="21"/>
  <c r="N237" i="21"/>
  <c r="K238" i="21"/>
  <c r="N238" i="21"/>
  <c r="K239" i="21"/>
  <c r="N239" i="21"/>
  <c r="K240" i="21"/>
  <c r="N240" i="21"/>
  <c r="K241" i="21"/>
  <c r="N241" i="21"/>
  <c r="K242" i="21"/>
  <c r="N242" i="21"/>
  <c r="K243" i="21"/>
  <c r="N243" i="21"/>
  <c r="K244" i="21"/>
  <c r="N244" i="21"/>
  <c r="K245" i="21"/>
  <c r="N245" i="21"/>
  <c r="K246" i="21"/>
  <c r="N246" i="21"/>
  <c r="K247" i="21"/>
  <c r="N247" i="21"/>
  <c r="K248" i="21"/>
  <c r="N248" i="21"/>
  <c r="K249" i="21"/>
  <c r="N249" i="21"/>
  <c r="K250" i="21"/>
  <c r="N250" i="21"/>
  <c r="K251" i="21"/>
  <c r="N251" i="21"/>
  <c r="K252" i="21"/>
  <c r="N252" i="21"/>
  <c r="K253" i="21"/>
  <c r="N253" i="21"/>
  <c r="K254" i="21"/>
  <c r="N254" i="21"/>
  <c r="K255" i="21"/>
  <c r="N255" i="21"/>
  <c r="K256" i="21"/>
  <c r="N256" i="21"/>
  <c r="K257" i="21"/>
  <c r="N257" i="21"/>
  <c r="K258" i="21"/>
  <c r="N258" i="21"/>
  <c r="K259" i="21"/>
  <c r="N259" i="21"/>
  <c r="K260" i="21"/>
  <c r="N260" i="21"/>
  <c r="K261" i="21"/>
  <c r="N261" i="21"/>
  <c r="K262" i="21"/>
  <c r="N262" i="21"/>
  <c r="K263" i="21"/>
  <c r="N263" i="21"/>
  <c r="K264" i="21"/>
  <c r="N264" i="21"/>
  <c r="K265" i="21"/>
  <c r="N265" i="21"/>
  <c r="K266" i="21"/>
  <c r="N266" i="21"/>
  <c r="K267" i="21"/>
  <c r="N267" i="21"/>
  <c r="K268" i="21"/>
  <c r="N268" i="21"/>
  <c r="K269" i="21"/>
  <c r="N269" i="21"/>
  <c r="K270" i="21"/>
  <c r="N270" i="21"/>
  <c r="K271" i="21"/>
  <c r="N271" i="21"/>
  <c r="K272" i="21"/>
  <c r="N272" i="21"/>
  <c r="K273" i="21"/>
  <c r="N273" i="21"/>
  <c r="K274" i="21"/>
  <c r="N274" i="21"/>
  <c r="K275" i="21"/>
  <c r="N275" i="21"/>
  <c r="K276" i="21"/>
  <c r="N276" i="21"/>
  <c r="K277" i="21"/>
  <c r="N277" i="21"/>
  <c r="K278" i="21"/>
  <c r="N278" i="21"/>
  <c r="K279" i="21"/>
  <c r="N279" i="21"/>
  <c r="K280" i="21"/>
  <c r="N280" i="21"/>
  <c r="K281" i="21"/>
  <c r="N281" i="21"/>
  <c r="K282" i="21"/>
  <c r="N282" i="21"/>
  <c r="K283" i="21"/>
  <c r="N283" i="21"/>
  <c r="K284" i="21"/>
  <c r="N284" i="21"/>
  <c r="K285" i="21"/>
  <c r="N285" i="21"/>
  <c r="K286" i="21"/>
  <c r="N286" i="21"/>
  <c r="K287" i="21"/>
  <c r="N287" i="21"/>
  <c r="K288" i="21"/>
  <c r="N288" i="21"/>
  <c r="K289" i="21"/>
  <c r="N289" i="21"/>
  <c r="K290" i="21"/>
  <c r="N290" i="21"/>
  <c r="K291" i="21"/>
  <c r="N291" i="21"/>
  <c r="K292" i="21"/>
  <c r="N292" i="21"/>
  <c r="K293" i="21"/>
  <c r="N293" i="21"/>
  <c r="K294" i="21"/>
  <c r="N294" i="21"/>
  <c r="K295" i="21"/>
  <c r="N295" i="21"/>
  <c r="K296" i="21"/>
  <c r="N296" i="21"/>
  <c r="K297" i="21"/>
  <c r="N297" i="21"/>
  <c r="K298" i="21"/>
  <c r="N298" i="21"/>
  <c r="K299" i="21"/>
  <c r="N299" i="21"/>
  <c r="K300" i="21"/>
  <c r="N300" i="21"/>
  <c r="K301" i="21"/>
  <c r="N301" i="21"/>
  <c r="K302" i="21"/>
  <c r="N302" i="21"/>
  <c r="K303" i="21"/>
  <c r="N303" i="21"/>
  <c r="K304" i="21"/>
  <c r="N304" i="21"/>
  <c r="K305" i="21"/>
  <c r="N305" i="21"/>
  <c r="K306" i="21"/>
  <c r="N306" i="21"/>
  <c r="K307" i="21"/>
  <c r="N307" i="21"/>
  <c r="K308" i="21"/>
  <c r="N308" i="21"/>
  <c r="K309" i="21"/>
  <c r="N309" i="21"/>
  <c r="K310" i="21"/>
  <c r="N310" i="21"/>
  <c r="K311" i="21"/>
  <c r="N311" i="21"/>
  <c r="K312" i="21"/>
  <c r="N312" i="21"/>
  <c r="K313" i="21"/>
  <c r="N313" i="21"/>
  <c r="K314" i="21"/>
  <c r="N314" i="21"/>
  <c r="K315" i="21"/>
  <c r="N315" i="21"/>
  <c r="K316" i="21"/>
  <c r="N316" i="21"/>
  <c r="K317" i="21"/>
  <c r="N317" i="21"/>
  <c r="K318" i="21"/>
  <c r="N318" i="21"/>
  <c r="K319" i="21"/>
  <c r="N319" i="21"/>
  <c r="K320" i="21"/>
  <c r="N320" i="21"/>
  <c r="K321" i="21"/>
  <c r="N321" i="21"/>
  <c r="K322" i="21"/>
  <c r="N322" i="21"/>
  <c r="K323" i="21"/>
  <c r="N323" i="21"/>
  <c r="K324" i="21"/>
  <c r="N324" i="21"/>
  <c r="K325" i="21"/>
  <c r="N325" i="21"/>
  <c r="K326" i="21"/>
  <c r="N326" i="21"/>
  <c r="K327" i="21"/>
  <c r="N327" i="21"/>
  <c r="K328" i="21"/>
  <c r="N328" i="21"/>
  <c r="K329" i="21"/>
  <c r="N329" i="21"/>
  <c r="K330" i="21"/>
  <c r="N330" i="21"/>
  <c r="K331" i="21"/>
  <c r="N331" i="21"/>
  <c r="K332" i="21"/>
  <c r="N332" i="21"/>
  <c r="K333" i="21"/>
  <c r="N333" i="21"/>
  <c r="K334" i="21"/>
  <c r="N334" i="21"/>
  <c r="K335" i="21"/>
  <c r="N335" i="21"/>
  <c r="K336" i="21"/>
  <c r="N336" i="21"/>
  <c r="K337" i="21"/>
  <c r="N337" i="21"/>
  <c r="K338" i="21"/>
  <c r="N338" i="21"/>
  <c r="K339" i="21"/>
  <c r="N339" i="21"/>
  <c r="K340" i="21"/>
  <c r="N340" i="21"/>
  <c r="K341" i="21"/>
  <c r="N341" i="21"/>
  <c r="K342" i="21"/>
  <c r="N342" i="21"/>
  <c r="K343" i="21"/>
  <c r="N343" i="21"/>
  <c r="K344" i="21"/>
  <c r="N344" i="21"/>
  <c r="K345" i="21"/>
  <c r="N345" i="21"/>
  <c r="K346" i="21"/>
  <c r="N346" i="21"/>
  <c r="K347" i="21"/>
  <c r="N347" i="21"/>
  <c r="K348" i="21"/>
  <c r="N348" i="21"/>
  <c r="K349" i="21"/>
  <c r="N349" i="21"/>
  <c r="K350" i="21"/>
  <c r="N350" i="21"/>
  <c r="K351" i="21"/>
  <c r="N351" i="21"/>
  <c r="K352" i="21"/>
  <c r="N352" i="21"/>
  <c r="K353" i="21"/>
  <c r="N353" i="21"/>
  <c r="K354" i="21"/>
  <c r="N354" i="21"/>
  <c r="K355" i="21"/>
  <c r="N355" i="21"/>
  <c r="K356" i="21"/>
  <c r="N356" i="21"/>
  <c r="K357" i="21"/>
  <c r="N357" i="21"/>
  <c r="K358" i="21"/>
  <c r="N358" i="21"/>
  <c r="K359" i="21"/>
  <c r="N359" i="21"/>
  <c r="K360" i="21"/>
  <c r="N360" i="21"/>
  <c r="K361" i="21"/>
  <c r="N361" i="21"/>
  <c r="K362" i="21"/>
  <c r="N362" i="21"/>
  <c r="K363" i="21"/>
  <c r="N363" i="21"/>
  <c r="K364" i="21"/>
  <c r="N364" i="21"/>
  <c r="K365" i="21"/>
  <c r="N365" i="21"/>
  <c r="K366" i="21"/>
  <c r="N366" i="21"/>
  <c r="K367" i="21"/>
  <c r="N367" i="21"/>
  <c r="K368" i="21"/>
  <c r="N368" i="21"/>
  <c r="K369" i="21"/>
  <c r="N369" i="21"/>
  <c r="K370" i="21"/>
  <c r="N370" i="21"/>
  <c r="K371" i="21"/>
  <c r="N371" i="21"/>
  <c r="K372" i="21"/>
  <c r="N372" i="21"/>
  <c r="K373" i="21"/>
  <c r="N373" i="21"/>
  <c r="K374" i="21"/>
  <c r="N374" i="21"/>
  <c r="K375" i="21"/>
  <c r="N375" i="21"/>
  <c r="K376" i="21"/>
  <c r="N376" i="21"/>
  <c r="K377" i="21"/>
  <c r="N377" i="21"/>
  <c r="K378" i="21"/>
  <c r="N378" i="21"/>
  <c r="K379" i="21"/>
  <c r="N379" i="21"/>
  <c r="K380" i="21"/>
  <c r="N380" i="21"/>
  <c r="K381" i="21"/>
  <c r="N381" i="21"/>
  <c r="K382" i="21"/>
  <c r="N382" i="21"/>
  <c r="K383" i="21"/>
  <c r="N383" i="21"/>
  <c r="K384" i="21"/>
  <c r="N384" i="21"/>
  <c r="K385" i="21"/>
  <c r="N385" i="21"/>
  <c r="K386" i="21"/>
  <c r="N386" i="21"/>
  <c r="K387" i="21"/>
  <c r="N387" i="21"/>
  <c r="K388" i="21"/>
  <c r="N388" i="21"/>
  <c r="K389" i="21"/>
  <c r="N389" i="21"/>
  <c r="K390" i="21"/>
  <c r="N390" i="21"/>
  <c r="K391" i="21"/>
  <c r="N391" i="21"/>
  <c r="K392" i="21"/>
  <c r="N392" i="21"/>
  <c r="K393" i="21"/>
  <c r="N393" i="21"/>
  <c r="K394" i="21"/>
  <c r="N394" i="21"/>
  <c r="K395" i="21"/>
  <c r="N395" i="21"/>
  <c r="K396" i="21"/>
  <c r="N396" i="21"/>
  <c r="K397" i="21"/>
  <c r="N397" i="21"/>
  <c r="K398" i="21"/>
  <c r="N398" i="21"/>
  <c r="K399" i="21"/>
  <c r="N399" i="21"/>
  <c r="K400" i="21"/>
  <c r="N400" i="21"/>
  <c r="K401" i="21"/>
  <c r="N401" i="21"/>
  <c r="K402" i="21"/>
  <c r="N402" i="21"/>
  <c r="K403" i="21"/>
  <c r="N403" i="21"/>
  <c r="K404" i="21"/>
  <c r="N404" i="21"/>
  <c r="K405" i="21"/>
  <c r="N405" i="21"/>
  <c r="K406" i="21"/>
  <c r="N406" i="21"/>
  <c r="K407" i="21"/>
  <c r="N407" i="21"/>
  <c r="K408" i="21"/>
  <c r="N408" i="21"/>
  <c r="K409" i="21"/>
  <c r="N409" i="21"/>
  <c r="K410" i="21"/>
  <c r="N410" i="21"/>
  <c r="K411" i="21"/>
  <c r="N411" i="21"/>
  <c r="K412" i="21"/>
  <c r="N412" i="21"/>
  <c r="K413" i="21"/>
  <c r="N413" i="21"/>
  <c r="K414" i="21"/>
  <c r="N414" i="21"/>
  <c r="K415" i="21"/>
  <c r="N415" i="21"/>
  <c r="K416" i="21"/>
  <c r="N416" i="21"/>
  <c r="K417" i="21"/>
  <c r="N417" i="21"/>
  <c r="K418" i="21"/>
  <c r="N418" i="21"/>
  <c r="K419" i="21"/>
  <c r="N419" i="21"/>
  <c r="K420" i="21"/>
  <c r="N420" i="21"/>
  <c r="K421" i="21"/>
  <c r="N421" i="21"/>
  <c r="K422" i="21"/>
  <c r="N422" i="21"/>
  <c r="K423" i="21"/>
  <c r="N423" i="21"/>
  <c r="K424" i="21"/>
  <c r="N424" i="21"/>
  <c r="K425" i="21"/>
  <c r="N425" i="21"/>
  <c r="K426" i="21"/>
  <c r="N426" i="21"/>
  <c r="K427" i="21"/>
  <c r="N427" i="21"/>
  <c r="K428" i="21"/>
  <c r="N428" i="21"/>
  <c r="K429" i="21"/>
  <c r="N429" i="21"/>
  <c r="K430" i="21"/>
  <c r="N430" i="21"/>
  <c r="K431" i="21"/>
  <c r="N431" i="21"/>
  <c r="K432" i="21"/>
  <c r="N432" i="21"/>
  <c r="K433" i="21"/>
  <c r="N433" i="21"/>
  <c r="K434" i="21"/>
  <c r="N434" i="21"/>
  <c r="K435" i="21"/>
  <c r="N435" i="21"/>
  <c r="K436" i="21"/>
  <c r="N436" i="21"/>
  <c r="K437" i="21"/>
  <c r="N437" i="21"/>
  <c r="K438" i="21"/>
  <c r="N438" i="21"/>
  <c r="K439" i="21"/>
  <c r="N439" i="21"/>
  <c r="K440" i="21"/>
  <c r="N440" i="21"/>
  <c r="K441" i="21"/>
  <c r="N441" i="21"/>
  <c r="K442" i="21"/>
  <c r="N442" i="21"/>
  <c r="K443" i="21"/>
  <c r="N443" i="21"/>
  <c r="K444" i="21"/>
  <c r="N444" i="21"/>
  <c r="K445" i="21"/>
  <c r="N445" i="21"/>
  <c r="K446" i="21"/>
  <c r="N446" i="21"/>
  <c r="K447" i="21"/>
  <c r="N447" i="21"/>
  <c r="K448" i="21"/>
  <c r="N448" i="21"/>
  <c r="K449" i="21"/>
  <c r="N449" i="21"/>
  <c r="K450" i="21"/>
  <c r="N450" i="21"/>
  <c r="K451" i="21"/>
  <c r="N451" i="21"/>
  <c r="K452" i="21"/>
  <c r="N452" i="21"/>
  <c r="K453" i="21"/>
  <c r="N453" i="21"/>
  <c r="K454" i="21"/>
  <c r="N454" i="21"/>
  <c r="K455" i="21"/>
  <c r="N455" i="21"/>
  <c r="K456" i="21"/>
  <c r="N456" i="21"/>
  <c r="K457" i="21"/>
  <c r="N457" i="21"/>
  <c r="K458" i="21"/>
  <c r="N458" i="21"/>
  <c r="K459" i="21"/>
  <c r="N459" i="21"/>
  <c r="K460" i="21"/>
  <c r="N460" i="21"/>
  <c r="K461" i="21"/>
  <c r="N461" i="21"/>
  <c r="K462" i="21"/>
  <c r="N462" i="21"/>
  <c r="K463" i="21"/>
  <c r="N463" i="21"/>
  <c r="K464" i="21"/>
  <c r="N464" i="21"/>
  <c r="K465" i="21"/>
  <c r="N465" i="21"/>
  <c r="K466" i="21"/>
  <c r="N466" i="21"/>
  <c r="K467" i="21"/>
  <c r="N467" i="21"/>
  <c r="K468" i="21"/>
  <c r="N468" i="21"/>
  <c r="K469" i="21"/>
  <c r="N469" i="21"/>
  <c r="K470" i="21"/>
  <c r="N470" i="21"/>
  <c r="K471" i="21"/>
  <c r="N471" i="21"/>
  <c r="K472" i="21"/>
  <c r="N472" i="21"/>
  <c r="K473" i="21"/>
  <c r="N473" i="21"/>
  <c r="K474" i="21"/>
  <c r="N474" i="21"/>
  <c r="K475" i="21"/>
  <c r="N475" i="21"/>
  <c r="D48" i="5"/>
  <c r="E48" i="5"/>
  <c r="F48" i="5"/>
  <c r="D49" i="5"/>
  <c r="E49" i="5"/>
  <c r="F49" i="5"/>
  <c r="Y2" i="16"/>
  <c r="Z2" i="16"/>
  <c r="AE2" i="16"/>
  <c r="AF2" i="16"/>
  <c r="AK2" i="16"/>
  <c r="AL2" i="16"/>
  <c r="AU2" i="16"/>
  <c r="AV2" i="16"/>
  <c r="Y3" i="16"/>
  <c r="Z3" i="16"/>
  <c r="AE3" i="16"/>
  <c r="AF3" i="16"/>
  <c r="AK3" i="16"/>
  <c r="AL3" i="16"/>
  <c r="AU3" i="16"/>
  <c r="AV3" i="16"/>
  <c r="Y4" i="16"/>
  <c r="Z4" i="16"/>
  <c r="AE4" i="16"/>
  <c r="AF4" i="16"/>
  <c r="AK4" i="16"/>
  <c r="AL4" i="16"/>
  <c r="AU4" i="16"/>
  <c r="AV4" i="16"/>
  <c r="Y5" i="16"/>
  <c r="Z5" i="16"/>
  <c r="AE5" i="16"/>
  <c r="AF5" i="16"/>
  <c r="AK5" i="16"/>
  <c r="AL5" i="16"/>
  <c r="AU5" i="16"/>
  <c r="AV5" i="16"/>
  <c r="Y6" i="16"/>
  <c r="Z6" i="16"/>
  <c r="AE6" i="16"/>
  <c r="AF6" i="16"/>
  <c r="AK6" i="16"/>
  <c r="AL6" i="16"/>
  <c r="AU6" i="16"/>
  <c r="AV6" i="16"/>
  <c r="Y7" i="16"/>
  <c r="Z7" i="16"/>
  <c r="AE7" i="16"/>
  <c r="AF7" i="16"/>
  <c r="AK7" i="16"/>
  <c r="AL7" i="16"/>
  <c r="AU7" i="16"/>
  <c r="AV7" i="16"/>
  <c r="Y8" i="16"/>
  <c r="Z8" i="16"/>
  <c r="AE8" i="16"/>
  <c r="AF8" i="16"/>
  <c r="AK8" i="16"/>
  <c r="AL8" i="16"/>
  <c r="AU8" i="16"/>
  <c r="AV8" i="16"/>
  <c r="Y9" i="16"/>
  <c r="Z9" i="16"/>
  <c r="AE9" i="16"/>
  <c r="AF9" i="16"/>
  <c r="AK9" i="16"/>
  <c r="AL9" i="16"/>
  <c r="AU9" i="16"/>
  <c r="AV9" i="16"/>
  <c r="Y10" i="16"/>
  <c r="Z10" i="16"/>
  <c r="AE10" i="16"/>
  <c r="AF10" i="16"/>
  <c r="Y11" i="16"/>
  <c r="Z11" i="16"/>
  <c r="AE11" i="16"/>
  <c r="AF11" i="16"/>
  <c r="Y12" i="16"/>
  <c r="Z12" i="16"/>
  <c r="AE12" i="16"/>
  <c r="AF12" i="16"/>
  <c r="Y13" i="16"/>
  <c r="Z13" i="16"/>
  <c r="AE13" i="16"/>
  <c r="AF13" i="16"/>
  <c r="Z14" i="16"/>
  <c r="AF14" i="16"/>
  <c r="Z15" i="16"/>
  <c r="AF15" i="16"/>
  <c r="Z16" i="16"/>
  <c r="AF16" i="16"/>
  <c r="Z17" i="16"/>
  <c r="AF17" i="16"/>
  <c r="Z18" i="16"/>
  <c r="AF18" i="16"/>
  <c r="Z19" i="16"/>
  <c r="AF19" i="16"/>
  <c r="Z20" i="16"/>
  <c r="AF20" i="16"/>
  <c r="Z21" i="16"/>
  <c r="AF21" i="16"/>
  <c r="Z22" i="16"/>
  <c r="AF22" i="16"/>
  <c r="Z23" i="16"/>
  <c r="AF23" i="16"/>
  <c r="Z24" i="16"/>
  <c r="AF24" i="16"/>
  <c r="Z25" i="16"/>
  <c r="AF25" i="16"/>
  <c r="Y26" i="16"/>
  <c r="Z26" i="16"/>
  <c r="AE26" i="16"/>
  <c r="AF26" i="16"/>
  <c r="Y27" i="16"/>
  <c r="Z27" i="16"/>
  <c r="AE27" i="16"/>
  <c r="AF27" i="16"/>
  <c r="Y28" i="16"/>
  <c r="Z28" i="16"/>
  <c r="AE28" i="16"/>
  <c r="AF28" i="16"/>
  <c r="Y29" i="16"/>
  <c r="Z29" i="16"/>
  <c r="AE29" i="16"/>
  <c r="AF29" i="16"/>
  <c r="Y30" i="16"/>
  <c r="Z30" i="16"/>
  <c r="AE30" i="16"/>
  <c r="AF30" i="16"/>
  <c r="Y31" i="16"/>
  <c r="Z31" i="16"/>
  <c r="AE31" i="16"/>
  <c r="AF31" i="16"/>
  <c r="Y32" i="16"/>
  <c r="Z32" i="16"/>
  <c r="AE32" i="16"/>
  <c r="AF32" i="16"/>
  <c r="Y33" i="16"/>
  <c r="Z33" i="16"/>
  <c r="AE33" i="16"/>
  <c r="AF33" i="16"/>
  <c r="Y34" i="16"/>
  <c r="Z34" i="16"/>
  <c r="AE34" i="16"/>
  <c r="AF34" i="16"/>
  <c r="Y35" i="16"/>
  <c r="Z35" i="16"/>
  <c r="AE35" i="16"/>
  <c r="AF35" i="16"/>
  <c r="Y36" i="16"/>
  <c r="Z36" i="16"/>
  <c r="AE36" i="16"/>
  <c r="AF36" i="16"/>
  <c r="Y37" i="16"/>
  <c r="Z37" i="16"/>
  <c r="AE37" i="16"/>
  <c r="AF37" i="16"/>
  <c r="Z38" i="16"/>
  <c r="AF38" i="16"/>
  <c r="Z39" i="16"/>
  <c r="AF39" i="16"/>
  <c r="Z40" i="16"/>
  <c r="AF40" i="16"/>
  <c r="Z41" i="16"/>
  <c r="AF41" i="16"/>
  <c r="Z42" i="16"/>
  <c r="AF42" i="16"/>
  <c r="Z43" i="16"/>
  <c r="AF43" i="16"/>
  <c r="Z44" i="16"/>
  <c r="AF44" i="16"/>
  <c r="Z45" i="16"/>
  <c r="AF45" i="16"/>
  <c r="Z46" i="16"/>
  <c r="AF46" i="16"/>
  <c r="Z47" i="16"/>
  <c r="AF47" i="16"/>
  <c r="Z48" i="16"/>
  <c r="AF48" i="16"/>
  <c r="Z49" i="16"/>
  <c r="AF49" i="16"/>
  <c r="Y50" i="16"/>
  <c r="AE50" i="16"/>
  <c r="Y51" i="16"/>
  <c r="AE51" i="16"/>
  <c r="Y52" i="16"/>
  <c r="AE52" i="16"/>
  <c r="Y53" i="16"/>
  <c r="AE53" i="16"/>
  <c r="Y54" i="16"/>
  <c r="AE54" i="16"/>
  <c r="Y55" i="16"/>
  <c r="AE55" i="16"/>
  <c r="Y56" i="16"/>
  <c r="AE56" i="16"/>
  <c r="Y57" i="16"/>
  <c r="AE57" i="16"/>
  <c r="Y58" i="16"/>
  <c r="AE58" i="16"/>
  <c r="Y59" i="16"/>
  <c r="AE59" i="16"/>
  <c r="Y60" i="16"/>
  <c r="AE60" i="16"/>
  <c r="Y61" i="16"/>
  <c r="AE61" i="16"/>
  <c r="Z62" i="16"/>
  <c r="AF62" i="16"/>
  <c r="Z63" i="16"/>
  <c r="AF63" i="16"/>
  <c r="Z64" i="16"/>
  <c r="AF64" i="16"/>
  <c r="Z65" i="16"/>
  <c r="AF65" i="16"/>
  <c r="Z66" i="16"/>
  <c r="AF66" i="16"/>
  <c r="Z67" i="16"/>
  <c r="AF67" i="16"/>
  <c r="Z68" i="16"/>
  <c r="AF68" i="16"/>
  <c r="Z69" i="16"/>
  <c r="AF69" i="16"/>
  <c r="Z70" i="16"/>
  <c r="AF70" i="16"/>
  <c r="Z71" i="16"/>
  <c r="AF71" i="16"/>
  <c r="Z72" i="16"/>
  <c r="AF72" i="16"/>
  <c r="Z73" i="16"/>
  <c r="AF73" i="16"/>
  <c r="Z74" i="16"/>
  <c r="AF74" i="16"/>
  <c r="Z75" i="16"/>
  <c r="AF75" i="16"/>
  <c r="Z76" i="16"/>
  <c r="AF76" i="16"/>
  <c r="Z77" i="16"/>
  <c r="AF77" i="16"/>
  <c r="Z78" i="16"/>
  <c r="AF78" i="16"/>
  <c r="Z79" i="16"/>
  <c r="AF79" i="16"/>
  <c r="Z80" i="16"/>
  <c r="AF80" i="16"/>
  <c r="Z81" i="16"/>
  <c r="AF81" i="16"/>
  <c r="Z82" i="16"/>
  <c r="AF82" i="16"/>
  <c r="Z83" i="16"/>
  <c r="AF83" i="16"/>
  <c r="Z84" i="16"/>
  <c r="AF84" i="16"/>
  <c r="Z85" i="16"/>
  <c r="AF85" i="16"/>
  <c r="Y86" i="16"/>
  <c r="AE86" i="16"/>
  <c r="Y87" i="16"/>
  <c r="AE87" i="16"/>
  <c r="Y88" i="16"/>
  <c r="AE88" i="16"/>
  <c r="Y89" i="16"/>
  <c r="AE89" i="16"/>
  <c r="Y90" i="16"/>
  <c r="AE90" i="16"/>
  <c r="Y91" i="16"/>
  <c r="AE91" i="16"/>
  <c r="Y92" i="16"/>
  <c r="AE92" i="16"/>
  <c r="Y93" i="16"/>
  <c r="AE93" i="16"/>
  <c r="Y94" i="16"/>
  <c r="AE94" i="16"/>
  <c r="Y95" i="16"/>
  <c r="AE95" i="16"/>
  <c r="Y96" i="16"/>
  <c r="AE96" i="16"/>
  <c r="Y97" i="16"/>
  <c r="AE97" i="16"/>
  <c r="Z98" i="16"/>
  <c r="AF98" i="16"/>
  <c r="Z99" i="16"/>
  <c r="AF99" i="16"/>
  <c r="Z100" i="16"/>
  <c r="AF100" i="16"/>
  <c r="Z101" i="16"/>
  <c r="AF101" i="16"/>
  <c r="Z102" i="16"/>
  <c r="AF102" i="16"/>
  <c r="Z103" i="16"/>
  <c r="AF103" i="16"/>
  <c r="Z104" i="16"/>
  <c r="AF104" i="16"/>
  <c r="Z105" i="16"/>
  <c r="AF105" i="16"/>
  <c r="Z106" i="16"/>
  <c r="AF106" i="16"/>
  <c r="Z107" i="16"/>
  <c r="AF107" i="16"/>
  <c r="Z108" i="16"/>
  <c r="AF108" i="16"/>
  <c r="Z109" i="16"/>
  <c r="AF109" i="16"/>
  <c r="Z110" i="16"/>
  <c r="AF110" i="16"/>
  <c r="Z111" i="16"/>
  <c r="AF111" i="16"/>
  <c r="Z112" i="16"/>
  <c r="AF112" i="16"/>
  <c r="Z113" i="16"/>
  <c r="AF113" i="16"/>
  <c r="Z114" i="16"/>
  <c r="AF114" i="16"/>
  <c r="Z115" i="16"/>
  <c r="AF115" i="16"/>
  <c r="Z116" i="16"/>
  <c r="AF116" i="16"/>
  <c r="Z117" i="16"/>
  <c r="AF117" i="16"/>
  <c r="Z118" i="16"/>
  <c r="AF118" i="16"/>
  <c r="Z119" i="16"/>
  <c r="AF119" i="16"/>
  <c r="Z120" i="16"/>
  <c r="AF120" i="16"/>
  <c r="Z121" i="16"/>
  <c r="AF121" i="16"/>
  <c r="Y122" i="16"/>
  <c r="AE122" i="16"/>
  <c r="Y123" i="16"/>
  <c r="AE123" i="16"/>
  <c r="Y124" i="16"/>
  <c r="AE124" i="16"/>
  <c r="Y125" i="16"/>
  <c r="AE125" i="16"/>
  <c r="Y126" i="16"/>
  <c r="AE126" i="16"/>
  <c r="Y127" i="16"/>
  <c r="AE127" i="16"/>
  <c r="Y128" i="16"/>
  <c r="AE128" i="16"/>
  <c r="Y129" i="16"/>
  <c r="AE129" i="16"/>
  <c r="Y130" i="16"/>
  <c r="AE130" i="16"/>
  <c r="Y131" i="16"/>
  <c r="AE131" i="16"/>
  <c r="Y132" i="16"/>
  <c r="AE132" i="16"/>
  <c r="Y133" i="16"/>
  <c r="AE133" i="16"/>
  <c r="Z134" i="16"/>
  <c r="AF134" i="16"/>
  <c r="Z135" i="16"/>
  <c r="AF135" i="16"/>
  <c r="Z136" i="16"/>
  <c r="AF136" i="16"/>
  <c r="Z137" i="16"/>
  <c r="AF137" i="16"/>
  <c r="Z138" i="16"/>
  <c r="AF138" i="16"/>
  <c r="Z139" i="16"/>
  <c r="AF139" i="16"/>
  <c r="Z140" i="16"/>
  <c r="AF140" i="16"/>
  <c r="Z141" i="16"/>
  <c r="AF141" i="16"/>
  <c r="Z142" i="16"/>
  <c r="AF142" i="16"/>
  <c r="Z143" i="16"/>
  <c r="AF143" i="16"/>
  <c r="Z144" i="16"/>
  <c r="AF144" i="16"/>
  <c r="Z145" i="16"/>
  <c r="AF145" i="16"/>
  <c r="Z146" i="16"/>
  <c r="AF146" i="16"/>
  <c r="Z147" i="16"/>
  <c r="AF147" i="16"/>
  <c r="Z148" i="16"/>
  <c r="AF148" i="16"/>
  <c r="Z149" i="16"/>
  <c r="AF149" i="16"/>
  <c r="Z150" i="16"/>
  <c r="AF150" i="16"/>
  <c r="Z151" i="16"/>
  <c r="AF151" i="16"/>
  <c r="Z152" i="16"/>
  <c r="AF152" i="16"/>
  <c r="Z153" i="16"/>
  <c r="AF153" i="16"/>
  <c r="Z154" i="16"/>
  <c r="AF154" i="16"/>
  <c r="Z155" i="16"/>
  <c r="AF155" i="16"/>
  <c r="Z156" i="16"/>
  <c r="AF156" i="16"/>
  <c r="Z157" i="16"/>
  <c r="AF157" i="16"/>
  <c r="Y158" i="16"/>
  <c r="AE158" i="16"/>
  <c r="Y159" i="16"/>
  <c r="AE159" i="16"/>
  <c r="Y160" i="16"/>
  <c r="AE160" i="16"/>
  <c r="Y161" i="16"/>
  <c r="AE161" i="16"/>
  <c r="Y162" i="16"/>
  <c r="AE162" i="16"/>
  <c r="Y163" i="16"/>
  <c r="AE163" i="16"/>
  <c r="Y164" i="16"/>
  <c r="AE164" i="16"/>
  <c r="Y165" i="16"/>
  <c r="AE165" i="16"/>
  <c r="Y166" i="16"/>
  <c r="AE166" i="16"/>
  <c r="Y167" i="16"/>
  <c r="AE167" i="16"/>
  <c r="Y168" i="16"/>
  <c r="AE168" i="16"/>
  <c r="Y169" i="16"/>
  <c r="AE169" i="16"/>
  <c r="Z170" i="16"/>
  <c r="AF170" i="16"/>
  <c r="Z171" i="16"/>
  <c r="AF171" i="16"/>
  <c r="Z172" i="16"/>
  <c r="AF172" i="16"/>
  <c r="Z173" i="16"/>
  <c r="AF173" i="16"/>
  <c r="Z174" i="16"/>
  <c r="AF174" i="16"/>
  <c r="Z175" i="16"/>
  <c r="AF175" i="16"/>
  <c r="Z176" i="16"/>
  <c r="AF176" i="16"/>
  <c r="Z177" i="16"/>
  <c r="AF177" i="16"/>
  <c r="Z178" i="16"/>
  <c r="AF178" i="16"/>
  <c r="Z179" i="16"/>
  <c r="AF179" i="16"/>
  <c r="Z180" i="16"/>
  <c r="AF180" i="16"/>
  <c r="Z181" i="16"/>
  <c r="AF181" i="16"/>
  <c r="Z182" i="16"/>
  <c r="AF182" i="16"/>
  <c r="Z183" i="16"/>
  <c r="AF183" i="16"/>
  <c r="Z184" i="16"/>
  <c r="AF184" i="16"/>
  <c r="Z185" i="16"/>
  <c r="AF185" i="16"/>
  <c r="Z186" i="16"/>
  <c r="AF186" i="16"/>
  <c r="Z187" i="16"/>
  <c r="AF187" i="16"/>
  <c r="Z188" i="16"/>
  <c r="AF188" i="16"/>
  <c r="Z189" i="16"/>
  <c r="AF189" i="16"/>
  <c r="Z190" i="16"/>
  <c r="AF190" i="16"/>
  <c r="Z191" i="16"/>
  <c r="AF191" i="16"/>
  <c r="Z192" i="16"/>
  <c r="AF192" i="16"/>
  <c r="Z193" i="16"/>
  <c r="AF193" i="16"/>
  <c r="Z194" i="16"/>
  <c r="AF194" i="16"/>
  <c r="Z195" i="16"/>
  <c r="AF195" i="16"/>
  <c r="Z196" i="16"/>
  <c r="AF196" i="16"/>
  <c r="Z197" i="16"/>
  <c r="AF197" i="16"/>
  <c r="Z198" i="16"/>
  <c r="AF198" i="16"/>
  <c r="Z199" i="16"/>
  <c r="AF199" i="16"/>
  <c r="Z200" i="16"/>
  <c r="AF200" i="16"/>
  <c r="Z201" i="16"/>
  <c r="AF201" i="16"/>
  <c r="Z202" i="16"/>
  <c r="AF202" i="16"/>
  <c r="Z203" i="16"/>
  <c r="AF203" i="16"/>
  <c r="Z204" i="16"/>
  <c r="AF204" i="16"/>
  <c r="Z205" i="16"/>
  <c r="AF205" i="16"/>
  <c r="Z206" i="16"/>
  <c r="AF206" i="16"/>
  <c r="Z207" i="16"/>
  <c r="AF207" i="16"/>
  <c r="Z208" i="16"/>
  <c r="AF208" i="16"/>
  <c r="Z209" i="16"/>
  <c r="AF209" i="16"/>
  <c r="Z210" i="16"/>
  <c r="AF210" i="16"/>
  <c r="Z211" i="16"/>
  <c r="AF211" i="16"/>
  <c r="Z212" i="16"/>
  <c r="AF212" i="16"/>
  <c r="Z213" i="16"/>
  <c r="AF213" i="16"/>
  <c r="Z214" i="16"/>
  <c r="AF214" i="16"/>
  <c r="Z215" i="16"/>
  <c r="AF215" i="16"/>
  <c r="Z216" i="16"/>
  <c r="AF216" i="16"/>
  <c r="Z217" i="16"/>
  <c r="AF217" i="16"/>
  <c r="Z218" i="16"/>
  <c r="AF218" i="16"/>
  <c r="Z219" i="16"/>
  <c r="AF219" i="16"/>
  <c r="Z220" i="16"/>
  <c r="AF220" i="16"/>
  <c r="Z221" i="16"/>
  <c r="AF221" i="16"/>
  <c r="Z222" i="16"/>
  <c r="AF222" i="16"/>
  <c r="Z223" i="16"/>
  <c r="AF223" i="16"/>
  <c r="Z224" i="16"/>
  <c r="AF224" i="16"/>
  <c r="Z225" i="16"/>
  <c r="AF225" i="16"/>
  <c r="Z226" i="16"/>
  <c r="AF226" i="16"/>
  <c r="Z227" i="16"/>
  <c r="AF227" i="16"/>
  <c r="Z228" i="16"/>
  <c r="AF228" i="16"/>
  <c r="Z229" i="16"/>
  <c r="AF229" i="16"/>
  <c r="Z230" i="16"/>
  <c r="AF230" i="16"/>
  <c r="Z231" i="16"/>
  <c r="AF231" i="16"/>
  <c r="Z232" i="16"/>
  <c r="AF232" i="16"/>
  <c r="Z233" i="16"/>
  <c r="AF233" i="16"/>
  <c r="Z234" i="16"/>
  <c r="AF234" i="16"/>
  <c r="Z235" i="16"/>
  <c r="AF235" i="16"/>
  <c r="Z236" i="16"/>
  <c r="AF236" i="16"/>
  <c r="Z237" i="16"/>
  <c r="AF237" i="16"/>
  <c r="Z238" i="16"/>
  <c r="AF238" i="16"/>
  <c r="Z239" i="16"/>
  <c r="AF239" i="16"/>
  <c r="Z240" i="16"/>
  <c r="AF240" i="16"/>
  <c r="Z241" i="16"/>
  <c r="AF241" i="16"/>
  <c r="Z242" i="16"/>
  <c r="AF242" i="16"/>
  <c r="Z243" i="16"/>
  <c r="AF243" i="16"/>
  <c r="Z244" i="16"/>
  <c r="AF244" i="16"/>
  <c r="Z245" i="16"/>
  <c r="AF245" i="16"/>
  <c r="Z246" i="16"/>
  <c r="AF246" i="16"/>
  <c r="Z247" i="16"/>
  <c r="AF247" i="16"/>
  <c r="Z248" i="16"/>
  <c r="AF248" i="16"/>
  <c r="Z249" i="16"/>
  <c r="AF249" i="16"/>
  <c r="Z250" i="16"/>
  <c r="AF250" i="16"/>
  <c r="Z251" i="16"/>
  <c r="AF251" i="16"/>
  <c r="Z252" i="16"/>
  <c r="AF252" i="16"/>
  <c r="Z253" i="16"/>
  <c r="AF253" i="16"/>
  <c r="Z254" i="16"/>
  <c r="AF254" i="16"/>
  <c r="Z255" i="16"/>
  <c r="AF255" i="16"/>
  <c r="Z256" i="16"/>
  <c r="AF256" i="16"/>
  <c r="Z257" i="16"/>
  <c r="AF257" i="16"/>
  <c r="Z258" i="16"/>
  <c r="AF258" i="16"/>
  <c r="Z259" i="16"/>
  <c r="AF259" i="16"/>
  <c r="Z260" i="16"/>
  <c r="AF260" i="16"/>
  <c r="Z261" i="16"/>
  <c r="AF261" i="16"/>
  <c r="Z262" i="16"/>
  <c r="AF262" i="16"/>
  <c r="Z263" i="16"/>
  <c r="AF263" i="16"/>
  <c r="Z264" i="16"/>
  <c r="AF264" i="16"/>
  <c r="Z265" i="16"/>
  <c r="AF265" i="16"/>
  <c r="Z266" i="16"/>
  <c r="AF266" i="16"/>
  <c r="Z267" i="16"/>
  <c r="AF267" i="16"/>
  <c r="Z268" i="16"/>
  <c r="AF268" i="16"/>
  <c r="Z269" i="16"/>
  <c r="AF269" i="16"/>
  <c r="Z270" i="16"/>
  <c r="AF270" i="16"/>
  <c r="Z271" i="16"/>
  <c r="AF271" i="16"/>
  <c r="Z272" i="16"/>
  <c r="AF272" i="16"/>
  <c r="Z273" i="16"/>
  <c r="AF273" i="16"/>
  <c r="Z274" i="16"/>
  <c r="AF274" i="16"/>
  <c r="Z275" i="16"/>
  <c r="AF275" i="16"/>
  <c r="Z276" i="16"/>
  <c r="AF276" i="16"/>
  <c r="Z277" i="16"/>
  <c r="AF277" i="16"/>
  <c r="Z278" i="16"/>
  <c r="AF278" i="16"/>
  <c r="Z279" i="16"/>
  <c r="AF279" i="16"/>
  <c r="Z280" i="16"/>
  <c r="AF280" i="16"/>
  <c r="Z281" i="16"/>
  <c r="AF281" i="16"/>
  <c r="Z282" i="16"/>
  <c r="AF282" i="16"/>
  <c r="Z283" i="16"/>
  <c r="AF283" i="16"/>
  <c r="Z284" i="16"/>
  <c r="AF284" i="16"/>
  <c r="Z285" i="16"/>
  <c r="AF285" i="16"/>
  <c r="Z286" i="16"/>
  <c r="AF286" i="16"/>
  <c r="Z287" i="16"/>
  <c r="AF287" i="16"/>
  <c r="Z288" i="16"/>
  <c r="AF288" i="16"/>
  <c r="Z289" i="16"/>
  <c r="AF289" i="16"/>
  <c r="Z290" i="16"/>
  <c r="AF290" i="16"/>
  <c r="Z291" i="16"/>
  <c r="AF291" i="16"/>
  <c r="Z292" i="16"/>
  <c r="AF292" i="16"/>
  <c r="Z293" i="16"/>
  <c r="AF293" i="16"/>
  <c r="Z294" i="16"/>
  <c r="AF294" i="16"/>
  <c r="Z295" i="16"/>
  <c r="AF295" i="16"/>
  <c r="Z296" i="16"/>
  <c r="AF296" i="16"/>
  <c r="Z297" i="16"/>
  <c r="AF297" i="16"/>
  <c r="Z298" i="16"/>
  <c r="AF298" i="16"/>
  <c r="Z299" i="16"/>
  <c r="AF299" i="16"/>
  <c r="Z300" i="16"/>
  <c r="AF300" i="16"/>
  <c r="Z301" i="16"/>
  <c r="AF301" i="16"/>
  <c r="Z302" i="16"/>
  <c r="AF302" i="16"/>
  <c r="Z303" i="16"/>
  <c r="AF303" i="16"/>
  <c r="Z304" i="16"/>
  <c r="AF304" i="16"/>
  <c r="Z305" i="16"/>
  <c r="AF305" i="16"/>
  <c r="Z306" i="16"/>
  <c r="AF306" i="16"/>
  <c r="Z307" i="16"/>
  <c r="AF307" i="16"/>
  <c r="Z308" i="16"/>
  <c r="AF308" i="16"/>
  <c r="Z309" i="16"/>
  <c r="AF309" i="16"/>
  <c r="Z310" i="16"/>
  <c r="AF310" i="16"/>
  <c r="Z311" i="16"/>
  <c r="AF311" i="16"/>
  <c r="Z312" i="16"/>
  <c r="AF312" i="16"/>
  <c r="Z313" i="16"/>
  <c r="AF313" i="16"/>
  <c r="Z314" i="16"/>
  <c r="AF314" i="16"/>
  <c r="Z315" i="16"/>
  <c r="AF315" i="16"/>
  <c r="Z316" i="16"/>
  <c r="AF316" i="16"/>
  <c r="Z317" i="16"/>
  <c r="AF317" i="16"/>
  <c r="Z318" i="16"/>
  <c r="AF318" i="16"/>
  <c r="Z319" i="16"/>
  <c r="AF319" i="16"/>
  <c r="Z320" i="16"/>
  <c r="AF320" i="16"/>
  <c r="Z321" i="16"/>
  <c r="AF321" i="16"/>
  <c r="Z322" i="16"/>
  <c r="AF322" i="16"/>
  <c r="Z323" i="16"/>
  <c r="AF323" i="16"/>
  <c r="Z324" i="16"/>
  <c r="AF324" i="16"/>
  <c r="Z325" i="16"/>
  <c r="AF325" i="16"/>
  <c r="Z326" i="16"/>
  <c r="AF326" i="16"/>
  <c r="Z327" i="16"/>
  <c r="AF327" i="16"/>
  <c r="Z328" i="16"/>
  <c r="AF328" i="16"/>
  <c r="Z329" i="16"/>
  <c r="AF329" i="16"/>
  <c r="Z330" i="16"/>
  <c r="AF330" i="16"/>
  <c r="Z331" i="16"/>
  <c r="AF331" i="16"/>
  <c r="Z332" i="16"/>
  <c r="AF332" i="16"/>
  <c r="Z333" i="16"/>
  <c r="AF333" i="16"/>
  <c r="Z334" i="16"/>
  <c r="AF334" i="16"/>
  <c r="Z335" i="16"/>
  <c r="AF335" i="16"/>
  <c r="Z336" i="16"/>
  <c r="AF336" i="16"/>
  <c r="Z337" i="16"/>
  <c r="AF337" i="16"/>
  <c r="Z338" i="16"/>
  <c r="AF338" i="16"/>
  <c r="Z339" i="16"/>
  <c r="AF339" i="16"/>
  <c r="Z340" i="16"/>
  <c r="AF340" i="16"/>
  <c r="Z341" i="16"/>
  <c r="AF341" i="16"/>
  <c r="Z342" i="16"/>
  <c r="AF342" i="16"/>
  <c r="Z343" i="16"/>
  <c r="AF343" i="16"/>
  <c r="Z344" i="16"/>
  <c r="AF344" i="16"/>
  <c r="Z345" i="16"/>
  <c r="AF345" i="16"/>
  <c r="Z346" i="16"/>
  <c r="AF346" i="16"/>
  <c r="Z347" i="16"/>
  <c r="AF347" i="16"/>
  <c r="Z348" i="16"/>
  <c r="AF348" i="16"/>
  <c r="Z349" i="16"/>
  <c r="AF349" i="16"/>
  <c r="Z350" i="16"/>
  <c r="AF350" i="16"/>
  <c r="Z351" i="16"/>
  <c r="AF351" i="16"/>
  <c r="Z352" i="16"/>
  <c r="AF352" i="16"/>
  <c r="Z353" i="16"/>
  <c r="AF353" i="16"/>
  <c r="Z354" i="16"/>
  <c r="AF354" i="16"/>
  <c r="Z355" i="16"/>
  <c r="AF355" i="16"/>
  <c r="Z356" i="16"/>
  <c r="AF356" i="16"/>
  <c r="Z357" i="16"/>
  <c r="AF357" i="16"/>
  <c r="Z358" i="16"/>
  <c r="AF358" i="16"/>
  <c r="Z359" i="16"/>
  <c r="AF359" i="16"/>
  <c r="Z360" i="16"/>
  <c r="AF360" i="16"/>
  <c r="Z361" i="16"/>
  <c r="AF361" i="16"/>
  <c r="Z362" i="16"/>
  <c r="AF362" i="16"/>
  <c r="Z363" i="16"/>
  <c r="AF363" i="16"/>
  <c r="Z364" i="16"/>
  <c r="AF364" i="16"/>
  <c r="Z365" i="16"/>
  <c r="AF365" i="16"/>
  <c r="Z366" i="16"/>
  <c r="AF366" i="16"/>
  <c r="Z367" i="16"/>
  <c r="AF367" i="16"/>
  <c r="Z368" i="16"/>
  <c r="AF368" i="16"/>
  <c r="Z369" i="16"/>
  <c r="AF369" i="16"/>
  <c r="Z370" i="16"/>
  <c r="AF370" i="16"/>
  <c r="Z371" i="16"/>
  <c r="AF371" i="16"/>
  <c r="Z372" i="16"/>
  <c r="AF372" i="16"/>
  <c r="Z373" i="16"/>
  <c r="AF373" i="16"/>
  <c r="Z374" i="16"/>
  <c r="AF374" i="16"/>
  <c r="Z375" i="16"/>
  <c r="AF375" i="16"/>
  <c r="Z376" i="16"/>
  <c r="AF376" i="16"/>
  <c r="Z377" i="16"/>
  <c r="AF377" i="16"/>
  <c r="Z378" i="16"/>
  <c r="AF378" i="16"/>
  <c r="Z379" i="16"/>
  <c r="AF379" i="16"/>
  <c r="Z380" i="16"/>
  <c r="AF380" i="16"/>
  <c r="Z381" i="16"/>
  <c r="AF381" i="16"/>
  <c r="Z382" i="16"/>
  <c r="AF382" i="16"/>
  <c r="Z383" i="16"/>
  <c r="AF383" i="16"/>
  <c r="Z384" i="16"/>
  <c r="AF384" i="16"/>
  <c r="Z385" i="16"/>
  <c r="AF385" i="16"/>
  <c r="Z386" i="16"/>
  <c r="AF386" i="16"/>
  <c r="Z387" i="16"/>
  <c r="AF387" i="16"/>
  <c r="Z388" i="16"/>
  <c r="AF388" i="16"/>
  <c r="Z389" i="16"/>
  <c r="AF389" i="16"/>
  <c r="Z390" i="16"/>
  <c r="AF390" i="16"/>
  <c r="Z391" i="16"/>
  <c r="AF391" i="16"/>
  <c r="Z392" i="16"/>
  <c r="AF392" i="16"/>
  <c r="Z393" i="16"/>
  <c r="AF393" i="16"/>
  <c r="Z394" i="16"/>
  <c r="AF394" i="16"/>
  <c r="Z395" i="16"/>
  <c r="AF395" i="16"/>
  <c r="Z396" i="16"/>
  <c r="AF396" i="16"/>
  <c r="Z397" i="16"/>
  <c r="AF397" i="16"/>
  <c r="Z398" i="16"/>
  <c r="AF398" i="16"/>
  <c r="Z399" i="16"/>
  <c r="AF399" i="16"/>
  <c r="Z400" i="16"/>
  <c r="AF400" i="16"/>
  <c r="Z401" i="16"/>
  <c r="AF401" i="16"/>
  <c r="Z402" i="16"/>
  <c r="AF402" i="16"/>
  <c r="Z403" i="16"/>
  <c r="AF403" i="16"/>
  <c r="Z404" i="16"/>
  <c r="AF404" i="16"/>
  <c r="Z405" i="16"/>
  <c r="AF405" i="16"/>
  <c r="Z406" i="16"/>
  <c r="AF406" i="16"/>
  <c r="Z407" i="16"/>
  <c r="AF407" i="16"/>
  <c r="Z408" i="16"/>
  <c r="AF408" i="16"/>
  <c r="Z409" i="16"/>
  <c r="AF409" i="16"/>
  <c r="Z410" i="16"/>
  <c r="AF410" i="16"/>
  <c r="Z411" i="16"/>
  <c r="AF411" i="16"/>
  <c r="Z412" i="16"/>
  <c r="AF412" i="16"/>
  <c r="Z413" i="16"/>
  <c r="AF413" i="16"/>
  <c r="Z414" i="16"/>
  <c r="AF414" i="16"/>
  <c r="Z415" i="16"/>
  <c r="AF415" i="16"/>
  <c r="Z416" i="16"/>
  <c r="AF416" i="16"/>
  <c r="Z417" i="16"/>
  <c r="AF417" i="16"/>
  <c r="Z418" i="16"/>
  <c r="AF418" i="16"/>
  <c r="Z419" i="16"/>
  <c r="AF419" i="16"/>
  <c r="Z420" i="16"/>
  <c r="AF420" i="16"/>
  <c r="Z421" i="16"/>
  <c r="AF421" i="16"/>
  <c r="Z422" i="16"/>
  <c r="AF422" i="16"/>
  <c r="Z423" i="16"/>
  <c r="AF423" i="16"/>
  <c r="Z424" i="16"/>
  <c r="AF424" i="16"/>
  <c r="Z425" i="16"/>
  <c r="AF425" i="16"/>
  <c r="Z426" i="16"/>
  <c r="AF426" i="16"/>
  <c r="Z427" i="16"/>
  <c r="AF427" i="16"/>
  <c r="Z428" i="16"/>
  <c r="AF428" i="16"/>
  <c r="Z429" i="16"/>
  <c r="AF429" i="16"/>
  <c r="Z430" i="16"/>
  <c r="AF430" i="16"/>
  <c r="Z431" i="16"/>
  <c r="AF431" i="16"/>
  <c r="Z432" i="16"/>
  <c r="AF432" i="16"/>
  <c r="Z433" i="16"/>
  <c r="AF433" i="16"/>
  <c r="Z434" i="16"/>
  <c r="AF434" i="16"/>
  <c r="Z435" i="16"/>
  <c r="AF435" i="16"/>
  <c r="Z436" i="16"/>
  <c r="AF436" i="16"/>
  <c r="Z437" i="16"/>
  <c r="AF437" i="16"/>
  <c r="Z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Z445" i="16"/>
  <c r="AF445" i="16"/>
  <c r="Z446" i="16"/>
  <c r="AF446" i="16"/>
  <c r="Z447" i="16"/>
  <c r="AF447" i="16"/>
  <c r="Z448" i="16"/>
  <c r="AF448" i="16"/>
  <c r="Z449" i="16"/>
  <c r="AF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Z460" i="16"/>
  <c r="AF460" i="16"/>
  <c r="Z461" i="16"/>
  <c r="AF461" i="16"/>
  <c r="Z462" i="16"/>
  <c r="AF462" i="16"/>
  <c r="Z463" i="16"/>
  <c r="AF463" i="16"/>
  <c r="Z464" i="16"/>
  <c r="AF464" i="16"/>
  <c r="Z465" i="16"/>
  <c r="AF465" i="16"/>
  <c r="Z466" i="16"/>
  <c r="AF466" i="16"/>
  <c r="Z467" i="16"/>
  <c r="AF467" i="16"/>
  <c r="Z468" i="16"/>
  <c r="AF468" i="16"/>
  <c r="Z469" i="16"/>
  <c r="AF469" i="16"/>
  <c r="Z470" i="16"/>
  <c r="AF470" i="16"/>
  <c r="Z471" i="16"/>
  <c r="AF471" i="16"/>
  <c r="Z472" i="16"/>
  <c r="AF472" i="16"/>
  <c r="Z473" i="16"/>
  <c r="AF473" i="16"/>
  <c r="Z474" i="16"/>
  <c r="AF474" i="16"/>
  <c r="Z475" i="16"/>
  <c r="AF475" i="16"/>
  <c r="Y2" i="26"/>
  <c r="Z2" i="26"/>
  <c r="AE2" i="26"/>
  <c r="AF2" i="26"/>
  <c r="AK2" i="26"/>
  <c r="AL2" i="26"/>
  <c r="AP2" i="26"/>
  <c r="AQ2" i="26"/>
  <c r="AU2" i="26"/>
  <c r="AV2" i="26"/>
  <c r="Y3" i="26"/>
  <c r="Z3" i="26"/>
  <c r="AE3" i="26"/>
  <c r="AF3" i="26"/>
  <c r="AK3" i="26"/>
  <c r="AL3" i="26"/>
  <c r="AP3" i="26"/>
  <c r="AQ3" i="26"/>
  <c r="AU3" i="26"/>
  <c r="AV3" i="26"/>
  <c r="Y4" i="26"/>
  <c r="Z4" i="26"/>
  <c r="AE4" i="26"/>
  <c r="AF4" i="26"/>
  <c r="AK4" i="26"/>
  <c r="AL4" i="26"/>
  <c r="AP4" i="26"/>
  <c r="AQ4" i="26"/>
  <c r="AU4" i="26"/>
  <c r="AV4" i="26"/>
  <c r="Y5" i="26"/>
  <c r="Z5" i="26"/>
  <c r="AE5" i="26"/>
  <c r="AF5" i="26"/>
  <c r="AK5" i="26"/>
  <c r="AL5" i="26"/>
  <c r="AP5" i="26"/>
  <c r="AQ5" i="26"/>
  <c r="AU5" i="26"/>
  <c r="AV5" i="26"/>
  <c r="Y6" i="26"/>
  <c r="Z6" i="26"/>
  <c r="AE6" i="26"/>
  <c r="AF6" i="26"/>
  <c r="AK6" i="26"/>
  <c r="AL6" i="26"/>
  <c r="AP6" i="26"/>
  <c r="AQ6" i="26"/>
  <c r="AU6" i="26"/>
  <c r="AV6" i="26"/>
  <c r="Y7" i="26"/>
  <c r="Z7" i="26"/>
  <c r="AE7" i="26"/>
  <c r="AF7" i="26"/>
  <c r="AK7" i="26"/>
  <c r="AL7" i="26"/>
  <c r="AP7" i="26"/>
  <c r="AQ7" i="26"/>
  <c r="AU7" i="26"/>
  <c r="AV7" i="26"/>
  <c r="Y8" i="26"/>
  <c r="Z8" i="26"/>
  <c r="AE8" i="26"/>
  <c r="AF8" i="26"/>
  <c r="AK8" i="26"/>
  <c r="AL8" i="26"/>
  <c r="AP8" i="26"/>
  <c r="AQ8" i="26"/>
  <c r="AU8" i="26"/>
  <c r="AV8" i="26"/>
  <c r="Y9" i="26"/>
  <c r="Z9" i="26"/>
  <c r="AE9" i="26"/>
  <c r="AF9" i="26"/>
  <c r="AK9" i="26"/>
  <c r="AL9" i="26"/>
  <c r="AP9" i="26"/>
  <c r="AQ9" i="26"/>
  <c r="AU9" i="26"/>
  <c r="AV9" i="26"/>
  <c r="Y10" i="26"/>
  <c r="Z10" i="26"/>
  <c r="AE10" i="26"/>
  <c r="AF10" i="26"/>
  <c r="Y11" i="26"/>
  <c r="Z11" i="26"/>
  <c r="AE11" i="26"/>
  <c r="AF11" i="26"/>
  <c r="Y12" i="26"/>
  <c r="Z12" i="26"/>
  <c r="AE12" i="26"/>
  <c r="AF12" i="26"/>
  <c r="Y13" i="26"/>
  <c r="Z13" i="26"/>
  <c r="AE13" i="26"/>
  <c r="AF13" i="26"/>
  <c r="Z14" i="26"/>
  <c r="AF14" i="26"/>
  <c r="Z15" i="26"/>
  <c r="AF15" i="26"/>
  <c r="Z16" i="26"/>
  <c r="AF16" i="26"/>
  <c r="Z17" i="26"/>
  <c r="AF17" i="26"/>
  <c r="Z18" i="26"/>
  <c r="AF18" i="26"/>
  <c r="Z19" i="26"/>
  <c r="AF19" i="26"/>
  <c r="Z20" i="26"/>
  <c r="AF20" i="26"/>
  <c r="Z21" i="26"/>
  <c r="AF21" i="26"/>
  <c r="Z22" i="26"/>
  <c r="AF22" i="26"/>
  <c r="Z23" i="26"/>
  <c r="AF23" i="26"/>
  <c r="Z24" i="26"/>
  <c r="AF24" i="26"/>
  <c r="Z25" i="26"/>
  <c r="AF25" i="26"/>
  <c r="Y26" i="26"/>
  <c r="Z26" i="26"/>
  <c r="AE26" i="26"/>
  <c r="AF26" i="26"/>
  <c r="Y27" i="26"/>
  <c r="Z27" i="26"/>
  <c r="AE27" i="26"/>
  <c r="AF27" i="26"/>
  <c r="Y28" i="26"/>
  <c r="Z28" i="26"/>
  <c r="AE28" i="26"/>
  <c r="AF28" i="26"/>
  <c r="Y29" i="26"/>
  <c r="Z29" i="26"/>
  <c r="AE29" i="26"/>
  <c r="AF29" i="26"/>
  <c r="Y30" i="26"/>
  <c r="Z30" i="26"/>
  <c r="AE30" i="26"/>
  <c r="AF30" i="26"/>
  <c r="Y31" i="26"/>
  <c r="Z31" i="26"/>
  <c r="AE31" i="26"/>
  <c r="AF31" i="26"/>
  <c r="Y32" i="26"/>
  <c r="Z32" i="26"/>
  <c r="AE32" i="26"/>
  <c r="AF32" i="26"/>
  <c r="Y33" i="26"/>
  <c r="Z33" i="26"/>
  <c r="AE33" i="26"/>
  <c r="AF33" i="26"/>
  <c r="Y34" i="26"/>
  <c r="Z34" i="26"/>
  <c r="AE34" i="26"/>
  <c r="AF34" i="26"/>
  <c r="Y35" i="26"/>
  <c r="Z35" i="26"/>
  <c r="AE35" i="26"/>
  <c r="AF35" i="26"/>
  <c r="Y36" i="26"/>
  <c r="Z36" i="26"/>
  <c r="AE36" i="26"/>
  <c r="AF36" i="26"/>
  <c r="Y37" i="26"/>
  <c r="Z37" i="26"/>
  <c r="AE37" i="26"/>
  <c r="AF37" i="26"/>
  <c r="Z38" i="26"/>
  <c r="AA38" i="26"/>
  <c r="AF38" i="26"/>
  <c r="AG38" i="26"/>
  <c r="Z39" i="26"/>
  <c r="AA39" i="26"/>
  <c r="AF39" i="26"/>
  <c r="AG39" i="26"/>
  <c r="Z40" i="26"/>
  <c r="AA40" i="26"/>
  <c r="AF40" i="26"/>
  <c r="AG40" i="26"/>
  <c r="Z41" i="26"/>
  <c r="AA41" i="26"/>
  <c r="AF41" i="26"/>
  <c r="AG41" i="26"/>
  <c r="Z42" i="26"/>
  <c r="AA42" i="26"/>
  <c r="AF42" i="26"/>
  <c r="AG42" i="26"/>
  <c r="Z43" i="26"/>
  <c r="AA43" i="26"/>
  <c r="AF43" i="26"/>
  <c r="AG43" i="26"/>
  <c r="Z44" i="26"/>
  <c r="AA44" i="26"/>
  <c r="AF44" i="26"/>
  <c r="AG44" i="26"/>
  <c r="Z45" i="26"/>
  <c r="AA45" i="26"/>
  <c r="AF45" i="26"/>
  <c r="AG45" i="26"/>
  <c r="Z46" i="26"/>
  <c r="AA46" i="26"/>
  <c r="AF46" i="26"/>
  <c r="AG46" i="26"/>
  <c r="Z47" i="26"/>
  <c r="AA47" i="26"/>
  <c r="AF47" i="26"/>
  <c r="AG47" i="26"/>
  <c r="Z48" i="26"/>
  <c r="AA48" i="26"/>
  <c r="AF48" i="26"/>
  <c r="AG48" i="26"/>
  <c r="Z49" i="26"/>
  <c r="AA49" i="26"/>
  <c r="AF49" i="26"/>
  <c r="AG49" i="26"/>
  <c r="Y50" i="26"/>
  <c r="AE50" i="26"/>
  <c r="Y51" i="26"/>
  <c r="AE51" i="26"/>
  <c r="Y52" i="26"/>
  <c r="AE52" i="26"/>
  <c r="Y53" i="26"/>
  <c r="AE53" i="26"/>
  <c r="Y54" i="26"/>
  <c r="AE54" i="26"/>
  <c r="Y55" i="26"/>
  <c r="AE55" i="26"/>
  <c r="Y56" i="26"/>
  <c r="AE56" i="26"/>
  <c r="Y57" i="26"/>
  <c r="AE57" i="26"/>
  <c r="Y58" i="26"/>
  <c r="AE58" i="26"/>
  <c r="Y59" i="26"/>
  <c r="AE59" i="26"/>
  <c r="Y60" i="26"/>
  <c r="AE60" i="26"/>
  <c r="Y61" i="26"/>
  <c r="AE61" i="26"/>
  <c r="Z62" i="26"/>
  <c r="AA62" i="26"/>
  <c r="AF62" i="26"/>
  <c r="AG62" i="26"/>
  <c r="Z63" i="26"/>
  <c r="AA63" i="26"/>
  <c r="AF63" i="26"/>
  <c r="AG63" i="26"/>
  <c r="Z64" i="26"/>
  <c r="AA64" i="26"/>
  <c r="AF64" i="26"/>
  <c r="AG64" i="26"/>
  <c r="Z65" i="26"/>
  <c r="AA65" i="26"/>
  <c r="AF65" i="26"/>
  <c r="AG65" i="26"/>
  <c r="Z66" i="26"/>
  <c r="AA66" i="26"/>
  <c r="AF66" i="26"/>
  <c r="AG66" i="26"/>
  <c r="Z67" i="26"/>
  <c r="AA67" i="26"/>
  <c r="AF67" i="26"/>
  <c r="AG67" i="26"/>
  <c r="Z68" i="26"/>
  <c r="AA68" i="26"/>
  <c r="AF68" i="26"/>
  <c r="AG68" i="26"/>
  <c r="Z69" i="26"/>
  <c r="AA69" i="26"/>
  <c r="AF69" i="26"/>
  <c r="AG69" i="26"/>
  <c r="Z70" i="26"/>
  <c r="AA70" i="26"/>
  <c r="AF70" i="26"/>
  <c r="AG70" i="26"/>
  <c r="Z71" i="26"/>
  <c r="AA71" i="26"/>
  <c r="AF71" i="26"/>
  <c r="AG71" i="26"/>
  <c r="Z72" i="26"/>
  <c r="AA72" i="26"/>
  <c r="AF72" i="26"/>
  <c r="AG72" i="26"/>
  <c r="Z73" i="26"/>
  <c r="AA73" i="26"/>
  <c r="AF73" i="26"/>
  <c r="AG73" i="26"/>
  <c r="Z74" i="26"/>
  <c r="AA74" i="26"/>
  <c r="AF74" i="26"/>
  <c r="AG74" i="26"/>
  <c r="Z75" i="26"/>
  <c r="AA75" i="26"/>
  <c r="AF75" i="26"/>
  <c r="AG75" i="26"/>
  <c r="Z76" i="26"/>
  <c r="AA76" i="26"/>
  <c r="AF76" i="26"/>
  <c r="AG76" i="26"/>
  <c r="Z77" i="26"/>
  <c r="AA77" i="26"/>
  <c r="AF77" i="26"/>
  <c r="AG77" i="26"/>
  <c r="Z78" i="26"/>
  <c r="AA78" i="26"/>
  <c r="AF78" i="26"/>
  <c r="AG78" i="26"/>
  <c r="Z79" i="26"/>
  <c r="AA79" i="26"/>
  <c r="AF79" i="26"/>
  <c r="AG79" i="26"/>
  <c r="Z80" i="26"/>
  <c r="AA80" i="26"/>
  <c r="AF80" i="26"/>
  <c r="AG80" i="26"/>
  <c r="Z81" i="26"/>
  <c r="AA81" i="26"/>
  <c r="AF81" i="26"/>
  <c r="AG81" i="26"/>
  <c r="Z82" i="26"/>
  <c r="AA82" i="26"/>
  <c r="AF82" i="26"/>
  <c r="AG82" i="26"/>
  <c r="Z83" i="26"/>
  <c r="AA83" i="26"/>
  <c r="AF83" i="26"/>
  <c r="AG83" i="26"/>
  <c r="Z84" i="26"/>
  <c r="AA84" i="26"/>
  <c r="AF84" i="26"/>
  <c r="AG84" i="26"/>
  <c r="Z85" i="26"/>
  <c r="AA85" i="26"/>
  <c r="AF85" i="26"/>
  <c r="AG85" i="26"/>
  <c r="Y86" i="26"/>
  <c r="AE86" i="26"/>
  <c r="Y87" i="26"/>
  <c r="AE87" i="26"/>
  <c r="Y88" i="26"/>
  <c r="AE88" i="26"/>
  <c r="Y89" i="26"/>
  <c r="AE89" i="26"/>
  <c r="Y90" i="26"/>
  <c r="AE90" i="26"/>
  <c r="Y91" i="26"/>
  <c r="AE91" i="26"/>
  <c r="Y92" i="26"/>
  <c r="AE92" i="26"/>
  <c r="Y93" i="26"/>
  <c r="AE93" i="26"/>
  <c r="Y94" i="26"/>
  <c r="AE94" i="26"/>
  <c r="Y95" i="26"/>
  <c r="AE95" i="26"/>
  <c r="Y96" i="26"/>
  <c r="AE96" i="26"/>
  <c r="Y97" i="26"/>
  <c r="AE97" i="26"/>
  <c r="Z98" i="26"/>
  <c r="AA98" i="26"/>
  <c r="AF98" i="26"/>
  <c r="AG98" i="26"/>
  <c r="Z99" i="26"/>
  <c r="AA99" i="26"/>
  <c r="AF99" i="26"/>
  <c r="AG99" i="26"/>
  <c r="Z100" i="26"/>
  <c r="AA100" i="26"/>
  <c r="AF100" i="26"/>
  <c r="AG100" i="26"/>
  <c r="Z101" i="26"/>
  <c r="AA101" i="26"/>
  <c r="AF101" i="26"/>
  <c r="AG101" i="26"/>
  <c r="Z102" i="26"/>
  <c r="AA102" i="26"/>
  <c r="AF102" i="26"/>
  <c r="AG102" i="26"/>
  <c r="Z103" i="26"/>
  <c r="AA103" i="26"/>
  <c r="AF103" i="26"/>
  <c r="AG103" i="26"/>
  <c r="Z104" i="26"/>
  <c r="AA104" i="26"/>
  <c r="AF104" i="26"/>
  <c r="AG104" i="26"/>
  <c r="Z105" i="26"/>
  <c r="AA105" i="26"/>
  <c r="AF105" i="26"/>
  <c r="AG105" i="26"/>
  <c r="Z106" i="26"/>
  <c r="AA106" i="26"/>
  <c r="AF106" i="26"/>
  <c r="AG106" i="26"/>
  <c r="Z107" i="26"/>
  <c r="AA107" i="26"/>
  <c r="AF107" i="26"/>
  <c r="AG107" i="26"/>
  <c r="Z108" i="26"/>
  <c r="AA108" i="26"/>
  <c r="AF108" i="26"/>
  <c r="AG108" i="26"/>
  <c r="Z109" i="26"/>
  <c r="AA109" i="26"/>
  <c r="AF109" i="26"/>
  <c r="AG109" i="26"/>
  <c r="Z110" i="26"/>
  <c r="AA110" i="26"/>
  <c r="AF110" i="26"/>
  <c r="AG110" i="26"/>
  <c r="Z111" i="26"/>
  <c r="AA111" i="26"/>
  <c r="AF111" i="26"/>
  <c r="AG111" i="26"/>
  <c r="Z112" i="26"/>
  <c r="AA112" i="26"/>
  <c r="AF112" i="26"/>
  <c r="AG112" i="26"/>
  <c r="Z113" i="26"/>
  <c r="AA113" i="26"/>
  <c r="AF113" i="26"/>
  <c r="AG113" i="26"/>
  <c r="Z114" i="26"/>
  <c r="AA114" i="26"/>
  <c r="AF114" i="26"/>
  <c r="AG114" i="26"/>
  <c r="Z115" i="26"/>
  <c r="AA115" i="26"/>
  <c r="AF115" i="26"/>
  <c r="AG115" i="26"/>
  <c r="Z116" i="26"/>
  <c r="AA116" i="26"/>
  <c r="AF116" i="26"/>
  <c r="AG116" i="26"/>
  <c r="Z117" i="26"/>
  <c r="AA117" i="26"/>
  <c r="AF117" i="26"/>
  <c r="AG117" i="26"/>
  <c r="Z118" i="26"/>
  <c r="AA118" i="26"/>
  <c r="AF118" i="26"/>
  <c r="AG118" i="26"/>
  <c r="Z119" i="26"/>
  <c r="AA119" i="26"/>
  <c r="AF119" i="26"/>
  <c r="AG119" i="26"/>
  <c r="Z120" i="26"/>
  <c r="AA120" i="26"/>
  <c r="AF120" i="26"/>
  <c r="AG120" i="26"/>
  <c r="Z121" i="26"/>
  <c r="AA121" i="26"/>
  <c r="AF121" i="26"/>
  <c r="AG121" i="26"/>
  <c r="Y122" i="26"/>
  <c r="AE122" i="26"/>
  <c r="Y123" i="26"/>
  <c r="AE123" i="26"/>
  <c r="Y124" i="26"/>
  <c r="AE124" i="26"/>
  <c r="Y125" i="26"/>
  <c r="AE125" i="26"/>
  <c r="Y126" i="26"/>
  <c r="AE126" i="26"/>
  <c r="Y127" i="26"/>
  <c r="AE127" i="26"/>
  <c r="Y128" i="26"/>
  <c r="AE128" i="26"/>
  <c r="Y129" i="26"/>
  <c r="AE129" i="26"/>
  <c r="Y130" i="26"/>
  <c r="AE130" i="26"/>
  <c r="Y131" i="26"/>
  <c r="AE131" i="26"/>
  <c r="Y132" i="26"/>
  <c r="AE132" i="26"/>
  <c r="Y133" i="26"/>
  <c r="AE133" i="26"/>
  <c r="Z134" i="26"/>
  <c r="AA134" i="26"/>
  <c r="AF134" i="26"/>
  <c r="AG134" i="26"/>
  <c r="Z135" i="26"/>
  <c r="AA135" i="26"/>
  <c r="AF135" i="26"/>
  <c r="AG135" i="26"/>
  <c r="Z136" i="26"/>
  <c r="AA136" i="26"/>
  <c r="AF136" i="26"/>
  <c r="AG136" i="26"/>
  <c r="Z137" i="26"/>
  <c r="AA137" i="26"/>
  <c r="AF137" i="26"/>
  <c r="AG137" i="26"/>
  <c r="Z138" i="26"/>
  <c r="AA138" i="26"/>
  <c r="AF138" i="26"/>
  <c r="AG138" i="26"/>
  <c r="Z139" i="26"/>
  <c r="AA139" i="26"/>
  <c r="AF139" i="26"/>
  <c r="AG139" i="26"/>
  <c r="Z140" i="26"/>
  <c r="AA140" i="26"/>
  <c r="AF140" i="26"/>
  <c r="AG140" i="26"/>
  <c r="Z141" i="26"/>
  <c r="AA141" i="26"/>
  <c r="AF141" i="26"/>
  <c r="AG141" i="26"/>
  <c r="Z142" i="26"/>
  <c r="AA142" i="26"/>
  <c r="AF142" i="26"/>
  <c r="AG142" i="26"/>
  <c r="Z143" i="26"/>
  <c r="AA143" i="26"/>
  <c r="AF143" i="26"/>
  <c r="AG143" i="26"/>
  <c r="Z144" i="26"/>
  <c r="AA144" i="26"/>
  <c r="AF144" i="26"/>
  <c r="AG144" i="26"/>
  <c r="Z145" i="26"/>
  <c r="AA145" i="26"/>
  <c r="AF145" i="26"/>
  <c r="AG145" i="26"/>
  <c r="Z146" i="26"/>
  <c r="AA146" i="26"/>
  <c r="AF146" i="26"/>
  <c r="AG146" i="26"/>
  <c r="Z147" i="26"/>
  <c r="AA147" i="26"/>
  <c r="AF147" i="26"/>
  <c r="AG147" i="26"/>
  <c r="Z148" i="26"/>
  <c r="AA148" i="26"/>
  <c r="AF148" i="26"/>
  <c r="AG148" i="26"/>
  <c r="Z149" i="26"/>
  <c r="AA149" i="26"/>
  <c r="AF149" i="26"/>
  <c r="AG149" i="26"/>
  <c r="Z150" i="26"/>
  <c r="AA150" i="26"/>
  <c r="AF150" i="26"/>
  <c r="AG150" i="26"/>
  <c r="Z151" i="26"/>
  <c r="AA151" i="26"/>
  <c r="AF151" i="26"/>
  <c r="AG151" i="26"/>
  <c r="Z152" i="26"/>
  <c r="AA152" i="26"/>
  <c r="AF152" i="26"/>
  <c r="AG152" i="26"/>
  <c r="Z153" i="26"/>
  <c r="AA153" i="26"/>
  <c r="AF153" i="26"/>
  <c r="AG153" i="26"/>
  <c r="Z154" i="26"/>
  <c r="AA154" i="26"/>
  <c r="AF154" i="26"/>
  <c r="AG154" i="26"/>
  <c r="Z155" i="26"/>
  <c r="AA155" i="26"/>
  <c r="AF155" i="26"/>
  <c r="AG155" i="26"/>
  <c r="Z156" i="26"/>
  <c r="AA156" i="26"/>
  <c r="AF156" i="26"/>
  <c r="AG156" i="26"/>
  <c r="Z157" i="26"/>
  <c r="AA157" i="26"/>
  <c r="AF157" i="26"/>
  <c r="AG157" i="26"/>
  <c r="Y158" i="26"/>
  <c r="AE158" i="26"/>
  <c r="Y159" i="26"/>
  <c r="AE159" i="26"/>
  <c r="Y160" i="26"/>
  <c r="AE160" i="26"/>
  <c r="Y161" i="26"/>
  <c r="AE161" i="26"/>
  <c r="Y162" i="26"/>
  <c r="AE162" i="26"/>
  <c r="Y163" i="26"/>
  <c r="AE163" i="26"/>
  <c r="Y164" i="26"/>
  <c r="AE164" i="26"/>
  <c r="Y165" i="26"/>
  <c r="AE165" i="26"/>
  <c r="Y166" i="26"/>
  <c r="AE166" i="26"/>
  <c r="Y167" i="26"/>
  <c r="AE167" i="26"/>
  <c r="Y168" i="26"/>
  <c r="AE168" i="26"/>
  <c r="Y169" i="26"/>
  <c r="AE169" i="26"/>
  <c r="Z170" i="26"/>
  <c r="AA170" i="26"/>
  <c r="AF170" i="26"/>
  <c r="AG170" i="26"/>
  <c r="Z171" i="26"/>
  <c r="AA171" i="26"/>
  <c r="AF171" i="26"/>
  <c r="AG171" i="26"/>
  <c r="Z172" i="26"/>
  <c r="AA172" i="26"/>
  <c r="AF172" i="26"/>
  <c r="AG172" i="26"/>
  <c r="Z173" i="26"/>
  <c r="AA173" i="26"/>
  <c r="AF173" i="26"/>
  <c r="AG173" i="26"/>
  <c r="Z174" i="26"/>
  <c r="AA174" i="26"/>
  <c r="AF174" i="26"/>
  <c r="AG174" i="26"/>
  <c r="Z175" i="26"/>
  <c r="AA175" i="26"/>
  <c r="AF175" i="26"/>
  <c r="AG175" i="26"/>
  <c r="Z176" i="26"/>
  <c r="AA176" i="26"/>
  <c r="AF176" i="26"/>
  <c r="AG176" i="26"/>
  <c r="Z177" i="26"/>
  <c r="AA177" i="26"/>
  <c r="AF177" i="26"/>
  <c r="AG177" i="26"/>
  <c r="Z178" i="26"/>
  <c r="AA178" i="26"/>
  <c r="AF178" i="26"/>
  <c r="AG178" i="26"/>
  <c r="Z179" i="26"/>
  <c r="AA179" i="26"/>
  <c r="AF179" i="26"/>
  <c r="AG179" i="26"/>
  <c r="Z180" i="26"/>
  <c r="AA180" i="26"/>
  <c r="AF180" i="26"/>
  <c r="AG180" i="26"/>
  <c r="Z181" i="26"/>
  <c r="AA181" i="26"/>
  <c r="AF181" i="26"/>
  <c r="AG181" i="26"/>
  <c r="Z182" i="26"/>
  <c r="AA182" i="26"/>
  <c r="AF182" i="26"/>
  <c r="AG182" i="26"/>
  <c r="Z183" i="26"/>
  <c r="AA183" i="26"/>
  <c r="AF183" i="26"/>
  <c r="AG183" i="26"/>
  <c r="Z184" i="26"/>
  <c r="AA184" i="26"/>
  <c r="AF184" i="26"/>
  <c r="AG184" i="26"/>
  <c r="Z185" i="26"/>
  <c r="AA185" i="26"/>
  <c r="AF185" i="26"/>
  <c r="AG185" i="26"/>
  <c r="Z186" i="26"/>
  <c r="AA186" i="26"/>
  <c r="AF186" i="26"/>
  <c r="AG186" i="26"/>
  <c r="Z187" i="26"/>
  <c r="AA187" i="26"/>
  <c r="AF187" i="26"/>
  <c r="AG187" i="26"/>
  <c r="Z188" i="26"/>
  <c r="AA188" i="26"/>
  <c r="AF188" i="26"/>
  <c r="AG188" i="26"/>
  <c r="Z189" i="26"/>
  <c r="AA189" i="26"/>
  <c r="AF189" i="26"/>
  <c r="AG189" i="26"/>
  <c r="Z190" i="26"/>
  <c r="AA190" i="26"/>
  <c r="AF190" i="26"/>
  <c r="AG190" i="26"/>
  <c r="Z191" i="26"/>
  <c r="AA191" i="26"/>
  <c r="AF191" i="26"/>
  <c r="AG191" i="26"/>
  <c r="Z192" i="26"/>
  <c r="AA192" i="26"/>
  <c r="AF192" i="26"/>
  <c r="AG192" i="26"/>
  <c r="Z193" i="26"/>
  <c r="AA193" i="26"/>
  <c r="AF193" i="26"/>
  <c r="AG193" i="26"/>
  <c r="Z194" i="26"/>
  <c r="AA194" i="26"/>
  <c r="AF194" i="26"/>
  <c r="AG194" i="26"/>
  <c r="Z195" i="26"/>
  <c r="AA195" i="26"/>
  <c r="AF195" i="26"/>
  <c r="AG195" i="26"/>
  <c r="Z196" i="26"/>
  <c r="AA196" i="26"/>
  <c r="AF196" i="26"/>
  <c r="AG196" i="26"/>
  <c r="Z197" i="26"/>
  <c r="AA197" i="26"/>
  <c r="AF197" i="26"/>
  <c r="AG197" i="26"/>
  <c r="Z198" i="26"/>
  <c r="AA198" i="26"/>
  <c r="AF198" i="26"/>
  <c r="AG198" i="26"/>
  <c r="Z199" i="26"/>
  <c r="AA199" i="26"/>
  <c r="AF199" i="26"/>
  <c r="AG199" i="26"/>
  <c r="Z200" i="26"/>
  <c r="AA200" i="26"/>
  <c r="AF200" i="26"/>
  <c r="AG200" i="26"/>
  <c r="Z201" i="26"/>
  <c r="AA201" i="26"/>
  <c r="AF201" i="26"/>
  <c r="AG201" i="26"/>
  <c r="Z202" i="26"/>
  <c r="AA202" i="26"/>
  <c r="AF202" i="26"/>
  <c r="AG202" i="26"/>
  <c r="Z203" i="26"/>
  <c r="AA203" i="26"/>
  <c r="AF203" i="26"/>
  <c r="AG203" i="26"/>
  <c r="Z204" i="26"/>
  <c r="AA204" i="26"/>
  <c r="AF204" i="26"/>
  <c r="AG204" i="26"/>
  <c r="Z205" i="26"/>
  <c r="AA205" i="26"/>
  <c r="AF205" i="26"/>
  <c r="AG205" i="26"/>
  <c r="Z206" i="26"/>
  <c r="AA206" i="26"/>
  <c r="AF206" i="26"/>
  <c r="AG206" i="26"/>
  <c r="Z207" i="26"/>
  <c r="AA207" i="26"/>
  <c r="AF207" i="26"/>
  <c r="AG207" i="26"/>
  <c r="Z208" i="26"/>
  <c r="AA208" i="26"/>
  <c r="AF208" i="26"/>
  <c r="AG208" i="26"/>
  <c r="Z209" i="26"/>
  <c r="AA209" i="26"/>
  <c r="AF209" i="26"/>
  <c r="AG209" i="26"/>
  <c r="Z210" i="26"/>
  <c r="AA210" i="26"/>
  <c r="AF210" i="26"/>
  <c r="AG210" i="26"/>
  <c r="Z211" i="26"/>
  <c r="AA211" i="26"/>
  <c r="AF211" i="26"/>
  <c r="AG211" i="26"/>
  <c r="Z212" i="26"/>
  <c r="AA212" i="26"/>
  <c r="AF212" i="26"/>
  <c r="AG212" i="26"/>
  <c r="Z213" i="26"/>
  <c r="AA213" i="26"/>
  <c r="AF213" i="26"/>
  <c r="AG213" i="26"/>
  <c r="Z214" i="26"/>
  <c r="AA214" i="26"/>
  <c r="AF214" i="26"/>
  <c r="AG214" i="26"/>
  <c r="Z215" i="26"/>
  <c r="AA215" i="26"/>
  <c r="AF215" i="26"/>
  <c r="AG215" i="26"/>
  <c r="Z216" i="26"/>
  <c r="AA216" i="26"/>
  <c r="AF216" i="26"/>
  <c r="AG216" i="26"/>
  <c r="Z217" i="26"/>
  <c r="AA217" i="26"/>
  <c r="AF217" i="26"/>
  <c r="AG217" i="26"/>
  <c r="Z218" i="26"/>
  <c r="AA218" i="26"/>
  <c r="AF218" i="26"/>
  <c r="AG218" i="26"/>
  <c r="Z219" i="26"/>
  <c r="AA219" i="26"/>
  <c r="AF219" i="26"/>
  <c r="AG219" i="26"/>
  <c r="Z220" i="26"/>
  <c r="AA220" i="26"/>
  <c r="AF220" i="26"/>
  <c r="AG220" i="26"/>
  <c r="Z221" i="26"/>
  <c r="AA221" i="26"/>
  <c r="AF221" i="26"/>
  <c r="AG221" i="26"/>
  <c r="Z222" i="26"/>
  <c r="AA222" i="26"/>
  <c r="AF222" i="26"/>
  <c r="AG222" i="26"/>
  <c r="Z223" i="26"/>
  <c r="AA223" i="26"/>
  <c r="AF223" i="26"/>
  <c r="AG223" i="26"/>
  <c r="Z224" i="26"/>
  <c r="AA224" i="26"/>
  <c r="AF224" i="26"/>
  <c r="AG224" i="26"/>
  <c r="Z225" i="26"/>
  <c r="AA225" i="26"/>
  <c r="AF225" i="26"/>
  <c r="AG225" i="26"/>
  <c r="Z226" i="26"/>
  <c r="AA226" i="26"/>
  <c r="AF226" i="26"/>
  <c r="AG226" i="26"/>
  <c r="Z227" i="26"/>
  <c r="AA227" i="26"/>
  <c r="AF227" i="26"/>
  <c r="AG227" i="26"/>
  <c r="Z228" i="26"/>
  <c r="AA228" i="26"/>
  <c r="AF228" i="26"/>
  <c r="AG228" i="26"/>
  <c r="Z229" i="26"/>
  <c r="AA229" i="26"/>
  <c r="AF229" i="26"/>
  <c r="AG229" i="26"/>
  <c r="Z230" i="26"/>
  <c r="AA230" i="26"/>
  <c r="AF230" i="26"/>
  <c r="AG230" i="26"/>
  <c r="Z231" i="26"/>
  <c r="AA231" i="26"/>
  <c r="AF231" i="26"/>
  <c r="AG231" i="26"/>
  <c r="Z232" i="26"/>
  <c r="AA232" i="26"/>
  <c r="AF232" i="26"/>
  <c r="AG232" i="26"/>
  <c r="Z233" i="26"/>
  <c r="AA233" i="26"/>
  <c r="AF233" i="26"/>
  <c r="AG233" i="26"/>
  <c r="Z234" i="26"/>
  <c r="AA234" i="26"/>
  <c r="AF234" i="26"/>
  <c r="AG234" i="26"/>
  <c r="Z235" i="26"/>
  <c r="AA235" i="26"/>
  <c r="AF235" i="26"/>
  <c r="AG235" i="26"/>
  <c r="Z236" i="26"/>
  <c r="AA236" i="26"/>
  <c r="AF236" i="26"/>
  <c r="AG236" i="26"/>
  <c r="Z237" i="26"/>
  <c r="AA237" i="26"/>
  <c r="AF237" i="26"/>
  <c r="AG237" i="26"/>
  <c r="Z238" i="26"/>
  <c r="AA238" i="26"/>
  <c r="AF238" i="26"/>
  <c r="AG238" i="26"/>
  <c r="Z239" i="26"/>
  <c r="AA239" i="26"/>
  <c r="AF239" i="26"/>
  <c r="AG239" i="26"/>
  <c r="Z240" i="26"/>
  <c r="AA240" i="26"/>
  <c r="AF240" i="26"/>
  <c r="AG240" i="26"/>
  <c r="Z241" i="26"/>
  <c r="AA241" i="26"/>
  <c r="AF241" i="26"/>
  <c r="AG241" i="26"/>
  <c r="Z242" i="26"/>
  <c r="AA242" i="26"/>
  <c r="AF242" i="26"/>
  <c r="AG242" i="26"/>
  <c r="Z243" i="26"/>
  <c r="AA243" i="26"/>
  <c r="AF243" i="26"/>
  <c r="AG243" i="26"/>
  <c r="Z244" i="26"/>
  <c r="AA244" i="26"/>
  <c r="AF244" i="26"/>
  <c r="AG244" i="26"/>
  <c r="Z245" i="26"/>
  <c r="AA245" i="26"/>
  <c r="AF245" i="26"/>
  <c r="AG245" i="26"/>
  <c r="Z246" i="26"/>
  <c r="AA246" i="26"/>
  <c r="AF246" i="26"/>
  <c r="AG246" i="26"/>
  <c r="Z247" i="26"/>
  <c r="AA247" i="26"/>
  <c r="AF247" i="26"/>
  <c r="AG247" i="26"/>
  <c r="Z248" i="26"/>
  <c r="AA248" i="26"/>
  <c r="AF248" i="26"/>
  <c r="AG248" i="26"/>
  <c r="Z249" i="26"/>
  <c r="AA249" i="26"/>
  <c r="AF249" i="26"/>
  <c r="AG249" i="26"/>
  <c r="Z250" i="26"/>
  <c r="AA250" i="26"/>
  <c r="AF250" i="26"/>
  <c r="AG250" i="26"/>
  <c r="Z251" i="26"/>
  <c r="AA251" i="26"/>
  <c r="AF251" i="26"/>
  <c r="AG251" i="26"/>
  <c r="Z252" i="26"/>
  <c r="AA252" i="26"/>
  <c r="AF252" i="26"/>
  <c r="AG252" i="26"/>
  <c r="Z253" i="26"/>
  <c r="AA253" i="26"/>
  <c r="AF253" i="26"/>
  <c r="AG253" i="26"/>
  <c r="Z254" i="26"/>
  <c r="AA254" i="26"/>
  <c r="AF254" i="26"/>
  <c r="AG254" i="26"/>
  <c r="Z255" i="26"/>
  <c r="AA255" i="26"/>
  <c r="AF255" i="26"/>
  <c r="AG255" i="26"/>
  <c r="Z256" i="26"/>
  <c r="AA256" i="26"/>
  <c r="AF256" i="26"/>
  <c r="AG256" i="26"/>
  <c r="Z257" i="26"/>
  <c r="AA257" i="26"/>
  <c r="AF257" i="26"/>
  <c r="AG257" i="26"/>
  <c r="Z258" i="26"/>
  <c r="AA258" i="26"/>
  <c r="AF258" i="26"/>
  <c r="AG258" i="26"/>
  <c r="Z259" i="26"/>
  <c r="AA259" i="26"/>
  <c r="AF259" i="26"/>
  <c r="AG259" i="26"/>
  <c r="Z260" i="26"/>
  <c r="AA260" i="26"/>
  <c r="AF260" i="26"/>
  <c r="AG260" i="26"/>
  <c r="Z261" i="26"/>
  <c r="AA261" i="26"/>
  <c r="AF261" i="26"/>
  <c r="AG261" i="26"/>
  <c r="Z262" i="26"/>
  <c r="AA262" i="26"/>
  <c r="AF262" i="26"/>
  <c r="AG262" i="26"/>
  <c r="Z263" i="26"/>
  <c r="AA263" i="26"/>
  <c r="AF263" i="26"/>
  <c r="AG263" i="26"/>
  <c r="Z264" i="26"/>
  <c r="AA264" i="26"/>
  <c r="AF264" i="26"/>
  <c r="AG264" i="26"/>
  <c r="Z265" i="26"/>
  <c r="AA265" i="26"/>
  <c r="AF265" i="26"/>
  <c r="AG265" i="26"/>
  <c r="Z266" i="26"/>
  <c r="AA266" i="26"/>
  <c r="AF266" i="26"/>
  <c r="AG266" i="26"/>
  <c r="Z267" i="26"/>
  <c r="AA267" i="26"/>
  <c r="AF267" i="26"/>
  <c r="AG267" i="26"/>
  <c r="Z268" i="26"/>
  <c r="AA268" i="26"/>
  <c r="AF268" i="26"/>
  <c r="AG268" i="26"/>
  <c r="Z269" i="26"/>
  <c r="AA269" i="26"/>
  <c r="AF269" i="26"/>
  <c r="AG269" i="26"/>
  <c r="Z270" i="26"/>
  <c r="AA270" i="26"/>
  <c r="AF270" i="26"/>
  <c r="AG270" i="26"/>
  <c r="Z271" i="26"/>
  <c r="AA271" i="26"/>
  <c r="AF271" i="26"/>
  <c r="AG271" i="26"/>
  <c r="Z272" i="26"/>
  <c r="AA272" i="26"/>
  <c r="AF272" i="26"/>
  <c r="AG272" i="26"/>
  <c r="Z273" i="26"/>
  <c r="AA273" i="26"/>
  <c r="AF273" i="26"/>
  <c r="AG273" i="26"/>
  <c r="Z274" i="26"/>
  <c r="AA274" i="26"/>
  <c r="AF274" i="26"/>
  <c r="AG274" i="26"/>
  <c r="Z275" i="26"/>
  <c r="AA275" i="26"/>
  <c r="AF275" i="26"/>
  <c r="AG275" i="26"/>
  <c r="Z276" i="26"/>
  <c r="AA276" i="26"/>
  <c r="AF276" i="26"/>
  <c r="AG276" i="26"/>
  <c r="Z277" i="26"/>
  <c r="AA277" i="26"/>
  <c r="AF277" i="26"/>
  <c r="AG277" i="26"/>
  <c r="Z278" i="26"/>
  <c r="AA278" i="26"/>
  <c r="AF278" i="26"/>
  <c r="AG278" i="26"/>
  <c r="Z279" i="26"/>
  <c r="AA279" i="26"/>
  <c r="AF279" i="26"/>
  <c r="AG279" i="26"/>
  <c r="Z280" i="26"/>
  <c r="AA280" i="26"/>
  <c r="AF280" i="26"/>
  <c r="AG280" i="26"/>
  <c r="Z281" i="26"/>
  <c r="AA281" i="26"/>
  <c r="AF281" i="26"/>
  <c r="AG281" i="26"/>
  <c r="Z282" i="26"/>
  <c r="AA282" i="26"/>
  <c r="AF282" i="26"/>
  <c r="AG282" i="26"/>
  <c r="Z283" i="26"/>
  <c r="AA283" i="26"/>
  <c r="AF283" i="26"/>
  <c r="AG283" i="26"/>
  <c r="Z284" i="26"/>
  <c r="AA284" i="26"/>
  <c r="AF284" i="26"/>
  <c r="AG284" i="26"/>
  <c r="Z285" i="26"/>
  <c r="AA285" i="26"/>
  <c r="AF285" i="26"/>
  <c r="AG285" i="26"/>
  <c r="Z286" i="26"/>
  <c r="AA286" i="26"/>
  <c r="AF286" i="26"/>
  <c r="AG286" i="26"/>
  <c r="Z287" i="26"/>
  <c r="AA287" i="26"/>
  <c r="AF287" i="26"/>
  <c r="AG287" i="26"/>
  <c r="Z288" i="26"/>
  <c r="AA288" i="26"/>
  <c r="AF288" i="26"/>
  <c r="AG288" i="26"/>
  <c r="Z289" i="26"/>
  <c r="AA289" i="26"/>
  <c r="AF289" i="26"/>
  <c r="AG289" i="26"/>
  <c r="Z290" i="26"/>
  <c r="AA290" i="26"/>
  <c r="AF290" i="26"/>
  <c r="AG290" i="26"/>
  <c r="Z291" i="26"/>
  <c r="AA291" i="26"/>
  <c r="AF291" i="26"/>
  <c r="AG291" i="26"/>
  <c r="Z292" i="26"/>
  <c r="AA292" i="26"/>
  <c r="AF292" i="26"/>
  <c r="AG292" i="26"/>
  <c r="Z293" i="26"/>
  <c r="AA293" i="26"/>
  <c r="AF293" i="26"/>
  <c r="AG293" i="26"/>
  <c r="Z294" i="26"/>
  <c r="AA294" i="26"/>
  <c r="AF294" i="26"/>
  <c r="AG294" i="26"/>
  <c r="Z295" i="26"/>
  <c r="AA295" i="26"/>
  <c r="AF295" i="26"/>
  <c r="AG295" i="26"/>
  <c r="Z296" i="26"/>
  <c r="AA296" i="26"/>
  <c r="AF296" i="26"/>
  <c r="AG296" i="26"/>
  <c r="Z297" i="26"/>
  <c r="AA297" i="26"/>
  <c r="AF297" i="26"/>
  <c r="AG297" i="26"/>
  <c r="Z298" i="26"/>
  <c r="AA298" i="26"/>
  <c r="AF298" i="26"/>
  <c r="AG298" i="26"/>
  <c r="Z299" i="26"/>
  <c r="AA299" i="26"/>
  <c r="AF299" i="26"/>
  <c r="AG299" i="26"/>
  <c r="Z300" i="26"/>
  <c r="AA300" i="26"/>
  <c r="AF300" i="26"/>
  <c r="AG300" i="26"/>
  <c r="Z301" i="26"/>
  <c r="AA301" i="26"/>
  <c r="AF301" i="26"/>
  <c r="AG301" i="26"/>
  <c r="Z302" i="26"/>
  <c r="AA302" i="26"/>
  <c r="AF302" i="26"/>
  <c r="AG302" i="26"/>
  <c r="Z303" i="26"/>
  <c r="AA303" i="26"/>
  <c r="AF303" i="26"/>
  <c r="AG303" i="26"/>
  <c r="Z304" i="26"/>
  <c r="AA304" i="26"/>
  <c r="AF304" i="26"/>
  <c r="AG304" i="26"/>
  <c r="Z305" i="26"/>
  <c r="AA305" i="26"/>
  <c r="AF305" i="26"/>
  <c r="AG305" i="26"/>
  <c r="Z306" i="26"/>
  <c r="AA306" i="26"/>
  <c r="AF306" i="26"/>
  <c r="AG306" i="26"/>
  <c r="Z307" i="26"/>
  <c r="AA307" i="26"/>
  <c r="AF307" i="26"/>
  <c r="AG307" i="26"/>
  <c r="Z308" i="26"/>
  <c r="AA308" i="26"/>
  <c r="AF308" i="26"/>
  <c r="AG308" i="26"/>
  <c r="Z309" i="26"/>
  <c r="AA309" i="26"/>
  <c r="AF309" i="26"/>
  <c r="AG309" i="26"/>
  <c r="Z310" i="26"/>
  <c r="AA310" i="26"/>
  <c r="AF310" i="26"/>
  <c r="AG310" i="26"/>
  <c r="Z311" i="26"/>
  <c r="AA311" i="26"/>
  <c r="AF311" i="26"/>
  <c r="AG311" i="26"/>
  <c r="Z312" i="26"/>
  <c r="AA312" i="26"/>
  <c r="AF312" i="26"/>
  <c r="AG312" i="26"/>
  <c r="Z313" i="26"/>
  <c r="AA313" i="26"/>
  <c r="AF313" i="26"/>
  <c r="AG313" i="26"/>
  <c r="Z314" i="26"/>
  <c r="AA314" i="26"/>
  <c r="AF314" i="26"/>
  <c r="AG314" i="26"/>
  <c r="Z315" i="26"/>
  <c r="AA315" i="26"/>
  <c r="AF315" i="26"/>
  <c r="AG315" i="26"/>
  <c r="Z316" i="26"/>
  <c r="AA316" i="26"/>
  <c r="AF316" i="26"/>
  <c r="AG316" i="26"/>
  <c r="Z317" i="26"/>
  <c r="AA317" i="26"/>
  <c r="AF317" i="26"/>
  <c r="AG317" i="26"/>
  <c r="Z318" i="26"/>
  <c r="AA318" i="26"/>
  <c r="AF318" i="26"/>
  <c r="AG318" i="26"/>
  <c r="Z319" i="26"/>
  <c r="AA319" i="26"/>
  <c r="AF319" i="26"/>
  <c r="AG319" i="26"/>
  <c r="Z320" i="26"/>
  <c r="AA320" i="26"/>
  <c r="AF320" i="26"/>
  <c r="AG320" i="26"/>
  <c r="Z321" i="26"/>
  <c r="AA321" i="26"/>
  <c r="AF321" i="26"/>
  <c r="AG321" i="26"/>
  <c r="Z322" i="26"/>
  <c r="AA322" i="26"/>
  <c r="AF322" i="26"/>
  <c r="AG322" i="26"/>
  <c r="Z323" i="26"/>
  <c r="AA323" i="26"/>
  <c r="AF323" i="26"/>
  <c r="AG323" i="26"/>
  <c r="Z324" i="26"/>
  <c r="AA324" i="26"/>
  <c r="AF324" i="26"/>
  <c r="AG324" i="26"/>
  <c r="Z325" i="26"/>
  <c r="AA325" i="26"/>
  <c r="AF325" i="26"/>
  <c r="AG325" i="26"/>
  <c r="Z326" i="26"/>
  <c r="AA326" i="26"/>
  <c r="AF326" i="26"/>
  <c r="AG326" i="26"/>
  <c r="Z327" i="26"/>
  <c r="AA327" i="26"/>
  <c r="AF327" i="26"/>
  <c r="AG327" i="26"/>
  <c r="Z328" i="26"/>
  <c r="AA328" i="26"/>
  <c r="AF328" i="26"/>
  <c r="AG328" i="26"/>
  <c r="Z329" i="26"/>
  <c r="AA329" i="26"/>
  <c r="AF329" i="26"/>
  <c r="AG329" i="26"/>
  <c r="Z330" i="26"/>
  <c r="AA330" i="26"/>
  <c r="AF330" i="26"/>
  <c r="AG330" i="26"/>
  <c r="Z331" i="26"/>
  <c r="AA331" i="26"/>
  <c r="AF331" i="26"/>
  <c r="AG331" i="26"/>
  <c r="Z332" i="26"/>
  <c r="AA332" i="26"/>
  <c r="AF332" i="26"/>
  <c r="AG332" i="26"/>
  <c r="Z333" i="26"/>
  <c r="AA333" i="26"/>
  <c r="AF333" i="26"/>
  <c r="AG333" i="26"/>
  <c r="Z334" i="26"/>
  <c r="AA334" i="26"/>
  <c r="AF334" i="26"/>
  <c r="AG334" i="26"/>
  <c r="Z335" i="26"/>
  <c r="AA335" i="26"/>
  <c r="AF335" i="26"/>
  <c r="AG335" i="26"/>
  <c r="Z336" i="26"/>
  <c r="AA336" i="26"/>
  <c r="AF336" i="26"/>
  <c r="AG336" i="26"/>
  <c r="Z337" i="26"/>
  <c r="AA337" i="26"/>
  <c r="AF337" i="26"/>
  <c r="AG337" i="26"/>
  <c r="Z338" i="26"/>
  <c r="AA338" i="26"/>
  <c r="AF338" i="26"/>
  <c r="AG338" i="26"/>
  <c r="Z339" i="26"/>
  <c r="AA339" i="26"/>
  <c r="AF339" i="26"/>
  <c r="AG339" i="26"/>
  <c r="Z340" i="26"/>
  <c r="AA340" i="26"/>
  <c r="AF340" i="26"/>
  <c r="AG340" i="26"/>
  <c r="Z341" i="26"/>
  <c r="AA341" i="26"/>
  <c r="AF341" i="26"/>
  <c r="AG341" i="26"/>
  <c r="Z342" i="26"/>
  <c r="AA342" i="26"/>
  <c r="AF342" i="26"/>
  <c r="AG342" i="26"/>
  <c r="Z343" i="26"/>
  <c r="AA343" i="26"/>
  <c r="AF343" i="26"/>
  <c r="AG343" i="26"/>
  <c r="Z344" i="26"/>
  <c r="AA344" i="26"/>
  <c r="AF344" i="26"/>
  <c r="AG344" i="26"/>
  <c r="Z345" i="26"/>
  <c r="AA345" i="26"/>
  <c r="AF345" i="26"/>
  <c r="AG345" i="26"/>
  <c r="Z346" i="26"/>
  <c r="AA346" i="26"/>
  <c r="AF346" i="26"/>
  <c r="AG346" i="26"/>
  <c r="Z347" i="26"/>
  <c r="AA347" i="26"/>
  <c r="AF347" i="26"/>
  <c r="AG347" i="26"/>
  <c r="Z348" i="26"/>
  <c r="AA348" i="26"/>
  <c r="AF348" i="26"/>
  <c r="AG348" i="26"/>
  <c r="Z349" i="26"/>
  <c r="AA349" i="26"/>
  <c r="AF349" i="26"/>
  <c r="AG349" i="26"/>
  <c r="Z350" i="26"/>
  <c r="AA350" i="26"/>
  <c r="AF350" i="26"/>
  <c r="AG350" i="26"/>
  <c r="Z351" i="26"/>
  <c r="AA351" i="26"/>
  <c r="AF351" i="26"/>
  <c r="AG351" i="26"/>
  <c r="Z352" i="26"/>
  <c r="AA352" i="26"/>
  <c r="AF352" i="26"/>
  <c r="AG352" i="26"/>
  <c r="Z353" i="26"/>
  <c r="AA353" i="26"/>
  <c r="AF353" i="26"/>
  <c r="AG353" i="26"/>
  <c r="Z354" i="26"/>
  <c r="AA354" i="26"/>
  <c r="AF354" i="26"/>
  <c r="AG354" i="26"/>
  <c r="Z355" i="26"/>
  <c r="AA355" i="26"/>
  <c r="AF355" i="26"/>
  <c r="AG355" i="26"/>
  <c r="Z356" i="26"/>
  <c r="AA356" i="26"/>
  <c r="AF356" i="26"/>
  <c r="AG356" i="26"/>
  <c r="Z357" i="26"/>
  <c r="AA357" i="26"/>
  <c r="AF357" i="26"/>
  <c r="AG357" i="26"/>
  <c r="Z358" i="26"/>
  <c r="AA358" i="26"/>
  <c r="AF358" i="26"/>
  <c r="AG358" i="26"/>
  <c r="Z359" i="26"/>
  <c r="AA359" i="26"/>
  <c r="AF359" i="26"/>
  <c r="AG359" i="26"/>
  <c r="Z360" i="26"/>
  <c r="AA360" i="26"/>
  <c r="AF360" i="26"/>
  <c r="AG360" i="26"/>
  <c r="Z361" i="26"/>
  <c r="AA361" i="26"/>
  <c r="AF361" i="26"/>
  <c r="AG361" i="26"/>
  <c r="Z362" i="26"/>
  <c r="AA362" i="26"/>
  <c r="AF362" i="26"/>
  <c r="AG362" i="26"/>
  <c r="Z363" i="26"/>
  <c r="AA363" i="26"/>
  <c r="AF363" i="26"/>
  <c r="AG363" i="26"/>
  <c r="Z364" i="26"/>
  <c r="AA364" i="26"/>
  <c r="AF364" i="26"/>
  <c r="AG364" i="26"/>
  <c r="Z365" i="26"/>
  <c r="AA365" i="26"/>
  <c r="AF365" i="26"/>
  <c r="AG365" i="26"/>
  <c r="Z366" i="26"/>
  <c r="AA366" i="26"/>
  <c r="AF366" i="26"/>
  <c r="AG366" i="26"/>
  <c r="Z367" i="26"/>
  <c r="AA367" i="26"/>
  <c r="AF367" i="26"/>
  <c r="AG367" i="26"/>
  <c r="Z368" i="26"/>
  <c r="AA368" i="26"/>
  <c r="AF368" i="26"/>
  <c r="AG368" i="26"/>
  <c r="Z369" i="26"/>
  <c r="AA369" i="26"/>
  <c r="AF369" i="26"/>
  <c r="AG369" i="26"/>
  <c r="Z370" i="26"/>
  <c r="AA370" i="26"/>
  <c r="AF370" i="26"/>
  <c r="AG370" i="26"/>
  <c r="Z371" i="26"/>
  <c r="AA371" i="26"/>
  <c r="AF371" i="26"/>
  <c r="AG371" i="26"/>
  <c r="Z372" i="26"/>
  <c r="AA372" i="26"/>
  <c r="AF372" i="26"/>
  <c r="AG372" i="26"/>
  <c r="Z373" i="26"/>
  <c r="AA373" i="26"/>
  <c r="AF373" i="26"/>
  <c r="AG373" i="26"/>
  <c r="Z374" i="26"/>
  <c r="AA374" i="26"/>
  <c r="AF374" i="26"/>
  <c r="AG374" i="26"/>
  <c r="Z375" i="26"/>
  <c r="AA375" i="26"/>
  <c r="AF375" i="26"/>
  <c r="AG375" i="26"/>
  <c r="Z376" i="26"/>
  <c r="AA376" i="26"/>
  <c r="AF376" i="26"/>
  <c r="AG376" i="26"/>
  <c r="Z377" i="26"/>
  <c r="AA377" i="26"/>
  <c r="AF377" i="26"/>
  <c r="AG377" i="26"/>
  <c r="Z378" i="26"/>
  <c r="AA378" i="26"/>
  <c r="AF378" i="26"/>
  <c r="AG378" i="26"/>
  <c r="Z379" i="26"/>
  <c r="AA379" i="26"/>
  <c r="AF379" i="26"/>
  <c r="AG379" i="26"/>
  <c r="Z380" i="26"/>
  <c r="AA380" i="26"/>
  <c r="AF380" i="26"/>
  <c r="AG380" i="26"/>
  <c r="Z381" i="26"/>
  <c r="AA381" i="26"/>
  <c r="AF381" i="26"/>
  <c r="AG381" i="26"/>
  <c r="Z382" i="26"/>
  <c r="AA382" i="26"/>
  <c r="AF382" i="26"/>
  <c r="AG382" i="26"/>
  <c r="Z383" i="26"/>
  <c r="AA383" i="26"/>
  <c r="AF383" i="26"/>
  <c r="AG383" i="26"/>
  <c r="Z384" i="26"/>
  <c r="AA384" i="26"/>
  <c r="AF384" i="26"/>
  <c r="AG384" i="26"/>
  <c r="Z385" i="26"/>
  <c r="AA385" i="26"/>
  <c r="AF385" i="26"/>
  <c r="AG385" i="26"/>
  <c r="Z386" i="26"/>
  <c r="AA386" i="26"/>
  <c r="AF386" i="26"/>
  <c r="AG386" i="26"/>
  <c r="Z387" i="26"/>
  <c r="AA387" i="26"/>
  <c r="AF387" i="26"/>
  <c r="AG387" i="26"/>
  <c r="Z388" i="26"/>
  <c r="AA388" i="26"/>
  <c r="AF388" i="26"/>
  <c r="AG388" i="26"/>
  <c r="Z389" i="26"/>
  <c r="AA389" i="26"/>
  <c r="AF389" i="26"/>
  <c r="AG389" i="26"/>
  <c r="Z390" i="26"/>
  <c r="AA390" i="26"/>
  <c r="AF390" i="26"/>
  <c r="AG390" i="26"/>
  <c r="Z391" i="26"/>
  <c r="AA391" i="26"/>
  <c r="AF391" i="26"/>
  <c r="AG391" i="26"/>
  <c r="Z392" i="26"/>
  <c r="AA392" i="26"/>
  <c r="AF392" i="26"/>
  <c r="AG392" i="26"/>
  <c r="Z393" i="26"/>
  <c r="AA393" i="26"/>
  <c r="AF393" i="26"/>
  <c r="AG393" i="26"/>
  <c r="Z394" i="26"/>
  <c r="AA394" i="26"/>
  <c r="AF394" i="26"/>
  <c r="AG394" i="26"/>
  <c r="Z395" i="26"/>
  <c r="AA395" i="26"/>
  <c r="AF395" i="26"/>
  <c r="AG395" i="26"/>
  <c r="Z396" i="26"/>
  <c r="AA396" i="26"/>
  <c r="AF396" i="26"/>
  <c r="AG396" i="26"/>
  <c r="Z397" i="26"/>
  <c r="AA397" i="26"/>
  <c r="AF397" i="26"/>
  <c r="AG397" i="26"/>
  <c r="Z398" i="26"/>
  <c r="AA398" i="26"/>
  <c r="AF398" i="26"/>
  <c r="AG398" i="26"/>
  <c r="Z399" i="26"/>
  <c r="AA399" i="26"/>
  <c r="AF399" i="26"/>
  <c r="AG399" i="26"/>
  <c r="Z400" i="26"/>
  <c r="AA400" i="26"/>
  <c r="AF400" i="26"/>
  <c r="AG400" i="26"/>
  <c r="Z401" i="26"/>
  <c r="AA401" i="26"/>
  <c r="AF401" i="26"/>
  <c r="AG401" i="26"/>
  <c r="Z402" i="26"/>
  <c r="AA402" i="26"/>
  <c r="AF402" i="26"/>
  <c r="AG402" i="26"/>
  <c r="Z403" i="26"/>
  <c r="AA403" i="26"/>
  <c r="AF403" i="26"/>
  <c r="AG403" i="26"/>
  <c r="Z404" i="26"/>
  <c r="AA404" i="26"/>
  <c r="AF404" i="26"/>
  <c r="AG404" i="26"/>
  <c r="Z405" i="26"/>
  <c r="AA405" i="26"/>
  <c r="AF405" i="26"/>
  <c r="AG405" i="26"/>
  <c r="Z406" i="26"/>
  <c r="AA406" i="26"/>
  <c r="AF406" i="26"/>
  <c r="AG406" i="26"/>
  <c r="Z407" i="26"/>
  <c r="AA407" i="26"/>
  <c r="AF407" i="26"/>
  <c r="AG407" i="26"/>
  <c r="Z408" i="26"/>
  <c r="AA408" i="26"/>
  <c r="AF408" i="26"/>
  <c r="AG408" i="26"/>
  <c r="Z409" i="26"/>
  <c r="AA409" i="26"/>
  <c r="AF409" i="26"/>
  <c r="AG409" i="26"/>
  <c r="Z410" i="26"/>
  <c r="AA410" i="26"/>
  <c r="AF410" i="26"/>
  <c r="AG410" i="26"/>
  <c r="Z411" i="26"/>
  <c r="AA411" i="26"/>
  <c r="AF411" i="26"/>
  <c r="AG411" i="26"/>
  <c r="Z412" i="26"/>
  <c r="AA412" i="26"/>
  <c r="AF412" i="26"/>
  <c r="AG412" i="26"/>
  <c r="Z413" i="26"/>
  <c r="AA413" i="26"/>
  <c r="AF413" i="26"/>
  <c r="AG413" i="26"/>
  <c r="Z414" i="26"/>
  <c r="AA414" i="26"/>
  <c r="AF414" i="26"/>
  <c r="AG414" i="26"/>
  <c r="Z415" i="26"/>
  <c r="AA415" i="26"/>
  <c r="AF415" i="26"/>
  <c r="AG415" i="26"/>
  <c r="Z416" i="26"/>
  <c r="AA416" i="26"/>
  <c r="AF416" i="26"/>
  <c r="AG416" i="26"/>
  <c r="Z417" i="26"/>
  <c r="AA417" i="26"/>
  <c r="AF417" i="26"/>
  <c r="AG417" i="26"/>
  <c r="Z418" i="26"/>
  <c r="AA418" i="26"/>
  <c r="AF418" i="26"/>
  <c r="AG418" i="26"/>
  <c r="Z419" i="26"/>
  <c r="AA419" i="26"/>
  <c r="AF419" i="26"/>
  <c r="AG419" i="26"/>
  <c r="Z420" i="26"/>
  <c r="AA420" i="26"/>
  <c r="AF420" i="26"/>
  <c r="AG420" i="26"/>
  <c r="Z421" i="26"/>
  <c r="AA421" i="26"/>
  <c r="AF421" i="26"/>
  <c r="AG421" i="26"/>
  <c r="Z422" i="26"/>
  <c r="AA422" i="26"/>
  <c r="AF422" i="26"/>
  <c r="AG422" i="26"/>
  <c r="Z423" i="26"/>
  <c r="AA423" i="26"/>
  <c r="AF423" i="26"/>
  <c r="AG423" i="26"/>
  <c r="Z424" i="26"/>
  <c r="AA424" i="26"/>
  <c r="AF424" i="26"/>
  <c r="AG424" i="26"/>
  <c r="Z425" i="26"/>
  <c r="AA425" i="26"/>
  <c r="AF425" i="26"/>
  <c r="AG425" i="26"/>
  <c r="Z426" i="26"/>
  <c r="AA426" i="26"/>
  <c r="AF426" i="26"/>
  <c r="AG426" i="26"/>
  <c r="Z427" i="26"/>
  <c r="AA427" i="26"/>
  <c r="AF427" i="26"/>
  <c r="AG427" i="26"/>
  <c r="Z428" i="26"/>
  <c r="AA428" i="26"/>
  <c r="AF428" i="26"/>
  <c r="AG428" i="26"/>
  <c r="Z429" i="26"/>
  <c r="AA429" i="26"/>
  <c r="AF429" i="26"/>
  <c r="AG429" i="26"/>
  <c r="Z430" i="26"/>
  <c r="AA430" i="26"/>
  <c r="AF430" i="26"/>
  <c r="AG430" i="26"/>
  <c r="Z431" i="26"/>
  <c r="AA431" i="26"/>
  <c r="AF431" i="26"/>
  <c r="AG431" i="26"/>
  <c r="Z432" i="26"/>
  <c r="AA432" i="26"/>
  <c r="AF432" i="26"/>
  <c r="AG432" i="26"/>
  <c r="Z433" i="26"/>
  <c r="AA433" i="26"/>
  <c r="AF433" i="26"/>
  <c r="AG433" i="26"/>
  <c r="Z434" i="26"/>
  <c r="AA434" i="26"/>
  <c r="AF434" i="26"/>
  <c r="AG434" i="26"/>
  <c r="Z435" i="26"/>
  <c r="AA435" i="26"/>
  <c r="AF435" i="26"/>
  <c r="AG435" i="26"/>
  <c r="Z436" i="26"/>
  <c r="AA436" i="26"/>
  <c r="AF436" i="26"/>
  <c r="AG436" i="26"/>
  <c r="Z437" i="26"/>
  <c r="AA437" i="26"/>
  <c r="AF437" i="26"/>
  <c r="AG437" i="26"/>
  <c r="Z438" i="26"/>
  <c r="AA438" i="26"/>
  <c r="AF438" i="26"/>
  <c r="AG438" i="26"/>
  <c r="Z439" i="26"/>
  <c r="AA439" i="26"/>
  <c r="AF439" i="26"/>
  <c r="AG439" i="26"/>
  <c r="Z440" i="26"/>
  <c r="AA440" i="26"/>
  <c r="AF440" i="26"/>
  <c r="AG440" i="26"/>
  <c r="Z441" i="26"/>
  <c r="AA441" i="26"/>
  <c r="AF441" i="26"/>
  <c r="AG441" i="26"/>
  <c r="Z442" i="26"/>
  <c r="AA442" i="26"/>
  <c r="AF442" i="26"/>
  <c r="AG442" i="26"/>
  <c r="Z443" i="26"/>
  <c r="AA443" i="26"/>
  <c r="AF443" i="26"/>
  <c r="AG443" i="26"/>
  <c r="Z444" i="26"/>
  <c r="AA444" i="26"/>
  <c r="AF444" i="26"/>
  <c r="AG444" i="26"/>
  <c r="Z445" i="26"/>
  <c r="AA445" i="26"/>
  <c r="AF445" i="26"/>
  <c r="AG445" i="26"/>
  <c r="Z446" i="26"/>
  <c r="AA446" i="26"/>
  <c r="AF446" i="26"/>
  <c r="AG446" i="26"/>
  <c r="Z447" i="26"/>
  <c r="AA447" i="26"/>
  <c r="AF447" i="26"/>
  <c r="AG447" i="26"/>
  <c r="Z448" i="26"/>
  <c r="AA448" i="26"/>
  <c r="AF448" i="26"/>
  <c r="AG448" i="26"/>
  <c r="Z449" i="26"/>
  <c r="AA449" i="26"/>
  <c r="AF449" i="26"/>
  <c r="AG449" i="26"/>
  <c r="Z450" i="26"/>
  <c r="AA450" i="26"/>
  <c r="AF450" i="26"/>
  <c r="AG450" i="26"/>
  <c r="Z451" i="26"/>
  <c r="AA451" i="26"/>
  <c r="AF451" i="26"/>
  <c r="AG451" i="26"/>
  <c r="Z452" i="26"/>
  <c r="AA452" i="26"/>
  <c r="AF452" i="26"/>
  <c r="AG452" i="26"/>
  <c r="Z453" i="26"/>
  <c r="AA453" i="26"/>
  <c r="AF453" i="26"/>
  <c r="AG453" i="26"/>
  <c r="Z454" i="26"/>
  <c r="AA454" i="26"/>
  <c r="AF454" i="26"/>
  <c r="AG454" i="26"/>
  <c r="Z455" i="26"/>
  <c r="AA455" i="26"/>
  <c r="AF455" i="26"/>
  <c r="AG455" i="26"/>
  <c r="Z456" i="26"/>
  <c r="AA456" i="26"/>
  <c r="AF456" i="26"/>
  <c r="AG456" i="26"/>
  <c r="Z457" i="26"/>
  <c r="AA457" i="26"/>
  <c r="AF457" i="26"/>
  <c r="AG457" i="26"/>
  <c r="Z458" i="26"/>
  <c r="AA458" i="26"/>
  <c r="AF458" i="26"/>
  <c r="AG458" i="26"/>
  <c r="Z459" i="26"/>
  <c r="AA459" i="26"/>
  <c r="AF459" i="26"/>
  <c r="AG459" i="26"/>
  <c r="Z460" i="26"/>
  <c r="AA460" i="26"/>
  <c r="AF460" i="26"/>
  <c r="AG460" i="26"/>
  <c r="Z461" i="26"/>
  <c r="AA461" i="26"/>
  <c r="AF461" i="26"/>
  <c r="AG461" i="26"/>
  <c r="Z462" i="26"/>
  <c r="AA462" i="26"/>
  <c r="AF462" i="26"/>
  <c r="AG462" i="26"/>
  <c r="Z463" i="26"/>
  <c r="AA463" i="26"/>
  <c r="AF463" i="26"/>
  <c r="AG463" i="26"/>
  <c r="Z464" i="26"/>
  <c r="AA464" i="26"/>
  <c r="AF464" i="26"/>
  <c r="AG464" i="26"/>
  <c r="Z465" i="26"/>
  <c r="AA465" i="26"/>
  <c r="AF465" i="26"/>
  <c r="AG465" i="26"/>
  <c r="Z466" i="26"/>
  <c r="AA466" i="26"/>
  <c r="AF466" i="26"/>
  <c r="AG466" i="26"/>
  <c r="Z467" i="26"/>
  <c r="AA467" i="26"/>
  <c r="AF467" i="26"/>
  <c r="AG467" i="26"/>
  <c r="Z468" i="26"/>
  <c r="AA468" i="26"/>
  <c r="AF468" i="26"/>
  <c r="AG468" i="26"/>
  <c r="Z469" i="26"/>
  <c r="AA469" i="26"/>
  <c r="AF469" i="26"/>
  <c r="AG469" i="26"/>
  <c r="Z470" i="26"/>
  <c r="AA470" i="26"/>
  <c r="AF470" i="26"/>
  <c r="AG470" i="26"/>
  <c r="Z471" i="26"/>
  <c r="AA471" i="26"/>
  <c r="AF471" i="26"/>
  <c r="AG471" i="26"/>
  <c r="Z472" i="26"/>
  <c r="AA472" i="26"/>
  <c r="AF472" i="26"/>
  <c r="AG472" i="26"/>
  <c r="Z473" i="26"/>
  <c r="AA473" i="26"/>
  <c r="AF473" i="26"/>
  <c r="AG473" i="26"/>
  <c r="Z474" i="26"/>
  <c r="AA474" i="26"/>
  <c r="AF474" i="26"/>
  <c r="AG474" i="26"/>
  <c r="Z475" i="26"/>
  <c r="AA475" i="26"/>
  <c r="AF475" i="26"/>
  <c r="AG475" i="26"/>
  <c r="D7" i="30"/>
  <c r="R7" i="30"/>
  <c r="S7" i="30"/>
  <c r="V7" i="30"/>
  <c r="W7" i="30"/>
  <c r="X7" i="30"/>
  <c r="D9" i="30"/>
  <c r="R9" i="30"/>
  <c r="S9" i="30"/>
  <c r="V9" i="30"/>
  <c r="W9" i="30"/>
  <c r="X9" i="30"/>
  <c r="D11" i="30"/>
  <c r="R11" i="30"/>
  <c r="S11" i="30"/>
  <c r="V11" i="30"/>
  <c r="W11" i="30"/>
  <c r="X11" i="30"/>
  <c r="D13" i="30"/>
  <c r="R13" i="30"/>
  <c r="S13" i="30"/>
  <c r="V13" i="30"/>
  <c r="W13" i="30"/>
  <c r="X13" i="30"/>
  <c r="D14" i="30"/>
  <c r="R14" i="30"/>
  <c r="S14" i="30"/>
  <c r="V14" i="30"/>
  <c r="W14" i="30"/>
  <c r="X14" i="30"/>
  <c r="D15" i="30"/>
  <c r="R15" i="30"/>
  <c r="S15" i="30"/>
  <c r="V15" i="30"/>
  <c r="W15" i="30"/>
  <c r="X15" i="30"/>
  <c r="Y2" i="17"/>
  <c r="Z2" i="17"/>
  <c r="AD2" i="17"/>
  <c r="AE2" i="17"/>
  <c r="AJ2" i="17"/>
  <c r="Y3" i="17"/>
  <c r="Z3" i="17"/>
  <c r="AD3" i="17"/>
  <c r="AE3" i="17"/>
  <c r="Y4" i="17"/>
  <c r="Z4" i="17"/>
  <c r="AD4" i="17"/>
  <c r="AE4" i="17"/>
  <c r="Y5" i="17"/>
  <c r="Z5" i="17"/>
  <c r="AD5" i="17"/>
  <c r="AE5" i="17"/>
  <c r="AJ5" i="17"/>
  <c r="Y6" i="17"/>
  <c r="Z6" i="17"/>
  <c r="AD6" i="17"/>
  <c r="AE6" i="17"/>
  <c r="AJ6" i="17"/>
  <c r="Y7" i="17"/>
  <c r="Z7" i="17"/>
  <c r="AD7" i="17"/>
  <c r="AE7" i="17"/>
  <c r="AJ7" i="17"/>
  <c r="Y8" i="17"/>
  <c r="Z8" i="17"/>
  <c r="AD8" i="17"/>
  <c r="AE8" i="17"/>
  <c r="AJ8" i="17"/>
  <c r="Y9" i="17"/>
  <c r="Z9" i="17"/>
  <c r="AD9" i="17"/>
  <c r="AE9" i="17"/>
  <c r="AJ9" i="17"/>
  <c r="Y10" i="17"/>
  <c r="Z10" i="17"/>
  <c r="AD10" i="17"/>
  <c r="AE10" i="17"/>
  <c r="Y11" i="17"/>
  <c r="Z11" i="17"/>
  <c r="AD11" i="17"/>
  <c r="AE11" i="17"/>
  <c r="Y12" i="17"/>
  <c r="Z12" i="17"/>
  <c r="AD12" i="17"/>
  <c r="AE12" i="17"/>
  <c r="Y13" i="17"/>
  <c r="Z13" i="17"/>
  <c r="AD13" i="17"/>
  <c r="AE13" i="17"/>
  <c r="Z14" i="17"/>
  <c r="AE14" i="17"/>
  <c r="Z15" i="17"/>
  <c r="AE15" i="17"/>
  <c r="Z16" i="17"/>
  <c r="AE16" i="17"/>
  <c r="Z17" i="17"/>
  <c r="AE17" i="17"/>
  <c r="Z18" i="17"/>
  <c r="AE18" i="17"/>
  <c r="Z19" i="17"/>
  <c r="AE19" i="17"/>
  <c r="Z20" i="17"/>
  <c r="AE20" i="17"/>
  <c r="Z21" i="17"/>
  <c r="AE21" i="17"/>
  <c r="Z22" i="17"/>
  <c r="AE22" i="17"/>
  <c r="Z23" i="17"/>
  <c r="AE23" i="17"/>
  <c r="Z24" i="17"/>
  <c r="AE24" i="17"/>
  <c r="Z25" i="17"/>
  <c r="AE25" i="17"/>
  <c r="Y26" i="17"/>
  <c r="Z26" i="17"/>
  <c r="AD26" i="17"/>
  <c r="AE26" i="17"/>
  <c r="Y27" i="17"/>
  <c r="Z27" i="17"/>
  <c r="AD27" i="17"/>
  <c r="AE27" i="17"/>
  <c r="Y28" i="17"/>
  <c r="Z28" i="17"/>
  <c r="AD28" i="17"/>
  <c r="AE28" i="17"/>
  <c r="Y29" i="17"/>
  <c r="Z29" i="17"/>
  <c r="AD29" i="17"/>
  <c r="AE29" i="17"/>
  <c r="Y30" i="17"/>
  <c r="Z30" i="17"/>
  <c r="AD30" i="17"/>
  <c r="AE30" i="17"/>
  <c r="Y31" i="17"/>
  <c r="Z31" i="17"/>
  <c r="AD31" i="17"/>
  <c r="AE31" i="17"/>
  <c r="Y32" i="17"/>
  <c r="Z32" i="17"/>
  <c r="AD32" i="17"/>
  <c r="AE32" i="17"/>
  <c r="Y33" i="17"/>
  <c r="Z33" i="17"/>
  <c r="AD33" i="17"/>
  <c r="AE33" i="17"/>
  <c r="Y34" i="17"/>
  <c r="Z34" i="17"/>
  <c r="AD34" i="17"/>
  <c r="AE34" i="17"/>
  <c r="Y35" i="17"/>
  <c r="Z35" i="17"/>
  <c r="AD35" i="17"/>
  <c r="AE35" i="17"/>
  <c r="Y36" i="17"/>
  <c r="Z36" i="17"/>
  <c r="AD36" i="17"/>
  <c r="AE36" i="17"/>
  <c r="Y37" i="17"/>
  <c r="Z37" i="17"/>
  <c r="AD37" i="17"/>
  <c r="AE37" i="17"/>
  <c r="Z38" i="17"/>
  <c r="AE38" i="17"/>
  <c r="Z39" i="17"/>
  <c r="AE39" i="17"/>
  <c r="Z40" i="17"/>
  <c r="AE40" i="17"/>
  <c r="Z41" i="17"/>
  <c r="AE41" i="17"/>
  <c r="Z42" i="17"/>
  <c r="AE42" i="17"/>
  <c r="Z43" i="17"/>
  <c r="AE43" i="17"/>
  <c r="Z44" i="17"/>
  <c r="AE44" i="17"/>
  <c r="Z45" i="17"/>
  <c r="AE45" i="17"/>
  <c r="Z46" i="17"/>
  <c r="AE46" i="17"/>
  <c r="Z47" i="17"/>
  <c r="AE47" i="17"/>
  <c r="Z48" i="17"/>
  <c r="AE48" i="17"/>
  <c r="Z49" i="17"/>
  <c r="AE49" i="17"/>
  <c r="Y50" i="17"/>
  <c r="AD50" i="17"/>
  <c r="Y51" i="17"/>
  <c r="AD51" i="17"/>
  <c r="Y52" i="17"/>
  <c r="AD52" i="17"/>
  <c r="Y53" i="17"/>
  <c r="AD53" i="17"/>
  <c r="Y54" i="17"/>
  <c r="AD54" i="17"/>
  <c r="Y55" i="17"/>
  <c r="AD55" i="17"/>
  <c r="Y56" i="17"/>
  <c r="AD56" i="17"/>
  <c r="Y57" i="17"/>
  <c r="AD57" i="17"/>
  <c r="Y58" i="17"/>
  <c r="AD58" i="17"/>
  <c r="Y59" i="17"/>
  <c r="AD59" i="17"/>
  <c r="Y60" i="17"/>
  <c r="AD60" i="17"/>
  <c r="Y61" i="17"/>
  <c r="AD61" i="17"/>
  <c r="Z62" i="17"/>
  <c r="AE62" i="17"/>
  <c r="Z63" i="17"/>
  <c r="AE63" i="17"/>
  <c r="Z64" i="17"/>
  <c r="AE64" i="17"/>
  <c r="Z65" i="17"/>
  <c r="AE65" i="17"/>
  <c r="Z66" i="17"/>
  <c r="AE66" i="17"/>
  <c r="Z67" i="17"/>
  <c r="AE67" i="17"/>
  <c r="Z68" i="17"/>
  <c r="AE68" i="17"/>
  <c r="Z69" i="17"/>
  <c r="AE69" i="17"/>
  <c r="Z70" i="17"/>
  <c r="AE70" i="17"/>
  <c r="Z71" i="17"/>
  <c r="AE71" i="17"/>
  <c r="Z72" i="17"/>
  <c r="AE72" i="17"/>
  <c r="Z73" i="17"/>
  <c r="AE73" i="17"/>
  <c r="Z74" i="17"/>
  <c r="AE74" i="17"/>
  <c r="Z75" i="17"/>
  <c r="AE75" i="17"/>
  <c r="Z76" i="17"/>
  <c r="AE76" i="17"/>
  <c r="Z77" i="17"/>
  <c r="AE77" i="17"/>
  <c r="Z78" i="17"/>
  <c r="AE78" i="17"/>
  <c r="Z79" i="17"/>
  <c r="AE79" i="17"/>
  <c r="Z80" i="17"/>
  <c r="AE80" i="17"/>
  <c r="Z81" i="17"/>
  <c r="AE81" i="17"/>
  <c r="Z82" i="17"/>
  <c r="AE82" i="17"/>
  <c r="Z83" i="17"/>
  <c r="AE83" i="17"/>
  <c r="Z84" i="17"/>
  <c r="AE84" i="17"/>
  <c r="Z85" i="17"/>
  <c r="AE85" i="17"/>
  <c r="Z86" i="17"/>
  <c r="AE86" i="17"/>
  <c r="Z87" i="17"/>
  <c r="AE87" i="17"/>
  <c r="Z88" i="17"/>
  <c r="AE88" i="17"/>
  <c r="Z89" i="17"/>
  <c r="AE89" i="17"/>
  <c r="Z90" i="17"/>
  <c r="AE90" i="17"/>
  <c r="Z91" i="17"/>
  <c r="AE91" i="17"/>
  <c r="Z92" i="17"/>
  <c r="AE92" i="17"/>
  <c r="Z93" i="17"/>
  <c r="AE93" i="17"/>
  <c r="Z94" i="17"/>
  <c r="AE94" i="17"/>
  <c r="Z95" i="17"/>
  <c r="AE95" i="17"/>
  <c r="Z96" i="17"/>
  <c r="AE96" i="17"/>
  <c r="Z97" i="17"/>
  <c r="AE97" i="17"/>
  <c r="Z98" i="17"/>
  <c r="AE98" i="17"/>
  <c r="Z99" i="17"/>
  <c r="AE99" i="17"/>
  <c r="Z100" i="17"/>
  <c r="AE100" i="17"/>
  <c r="Z101" i="17"/>
  <c r="AE101" i="17"/>
  <c r="Z102" i="17"/>
  <c r="AE102" i="17"/>
  <c r="Z103" i="17"/>
  <c r="AE103" i="17"/>
  <c r="Z104" i="17"/>
  <c r="AE104" i="17"/>
  <c r="Z105" i="17"/>
  <c r="AE105" i="17"/>
  <c r="Z106" i="17"/>
  <c r="AE106" i="17"/>
  <c r="Z107" i="17"/>
  <c r="AE107" i="17"/>
  <c r="Z108" i="17"/>
  <c r="AE108" i="17"/>
  <c r="Z109" i="17"/>
  <c r="AE109" i="17"/>
  <c r="Z110" i="17"/>
  <c r="AE110" i="17"/>
  <c r="Z111" i="17"/>
  <c r="AE111" i="17"/>
  <c r="Z112" i="17"/>
  <c r="AE112" i="17"/>
  <c r="Z113" i="17"/>
  <c r="AE113" i="17"/>
  <c r="Z114" i="17"/>
  <c r="AE114" i="17"/>
  <c r="Z115" i="17"/>
  <c r="AE115" i="17"/>
  <c r="Z116" i="17"/>
  <c r="AE116" i="17"/>
  <c r="Z117" i="17"/>
  <c r="AE117" i="17"/>
  <c r="Z118" i="17"/>
  <c r="AE118" i="17"/>
  <c r="Z119" i="17"/>
  <c r="AE119" i="17"/>
  <c r="Z120" i="17"/>
  <c r="AE120" i="17"/>
  <c r="Z121" i="17"/>
  <c r="AE121" i="17"/>
  <c r="Z122" i="17"/>
  <c r="AE122" i="17"/>
  <c r="Z123" i="17"/>
  <c r="AE123" i="17"/>
  <c r="Z124" i="17"/>
  <c r="AE124" i="17"/>
  <c r="Z125" i="17"/>
  <c r="AE125" i="17"/>
  <c r="Z126" i="17"/>
  <c r="AE126" i="17"/>
  <c r="Z127" i="17"/>
  <c r="AE127" i="17"/>
  <c r="Z128" i="17"/>
  <c r="AE128" i="17"/>
  <c r="Z129" i="17"/>
  <c r="AE129" i="17"/>
  <c r="Z130" i="17"/>
  <c r="AE130" i="17"/>
  <c r="Z131" i="17"/>
  <c r="AE131" i="17"/>
  <c r="Z132" i="17"/>
  <c r="AE132" i="17"/>
  <c r="Z133" i="17"/>
  <c r="AE133" i="17"/>
  <c r="Z134" i="17"/>
  <c r="AE134" i="17"/>
  <c r="Z135" i="17"/>
  <c r="AE135" i="17"/>
  <c r="Z136" i="17"/>
  <c r="AE136" i="17"/>
  <c r="Z137" i="17"/>
  <c r="AE137" i="17"/>
  <c r="Z138" i="17"/>
  <c r="AE138" i="17"/>
  <c r="Z139" i="17"/>
  <c r="AE139" i="17"/>
  <c r="Z140" i="17"/>
  <c r="AE140" i="17"/>
  <c r="Z141" i="17"/>
  <c r="AE141" i="17"/>
  <c r="Z142" i="17"/>
  <c r="AE142" i="17"/>
  <c r="Z143" i="17"/>
  <c r="AE143" i="17"/>
  <c r="Z144" i="17"/>
  <c r="AE144" i="17"/>
  <c r="Z145" i="17"/>
  <c r="AE145" i="17"/>
  <c r="Z146" i="17"/>
  <c r="AE146" i="17"/>
  <c r="Z147" i="17"/>
  <c r="AE147" i="17"/>
  <c r="Z148" i="17"/>
  <c r="AE148" i="17"/>
  <c r="Z149" i="17"/>
  <c r="AE149" i="17"/>
  <c r="Z150" i="17"/>
  <c r="AE150" i="17"/>
  <c r="Z151" i="17"/>
  <c r="AE151" i="17"/>
  <c r="Z152" i="17"/>
  <c r="AE152" i="17"/>
  <c r="Z153" i="17"/>
  <c r="AE153" i="17"/>
  <c r="Z154" i="17"/>
  <c r="AE154" i="17"/>
  <c r="Z155" i="17"/>
  <c r="AE155" i="17"/>
  <c r="Z156" i="17"/>
  <c r="AE156" i="17"/>
  <c r="Z157" i="17"/>
  <c r="AE157" i="17"/>
  <c r="Z158" i="17"/>
  <c r="AE158" i="17"/>
  <c r="Z159" i="17"/>
  <c r="AE159" i="17"/>
  <c r="Z160" i="17"/>
  <c r="AE160" i="17"/>
  <c r="Z161" i="17"/>
  <c r="AE161" i="17"/>
  <c r="Z162" i="17"/>
  <c r="AE162" i="17"/>
  <c r="Z163" i="17"/>
  <c r="AE163" i="17"/>
  <c r="Z164" i="17"/>
  <c r="AE164" i="17"/>
  <c r="Z165" i="17"/>
  <c r="AE165" i="17"/>
  <c r="Z166" i="17"/>
  <c r="AE166" i="17"/>
  <c r="Z167" i="17"/>
  <c r="AE167" i="17"/>
  <c r="Z168" i="17"/>
  <c r="AE168" i="17"/>
  <c r="Z169" i="17"/>
  <c r="AE169" i="17"/>
  <c r="Z170" i="17"/>
  <c r="AE170" i="17"/>
  <c r="Z171" i="17"/>
  <c r="AE171" i="17"/>
  <c r="Z172" i="17"/>
  <c r="AE172" i="17"/>
  <c r="Z173" i="17"/>
  <c r="AE173" i="17"/>
  <c r="Z174" i="17"/>
  <c r="AE174" i="17"/>
  <c r="Z175" i="17"/>
  <c r="AE175" i="17"/>
  <c r="Z176" i="17"/>
  <c r="AE176" i="17"/>
  <c r="Z177" i="17"/>
  <c r="AE177" i="17"/>
  <c r="Z178" i="17"/>
  <c r="AE178" i="17"/>
  <c r="Z179" i="17"/>
  <c r="AE179" i="17"/>
  <c r="Z180" i="17"/>
  <c r="AE180" i="17"/>
  <c r="Z181" i="17"/>
  <c r="AE181" i="17"/>
  <c r="Z182" i="17"/>
  <c r="AE182" i="17"/>
  <c r="Z183" i="17"/>
  <c r="AE183" i="17"/>
  <c r="Z184" i="17"/>
  <c r="AE184" i="17"/>
  <c r="Z185" i="17"/>
  <c r="AE185" i="17"/>
  <c r="Z186" i="17"/>
  <c r="AE186" i="17"/>
  <c r="E5" i="35"/>
  <c r="F5" i="35"/>
  <c r="G5" i="35"/>
  <c r="H5" i="35"/>
  <c r="I5" i="35"/>
  <c r="R5" i="35"/>
  <c r="S5" i="35"/>
  <c r="U5" i="35"/>
  <c r="E6" i="35"/>
  <c r="F6" i="35"/>
  <c r="G6" i="35"/>
  <c r="H6" i="35"/>
  <c r="I6" i="35"/>
  <c r="R6" i="35"/>
  <c r="S6" i="35"/>
  <c r="U6" i="35"/>
  <c r="E7" i="35"/>
  <c r="F7" i="35"/>
  <c r="H7" i="35"/>
  <c r="I7" i="35"/>
  <c r="R7" i="35"/>
  <c r="S7" i="35"/>
  <c r="U7" i="35"/>
  <c r="E8" i="35"/>
  <c r="F8" i="35"/>
  <c r="H8" i="35"/>
  <c r="I8" i="35"/>
  <c r="R8" i="35"/>
  <c r="S8" i="35"/>
  <c r="U8" i="35"/>
  <c r="E9" i="35"/>
  <c r="H9" i="35"/>
  <c r="R9" i="35"/>
  <c r="S9" i="35"/>
  <c r="U9" i="35"/>
  <c r="F10" i="35"/>
  <c r="G10" i="35"/>
  <c r="I10" i="35"/>
  <c r="R10" i="35"/>
  <c r="S10" i="35"/>
  <c r="U10" i="35"/>
  <c r="F11" i="35"/>
  <c r="G11" i="35"/>
  <c r="I11" i="35"/>
  <c r="R11" i="35"/>
  <c r="S11" i="35"/>
  <c r="U11" i="35"/>
  <c r="E12" i="35"/>
  <c r="H12" i="35"/>
  <c r="R12" i="35"/>
  <c r="S12" i="35"/>
  <c r="U12" i="35"/>
  <c r="F13" i="35"/>
  <c r="I13" i="35"/>
  <c r="R13" i="35"/>
  <c r="S13" i="35"/>
  <c r="U13" i="35"/>
  <c r="F14" i="35"/>
  <c r="I14" i="35"/>
  <c r="R14" i="35"/>
  <c r="S14" i="35"/>
  <c r="U14" i="35"/>
  <c r="E15" i="35"/>
  <c r="H15" i="35"/>
  <c r="R15" i="35"/>
  <c r="S15" i="35"/>
  <c r="U15" i="35"/>
  <c r="R16" i="35"/>
  <c r="S16" i="35"/>
  <c r="U16" i="35"/>
  <c r="R17" i="35"/>
  <c r="S17" i="35"/>
  <c r="U17" i="35"/>
  <c r="R18" i="35"/>
  <c r="S18" i="35"/>
  <c r="U18" i="35"/>
  <c r="R19" i="35"/>
  <c r="S19" i="35"/>
  <c r="U19" i="35"/>
  <c r="R20" i="35"/>
  <c r="S20" i="35"/>
  <c r="U20" i="35"/>
  <c r="R21" i="35"/>
  <c r="S21" i="35"/>
  <c r="U21" i="35"/>
  <c r="R22" i="35"/>
  <c r="S22" i="35"/>
  <c r="U22" i="35"/>
  <c r="R23" i="35"/>
  <c r="S23" i="35"/>
  <c r="U23" i="35"/>
  <c r="R24" i="35"/>
  <c r="S24" i="35"/>
  <c r="U24" i="35"/>
  <c r="R25" i="35"/>
  <c r="S25" i="35"/>
  <c r="U25" i="35"/>
  <c r="R26" i="35"/>
  <c r="S26" i="35"/>
  <c r="U26" i="35"/>
  <c r="R27" i="35"/>
  <c r="S27" i="35"/>
  <c r="U27" i="35"/>
  <c r="R28" i="35"/>
  <c r="S28" i="35"/>
  <c r="U28" i="35"/>
  <c r="R29" i="35"/>
  <c r="S29" i="35"/>
  <c r="U29" i="35"/>
  <c r="R30" i="35"/>
  <c r="S30" i="35"/>
  <c r="U30" i="35"/>
  <c r="R31" i="35"/>
  <c r="S31" i="35"/>
  <c r="U31" i="35"/>
  <c r="R32" i="35"/>
  <c r="S32" i="35"/>
  <c r="U32" i="35"/>
  <c r="R33" i="35"/>
  <c r="S33" i="35"/>
  <c r="U33" i="35"/>
  <c r="Q34" i="35"/>
  <c r="T34" i="35"/>
  <c r="Q35" i="35"/>
  <c r="T35" i="35"/>
  <c r="G5" i="23"/>
  <c r="I5" i="23"/>
  <c r="G6" i="23"/>
  <c r="I6" i="23"/>
  <c r="G7" i="23"/>
  <c r="I7" i="23"/>
  <c r="G10" i="23"/>
  <c r="I10" i="23"/>
  <c r="G11" i="23"/>
  <c r="I11" i="23"/>
  <c r="G12" i="23"/>
  <c r="I12" i="23"/>
  <c r="D17" i="23"/>
  <c r="F17" i="23"/>
  <c r="G17" i="23"/>
  <c r="F18" i="23"/>
  <c r="G18" i="23"/>
  <c r="D19" i="23"/>
  <c r="F19" i="23"/>
  <c r="G19" i="23"/>
  <c r="D20" i="23"/>
  <c r="F20" i="23"/>
  <c r="G20" i="23"/>
  <c r="AB5" i="25"/>
  <c r="AI5" i="25"/>
  <c r="AL5" i="25"/>
  <c r="AB6" i="25"/>
  <c r="AI6" i="25"/>
  <c r="AL6" i="25"/>
  <c r="AB7" i="25"/>
  <c r="AI7" i="25"/>
  <c r="AL7" i="25"/>
  <c r="AB8" i="25"/>
  <c r="AI8" i="25"/>
  <c r="AL8" i="25"/>
  <c r="AB9" i="25"/>
  <c r="AI9" i="25"/>
  <c r="AL9" i="25"/>
  <c r="AB10" i="25"/>
  <c r="AI10" i="25"/>
  <c r="AL10" i="25"/>
  <c r="AB11" i="25"/>
  <c r="AI11" i="25"/>
  <c r="AL11" i="25"/>
  <c r="AB12" i="25"/>
  <c r="AI12" i="25"/>
  <c r="AL12" i="25"/>
  <c r="AB13" i="25"/>
  <c r="AI13" i="25"/>
  <c r="AL13" i="25"/>
  <c r="AB14" i="25"/>
  <c r="AI14" i="25"/>
  <c r="AL14" i="25"/>
  <c r="AB15" i="25"/>
  <c r="AI15" i="25"/>
  <c r="AL15" i="25"/>
  <c r="AB16" i="25"/>
  <c r="AI16" i="25"/>
  <c r="AL16" i="25"/>
  <c r="AB17" i="25"/>
  <c r="AI17" i="25"/>
  <c r="AL17" i="25"/>
  <c r="AB18" i="25"/>
  <c r="AI18" i="25"/>
  <c r="AL18" i="25"/>
  <c r="AB19" i="25"/>
  <c r="AI19" i="25"/>
  <c r="AL19" i="25"/>
  <c r="AB20" i="25"/>
  <c r="AI20" i="25"/>
  <c r="AL20" i="25"/>
  <c r="AB21" i="25"/>
  <c r="AI21" i="25"/>
  <c r="AL21" i="25"/>
  <c r="AB22" i="25"/>
  <c r="AI22" i="25"/>
  <c r="AL22" i="25"/>
  <c r="AB23" i="25"/>
  <c r="AI23" i="25"/>
  <c r="AL23" i="25"/>
  <c r="AB24" i="25"/>
  <c r="AI24" i="25"/>
  <c r="AL24" i="25"/>
  <c r="AB25" i="25"/>
  <c r="AI25" i="25"/>
  <c r="AL25" i="25"/>
  <c r="AB26" i="25"/>
  <c r="AI26" i="25"/>
  <c r="AL26" i="25"/>
  <c r="AB27" i="25"/>
  <c r="AI27" i="25"/>
  <c r="AL27" i="25"/>
  <c r="AB28" i="25"/>
  <c r="AI28" i="25"/>
  <c r="AL28" i="25"/>
  <c r="AB29" i="25"/>
  <c r="AI29" i="25"/>
  <c r="AL29" i="25"/>
  <c r="AB30" i="25"/>
  <c r="AI30" i="25"/>
  <c r="AL30" i="25"/>
  <c r="AB31" i="25"/>
  <c r="AI31" i="25"/>
  <c r="AL31" i="25"/>
  <c r="AB32" i="25"/>
  <c r="AI32" i="25"/>
  <c r="AL32" i="25"/>
  <c r="AB33" i="25"/>
  <c r="AI33" i="25"/>
  <c r="AL33" i="25"/>
  <c r="AB34" i="25"/>
  <c r="AI34" i="25"/>
  <c r="AL34" i="25"/>
  <c r="AB35" i="25"/>
  <c r="AI35" i="25"/>
  <c r="AL35" i="25"/>
  <c r="AB36" i="25"/>
  <c r="AI36" i="25"/>
  <c r="AL36" i="25"/>
  <c r="AB37" i="25"/>
  <c r="AI37" i="25"/>
  <c r="AL37" i="25"/>
  <c r="AB38" i="25"/>
  <c r="AI38" i="25"/>
  <c r="AL38" i="25"/>
  <c r="AB39" i="25"/>
  <c r="AI39" i="25"/>
  <c r="AL39" i="25"/>
  <c r="AB40" i="25"/>
  <c r="AI40" i="25"/>
  <c r="AL40" i="25"/>
  <c r="AB41" i="25"/>
  <c r="AI41" i="25"/>
  <c r="AL41" i="25"/>
  <c r="AB42" i="25"/>
  <c r="AI42" i="25"/>
  <c r="AL42" i="25"/>
  <c r="AB44" i="25"/>
  <c r="N7" i="6"/>
  <c r="AJ7" i="6"/>
  <c r="AK7" i="6"/>
  <c r="N8" i="6"/>
  <c r="AJ8" i="6"/>
  <c r="AK8" i="6"/>
  <c r="N11" i="6"/>
  <c r="AJ11" i="6"/>
  <c r="AK11" i="6"/>
  <c r="N12" i="6"/>
  <c r="AJ12" i="6"/>
  <c r="AK12" i="6"/>
  <c r="N13" i="6"/>
  <c r="AJ13" i="6"/>
  <c r="AK13" i="6"/>
  <c r="N14" i="6"/>
  <c r="AJ14" i="6"/>
  <c r="AK14" i="6"/>
  <c r="N17" i="6"/>
  <c r="AJ17" i="6"/>
  <c r="AK17" i="6"/>
  <c r="N18" i="6"/>
  <c r="AJ18" i="6"/>
  <c r="AK18" i="6"/>
  <c r="N19" i="6"/>
  <c r="AJ19" i="6"/>
  <c r="AK19" i="6"/>
  <c r="N20" i="6"/>
  <c r="AJ20" i="6"/>
  <c r="AK20" i="6"/>
  <c r="N21" i="6"/>
  <c r="AJ21" i="6"/>
  <c r="AK21" i="6"/>
  <c r="N22" i="6"/>
  <c r="AJ22" i="6"/>
  <c r="AK22" i="6"/>
  <c r="N23" i="6"/>
  <c r="AJ23" i="6"/>
  <c r="AK23" i="6"/>
  <c r="N24" i="6"/>
  <c r="AJ24" i="6"/>
  <c r="AK24" i="6"/>
  <c r="N25" i="6"/>
  <c r="AJ25" i="6"/>
  <c r="AK25" i="6"/>
  <c r="N26" i="6"/>
  <c r="AJ26" i="6"/>
  <c r="AK26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5" i="6"/>
  <c r="AJ55" i="6"/>
  <c r="AK55" i="6"/>
  <c r="N60" i="6"/>
  <c r="AJ60" i="6"/>
  <c r="AK60" i="6"/>
  <c r="L63" i="6"/>
  <c r="N63" i="6"/>
  <c r="L64" i="6"/>
  <c r="N64" i="6"/>
  <c r="N65" i="6"/>
  <c r="L66" i="6"/>
  <c r="L67" i="6"/>
  <c r="L68" i="6"/>
  <c r="L69" i="6"/>
  <c r="L70" i="6"/>
  <c r="N5" i="28"/>
  <c r="AB5" i="28"/>
  <c r="AC5" i="28"/>
  <c r="AF5" i="28"/>
  <c r="AG5" i="28"/>
  <c r="N6" i="28"/>
  <c r="AB6" i="28"/>
  <c r="AC6" i="28"/>
  <c r="AF6" i="28"/>
  <c r="AG6" i="28"/>
  <c r="N7" i="28"/>
  <c r="AB7" i="28"/>
  <c r="AC7" i="28"/>
  <c r="AF7" i="28"/>
  <c r="AG7" i="28"/>
  <c r="N8" i="28"/>
  <c r="AB8" i="28"/>
  <c r="AC8" i="28"/>
  <c r="AF8" i="28"/>
  <c r="AG8" i="28"/>
  <c r="N9" i="28"/>
  <c r="AB9" i="28"/>
  <c r="AC9" i="28"/>
  <c r="AF9" i="28"/>
  <c r="AG9" i="28"/>
  <c r="N10" i="28"/>
  <c r="AB10" i="28"/>
  <c r="AC10" i="28"/>
  <c r="AF10" i="28"/>
  <c r="AG10" i="28"/>
  <c r="N11" i="28"/>
  <c r="AB11" i="28"/>
  <c r="AC11" i="28"/>
  <c r="AF11" i="28"/>
  <c r="AG11" i="28"/>
  <c r="N12" i="28"/>
  <c r="AB12" i="28"/>
  <c r="AC12" i="28"/>
  <c r="AF12" i="28"/>
  <c r="AG12" i="28"/>
  <c r="N13" i="28"/>
  <c r="AB13" i="28"/>
  <c r="AC13" i="28"/>
  <c r="AF13" i="28"/>
  <c r="AG13" i="28"/>
  <c r="N14" i="28"/>
  <c r="AB14" i="28"/>
  <c r="AC14" i="28"/>
  <c r="AF14" i="28"/>
  <c r="AG14" i="28"/>
  <c r="N15" i="28"/>
  <c r="AB15" i="28"/>
  <c r="AC15" i="28"/>
  <c r="AF15" i="28"/>
  <c r="AG15" i="28"/>
  <c r="N16" i="28"/>
  <c r="AB16" i="28"/>
  <c r="AC16" i="28"/>
  <c r="AF16" i="28"/>
  <c r="AG16" i="28"/>
  <c r="N17" i="28"/>
  <c r="AB17" i="28"/>
  <c r="AC17" i="28"/>
  <c r="AF17" i="28"/>
  <c r="AG17" i="28"/>
  <c r="N18" i="28"/>
  <c r="AB18" i="28"/>
  <c r="AC18" i="28"/>
  <c r="AF18" i="28"/>
  <c r="AG18" i="28"/>
  <c r="N19" i="28"/>
  <c r="AB19" i="28"/>
  <c r="AC19" i="28"/>
  <c r="AF19" i="28"/>
  <c r="AG19" i="28"/>
  <c r="N20" i="28"/>
  <c r="AB20" i="28"/>
  <c r="AC20" i="28"/>
  <c r="AF20" i="28"/>
  <c r="AG20" i="28"/>
  <c r="N21" i="28"/>
  <c r="AB21" i="28"/>
  <c r="AC21" i="28"/>
  <c r="AF21" i="28"/>
  <c r="AG21" i="28"/>
  <c r="N22" i="28"/>
  <c r="AB22" i="28"/>
  <c r="AC22" i="28"/>
  <c r="AF22" i="28"/>
  <c r="AG22" i="28"/>
  <c r="N23" i="28"/>
  <c r="AB23" i="28"/>
  <c r="AC23" i="28"/>
  <c r="AF23" i="28"/>
  <c r="AG23" i="28"/>
  <c r="N24" i="28"/>
  <c r="AB24" i="28"/>
  <c r="AC24" i="28"/>
  <c r="AF24" i="28"/>
  <c r="AG24" i="28"/>
  <c r="N25" i="28"/>
  <c r="AB25" i="28"/>
  <c r="AC25" i="28"/>
  <c r="AF25" i="28"/>
  <c r="AG25" i="28"/>
  <c r="N26" i="28"/>
  <c r="AB26" i="28"/>
  <c r="AC26" i="28"/>
  <c r="AF26" i="28"/>
  <c r="AG26" i="28"/>
  <c r="N27" i="28"/>
  <c r="AB27" i="28"/>
  <c r="AC27" i="28"/>
  <c r="AF27" i="28"/>
  <c r="AG27" i="28"/>
  <c r="N28" i="28"/>
  <c r="AB28" i="28"/>
  <c r="AC28" i="28"/>
  <c r="AF28" i="28"/>
  <c r="AG28" i="28"/>
  <c r="N29" i="28"/>
  <c r="AB29" i="28"/>
  <c r="AC29" i="28"/>
  <c r="AF29" i="28"/>
  <c r="AG29" i="28"/>
  <c r="N30" i="28"/>
  <c r="AB30" i="28"/>
  <c r="AC30" i="28"/>
  <c r="AF30" i="28"/>
  <c r="AG30" i="28"/>
  <c r="N31" i="28"/>
  <c r="AB31" i="28"/>
  <c r="AC31" i="28"/>
  <c r="AF31" i="28"/>
  <c r="AG31" i="28"/>
  <c r="N32" i="28"/>
  <c r="AB32" i="28"/>
  <c r="AC32" i="28"/>
  <c r="AF32" i="28"/>
  <c r="AG32" i="28"/>
  <c r="N33" i="28"/>
  <c r="AB33" i="28"/>
  <c r="AC33" i="28"/>
  <c r="AF33" i="28"/>
  <c r="AG33" i="28"/>
  <c r="N34" i="28"/>
  <c r="AB34" i="28"/>
  <c r="AC34" i="28"/>
  <c r="AF34" i="28"/>
  <c r="AG34" i="28"/>
  <c r="N35" i="28"/>
  <c r="AB35" i="28"/>
  <c r="AC35" i="28"/>
  <c r="AF35" i="28"/>
  <c r="AG35" i="28"/>
  <c r="N36" i="28"/>
  <c r="AB36" i="28"/>
  <c r="AC36" i="28"/>
  <c r="AF36" i="28"/>
  <c r="AG36" i="28"/>
  <c r="N37" i="28"/>
  <c r="AB37" i="28"/>
  <c r="AC37" i="28"/>
  <c r="AF37" i="28"/>
  <c r="AG37" i="28"/>
  <c r="N38" i="28"/>
  <c r="AB38" i="28"/>
  <c r="AC38" i="28"/>
  <c r="AF38" i="28"/>
  <c r="AG38" i="28"/>
  <c r="N39" i="28"/>
  <c r="AB39" i="28"/>
  <c r="AC39" i="28"/>
  <c r="AF39" i="28"/>
  <c r="AG39" i="28"/>
  <c r="N40" i="28"/>
  <c r="AB40" i="28"/>
  <c r="AC40" i="28"/>
  <c r="AF40" i="28"/>
  <c r="AG40" i="28"/>
  <c r="N41" i="28"/>
  <c r="AB41" i="28"/>
  <c r="AC41" i="28"/>
  <c r="AF41" i="28"/>
  <c r="AG41" i="28"/>
  <c r="N42" i="28"/>
  <c r="AB42" i="28"/>
  <c r="AC42" i="28"/>
  <c r="AF42" i="28"/>
  <c r="AG42" i="28"/>
  <c r="N43" i="28"/>
  <c r="AB43" i="28"/>
  <c r="AC43" i="28"/>
  <c r="AF43" i="28"/>
  <c r="AG43" i="28"/>
  <c r="N44" i="28"/>
  <c r="AB44" i="28"/>
  <c r="AC44" i="28"/>
  <c r="AF44" i="28"/>
  <c r="AG44" i="28"/>
  <c r="N45" i="28"/>
  <c r="AB45" i="28"/>
  <c r="AC45" i="28"/>
  <c r="AF45" i="28"/>
  <c r="AG45" i="28"/>
  <c r="N46" i="28"/>
  <c r="AB46" i="28"/>
  <c r="AC46" i="28"/>
  <c r="AF46" i="28"/>
  <c r="AG46" i="28"/>
  <c r="N47" i="28"/>
  <c r="AB47" i="28"/>
  <c r="AC47" i="28"/>
  <c r="AF47" i="28"/>
  <c r="AG47" i="28"/>
  <c r="N48" i="28"/>
  <c r="AB48" i="28"/>
  <c r="AC48" i="28"/>
  <c r="AF48" i="28"/>
  <c r="AG48" i="28"/>
  <c r="N49" i="28"/>
  <c r="AB49" i="28"/>
  <c r="AC49" i="28"/>
  <c r="AF49" i="28"/>
  <c r="AG49" i="28"/>
  <c r="N50" i="28"/>
  <c r="AB50" i="28"/>
  <c r="AC50" i="28"/>
  <c r="AF50" i="28"/>
  <c r="AG50" i="28"/>
  <c r="N51" i="28"/>
  <c r="AB51" i="28"/>
  <c r="AC51" i="28"/>
  <c r="AF51" i="28"/>
  <c r="AG51" i="28"/>
  <c r="N57" i="28"/>
  <c r="AB57" i="28"/>
  <c r="AC57" i="28"/>
  <c r="AF57" i="28"/>
  <c r="AG57" i="28"/>
  <c r="N58" i="28"/>
  <c r="AB58" i="28"/>
  <c r="AC58" i="28"/>
  <c r="AF58" i="28"/>
  <c r="AG58" i="28"/>
  <c r="N59" i="28"/>
  <c r="AB59" i="28"/>
  <c r="AC59" i="28"/>
  <c r="AF59" i="28"/>
  <c r="AG59" i="28"/>
  <c r="N60" i="28"/>
  <c r="AB60" i="28"/>
  <c r="AC60" i="28"/>
  <c r="AF60" i="28"/>
  <c r="AG60" i="28"/>
  <c r="N61" i="28"/>
  <c r="AB61" i="28"/>
  <c r="AC61" i="28"/>
  <c r="AF61" i="28"/>
  <c r="AG61" i="28"/>
  <c r="N62" i="28"/>
  <c r="AB62" i="28"/>
  <c r="AC62" i="28"/>
  <c r="AF62" i="28"/>
  <c r="AG62" i="28"/>
  <c r="N63" i="28"/>
  <c r="AB63" i="28"/>
  <c r="AC63" i="28"/>
  <c r="AF63" i="28"/>
  <c r="AG63" i="28"/>
  <c r="N64" i="28"/>
  <c r="AB64" i="28"/>
  <c r="AC64" i="28"/>
  <c r="AF64" i="28"/>
  <c r="AG64" i="28"/>
  <c r="N65" i="28"/>
  <c r="AB65" i="28"/>
  <c r="AC65" i="28"/>
  <c r="AF65" i="28"/>
  <c r="AG65" i="28"/>
  <c r="N66" i="28"/>
  <c r="AB66" i="28"/>
  <c r="AC66" i="28"/>
  <c r="AF66" i="28"/>
  <c r="AG66" i="28"/>
  <c r="N67" i="28"/>
  <c r="AB67" i="28"/>
  <c r="AC67" i="28"/>
  <c r="AF67" i="28"/>
  <c r="AG67" i="28"/>
  <c r="N68" i="28"/>
  <c r="AB68" i="28"/>
  <c r="AC68" i="28"/>
  <c r="AF68" i="28"/>
  <c r="AG68" i="28"/>
  <c r="N69" i="28"/>
  <c r="AB69" i="28"/>
  <c r="AC69" i="28"/>
  <c r="AF69" i="28"/>
  <c r="AG69" i="28"/>
  <c r="N70" i="28"/>
  <c r="AB70" i="28"/>
  <c r="AC70" i="28"/>
  <c r="AF70" i="28"/>
  <c r="AG70" i="28"/>
  <c r="N71" i="28"/>
  <c r="AB71" i="28"/>
  <c r="AC71" i="28"/>
  <c r="AF71" i="28"/>
  <c r="AG71" i="28"/>
  <c r="N72" i="28"/>
  <c r="AB72" i="28"/>
  <c r="AC72" i="28"/>
  <c r="AF72" i="28"/>
  <c r="AG72" i="28"/>
  <c r="N73" i="28"/>
  <c r="AB73" i="28"/>
  <c r="AC73" i="28"/>
  <c r="AF73" i="28"/>
  <c r="AG73" i="28"/>
  <c r="N74" i="28"/>
  <c r="AB74" i="28"/>
  <c r="AC74" i="28"/>
  <c r="AF74" i="28"/>
  <c r="AG74" i="28"/>
  <c r="N75" i="28"/>
  <c r="AB75" i="28"/>
  <c r="AC75" i="28"/>
  <c r="AF75" i="28"/>
  <c r="AG75" i="28"/>
  <c r="N76" i="28"/>
  <c r="AB76" i="28"/>
  <c r="AC76" i="28"/>
  <c r="AF76" i="28"/>
  <c r="AG76" i="28"/>
  <c r="N77" i="28"/>
  <c r="AB77" i="28"/>
  <c r="AC77" i="28"/>
  <c r="AF77" i="28"/>
  <c r="AG77" i="28"/>
  <c r="N78" i="28"/>
  <c r="AB78" i="28"/>
  <c r="AC78" i="28"/>
  <c r="AF78" i="28"/>
  <c r="AG78" i="28"/>
  <c r="N79" i="28"/>
  <c r="AB79" i="28"/>
  <c r="AC79" i="28"/>
  <c r="AF79" i="28"/>
  <c r="AG79" i="28"/>
  <c r="N80" i="28"/>
  <c r="AB80" i="28"/>
  <c r="AC80" i="28"/>
  <c r="AF80" i="28"/>
  <c r="AG80" i="28"/>
  <c r="N81" i="28"/>
  <c r="AB81" i="28"/>
  <c r="AC81" i="28"/>
  <c r="AF81" i="28"/>
  <c r="AG81" i="28"/>
  <c r="N82" i="28"/>
  <c r="AB82" i="28"/>
  <c r="AC82" i="28"/>
  <c r="AF82" i="28"/>
  <c r="AG82" i="28"/>
  <c r="N83" i="28"/>
  <c r="AB83" i="28"/>
  <c r="AC83" i="28"/>
  <c r="AF83" i="28"/>
  <c r="AG83" i="28"/>
  <c r="N84" i="28"/>
  <c r="AB84" i="28"/>
  <c r="AC84" i="28"/>
  <c r="AF84" i="28"/>
  <c r="AG84" i="28"/>
  <c r="N85" i="28"/>
  <c r="AB85" i="28"/>
  <c r="AC85" i="28"/>
  <c r="AF85" i="28"/>
  <c r="AG85" i="28"/>
  <c r="N86" i="28"/>
  <c r="AB86" i="28"/>
  <c r="AC86" i="28"/>
  <c r="AF86" i="28"/>
  <c r="AG86" i="28"/>
  <c r="N87" i="28"/>
  <c r="AB87" i="28"/>
  <c r="AC87" i="28"/>
  <c r="AF87" i="28"/>
  <c r="AG87" i="28"/>
  <c r="N88" i="28"/>
  <c r="AB88" i="28"/>
  <c r="AC88" i="28"/>
  <c r="AF88" i="28"/>
  <c r="AG88" i="28"/>
  <c r="N89" i="28"/>
  <c r="AB89" i="28"/>
  <c r="AC89" i="28"/>
  <c r="AF89" i="28"/>
  <c r="AG89" i="28"/>
  <c r="N90" i="28"/>
  <c r="AB90" i="28"/>
  <c r="AC90" i="28"/>
  <c r="AF90" i="28"/>
  <c r="AG90" i="28"/>
  <c r="N91" i="28"/>
  <c r="AB91" i="28"/>
  <c r="AC91" i="28"/>
  <c r="AF91" i="28"/>
  <c r="AG91" i="28"/>
  <c r="N92" i="28"/>
  <c r="AB92" i="28"/>
  <c r="AC92" i="28"/>
  <c r="AF92" i="28"/>
  <c r="AG92" i="28"/>
  <c r="N93" i="28"/>
  <c r="AB93" i="28"/>
  <c r="AC93" i="28"/>
  <c r="AF93" i="28"/>
  <c r="AG93" i="28"/>
  <c r="N94" i="28"/>
  <c r="AB94" i="28"/>
  <c r="AC94" i="28"/>
  <c r="AF94" i="28"/>
  <c r="AG94" i="28"/>
  <c r="N95" i="28"/>
  <c r="AB95" i="28"/>
  <c r="AC95" i="28"/>
  <c r="AF95" i="28"/>
  <c r="AG95" i="28"/>
  <c r="N96" i="28"/>
  <c r="AB96" i="28"/>
  <c r="AC96" i="28"/>
  <c r="AF96" i="28"/>
  <c r="AG96" i="28"/>
  <c r="N97" i="28"/>
  <c r="AB97" i="28"/>
  <c r="AC97" i="28"/>
  <c r="AF97" i="28"/>
  <c r="AG97" i="28"/>
  <c r="N98" i="28"/>
  <c r="AB98" i="28"/>
  <c r="AC98" i="28"/>
  <c r="AF98" i="28"/>
  <c r="AG98" i="28"/>
  <c r="N99" i="28"/>
  <c r="AB99" i="28"/>
  <c r="AC99" i="28"/>
  <c r="AF99" i="28"/>
  <c r="AG99" i="28"/>
  <c r="N100" i="28"/>
  <c r="AB100" i="28"/>
  <c r="AC100" i="28"/>
  <c r="AF100" i="28"/>
  <c r="AG100" i="28"/>
  <c r="N101" i="28"/>
  <c r="AB101" i="28"/>
  <c r="AC101" i="28"/>
  <c r="AF101" i="28"/>
  <c r="AG101" i="28"/>
  <c r="N102" i="28"/>
  <c r="AB102" i="28"/>
  <c r="AC102" i="28"/>
  <c r="AF102" i="28"/>
  <c r="AG102" i="28"/>
  <c r="N103" i="28"/>
  <c r="AB103" i="28"/>
  <c r="AC103" i="28"/>
  <c r="AF103" i="28"/>
  <c r="AG103" i="28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3" i="7"/>
  <c r="T53" i="7"/>
  <c r="AJ53" i="7"/>
  <c r="AK53" i="7"/>
  <c r="AL53" i="7"/>
  <c r="AM53" i="7"/>
  <c r="N58" i="7"/>
  <c r="AE58" i="7"/>
  <c r="AF58" i="7"/>
  <c r="AJ58" i="7"/>
  <c r="AK58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3" i="8"/>
  <c r="T53" i="8"/>
  <c r="AE53" i="8"/>
  <c r="AF53" i="8"/>
  <c r="AG53" i="8"/>
  <c r="AJ53" i="8"/>
  <c r="AK53" i="8"/>
  <c r="AL53" i="8"/>
  <c r="AM53" i="8"/>
  <c r="AO53" i="8"/>
  <c r="AP53" i="8"/>
  <c r="AO55" i="8"/>
  <c r="AP55" i="8"/>
  <c r="AE58" i="8"/>
  <c r="AF58" i="8"/>
  <c r="N5" i="24"/>
  <c r="T5" i="24"/>
  <c r="AE5" i="24"/>
  <c r="AF5" i="24"/>
  <c r="AG5" i="24"/>
  <c r="AJ5" i="24"/>
  <c r="AK5" i="24"/>
  <c r="AL5" i="24"/>
  <c r="AM5" i="24"/>
  <c r="AO5" i="24"/>
  <c r="AP5" i="24"/>
  <c r="AW5" i="24"/>
  <c r="AX5" i="24"/>
  <c r="AZ5" i="24"/>
  <c r="N6" i="24"/>
  <c r="T6" i="24"/>
  <c r="AE6" i="24"/>
  <c r="AF6" i="24"/>
  <c r="AG6" i="24"/>
  <c r="AJ6" i="24"/>
  <c r="AK6" i="24"/>
  <c r="AL6" i="24"/>
  <c r="AM6" i="24"/>
  <c r="AO6" i="24"/>
  <c r="AP6" i="24"/>
  <c r="AW6" i="24"/>
  <c r="AX6" i="24"/>
  <c r="AZ6" i="24"/>
  <c r="N7" i="24"/>
  <c r="T7" i="24"/>
  <c r="AE7" i="24"/>
  <c r="AF7" i="24"/>
  <c r="AG7" i="24"/>
  <c r="AJ7" i="24"/>
  <c r="AK7" i="24"/>
  <c r="AL7" i="24"/>
  <c r="AM7" i="24"/>
  <c r="AO7" i="24"/>
  <c r="AP7" i="24"/>
  <c r="AW7" i="24"/>
  <c r="AX7" i="24"/>
  <c r="AZ7" i="24"/>
  <c r="N8" i="24"/>
  <c r="T8" i="24"/>
  <c r="AE8" i="24"/>
  <c r="AF8" i="24"/>
  <c r="AG8" i="24"/>
  <c r="AJ8" i="24"/>
  <c r="AK8" i="24"/>
  <c r="AL8" i="24"/>
  <c r="AM8" i="24"/>
  <c r="AO8" i="24"/>
  <c r="AP8" i="24"/>
  <c r="AW8" i="24"/>
  <c r="AX8" i="24"/>
  <c r="AZ8" i="24"/>
  <c r="N9" i="24"/>
  <c r="T9" i="24"/>
  <c r="AE9" i="24"/>
  <c r="AF9" i="24"/>
  <c r="AG9" i="24"/>
  <c r="AJ9" i="24"/>
  <c r="AK9" i="24"/>
  <c r="AL9" i="24"/>
  <c r="AM9" i="24"/>
  <c r="AO9" i="24"/>
  <c r="AP9" i="24"/>
  <c r="AW9" i="24"/>
  <c r="AX9" i="24"/>
  <c r="AZ9" i="24"/>
  <c r="N10" i="24"/>
  <c r="T10" i="24"/>
  <c r="AE10" i="24"/>
  <c r="AF10" i="24"/>
  <c r="AG10" i="24"/>
  <c r="AJ10" i="24"/>
  <c r="AK10" i="24"/>
  <c r="AL10" i="24"/>
  <c r="AM10" i="24"/>
  <c r="AO10" i="24"/>
  <c r="AP10" i="24"/>
  <c r="AW10" i="24"/>
  <c r="AX10" i="24"/>
  <c r="AZ10" i="24"/>
  <c r="N11" i="24"/>
  <c r="T11" i="24"/>
  <c r="AE11" i="24"/>
  <c r="AF11" i="24"/>
  <c r="AG11" i="24"/>
  <c r="AJ11" i="24"/>
  <c r="AK11" i="24"/>
  <c r="AL11" i="24"/>
  <c r="AM11" i="24"/>
  <c r="AO11" i="24"/>
  <c r="AP11" i="24"/>
  <c r="AW11" i="24"/>
  <c r="AX11" i="24"/>
  <c r="AZ11" i="24"/>
  <c r="N12" i="24"/>
  <c r="T12" i="24"/>
  <c r="AE12" i="24"/>
  <c r="AF12" i="24"/>
  <c r="AG12" i="24"/>
  <c r="AJ12" i="24"/>
  <c r="AK12" i="24"/>
  <c r="AL12" i="24"/>
  <c r="AM12" i="24"/>
  <c r="AO12" i="24"/>
  <c r="AP12" i="24"/>
  <c r="AW12" i="24"/>
  <c r="AX12" i="24"/>
  <c r="AZ12" i="24"/>
  <c r="N13" i="24"/>
  <c r="T13" i="24"/>
  <c r="AE13" i="24"/>
  <c r="AF13" i="24"/>
  <c r="AG13" i="24"/>
  <c r="AJ13" i="24"/>
  <c r="AK13" i="24"/>
  <c r="AL13" i="24"/>
  <c r="AM13" i="24"/>
  <c r="AO13" i="24"/>
  <c r="AP13" i="24"/>
  <c r="AW13" i="24"/>
  <c r="AX13" i="24"/>
  <c r="AZ13" i="24"/>
  <c r="N14" i="24"/>
  <c r="T14" i="24"/>
  <c r="AE14" i="24"/>
  <c r="AF14" i="24"/>
  <c r="AG14" i="24"/>
  <c r="AJ14" i="24"/>
  <c r="AK14" i="24"/>
  <c r="AL14" i="24"/>
  <c r="AM14" i="24"/>
  <c r="AO14" i="24"/>
  <c r="AP14" i="24"/>
  <c r="AW14" i="24"/>
  <c r="AX14" i="24"/>
  <c r="AZ14" i="24"/>
  <c r="N15" i="24"/>
  <c r="T15" i="24"/>
  <c r="AE15" i="24"/>
  <c r="AF15" i="24"/>
  <c r="AG15" i="24"/>
  <c r="AJ15" i="24"/>
  <c r="AK15" i="24"/>
  <c r="AL15" i="24"/>
  <c r="AM15" i="24"/>
  <c r="AO15" i="24"/>
  <c r="AP15" i="24"/>
  <c r="AW15" i="24"/>
  <c r="AX15" i="24"/>
  <c r="AZ15" i="24"/>
  <c r="N16" i="24"/>
  <c r="T16" i="24"/>
  <c r="AE16" i="24"/>
  <c r="AF16" i="24"/>
  <c r="AG16" i="24"/>
  <c r="AJ16" i="24"/>
  <c r="AK16" i="24"/>
  <c r="AL16" i="24"/>
  <c r="AM16" i="24"/>
  <c r="AO16" i="24"/>
  <c r="AP16" i="24"/>
  <c r="AW16" i="24"/>
  <c r="AX16" i="24"/>
  <c r="AZ16" i="24"/>
  <c r="N17" i="24"/>
  <c r="T17" i="24"/>
  <c r="AE17" i="24"/>
  <c r="AF17" i="24"/>
  <c r="AG17" i="24"/>
  <c r="AJ17" i="24"/>
  <c r="AK17" i="24"/>
  <c r="AL17" i="24"/>
  <c r="AM17" i="24"/>
  <c r="AO17" i="24"/>
  <c r="AP17" i="24"/>
  <c r="AW17" i="24"/>
  <c r="AX17" i="24"/>
  <c r="AZ17" i="24"/>
  <c r="N18" i="24"/>
  <c r="T18" i="24"/>
  <c r="AE18" i="24"/>
  <c r="AF18" i="24"/>
  <c r="AG18" i="24"/>
  <c r="AJ18" i="24"/>
  <c r="AK18" i="24"/>
  <c r="AL18" i="24"/>
  <c r="AM18" i="24"/>
  <c r="AO18" i="24"/>
  <c r="AP18" i="24"/>
  <c r="AW18" i="24"/>
  <c r="AX18" i="24"/>
  <c r="AZ18" i="24"/>
  <c r="N19" i="24"/>
  <c r="T19" i="24"/>
  <c r="AE19" i="24"/>
  <c r="AF19" i="24"/>
  <c r="AG19" i="24"/>
  <c r="AJ19" i="24"/>
  <c r="AK19" i="24"/>
  <c r="AL19" i="24"/>
  <c r="AM19" i="24"/>
  <c r="AO19" i="24"/>
  <c r="AP19" i="24"/>
  <c r="AW19" i="24"/>
  <c r="AX19" i="24"/>
  <c r="AZ19" i="24"/>
  <c r="N20" i="24"/>
  <c r="T20" i="24"/>
  <c r="AE20" i="24"/>
  <c r="AF20" i="24"/>
  <c r="AG20" i="24"/>
  <c r="AJ20" i="24"/>
  <c r="AK20" i="24"/>
  <c r="AL20" i="24"/>
  <c r="AM20" i="24"/>
  <c r="AO20" i="24"/>
  <c r="AP20" i="24"/>
  <c r="AW20" i="24"/>
  <c r="AX20" i="24"/>
  <c r="AZ20" i="24"/>
  <c r="N21" i="24"/>
  <c r="T21" i="24"/>
  <c r="AE21" i="24"/>
  <c r="AF21" i="24"/>
  <c r="AG21" i="24"/>
  <c r="AJ21" i="24"/>
  <c r="AK21" i="24"/>
  <c r="AL21" i="24"/>
  <c r="AM21" i="24"/>
  <c r="AO21" i="24"/>
  <c r="AP21" i="24"/>
  <c r="AW21" i="24"/>
  <c r="AX21" i="24"/>
  <c r="AZ21" i="24"/>
  <c r="N22" i="24"/>
  <c r="T22" i="24"/>
  <c r="AE22" i="24"/>
  <c r="AF22" i="24"/>
  <c r="AG22" i="24"/>
  <c r="AJ22" i="24"/>
  <c r="AK22" i="24"/>
  <c r="AL22" i="24"/>
  <c r="AM22" i="24"/>
  <c r="AO22" i="24"/>
  <c r="AP22" i="24"/>
  <c r="AW22" i="24"/>
  <c r="AX22" i="24"/>
  <c r="AZ22" i="24"/>
  <c r="N23" i="24"/>
  <c r="T23" i="24"/>
  <c r="AE23" i="24"/>
  <c r="AF23" i="24"/>
  <c r="AG23" i="24"/>
  <c r="AJ23" i="24"/>
  <c r="AK23" i="24"/>
  <c r="AL23" i="24"/>
  <c r="AM23" i="24"/>
  <c r="AO23" i="24"/>
  <c r="AP23" i="24"/>
  <c r="AW23" i="24"/>
  <c r="AX23" i="24"/>
  <c r="AZ23" i="24"/>
  <c r="N24" i="24"/>
  <c r="T24" i="24"/>
  <c r="AE24" i="24"/>
  <c r="AF24" i="24"/>
  <c r="AG24" i="24"/>
  <c r="AJ24" i="24"/>
  <c r="AK24" i="24"/>
  <c r="AL24" i="24"/>
  <c r="AM24" i="24"/>
  <c r="AO24" i="24"/>
  <c r="AP24" i="24"/>
  <c r="AW24" i="24"/>
  <c r="AX24" i="24"/>
  <c r="AZ24" i="24"/>
  <c r="N25" i="24"/>
  <c r="T25" i="24"/>
  <c r="AE25" i="24"/>
  <c r="AF25" i="24"/>
  <c r="AG25" i="24"/>
  <c r="AJ25" i="24"/>
  <c r="AK25" i="24"/>
  <c r="AL25" i="24"/>
  <c r="AM25" i="24"/>
  <c r="AO25" i="24"/>
  <c r="AP25" i="24"/>
  <c r="AW25" i="24"/>
  <c r="AX25" i="24"/>
  <c r="AZ25" i="24"/>
  <c r="N26" i="24"/>
  <c r="T26" i="24"/>
  <c r="AE26" i="24"/>
  <c r="AF26" i="24"/>
  <c r="AG26" i="24"/>
  <c r="AJ26" i="24"/>
  <c r="AK26" i="24"/>
  <c r="AL26" i="24"/>
  <c r="AM26" i="24"/>
  <c r="AO26" i="24"/>
  <c r="AP26" i="24"/>
  <c r="AW26" i="24"/>
  <c r="AX26" i="24"/>
  <c r="AZ26" i="24"/>
  <c r="N27" i="24"/>
  <c r="T27" i="24"/>
  <c r="AE27" i="24"/>
  <c r="AF27" i="24"/>
  <c r="AG27" i="24"/>
  <c r="AJ27" i="24"/>
  <c r="AK27" i="24"/>
  <c r="AL27" i="24"/>
  <c r="AM27" i="24"/>
  <c r="AO27" i="24"/>
  <c r="AP27" i="24"/>
  <c r="AW27" i="24"/>
  <c r="AX27" i="24"/>
  <c r="AZ27" i="24"/>
  <c r="N28" i="24"/>
  <c r="T28" i="24"/>
  <c r="AE28" i="24"/>
  <c r="AF28" i="24"/>
  <c r="AG28" i="24"/>
  <c r="AJ28" i="24"/>
  <c r="AK28" i="24"/>
  <c r="AL28" i="24"/>
  <c r="AM28" i="24"/>
  <c r="AO28" i="24"/>
  <c r="AP28" i="24"/>
  <c r="AW28" i="24"/>
  <c r="AX28" i="24"/>
  <c r="AZ28" i="24"/>
  <c r="N29" i="24"/>
  <c r="T29" i="24"/>
  <c r="AE29" i="24"/>
  <c r="AF29" i="24"/>
  <c r="AG29" i="24"/>
  <c r="AJ29" i="24"/>
  <c r="AK29" i="24"/>
  <c r="AL29" i="24"/>
  <c r="AM29" i="24"/>
  <c r="AO29" i="24"/>
  <c r="AP29" i="24"/>
  <c r="AW29" i="24"/>
  <c r="AX29" i="24"/>
  <c r="AZ29" i="24"/>
  <c r="N30" i="24"/>
  <c r="T30" i="24"/>
  <c r="AE30" i="24"/>
  <c r="AF30" i="24"/>
  <c r="AG30" i="24"/>
  <c r="AJ30" i="24"/>
  <c r="AK30" i="24"/>
  <c r="AL30" i="24"/>
  <c r="AM30" i="24"/>
  <c r="AO30" i="24"/>
  <c r="AP30" i="24"/>
  <c r="AW30" i="24"/>
  <c r="AX30" i="24"/>
  <c r="AZ30" i="24"/>
  <c r="N31" i="24"/>
  <c r="T31" i="24"/>
  <c r="AE31" i="24"/>
  <c r="AF31" i="24"/>
  <c r="AG31" i="24"/>
  <c r="AJ31" i="24"/>
  <c r="AK31" i="24"/>
  <c r="AL31" i="24"/>
  <c r="AM31" i="24"/>
  <c r="AO31" i="24"/>
  <c r="AP31" i="24"/>
  <c r="AW31" i="24"/>
  <c r="AX31" i="24"/>
  <c r="AZ31" i="24"/>
  <c r="N32" i="24"/>
  <c r="T32" i="24"/>
  <c r="AE32" i="24"/>
  <c r="AF32" i="24"/>
  <c r="AG32" i="24"/>
  <c r="AJ32" i="24"/>
  <c r="AK32" i="24"/>
  <c r="AL32" i="24"/>
  <c r="AM32" i="24"/>
  <c r="AO32" i="24"/>
  <c r="AP32" i="24"/>
  <c r="AW32" i="24"/>
  <c r="AX32" i="24"/>
  <c r="AZ32" i="24"/>
  <c r="N33" i="24"/>
  <c r="T33" i="24"/>
  <c r="AE33" i="24"/>
  <c r="AF33" i="24"/>
  <c r="AG33" i="24"/>
  <c r="AJ33" i="24"/>
  <c r="AK33" i="24"/>
  <c r="AL33" i="24"/>
  <c r="AM33" i="24"/>
  <c r="AO33" i="24"/>
  <c r="AP33" i="24"/>
  <c r="AW33" i="24"/>
  <c r="AX33" i="24"/>
  <c r="AZ33" i="24"/>
  <c r="N34" i="24"/>
  <c r="T34" i="24"/>
  <c r="AE34" i="24"/>
  <c r="AF34" i="24"/>
  <c r="AG34" i="24"/>
  <c r="AJ34" i="24"/>
  <c r="AK34" i="24"/>
  <c r="AL34" i="24"/>
  <c r="AM34" i="24"/>
  <c r="AO34" i="24"/>
  <c r="AP34" i="24"/>
  <c r="AW34" i="24"/>
  <c r="AX34" i="24"/>
  <c r="AZ34" i="24"/>
  <c r="N35" i="24"/>
  <c r="T35" i="24"/>
  <c r="AE35" i="24"/>
  <c r="AF35" i="24"/>
  <c r="AG35" i="24"/>
  <c r="AJ35" i="24"/>
  <c r="AK35" i="24"/>
  <c r="AL35" i="24"/>
  <c r="AM35" i="24"/>
  <c r="AO35" i="24"/>
  <c r="AP35" i="24"/>
  <c r="AW35" i="24"/>
  <c r="AX35" i="24"/>
  <c r="AZ35" i="24"/>
  <c r="N36" i="24"/>
  <c r="T36" i="24"/>
  <c r="AE36" i="24"/>
  <c r="AF36" i="24"/>
  <c r="AG36" i="24"/>
  <c r="AJ36" i="24"/>
  <c r="AK36" i="24"/>
  <c r="AL36" i="24"/>
  <c r="AM36" i="24"/>
  <c r="AO36" i="24"/>
  <c r="AP36" i="24"/>
  <c r="AW36" i="24"/>
  <c r="AX36" i="24"/>
  <c r="AZ36" i="24"/>
  <c r="N37" i="24"/>
  <c r="T37" i="24"/>
  <c r="AE37" i="24"/>
  <c r="AF37" i="24"/>
  <c r="AG37" i="24"/>
  <c r="AJ37" i="24"/>
  <c r="AK37" i="24"/>
  <c r="AL37" i="24"/>
  <c r="AM37" i="24"/>
  <c r="AO37" i="24"/>
  <c r="AP37" i="24"/>
  <c r="AW37" i="24"/>
  <c r="AX37" i="24"/>
  <c r="AZ37" i="24"/>
  <c r="N38" i="24"/>
  <c r="T38" i="24"/>
  <c r="AE38" i="24"/>
  <c r="AF38" i="24"/>
  <c r="AG38" i="24"/>
  <c r="AJ38" i="24"/>
  <c r="AK38" i="24"/>
  <c r="AL38" i="24"/>
  <c r="AM38" i="24"/>
  <c r="AO38" i="24"/>
  <c r="AP38" i="24"/>
  <c r="AW38" i="24"/>
  <c r="AX38" i="24"/>
  <c r="AZ38" i="24"/>
  <c r="N39" i="24"/>
  <c r="T39" i="24"/>
  <c r="AE39" i="24"/>
  <c r="AF39" i="24"/>
  <c r="AG39" i="24"/>
  <c r="AJ39" i="24"/>
  <c r="AK39" i="24"/>
  <c r="AL39" i="24"/>
  <c r="AM39" i="24"/>
  <c r="AO39" i="24"/>
  <c r="AP39" i="24"/>
  <c r="AW39" i="24"/>
  <c r="AX39" i="24"/>
  <c r="AZ39" i="24"/>
  <c r="N40" i="24"/>
  <c r="T40" i="24"/>
  <c r="AE40" i="24"/>
  <c r="AF40" i="24"/>
  <c r="AG40" i="24"/>
  <c r="AJ40" i="24"/>
  <c r="AK40" i="24"/>
  <c r="AL40" i="24"/>
  <c r="AM40" i="24"/>
  <c r="AO40" i="24"/>
  <c r="AP40" i="24"/>
  <c r="AW40" i="24"/>
  <c r="AX40" i="24"/>
  <c r="AZ40" i="24"/>
  <c r="N41" i="24"/>
  <c r="T41" i="24"/>
  <c r="AE41" i="24"/>
  <c r="AF41" i="24"/>
  <c r="AG41" i="24"/>
  <c r="AJ41" i="24"/>
  <c r="AK41" i="24"/>
  <c r="AL41" i="24"/>
  <c r="AM41" i="24"/>
  <c r="AO41" i="24"/>
  <c r="AP41" i="24"/>
  <c r="AW41" i="24"/>
  <c r="AX41" i="24"/>
  <c r="AZ41" i="24"/>
  <c r="N42" i="24"/>
  <c r="T42" i="24"/>
  <c r="AE42" i="24"/>
  <c r="AF42" i="24"/>
  <c r="AG42" i="24"/>
  <c r="AJ42" i="24"/>
  <c r="AK42" i="24"/>
  <c r="AL42" i="24"/>
  <c r="AM42" i="24"/>
  <c r="AO42" i="24"/>
  <c r="AP42" i="24"/>
  <c r="AW42" i="24"/>
  <c r="AX42" i="24"/>
  <c r="AZ42" i="24"/>
  <c r="N43" i="24"/>
  <c r="T43" i="24"/>
  <c r="AE43" i="24"/>
  <c r="AF43" i="24"/>
  <c r="AG43" i="24"/>
  <c r="AJ43" i="24"/>
  <c r="AK43" i="24"/>
  <c r="AL43" i="24"/>
  <c r="AM43" i="24"/>
  <c r="AO43" i="24"/>
  <c r="AP43" i="24"/>
  <c r="AW43" i="24"/>
  <c r="AX43" i="24"/>
  <c r="AZ43" i="24"/>
  <c r="N44" i="24"/>
  <c r="T44" i="24"/>
  <c r="AE44" i="24"/>
  <c r="AF44" i="24"/>
  <c r="AG44" i="24"/>
  <c r="AJ44" i="24"/>
  <c r="AK44" i="24"/>
  <c r="AL44" i="24"/>
  <c r="AM44" i="24"/>
  <c r="AO44" i="24"/>
  <c r="AP44" i="24"/>
  <c r="AW44" i="24"/>
  <c r="AX44" i="24"/>
  <c r="AZ44" i="24"/>
  <c r="N45" i="24"/>
  <c r="T45" i="24"/>
  <c r="AE45" i="24"/>
  <c r="AF45" i="24"/>
  <c r="AG45" i="24"/>
  <c r="AJ45" i="24"/>
  <c r="AK45" i="24"/>
  <c r="AL45" i="24"/>
  <c r="AM45" i="24"/>
  <c r="AO45" i="24"/>
  <c r="AP45" i="24"/>
  <c r="AW45" i="24"/>
  <c r="AX45" i="24"/>
  <c r="AZ45" i="24"/>
  <c r="N46" i="24"/>
  <c r="T46" i="24"/>
  <c r="AE46" i="24"/>
  <c r="AF46" i="24"/>
  <c r="AG46" i="24"/>
  <c r="AJ46" i="24"/>
  <c r="AK46" i="24"/>
  <c r="AL46" i="24"/>
  <c r="AM46" i="24"/>
  <c r="AO46" i="24"/>
  <c r="AP46" i="24"/>
  <c r="AW46" i="24"/>
  <c r="AX46" i="24"/>
  <c r="AZ46" i="24"/>
  <c r="N47" i="24"/>
  <c r="T47" i="24"/>
  <c r="AE47" i="24"/>
  <c r="AF47" i="24"/>
  <c r="AG47" i="24"/>
  <c r="AJ47" i="24"/>
  <c r="AK47" i="24"/>
  <c r="AL47" i="24"/>
  <c r="AM47" i="24"/>
  <c r="AO47" i="24"/>
  <c r="AP47" i="24"/>
  <c r="AW47" i="24"/>
  <c r="AX47" i="24"/>
  <c r="AZ47" i="24"/>
  <c r="N48" i="24"/>
  <c r="T48" i="24"/>
  <c r="AE48" i="24"/>
  <c r="AF48" i="24"/>
  <c r="AG48" i="24"/>
  <c r="AJ48" i="24"/>
  <c r="AK48" i="24"/>
  <c r="AL48" i="24"/>
  <c r="AM48" i="24"/>
  <c r="AO48" i="24"/>
  <c r="AP48" i="24"/>
  <c r="AW48" i="24"/>
  <c r="AX48" i="24"/>
  <c r="AZ48" i="24"/>
  <c r="N49" i="24"/>
  <c r="T49" i="24"/>
  <c r="AE49" i="24"/>
  <c r="AF49" i="24"/>
  <c r="AG49" i="24"/>
  <c r="AJ49" i="24"/>
  <c r="AK49" i="24"/>
  <c r="AL49" i="24"/>
  <c r="AM49" i="24"/>
  <c r="AO49" i="24"/>
  <c r="AP49" i="24"/>
  <c r="AW49" i="24"/>
  <c r="AX49" i="24"/>
  <c r="AZ49" i="24"/>
  <c r="N50" i="24"/>
  <c r="T50" i="24"/>
  <c r="AE50" i="24"/>
  <c r="AF50" i="24"/>
  <c r="AG50" i="24"/>
  <c r="AJ50" i="24"/>
  <c r="AK50" i="24"/>
  <c r="AL50" i="24"/>
  <c r="AM50" i="24"/>
  <c r="AO50" i="24"/>
  <c r="AP50" i="24"/>
  <c r="AW50" i="24"/>
  <c r="AX50" i="24"/>
  <c r="AZ50" i="24"/>
  <c r="N51" i="24"/>
  <c r="T51" i="24"/>
  <c r="AE51" i="24"/>
  <c r="AF51" i="24"/>
  <c r="AG51" i="24"/>
  <c r="AJ51" i="24"/>
  <c r="AK51" i="24"/>
  <c r="AL51" i="24"/>
  <c r="AM51" i="24"/>
  <c r="AO51" i="24"/>
  <c r="AP51" i="24"/>
  <c r="AW51" i="24"/>
  <c r="AX51" i="24"/>
  <c r="AZ51" i="24"/>
  <c r="N53" i="24"/>
  <c r="T53" i="24"/>
  <c r="AE53" i="24"/>
  <c r="AF53" i="24"/>
  <c r="AG53" i="24"/>
  <c r="AJ53" i="24"/>
  <c r="AK53" i="24"/>
  <c r="AL53" i="24"/>
  <c r="AM53" i="24"/>
  <c r="AO53" i="24"/>
  <c r="AP53" i="24"/>
  <c r="AO55" i="24"/>
  <c r="AP55" i="24"/>
  <c r="AE58" i="24"/>
  <c r="AF58" i="24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3" i="9"/>
  <c r="T53" i="9"/>
  <c r="AE53" i="9"/>
  <c r="AF53" i="9"/>
  <c r="AG53" i="9"/>
  <c r="AJ53" i="9"/>
  <c r="AK53" i="9"/>
  <c r="AL53" i="9"/>
  <c r="AM53" i="9"/>
  <c r="AO53" i="9"/>
  <c r="AP53" i="9"/>
  <c r="AO55" i="9"/>
  <c r="AP55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5241A062-B6A5-4C19-8792-438EA4605EA4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6F6B11-9D97-4538-93C3-C894639CB73C}" name="Conexão" type="7" refreshedVersion="8" background="1" saveData="1"/>
  <connection id="2" xr16:uid="{5318FA67-9628-4E96-9AA0-C7A5AB0C224D}" name="Conexão1" type="7" refreshedVersion="8" background="1" saveData="1"/>
  <connection id="3" xr16:uid="{8D1FD254-746F-4C70-9A5E-440348876FC2}" name="Conexão2" type="7" refreshedVersion="8" background="1" saveData="1"/>
</connections>
</file>

<file path=xl/sharedStrings.xml><?xml version="1.0" encoding="utf-8"?>
<sst xmlns="http://schemas.openxmlformats.org/spreadsheetml/2006/main" count="30170" uniqueCount="1337">
  <si>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</si>
  <si>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</si>
  <si>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</si>
  <si>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</si>
  <si>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</si>
  <si>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</si>
  <si>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</si>
  <si>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</si>
  <si>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</si>
  <si>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</si>
  <si>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</si>
  <si>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</si>
  <si>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</si>
  <si>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</si>
  <si>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</si>
  <si>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</si>
  <si>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</si>
  <si>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</si>
  <si>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</si>
  <si>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</si>
  <si>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</si>
  <si>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</si>
  <si>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</si>
  <si>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</si>
  <si>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</si>
  <si>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</si>
  <si>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</si>
  <si>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</si>
  <si>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</si>
  <si>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</si>
  <si>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</si>
  <si>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</si>
  <si>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</si>
  <si>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</si>
  <si>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</si>
  <si>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</si>
  <si>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</si>
  <si>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</si>
  <si>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</si>
  <si>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</si>
  <si>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</si>
  <si>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</si>
  <si>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</si>
  <si>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</si>
  <si>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</si>
  <si>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</si>
  <si>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B4b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</si>
  <si>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</si>
  <si>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</si>
  <si>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</si>
  <si>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</si>
  <si>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</si>
  <si>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</si>
  <si>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</si>
  <si>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Refaturamento - Regular</t>
  </si>
  <si>
    <t>PROJETADO</t>
  </si>
  <si>
    <t>Azul</t>
  </si>
  <si>
    <t>Fonte incentivada</t>
  </si>
  <si>
    <t>LIVRE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</si>
  <si>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</si>
  <si>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</si>
  <si>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</si>
  <si>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</si>
  <si>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</si>
  <si>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</si>
  <si>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</si>
  <si>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</si>
  <si>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</si>
  <si>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</si>
  <si>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</si>
  <si>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</si>
  <si>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</si>
  <si>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</si>
  <si>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</si>
  <si>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</si>
  <si>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</si>
  <si>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</si>
  <si>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</si>
  <si>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convencional</t>
  </si>
  <si>
    <t>E</t>
  </si>
  <si>
    <t>kW</t>
  </si>
  <si>
    <t>DP</t>
  </si>
  <si>
    <t>DFP</t>
  </si>
  <si>
    <t>APE</t>
  </si>
  <si>
    <t>Geração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</si>
  <si>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</si>
  <si>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</si>
  <si>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</si>
  <si>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</si>
  <si>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</si>
  <si>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</si>
  <si>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</si>
  <si>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</si>
  <si>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B4a</t>
  </si>
  <si>
    <t>CHAVE TUSD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</si>
  <si>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</si>
  <si>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</si>
  <si>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</si>
  <si>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</si>
  <si>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</si>
  <si>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</si>
  <si>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</si>
  <si>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</si>
  <si>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</si>
  <si>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</si>
  <si>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</si>
  <si>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</si>
  <si>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</si>
  <si>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</si>
  <si>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</si>
  <si>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</si>
  <si>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</si>
  <si>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</si>
  <si>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</si>
  <si>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</si>
  <si>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</si>
  <si>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</si>
  <si>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</si>
  <si>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44743A4AzulNão se aplicaNão se aplicaNão se aplicaNão se aplicaNão se aplica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</si>
  <si>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</si>
  <si>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</si>
  <si>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</si>
  <si>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</si>
  <si>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</si>
  <si>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</si>
  <si>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</si>
  <si>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</si>
  <si>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</si>
  <si>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</si>
  <si>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</si>
  <si>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</si>
  <si>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</si>
  <si>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</si>
  <si>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</si>
  <si>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</si>
  <si>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</si>
  <si>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</si>
  <si>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</si>
  <si>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</si>
  <si>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</si>
  <si>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</si>
  <si>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</si>
  <si>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</si>
  <si>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</si>
  <si>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</si>
  <si>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</si>
  <si>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</si>
  <si>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</si>
  <si>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</si>
  <si>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</si>
  <si>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</si>
  <si>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</si>
  <si>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</si>
  <si>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</si>
  <si>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</si>
  <si>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</si>
  <si>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</si>
  <si>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</si>
  <si>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</si>
  <si>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</si>
  <si>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</si>
  <si>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</si>
  <si>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</si>
  <si>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</si>
  <si>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</si>
  <si>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</si>
  <si>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</si>
  <si>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</si>
  <si>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</si>
  <si>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</si>
  <si>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</si>
  <si>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</si>
  <si>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</si>
  <si>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</si>
  <si>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</si>
  <si>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</si>
  <si>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</si>
  <si>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</si>
  <si>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44743B1BrancaResidencialResidencialNão se aplicaNão se aplicaFora ponta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</si>
  <si>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</si>
  <si>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</si>
  <si>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</si>
  <si>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</si>
  <si>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</si>
  <si>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</si>
  <si>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</si>
  <si>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</si>
  <si>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</si>
  <si>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</si>
  <si>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</si>
  <si>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44743B1BrancaResidencialResidencialNão se aplicaNão se aplicaIntermediário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</si>
  <si>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</si>
  <si>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</si>
  <si>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</si>
  <si>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</si>
  <si>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</si>
  <si>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</si>
  <si>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</si>
  <si>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</si>
  <si>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</si>
  <si>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</si>
  <si>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</si>
  <si>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44743B1BrancaResidencialResidencialNão se aplicaNão se aplicaPonta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</si>
  <si>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</si>
  <si>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</si>
  <si>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</si>
  <si>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</si>
  <si>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</si>
  <si>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</si>
  <si>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</si>
  <si>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</si>
  <si>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</si>
  <si>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</si>
  <si>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</si>
  <si>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</si>
  <si>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</si>
  <si>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</si>
  <si>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</si>
  <si>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</si>
  <si>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</si>
  <si>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</si>
  <si>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</si>
  <si>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</si>
  <si>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</si>
  <si>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</si>
  <si>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</si>
  <si>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</si>
  <si>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</si>
  <si>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</si>
  <si>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</si>
  <si>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</si>
  <si>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</si>
  <si>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</si>
  <si>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</si>
  <si>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</si>
  <si>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</si>
  <si>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</si>
  <si>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</si>
  <si>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</si>
  <si>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</si>
  <si>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</si>
  <si>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</si>
  <si>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</si>
  <si>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</si>
  <si>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</si>
  <si>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</si>
  <si>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</si>
  <si>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</si>
  <si>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</si>
  <si>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</si>
  <si>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</si>
  <si>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</si>
  <si>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</si>
  <si>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</si>
  <si>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</si>
  <si>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</si>
  <si>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</si>
  <si>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</si>
  <si>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</si>
  <si>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</si>
  <si>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</si>
  <si>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</si>
  <si>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</si>
  <si>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</si>
  <si>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</si>
  <si>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</si>
  <si>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</si>
  <si>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</si>
  <si>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</si>
  <si>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</si>
  <si>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</si>
  <si>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</si>
  <si>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</si>
  <si>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</si>
  <si>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</si>
  <si>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</si>
  <si>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</si>
  <si>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</si>
  <si>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</si>
  <si>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</si>
  <si>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</si>
  <si>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</si>
  <si>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</si>
  <si>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</si>
  <si>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</si>
  <si>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</si>
  <si>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</si>
  <si>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</si>
  <si>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</si>
  <si>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</si>
  <si>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</si>
  <si>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</si>
  <si>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</si>
  <si>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</si>
  <si>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</si>
  <si>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</si>
  <si>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</si>
  <si>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</si>
  <si>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</si>
  <si>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</si>
  <si>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</si>
  <si>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</si>
  <si>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</si>
  <si>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</si>
  <si>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</si>
  <si>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</si>
  <si>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</si>
  <si>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</si>
  <si>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</si>
  <si>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</si>
  <si>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</si>
  <si>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</si>
  <si>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</si>
  <si>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</si>
  <si>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</si>
  <si>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</si>
  <si>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</si>
  <si>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</si>
  <si>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</si>
  <si>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</si>
  <si>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</si>
  <si>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</si>
  <si>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</si>
  <si>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44409B4ConvencionalIluminação públicaIluminação pública – B4bNão se aplicaNão se aplicaNão se aplica</t>
  </si>
  <si>
    <t>44440B4ConvencionalIluminação públicaIluminação pública – B4bNão se aplicaNão se aplicaNão se aplica</t>
  </si>
  <si>
    <t>44470B4ConvencionalIluminação públicaIluminação pública – B4bNão se aplicaNão se aplicaNão se aplica</t>
  </si>
  <si>
    <t>44501B4ConvencionalIluminação públicaIluminação pública – B4bNão se aplicaNão se aplicaNão se aplica</t>
  </si>
  <si>
    <t>44531B4ConvencionalIluminação públicaIluminação pública – B4bNão se aplicaNão se aplicaNão se aplica</t>
  </si>
  <si>
    <t>44562B4ConvencionalIluminação públicaIluminação pública – B4bNão se aplicaNão se aplicaNão se aplica</t>
  </si>
  <si>
    <t>44593B4ConvencionalIluminação públicaIluminação pública – B4bNão se aplicaNão se aplicaNão se aplica</t>
  </si>
  <si>
    <t>44621B4ConvencionalIluminação públicaIluminação pública – B4bNão se aplicaNão se aplicaNão se aplica</t>
  </si>
  <si>
    <t>44652B4ConvencionalIluminação públicaIluminação pública – B4bNão se aplicaNão se aplicaNão se aplica</t>
  </si>
  <si>
    <t>44682B4ConvencionalIluminação públicaIluminação pública – B4bNão se aplicaNão se aplicaNão se aplica</t>
  </si>
  <si>
    <t>44713B4ConvencionalIluminação públicaIluminação pública – B4bNão se aplicaNão se aplicaNão se aplica</t>
  </si>
  <si>
    <t>44743B4ConvencionalIluminação públicaIluminação pública – B4bNão se aplicaNão se aplicaNão se aplica</t>
  </si>
  <si>
    <t>CHAVE TE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</si>
  <si>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</si>
  <si>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</si>
  <si>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</si>
  <si>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</si>
  <si>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</si>
  <si>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</si>
  <si>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</si>
  <si>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</si>
  <si>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</si>
  <si>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</si>
  <si>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</si>
  <si>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</si>
  <si>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</si>
  <si>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</si>
  <si>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</si>
  <si>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</si>
  <si>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</si>
  <si>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</si>
  <si>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</si>
  <si>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</si>
  <si>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</si>
  <si>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</si>
  <si>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</si>
  <si>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</si>
  <si>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</si>
  <si>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</si>
  <si>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</si>
  <si>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</si>
  <si>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</si>
  <si>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</si>
  <si>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</si>
  <si>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</si>
  <si>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</si>
  <si>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</si>
  <si>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</si>
  <si>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</si>
  <si>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</si>
  <si>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</si>
  <si>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</si>
  <si>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44743B1Energia horáriaResidencialResidencialNão se aplicaNão se aplicaFora ponta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</si>
  <si>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</si>
  <si>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</si>
  <si>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</si>
  <si>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</si>
  <si>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</si>
  <si>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</si>
  <si>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</si>
  <si>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</si>
  <si>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</si>
  <si>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</si>
  <si>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</si>
  <si>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44743B1Energia horáriaResidencialResidencialNão se aplicaNão se aplicaIntermediário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</si>
  <si>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</si>
  <si>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</si>
  <si>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</si>
  <si>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</si>
  <si>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</si>
  <si>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</si>
  <si>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</si>
  <si>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</si>
  <si>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</si>
  <si>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</si>
  <si>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</si>
  <si>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44743B1Energia horáriaResidencialResidencialNão se aplicaNão se aplicaPonta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</si>
  <si>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</si>
  <si>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</si>
  <si>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</si>
  <si>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</si>
  <si>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</si>
  <si>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</si>
  <si>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</si>
  <si>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</si>
  <si>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</si>
  <si>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</si>
  <si>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</si>
  <si>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</si>
  <si>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</si>
  <si>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</si>
  <si>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</si>
  <si>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</si>
  <si>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</si>
  <si>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</si>
  <si>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</si>
  <si>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</si>
  <si>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</si>
  <si>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</si>
  <si>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</si>
  <si>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</si>
  <si>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</si>
  <si>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</si>
  <si>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</si>
  <si>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</si>
  <si>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</si>
  <si>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</si>
  <si>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</si>
  <si>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</si>
  <si>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</si>
  <si>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</si>
  <si>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</si>
  <si>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</si>
  <si>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</si>
  <si>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</si>
  <si>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</si>
  <si>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</si>
  <si>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</si>
  <si>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</si>
  <si>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</si>
  <si>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</si>
  <si>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</si>
  <si>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</si>
  <si>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</si>
  <si>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</si>
  <si>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</si>
  <si>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</si>
  <si>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</si>
  <si>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</si>
  <si>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</si>
  <si>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</si>
  <si>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</si>
  <si>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</si>
  <si>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</si>
  <si>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</si>
  <si>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</si>
  <si>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</si>
  <si>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</si>
  <si>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</si>
  <si>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</si>
  <si>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</si>
  <si>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</si>
  <si>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</si>
  <si>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</si>
  <si>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</si>
  <si>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</si>
  <si>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</si>
  <si>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</si>
  <si>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</si>
  <si>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</si>
  <si>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</si>
  <si>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</si>
  <si>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</si>
  <si>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</si>
  <si>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</si>
  <si>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</si>
  <si>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</si>
  <si>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</si>
  <si>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</si>
  <si>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</si>
  <si>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</si>
  <si>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</si>
  <si>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</si>
  <si>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</si>
  <si>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</si>
  <si>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</si>
  <si>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</si>
  <si>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</si>
  <si>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</si>
  <si>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</si>
  <si>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</si>
  <si>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</si>
  <si>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</si>
  <si>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</si>
  <si>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</si>
  <si>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</si>
  <si>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</si>
  <si>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</si>
  <si>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</si>
  <si>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</si>
  <si>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</si>
  <si>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</si>
  <si>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</si>
  <si>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</si>
  <si>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</si>
  <si>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</si>
  <si>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</si>
  <si>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</si>
  <si>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</si>
  <si>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</si>
  <si>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</si>
  <si>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</si>
  <si>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</si>
  <si>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</si>
  <si>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</si>
  <si>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</si>
  <si>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</si>
  <si>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44409B4Energia convencionalIluminação públicaIluminação pública – B4bNão se aplicaNão se aplicaNão se aplica</t>
  </si>
  <si>
    <t>44440B4Energia convencionalIluminação públicaIluminação pública – B4bNão se aplicaNão se aplicaNão se aplica</t>
  </si>
  <si>
    <t>44470B4Energia convencionalIluminação públicaIluminação pública – B4bNão se aplicaNão se aplicaNão se aplica</t>
  </si>
  <si>
    <t>44501B4Energia convencionalIluminação públicaIluminação pública – B4bNão se aplicaNão se aplicaNão se aplica</t>
  </si>
  <si>
    <t>44531B4Energia convencionalIluminação públicaIluminação pública – B4bNão se aplicaNão se aplicaNão se aplica</t>
  </si>
  <si>
    <t>44562B4Energia convencionalIluminação públicaIluminação pública – B4bNão se aplicaNão se aplicaNão se aplica</t>
  </si>
  <si>
    <t>44593B4Energia convencionalIluminação públicaIluminação pública – B4bNão se aplicaNão se aplicaNão se aplica</t>
  </si>
  <si>
    <t>44621B4Energia convencionalIluminação públicaIluminação pública – B4bNão se aplicaNão se aplicaNão se aplica</t>
  </si>
  <si>
    <t>44652B4Energia convencionalIluminação públicaIluminação pública – B4bNão se aplicaNão se aplicaNão se aplica</t>
  </si>
  <si>
    <t>44682B4Energia convencionalIluminação públicaIluminação pública – B4bNão se aplicaNão se aplicaNão se aplica</t>
  </si>
  <si>
    <t>44713B4Energia convencionalIluminação públicaIluminação pública – B4bNão se aplicaNão se aplicaNão se aplica</t>
  </si>
  <si>
    <t>44743B4Energia convencionalIluminação públicaIluminação pública – B4bNão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</si>
  <si>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</si>
  <si>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</si>
  <si>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</si>
  <si>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</si>
  <si>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</si>
  <si>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</si>
  <si>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</si>
  <si>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</si>
  <si>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</si>
  <si>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</si>
  <si>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</si>
  <si>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</si>
  <si>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</si>
  <si>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</si>
  <si>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</si>
  <si>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</si>
  <si>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</si>
  <si>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</si>
  <si>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</si>
  <si>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</si>
  <si>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</si>
  <si>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</si>
  <si>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</si>
  <si>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</si>
  <si>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</si>
  <si>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</si>
  <si>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</si>
  <si>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</si>
  <si>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</si>
  <si>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</si>
  <si>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</si>
  <si>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</si>
  <si>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</si>
  <si>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</si>
  <si>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</si>
  <si>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</si>
  <si>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</si>
  <si>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</si>
  <si>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</si>
  <si>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</si>
  <si>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</si>
  <si>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</si>
  <si>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</si>
  <si>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</si>
  <si>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</si>
  <si>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</si>
  <si>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</si>
  <si>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</si>
  <si>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</si>
  <si>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</si>
  <si>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</si>
  <si>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</si>
  <si>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</si>
  <si>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</si>
  <si>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</si>
  <si>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</si>
  <si>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</si>
  <si>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</si>
  <si>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</si>
  <si>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</si>
  <si>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</si>
  <si>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</si>
  <si>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</si>
  <si>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</si>
  <si>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</si>
  <si>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</si>
  <si>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</si>
  <si>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</si>
  <si>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</si>
  <si>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</si>
  <si>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</si>
  <si>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</si>
  <si>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</si>
  <si>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</si>
  <si>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</si>
  <si>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</si>
  <si>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</si>
  <si>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</si>
  <si>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</si>
  <si>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</si>
  <si>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</si>
  <si>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</si>
  <si>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</si>
  <si>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</si>
  <si>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</si>
  <si>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</si>
  <si>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</si>
  <si>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</si>
  <si>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</si>
  <si>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</si>
  <si>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</si>
  <si>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</si>
  <si>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</si>
  <si>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</si>
  <si>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</si>
  <si>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</si>
  <si>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</si>
  <si>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</si>
  <si>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</si>
  <si>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</si>
  <si>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</si>
  <si>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2.924, DE 24 DE AGOSTO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</si>
  <si>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</si>
  <si>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</si>
  <si>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</si>
  <si>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</si>
  <si>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</si>
  <si>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</si>
  <si>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</si>
  <si>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</si>
  <si>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</si>
  <si>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</si>
  <si>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</si>
  <si>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</si>
  <si>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</si>
  <si>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</si>
  <si>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</si>
  <si>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</si>
  <si>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</si>
  <si>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</si>
  <si>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</si>
  <si>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</si>
  <si>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</si>
  <si>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</si>
  <si>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</si>
  <si>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</si>
  <si>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</si>
  <si>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</si>
  <si>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</si>
  <si>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</si>
  <si>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</si>
  <si>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</si>
  <si>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</si>
  <si>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</si>
  <si>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</si>
  <si>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</si>
  <si>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</si>
  <si>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</si>
  <si>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</si>
  <si>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</si>
  <si>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</si>
  <si>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</si>
  <si>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</si>
  <si>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</si>
  <si>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</si>
  <si>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</si>
  <si>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</si>
  <si>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</si>
  <si>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</si>
  <si>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</si>
  <si>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</si>
  <si>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</si>
  <si>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</si>
  <si>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</si>
  <si>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</si>
  <si>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</si>
  <si>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</si>
  <si>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</si>
  <si>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</si>
  <si>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</si>
  <si>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</si>
  <si>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</si>
  <si>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</si>
  <si>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</si>
  <si>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</si>
  <si>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</si>
  <si>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</si>
  <si>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</si>
  <si>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Planilha CUSTO</t>
  </si>
  <si>
    <t>Planilha Custo</t>
  </si>
  <si>
    <t xml:space="preserve">Branca </t>
  </si>
  <si>
    <t xml:space="preserve">Convencional 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</si>
  <si>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</si>
  <si>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</si>
  <si>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</si>
  <si>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</si>
  <si>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</si>
  <si>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</si>
  <si>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</si>
  <si>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</si>
  <si>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</si>
  <si>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</si>
  <si>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</si>
  <si>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</si>
  <si>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</si>
  <si>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</si>
  <si>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</si>
  <si>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</si>
  <si>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</si>
  <si>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</si>
  <si>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</si>
  <si>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</si>
  <si>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</si>
  <si>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</si>
  <si>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</si>
  <si>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</si>
  <si>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</si>
  <si>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</si>
  <si>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</si>
  <si>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</si>
  <si>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</si>
  <si>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</si>
  <si>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</si>
  <si>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ÁGUA, ESGOTO E SANEAMENTO</t>
  </si>
  <si>
    <t>SUBSIDIO BAIXA RENDA</t>
  </si>
  <si>
    <t>SUBSIDIO RURAL</t>
  </si>
  <si>
    <t>SUBSIDIO IRRIGANTE/AQUICULTOR</t>
  </si>
  <si>
    <t>R$ (TV)</t>
  </si>
  <si>
    <t>R$ (TN)</t>
  </si>
  <si>
    <t>SUBSIDIO GERAÇÃO FONTE INCENTIVADA</t>
  </si>
  <si>
    <t>SUBSIDIO DISTRIBUIÇÃO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</si>
  <si>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</si>
  <si>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</si>
  <si>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</si>
  <si>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</si>
  <si>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</si>
  <si>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</si>
  <si>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</si>
  <si>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CUSTOA4</t>
  </si>
  <si>
    <t>2021</t>
  </si>
  <si>
    <t>Verde1Serviço públicoÁgua, esgoto e saneamentoPlanilha CUSTOA4</t>
  </si>
  <si>
    <t>Convencional 1Serviço públicoÁgua, esgoto e saneamentoPlanilha CUSTOA4</t>
  </si>
  <si>
    <t>Convencional1Serviço públicoÁgua, esgoto e saneamentoPlanilha CUSTOB3</t>
  </si>
  <si>
    <t>Branca1Serviço públicoÁgua, esgoto e saneamentoPlanilha CUSTOB3</t>
  </si>
  <si>
    <t>Convencional1RuralCooperativa de eletrificação ruralPlanilha CUSTOB2</t>
  </si>
  <si>
    <t>Branca 1RuralCooperativa de eletrificação ruralPlanilha CUSTOB2</t>
  </si>
  <si>
    <t>1RuralNão se aplicaPlanilha CUSTOB2</t>
  </si>
  <si>
    <t>Azul1RuralNão se aplicaPlanilha CustoA4</t>
  </si>
  <si>
    <t>Verde1RuralNão se aplicaPlanilha CustoA4</t>
  </si>
  <si>
    <t>Convencional1RuralNão se aplicaPlanilha CustoA4</t>
  </si>
  <si>
    <t>Convencional1RuralNão se aplicaRuralB2</t>
  </si>
  <si>
    <t>Branca1RuralNão se aplicaRuralB2</t>
  </si>
  <si>
    <t>Convencional1RuralServiço público de irrigação ruralPlanilha CUSTOB2</t>
  </si>
  <si>
    <t>Branca 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</si>
  <si>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</si>
  <si>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</si>
  <si>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</si>
  <si>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</si>
  <si>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</si>
  <si>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</si>
  <si>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</si>
  <si>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</si>
  <si>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</si>
  <si>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</si>
  <si>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</si>
  <si>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</si>
  <si>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</si>
  <si>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</si>
  <si>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</si>
  <si>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</si>
  <si>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</si>
  <si>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</si>
  <si>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</si>
  <si>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</si>
  <si>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</si>
  <si>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</si>
  <si>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</si>
  <si>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</si>
  <si>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</si>
  <si>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</si>
  <si>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</si>
  <si>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</si>
  <si>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</si>
  <si>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</si>
  <si>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</si>
  <si>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</si>
  <si>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</si>
  <si>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</si>
  <si>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</si>
  <si>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</si>
  <si>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</si>
  <si>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</si>
  <si>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</si>
  <si>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</si>
  <si>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</si>
  <si>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</si>
  <si>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</si>
  <si>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</si>
  <si>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</si>
  <si>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</si>
  <si>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</si>
  <si>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</si>
  <si>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</si>
  <si>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</si>
  <si>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</si>
  <si>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</si>
  <si>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</si>
  <si>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</si>
  <si>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</si>
  <si>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</si>
  <si>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</si>
  <si>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</si>
  <si>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</si>
  <si>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</si>
  <si>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</si>
  <si>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</si>
  <si>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</si>
  <si>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</si>
  <si>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</si>
  <si>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</si>
  <si>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</si>
  <si>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</si>
  <si>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</si>
  <si>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IdAgente</t>
  </si>
  <si>
    <t>Ano</t>
  </si>
  <si>
    <t>MERCADO Forcel</t>
  </si>
  <si>
    <t>TARIFAS Forcel</t>
  </si>
  <si>
    <t>TARIFAS Adjacente (Copel-DIS)</t>
  </si>
  <si>
    <t>RECEITA Forcel</t>
  </si>
  <si>
    <t>RECEITA Adjacente (Copel-DIS)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</si>
  <si>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</si>
  <si>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</si>
  <si>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</si>
  <si>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</si>
  <si>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</si>
  <si>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</si>
  <si>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</si>
  <si>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</si>
  <si>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</si>
  <si>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CONTROLE</t>
  </si>
  <si>
    <t>TARIFAS TUSD</t>
  </si>
  <si>
    <t>TARIFAS TE</t>
  </si>
  <si>
    <t>TARIFAS TOTAIS</t>
  </si>
  <si>
    <t>TARIFA B1 Resid.</t>
  </si>
  <si>
    <t>B1 Convenc.</t>
  </si>
  <si>
    <t>Aplica Lei?</t>
  </si>
  <si>
    <t>Var. Controle TUSD</t>
  </si>
  <si>
    <t>Tarifa Distribuidora</t>
  </si>
  <si>
    <t>Tarifa Adjacente</t>
  </si>
  <si>
    <t>Nova Componente</t>
  </si>
  <si>
    <t>CodTar</t>
  </si>
  <si>
    <t>2060201001010000000000000004022025</t>
  </si>
  <si>
    <t>2060201001010000000000000002022025</t>
  </si>
  <si>
    <t>2060201001010000000000000001032035</t>
  </si>
  <si>
    <t>2060201001020000000000000001032035</t>
  </si>
  <si>
    <t>2060601001010000000000000001022025</t>
  </si>
  <si>
    <t>2060301001010000000000000001022025</t>
  </si>
  <si>
    <t>2060301001010000000000000004032035</t>
  </si>
  <si>
    <t>2060301001010000000000000002032035</t>
  </si>
  <si>
    <t>2060301001020000000000000004032035</t>
  </si>
  <si>
    <t>2060301001020000000000000002032035</t>
  </si>
  <si>
    <t>2130601001120000000000000001022025</t>
  </si>
  <si>
    <t>2130601001130000000000000001022025</t>
  </si>
  <si>
    <t>2080702002010000000000000004032035</t>
  </si>
  <si>
    <t>2080702002010000000000000003032035</t>
  </si>
  <si>
    <t>2080702002010000000000000002032035</t>
  </si>
  <si>
    <t>2080402002010000000000000001032035</t>
  </si>
  <si>
    <t>2080402006010000000000000001032035</t>
  </si>
  <si>
    <t>2081302002010000000000000001032035</t>
  </si>
  <si>
    <t>2081302006010000000000000001032035</t>
  </si>
  <si>
    <t>2090705001010000000000000004032035</t>
  </si>
  <si>
    <t>2090705001010000000000000003032035</t>
  </si>
  <si>
    <t>2090705001010000000000000002032035</t>
  </si>
  <si>
    <t>2100701001010000000000000004032035</t>
  </si>
  <si>
    <t>2100701001010000000000000003032035</t>
  </si>
  <si>
    <t>2100701001010000000000000002032035</t>
  </si>
  <si>
    <t>2100401001010000000000000001032035</t>
  </si>
  <si>
    <t>2101301001010000000000000001032035</t>
  </si>
  <si>
    <t>2110407041010000000000000001032035</t>
  </si>
  <si>
    <t>2110407042010000000000000001032035</t>
  </si>
  <si>
    <t>Var. Controle TE</t>
  </si>
  <si>
    <t>3060801001010000000000000004032035</t>
  </si>
  <si>
    <t>3060801001010000000000000002032035</t>
  </si>
  <si>
    <t>3060901001010000000000000001032035</t>
  </si>
  <si>
    <t>3080802002010000000000000004032035</t>
  </si>
  <si>
    <t>3080802002010000000000000003032035</t>
  </si>
  <si>
    <t>3080802002010000000000000002032035</t>
  </si>
  <si>
    <t>3080902002010000000000000001032035</t>
  </si>
  <si>
    <t>3080902006010000000000000001032035</t>
  </si>
  <si>
    <t>3081402002010000000000000001032035</t>
  </si>
  <si>
    <t>3081402006010000000000000001032035</t>
  </si>
  <si>
    <t>3090805001010000000000000004032035</t>
  </si>
  <si>
    <t>3090805001010000000000000003032035</t>
  </si>
  <si>
    <t>3090805001010000000000000002032035</t>
  </si>
  <si>
    <t>3100801001010000000000000004032035</t>
  </si>
  <si>
    <t>3100801001010000000000000003032035</t>
  </si>
  <si>
    <t>3100801001010000000000000002032035</t>
  </si>
  <si>
    <t>3100901001010000000000000001032035</t>
  </si>
  <si>
    <t>3101401001010000000000000001032035</t>
  </si>
  <si>
    <t>3110907041010000000000000001032035</t>
  </si>
  <si>
    <t>3110907042010000000000000001032035</t>
  </si>
  <si>
    <t>SUBSIDIO LEI 14.299/22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</si>
  <si>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</si>
  <si>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</si>
  <si>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</si>
  <si>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</si>
  <si>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</si>
  <si>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</si>
  <si>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</si>
  <si>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</si>
  <si>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</si>
  <si>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</si>
  <si>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</si>
  <si>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</si>
  <si>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</si>
  <si>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</si>
  <si>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</si>
  <si>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</si>
  <si>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</si>
  <si>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</si>
  <si>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</si>
  <si>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</si>
  <si>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</si>
  <si>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</si>
  <si>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</si>
  <si>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</si>
  <si>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</si>
  <si>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</si>
  <si>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</si>
  <si>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</si>
  <si>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</si>
  <si>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</si>
  <si>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</si>
  <si>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</si>
  <si>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</si>
  <si>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</si>
  <si>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</si>
  <si>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</si>
  <si>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</si>
  <si>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</si>
  <si>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</si>
  <si>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</si>
  <si>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</si>
  <si>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</si>
  <si>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</si>
  <si>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</si>
  <si>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</si>
  <si>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</si>
  <si>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</si>
  <si>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</si>
  <si>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</si>
  <si>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</si>
  <si>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</si>
  <si>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</si>
  <si>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</si>
  <si>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</si>
  <si>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</si>
  <si>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</si>
  <si>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</si>
  <si>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</si>
  <si>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</si>
  <si>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</si>
  <si>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</si>
  <si>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</si>
  <si>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</si>
  <si>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</si>
  <si>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</si>
  <si>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</si>
  <si>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</si>
  <si>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</si>
  <si>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</si>
  <si>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</si>
  <si>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</si>
  <si>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</si>
  <si>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</si>
  <si>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</si>
  <si>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</si>
  <si>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</si>
  <si>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</si>
  <si>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</si>
  <si>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</si>
  <si>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</si>
  <si>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</si>
  <si>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</si>
  <si>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</si>
  <si>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</si>
  <si>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</si>
  <si>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</si>
  <si>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</si>
  <si>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</si>
  <si>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</si>
  <si>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</si>
  <si>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</si>
  <si>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</si>
  <si>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</si>
  <si>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</si>
  <si>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</si>
  <si>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</si>
  <si>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</si>
  <si>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</si>
  <si>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</si>
  <si>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</si>
  <si>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</si>
  <si>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</si>
  <si>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</si>
  <si>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</si>
  <si>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</si>
  <si>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</si>
  <si>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</si>
  <si>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</si>
  <si>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</si>
  <si>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</si>
  <si>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</si>
  <si>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</si>
  <si>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</si>
  <si>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</si>
  <si>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</si>
  <si>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</si>
  <si>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</si>
  <si>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</si>
  <si>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</si>
  <si>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</si>
  <si>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</si>
  <si>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</si>
  <si>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</si>
  <si>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</si>
  <si>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</si>
  <si>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</si>
  <si>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</si>
  <si>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</si>
  <si>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</si>
  <si>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</si>
  <si>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</si>
  <si>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</si>
  <si>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</si>
  <si>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</si>
  <si>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</si>
  <si>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</si>
  <si>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</si>
  <si>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</si>
  <si>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</si>
  <si>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</si>
  <si>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</si>
  <si>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</si>
  <si>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</si>
  <si>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</si>
  <si>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</si>
  <si>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</si>
  <si>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</si>
  <si>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</si>
  <si>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</si>
  <si>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</si>
  <si>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</si>
  <si>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</si>
  <si>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</si>
  <si>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</si>
  <si>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</si>
  <si>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</si>
  <si>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</si>
  <si>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</si>
  <si>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</si>
  <si>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</si>
  <si>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</si>
  <si>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</si>
  <si>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</si>
  <si>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</si>
  <si>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</si>
  <si>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</si>
  <si>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</si>
  <si>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</si>
  <si>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</si>
  <si>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</si>
  <si>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</si>
  <si>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</si>
  <si>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</si>
  <si>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</si>
  <si>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</si>
  <si>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</si>
  <si>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</si>
  <si>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</si>
  <si>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</si>
  <si>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</si>
  <si>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</si>
  <si>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</si>
  <si>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</si>
  <si>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</si>
  <si>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</si>
  <si>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</si>
  <si>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</si>
  <si>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</si>
  <si>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</si>
  <si>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</si>
  <si>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</si>
  <si>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</si>
  <si>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</si>
  <si>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</si>
  <si>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</si>
  <si>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</si>
  <si>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</si>
  <si>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</si>
  <si>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</si>
  <si>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</si>
  <si>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</si>
  <si>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</si>
  <si>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</si>
  <si>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</si>
  <si>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</si>
  <si>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</si>
  <si>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</si>
  <si>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</si>
  <si>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</si>
  <si>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</si>
  <si>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</si>
  <si>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</si>
  <si>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</si>
  <si>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</si>
  <si>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</si>
  <si>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</si>
  <si>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</si>
  <si>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</si>
  <si>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</si>
  <si>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</si>
  <si>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</si>
  <si>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</si>
  <si>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</si>
  <si>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</si>
  <si>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</si>
  <si>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</si>
  <si>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</si>
  <si>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</si>
  <si>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</si>
  <si>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</si>
  <si>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</si>
  <si>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</si>
  <si>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</si>
  <si>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</si>
  <si>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</si>
  <si>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</si>
  <si>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</si>
  <si>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</si>
  <si>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</si>
  <si>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</si>
  <si>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</si>
  <si>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</si>
  <si>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</si>
  <si>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</si>
  <si>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</si>
  <si>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</si>
  <si>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</si>
  <si>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</si>
  <si>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</si>
  <si>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</si>
  <si>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</si>
  <si>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</si>
  <si>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</si>
  <si>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</si>
  <si>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</si>
  <si>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</si>
  <si>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</si>
  <si>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</si>
  <si>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</si>
  <si>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</si>
  <si>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</si>
  <si>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</si>
  <si>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</si>
  <si>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</si>
  <si>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</si>
  <si>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</si>
  <si>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</si>
  <si>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</si>
  <si>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</si>
  <si>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</si>
  <si>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</si>
  <si>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</si>
  <si>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</si>
  <si>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</si>
  <si>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</si>
  <si>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</si>
  <si>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</si>
  <si>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</si>
  <si>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</si>
  <si>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</si>
  <si>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</si>
  <si>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</si>
  <si>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</si>
  <si>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</si>
  <si>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</si>
  <si>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</si>
  <si>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</si>
  <si>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</si>
  <si>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</si>
  <si>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</si>
  <si>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</si>
  <si>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</si>
  <si>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</si>
  <si>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</si>
  <si>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</si>
  <si>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</si>
  <si>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</si>
  <si>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</si>
  <si>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</si>
  <si>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</si>
  <si>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</si>
  <si>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</si>
  <si>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</si>
  <si>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</si>
  <si>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</si>
  <si>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</si>
  <si>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</si>
  <si>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</si>
  <si>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</si>
  <si>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</si>
  <si>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</si>
  <si>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</si>
  <si>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</si>
  <si>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</si>
  <si>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</si>
  <si>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</si>
  <si>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</si>
  <si>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</si>
  <si>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</si>
  <si>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</si>
  <si>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</si>
  <si>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</si>
  <si>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</si>
  <si>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</si>
  <si>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</si>
  <si>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</si>
  <si>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Energia suprimento concessionária</t>
  </si>
  <si>
    <t>&lt;500GWh</t>
  </si>
  <si>
    <t>Energia suprimento permissionária</t>
  </si>
  <si>
    <t>GERDAU AÇOS LONGOS - COPEL</t>
  </si>
  <si>
    <t>LINDE GASES</t>
  </si>
  <si>
    <t>PERÓXIDOS DO BRASIL</t>
  </si>
  <si>
    <t>WHB FUNDIÇÃO</t>
  </si>
  <si>
    <t>Distribuição</t>
  </si>
  <si>
    <t>Cocel</t>
  </si>
  <si>
    <t>ESS</t>
  </si>
  <si>
    <t>IMP IMPORTACAO ANDE</t>
  </si>
  <si>
    <t>NOVO GERADOR</t>
  </si>
  <si>
    <t>PCH ARTURO ANDREOLI</t>
  </si>
  <si>
    <t>PCH CANHADAO</t>
  </si>
  <si>
    <t>PCH CANTU 2</t>
  </si>
  <si>
    <t>PCH CAVERNOSO II</t>
  </si>
  <si>
    <t>PCH CONFLUENCIA</t>
  </si>
  <si>
    <t>PCH FORQUILHA</t>
  </si>
  <si>
    <t>PCH LUDESA</t>
  </si>
  <si>
    <t>PCH MACACOS</t>
  </si>
  <si>
    <t>PCH NOVO HORIZONTE</t>
  </si>
  <si>
    <t>PCH SANTA LUZIA ALTO</t>
  </si>
  <si>
    <t>PCH VICTOR BAPTISTA ADAMI</t>
  </si>
  <si>
    <t>UHE FUNDAO</t>
  </si>
  <si>
    <t>UHE SANTA BRANCA 35290</t>
  </si>
  <si>
    <t>UHE SANTA CLARA 28361</t>
  </si>
  <si>
    <t>UHE TIBAGI MONTANTE</t>
  </si>
  <si>
    <t>UTE ALTO ALEGRE - UJU</t>
  </si>
  <si>
    <t>UTE BIO COOPCANA</t>
  </si>
  <si>
    <t>UTE FIGUEIRA</t>
  </si>
  <si>
    <t>UTE SANTA TEREZINHA</t>
  </si>
  <si>
    <t>UTE SANTA TEREZINHA PARANACITY</t>
  </si>
  <si>
    <t>UTE UFL</t>
  </si>
  <si>
    <t>UTE USACIGA</t>
  </si>
  <si>
    <t>UTE USI</t>
  </si>
  <si>
    <t>UTE USI BIO</t>
  </si>
  <si>
    <t>Castro - DIS</t>
  </si>
  <si>
    <t>Celesc-DIS</t>
  </si>
  <si>
    <t>Ceral DIS</t>
  </si>
  <si>
    <t>CPFL Santa Cruz</t>
  </si>
  <si>
    <t>Forcel</t>
  </si>
  <si>
    <t>Tarifa Original</t>
  </si>
  <si>
    <t>Mudou?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</si>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</sst>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;[Red]#,##0.00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65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 indent="1"/>
    </xf>
    <xf numFmtId="40" fontId="3" fillId="0" borderId="1" xfId="0" quotePrefix="1" applyNumberFormat="1" applyFont="1" applyBorder="1" applyAlignment="1">
      <alignment horizontal="left" vertical="center" indent="1"/>
    </xf>
    <xf numFmtId="0" fontId="3" fillId="0" borderId="1" xfId="0" applyFont="1" applyBorder="1"/>
    <xf numFmtId="40" fontId="3" fillId="0" borderId="1" xfId="0" applyNumberFormat="1" applyFont="1" applyBorder="1"/>
    <xf numFmtId="40" fontId="3" fillId="0" borderId="1" xfId="0" applyNumberFormat="1" applyFont="1" applyBorder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8" xfId="0" applyNumberFormat="1" applyFont="1" applyBorder="1" applyAlignment="1">
      <alignment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3" xfId="0" applyNumberFormat="1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6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0" fontId="6" fillId="0" borderId="0" xfId="0" applyFont="1"/>
    <xf numFmtId="40" fontId="0" fillId="0" borderId="0" xfId="0" applyNumberFormat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64" fontId="0" fillId="0" borderId="18" xfId="1" applyFont="1" applyBorder="1"/>
    <xf numFmtId="164" fontId="0" fillId="0" borderId="22" xfId="1" applyFont="1" applyBorder="1"/>
    <xf numFmtId="164" fontId="0" fillId="0" borderId="13" xfId="1" applyFont="1" applyBorder="1"/>
    <xf numFmtId="164" fontId="0" fillId="0" borderId="23" xfId="1" applyFont="1" applyBorder="1"/>
    <xf numFmtId="164" fontId="0" fillId="0" borderId="20" xfId="1" applyFont="1" applyBorder="1"/>
    <xf numFmtId="164" fontId="0" fillId="0" borderId="24" xfId="1" applyFont="1" applyBorder="1"/>
    <xf numFmtId="0" fontId="0" fillId="0" borderId="25" xfId="0" applyBorder="1"/>
    <xf numFmtId="164" fontId="0" fillId="0" borderId="10" xfId="1" applyFont="1" applyBorder="1"/>
    <xf numFmtId="164" fontId="0" fillId="0" borderId="26" xfId="1" applyFont="1" applyBorder="1"/>
    <xf numFmtId="0" fontId="0" fillId="0" borderId="27" xfId="0" applyBorder="1"/>
    <xf numFmtId="0" fontId="0" fillId="0" borderId="21" xfId="0" applyBorder="1"/>
    <xf numFmtId="0" fontId="0" fillId="0" borderId="28" xfId="0" applyBorder="1"/>
    <xf numFmtId="0" fontId="0" fillId="0" borderId="29" xfId="0" applyBorder="1"/>
    <xf numFmtId="164" fontId="0" fillId="0" borderId="28" xfId="1" applyFont="1" applyBorder="1"/>
    <xf numFmtId="164" fontId="0" fillId="0" borderId="25" xfId="1" applyFont="1" applyBorder="1"/>
    <xf numFmtId="0" fontId="0" fillId="0" borderId="30" xfId="0" applyBorder="1"/>
    <xf numFmtId="0" fontId="3" fillId="0" borderId="0" xfId="0" quotePrefix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0" fontId="0" fillId="0" borderId="0" xfId="0" applyAlignment="1">
      <alignment horizontal="left" indent="7"/>
    </xf>
    <xf numFmtId="14" fontId="0" fillId="0" borderId="0" xfId="0" applyNumberFormat="1" applyAlignment="1">
      <alignment horizontal="left" indent="8"/>
    </xf>
    <xf numFmtId="167" fontId="0" fillId="0" borderId="0" xfId="0" applyNumberFormat="1"/>
    <xf numFmtId="165" fontId="3" fillId="0" borderId="0" xfId="0" applyNumberFormat="1" applyFont="1"/>
    <xf numFmtId="10" fontId="3" fillId="0" borderId="0" xfId="0" applyNumberFormat="1" applyFont="1"/>
    <xf numFmtId="2" fontId="9" fillId="3" borderId="31" xfId="0" applyNumberFormat="1" applyFont="1" applyFill="1" applyBorder="1" applyAlignment="1">
      <alignment horizontal="center" vertical="center"/>
    </xf>
    <xf numFmtId="0" fontId="9" fillId="3" borderId="31" xfId="0" applyFont="1" applyFill="1" applyBorder="1" applyAlignment="1">
      <alignment horizontal="left" vertical="center" indent="1"/>
    </xf>
    <xf numFmtId="4" fontId="9" fillId="4" borderId="0" xfId="0" applyNumberFormat="1" applyFont="1" applyFill="1" applyAlignment="1">
      <alignment vertical="center"/>
    </xf>
    <xf numFmtId="0" fontId="9" fillId="4" borderId="0" xfId="0" applyFont="1" applyFill="1" applyAlignment="1">
      <alignment horizontal="left" vertical="center" indent="1"/>
    </xf>
    <xf numFmtId="10" fontId="9" fillId="3" borderId="0" xfId="0" applyNumberFormat="1" applyFont="1" applyFill="1" applyAlignment="1">
      <alignment vertical="center"/>
    </xf>
    <xf numFmtId="0" fontId="9" fillId="3" borderId="0" xfId="0" applyFont="1" applyFill="1" applyAlignment="1">
      <alignment horizontal="left" vertical="center" indent="1"/>
    </xf>
    <xf numFmtId="10" fontId="9" fillId="4" borderId="0" xfId="0" applyNumberFormat="1" applyFont="1" applyFill="1" applyAlignment="1">
      <alignment vertical="center"/>
    </xf>
    <xf numFmtId="0" fontId="10" fillId="5" borderId="32" xfId="0" applyFont="1" applyFill="1" applyBorder="1" applyAlignment="1">
      <alignment horizontal="center" vertical="center"/>
    </xf>
    <xf numFmtId="40" fontId="9" fillId="3" borderId="31" xfId="0" applyNumberFormat="1" applyFont="1" applyFill="1" applyBorder="1" applyAlignment="1">
      <alignment horizontal="center" vertical="center"/>
    </xf>
    <xf numFmtId="168" fontId="9" fillId="4" borderId="0" xfId="0" applyNumberFormat="1" applyFont="1" applyFill="1" applyAlignment="1">
      <alignment horizontal="center" vertical="center"/>
    </xf>
    <xf numFmtId="4" fontId="12" fillId="6" borderId="34" xfId="0" applyNumberFormat="1" applyFont="1" applyFill="1" applyBorder="1"/>
    <xf numFmtId="4" fontId="12" fillId="6" borderId="12" xfId="0" applyNumberFormat="1" applyFont="1" applyFill="1" applyBorder="1"/>
    <xf numFmtId="4" fontId="12" fillId="6" borderId="35" xfId="0" applyNumberFormat="1" applyFont="1" applyFill="1" applyBorder="1"/>
    <xf numFmtId="4" fontId="12" fillId="6" borderId="6" xfId="0" applyNumberFormat="1" applyFont="1" applyFill="1" applyBorder="1"/>
    <xf numFmtId="4" fontId="12" fillId="6" borderId="13" xfId="0" applyNumberFormat="1" applyFont="1" applyFill="1" applyBorder="1"/>
    <xf numFmtId="4" fontId="12" fillId="6" borderId="5" xfId="0" applyNumberFormat="1" applyFont="1" applyFill="1" applyBorder="1"/>
    <xf numFmtId="4" fontId="12" fillId="6" borderId="36" xfId="0" applyNumberFormat="1" applyFont="1" applyFill="1" applyBorder="1"/>
    <xf numFmtId="4" fontId="12" fillId="6" borderId="10" xfId="0" applyNumberFormat="1" applyFont="1" applyFill="1" applyBorder="1"/>
    <xf numFmtId="4" fontId="12" fillId="6" borderId="33" xfId="0" applyNumberFormat="1" applyFont="1" applyFill="1" applyBorder="1"/>
    <xf numFmtId="4" fontId="12" fillId="6" borderId="12" xfId="0" applyNumberFormat="1" applyFont="1" applyFill="1" applyBorder="1" applyAlignment="1">
      <alignment horizontal="center"/>
    </xf>
    <xf numFmtId="4" fontId="12" fillId="6" borderId="35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7" xfId="0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3" xfId="0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4" fontId="12" fillId="6" borderId="13" xfId="0" applyNumberFormat="1" applyFont="1" applyFill="1" applyBorder="1" applyAlignment="1">
      <alignment horizontal="center"/>
    </xf>
    <xf numFmtId="4" fontId="12" fillId="6" borderId="5" xfId="0" applyNumberFormat="1" applyFont="1" applyFill="1" applyBorder="1" applyAlignment="1">
      <alignment horizontal="center"/>
    </xf>
    <xf numFmtId="4" fontId="12" fillId="6" borderId="12" xfId="0" applyNumberFormat="1" applyFont="1" applyFill="1" applyBorder="1" applyAlignment="1">
      <alignment horizontal="center"/>
    </xf>
    <xf numFmtId="4" fontId="12" fillId="6" borderId="35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074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numFmt numFmtId="167" formatCode="0.00%_);[Red]\(0.00%\)"/>
    </dxf>
    <dxf>
      <numFmt numFmtId="167" formatCode="0.00%_);[Red]\(0.00%\)"/>
    </dxf>
    <dxf>
      <numFmt numFmtId="169" formatCode="#,##0.00_);[Red]\(#,##0.00\)"/>
    </dxf>
    <dxf>
      <numFmt numFmtId="169" formatCode="#,##0.00_);[Red]\(#,##0.00\)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5.9821444350533686E-5</c:v>
                </c:pt>
                <c:pt idx="2">
                  <c:v>-3.013232526648191E-3</c:v>
                </c:pt>
                <c:pt idx="3">
                  <c:v>0</c:v>
                </c:pt>
                <c:pt idx="4">
                  <c:v>0</c:v>
                </c:pt>
                <c:pt idx="5">
                  <c:v>0.1152179745564762</c:v>
                </c:pt>
                <c:pt idx="6">
                  <c:v>3.1773653877149088E-2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1.7921372389060559E-2</c:v>
                </c:pt>
                <c:pt idx="13">
                  <c:v>0</c:v>
                </c:pt>
                <c:pt idx="14">
                  <c:v>0</c:v>
                </c:pt>
                <c:pt idx="15">
                  <c:v>2.0001127628596366E-2</c:v>
                </c:pt>
                <c:pt idx="16">
                  <c:v>-0.27406301047965492</c:v>
                </c:pt>
                <c:pt idx="17">
                  <c:v>0</c:v>
                </c:pt>
                <c:pt idx="18">
                  <c:v>-3.1640148265553686E-3</c:v>
                </c:pt>
                <c:pt idx="19">
                  <c:v>2.4627679226589991E-5</c:v>
                </c:pt>
                <c:pt idx="20">
                  <c:v>-1.2792996875211297E-3</c:v>
                </c:pt>
                <c:pt idx="21">
                  <c:v>-3.7020809633591767E-4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0-40F7-96B9-5A2C1C6F5A68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-7.0393039413836249E-7</c:v>
                </c:pt>
                <c:pt idx="2">
                  <c:v>-6.1937720912738972E-4</c:v>
                </c:pt>
                <c:pt idx="3">
                  <c:v>0</c:v>
                </c:pt>
                <c:pt idx="4">
                  <c:v>0</c:v>
                </c:pt>
                <c:pt idx="5">
                  <c:v>0.15221885744998212</c:v>
                </c:pt>
                <c:pt idx="6">
                  <c:v>4.5823242968998916E-2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1.8296043887055524E-2</c:v>
                </c:pt>
                <c:pt idx="13">
                  <c:v>0</c:v>
                </c:pt>
                <c:pt idx="14">
                  <c:v>0</c:v>
                </c:pt>
                <c:pt idx="15">
                  <c:v>1.0685933035077672E-2</c:v>
                </c:pt>
                <c:pt idx="16">
                  <c:v>-0.28079669783365402</c:v>
                </c:pt>
                <c:pt idx="17">
                  <c:v>0</c:v>
                </c:pt>
                <c:pt idx="18">
                  <c:v>-1.5832131072804959E-3</c:v>
                </c:pt>
                <c:pt idx="19">
                  <c:v>7.127855330476353E-6</c:v>
                </c:pt>
                <c:pt idx="20">
                  <c:v>-1.1565035271290909E-3</c:v>
                </c:pt>
                <c:pt idx="21">
                  <c:v>-3.7041359748563876E-4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0-40F7-96B9-5A2C1C6F5A68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-7.0393039413836249E-7</c:v>
                </c:pt>
                <c:pt idx="2">
                  <c:v>-6.1937720912738972E-4</c:v>
                </c:pt>
                <c:pt idx="3">
                  <c:v>0</c:v>
                </c:pt>
                <c:pt idx="4">
                  <c:v>0</c:v>
                </c:pt>
                <c:pt idx="5">
                  <c:v>0.15221885744998212</c:v>
                </c:pt>
                <c:pt idx="6">
                  <c:v>4.5823242968998916E-2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1.8296043887055524E-2</c:v>
                </c:pt>
                <c:pt idx="13">
                  <c:v>0</c:v>
                </c:pt>
                <c:pt idx="14">
                  <c:v>0</c:v>
                </c:pt>
                <c:pt idx="15">
                  <c:v>1.0685933035077672E-2</c:v>
                </c:pt>
                <c:pt idx="16">
                  <c:v>-0.28079669783365402</c:v>
                </c:pt>
                <c:pt idx="17">
                  <c:v>0</c:v>
                </c:pt>
                <c:pt idx="18">
                  <c:v>-1.5832131072804959E-3</c:v>
                </c:pt>
                <c:pt idx="19">
                  <c:v>7.127855330476353E-6</c:v>
                </c:pt>
                <c:pt idx="20">
                  <c:v>-1.1565035271290909E-3</c:v>
                </c:pt>
                <c:pt idx="21">
                  <c:v>-3.7041359748563876E-4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0-40F7-96B9-5A2C1C6F5A68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EDA0-40F7-96B9-5A2C1C6F5A68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EDA0-40F7-96B9-5A2C1C6F5A68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EDA0-40F7-96B9-5A2C1C6F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851544"/>
        <c:axId val="89682000"/>
      </c:radarChart>
      <c:catAx>
        <c:axId val="3258515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9682000"/>
        <c:crosses val="autoZero"/>
        <c:auto val="1"/>
        <c:lblAlgn val="ctr"/>
        <c:lblOffset val="100"/>
        <c:noMultiLvlLbl val="0"/>
      </c:catAx>
      <c:valAx>
        <c:axId val="89682000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32585154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1.9167687372870752E-4</c:v>
                </c:pt>
                <c:pt idx="1">
                  <c:v>7.8201904030887365E-2</c:v>
                </c:pt>
                <c:pt idx="2">
                  <c:v>0</c:v>
                </c:pt>
                <c:pt idx="3">
                  <c:v>0</c:v>
                </c:pt>
                <c:pt idx="4">
                  <c:v>-8.4143246949757652E-2</c:v>
                </c:pt>
                <c:pt idx="5">
                  <c:v>-8.2517339306918597E-2</c:v>
                </c:pt>
                <c:pt idx="6">
                  <c:v>1.69591384295379E-2</c:v>
                </c:pt>
                <c:pt idx="7">
                  <c:v>1.2287228688749228E-3</c:v>
                </c:pt>
                <c:pt idx="8">
                  <c:v>0</c:v>
                </c:pt>
                <c:pt idx="9">
                  <c:v>-0.1871209787434456</c:v>
                </c:pt>
                <c:pt idx="10">
                  <c:v>2.9991735433583934E-4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8-4E86-93FD-C8C8E272795E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#,##0.00%_);[Red]\(#,##0.00%\)</c:formatCode>
                <c:ptCount val="11"/>
                <c:pt idx="0">
                  <c:v>1.350505164118204E-4</c:v>
                </c:pt>
                <c:pt idx="1">
                  <c:v>7.9082775551782059E-2</c:v>
                </c:pt>
                <c:pt idx="2">
                  <c:v>0</c:v>
                </c:pt>
                <c:pt idx="3">
                  <c:v>0</c:v>
                </c:pt>
                <c:pt idx="4">
                  <c:v>-8.5364585944446181E-2</c:v>
                </c:pt>
                <c:pt idx="5">
                  <c:v>-8.789682559516418E-2</c:v>
                </c:pt>
                <c:pt idx="6">
                  <c:v>1.6998431046328838E-2</c:v>
                </c:pt>
                <c:pt idx="7">
                  <c:v>1.0526995546585826E-3</c:v>
                </c:pt>
                <c:pt idx="8">
                  <c:v>0</c:v>
                </c:pt>
                <c:pt idx="9">
                  <c:v>-0.18551091615100956</c:v>
                </c:pt>
                <c:pt idx="10">
                  <c:v>1.5554980923518355E-4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88-4E86-93FD-C8C8E272795E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#,##0.00%_);[Red]\(#,##0.00%\)</c:formatCode>
                <c:ptCount val="11"/>
                <c:pt idx="0">
                  <c:v>1.350505164118204E-4</c:v>
                </c:pt>
                <c:pt idx="1">
                  <c:v>7.9082775551782059E-2</c:v>
                </c:pt>
                <c:pt idx="2">
                  <c:v>0</c:v>
                </c:pt>
                <c:pt idx="3">
                  <c:v>0</c:v>
                </c:pt>
                <c:pt idx="4">
                  <c:v>-8.5364585944446181E-2</c:v>
                </c:pt>
                <c:pt idx="5">
                  <c:v>-8.789682559516418E-2</c:v>
                </c:pt>
                <c:pt idx="6">
                  <c:v>1.6998431046328838E-2</c:v>
                </c:pt>
                <c:pt idx="7">
                  <c:v>1.0526995546585826E-3</c:v>
                </c:pt>
                <c:pt idx="8">
                  <c:v>0</c:v>
                </c:pt>
                <c:pt idx="9">
                  <c:v>-0.18551091615100956</c:v>
                </c:pt>
                <c:pt idx="10">
                  <c:v>1.5554980923518355E-4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88-4E86-93FD-C8C8E272795E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4E88-4E86-93FD-C8C8E272795E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4E88-4E86-93FD-C8C8E272795E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4E88-4E86-93FD-C8C8E2727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49720"/>
        <c:axId val="1165646768"/>
      </c:radarChart>
      <c:catAx>
        <c:axId val="11656497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165646768"/>
        <c:crosses val="autoZero"/>
        <c:auto val="1"/>
        <c:lblAlgn val="ctr"/>
        <c:lblOffset val="100"/>
        <c:noMultiLvlLbl val="0"/>
      </c:catAx>
      <c:valAx>
        <c:axId val="1165646768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16564972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16</xdr:row>
      <xdr:rowOff>0</xdr:rowOff>
    </xdr:from>
    <xdr:to>
      <xdr:col>12</xdr:col>
      <xdr:colOff>228601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AC6F569-6051-18F3-1F5E-984833E28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16</xdr:row>
      <xdr:rowOff>0</xdr:rowOff>
    </xdr:from>
    <xdr:to>
      <xdr:col>11</xdr:col>
      <xdr:colOff>495301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AE6399A-8479-B824-940D-A5404449C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89.730322106479" createdVersion="5" refreshedVersion="8" minRefreshableVersion="3" recordCount="474" xr:uid="{7B86AB57-9B89-46CB-A97E-81F2BA6EEFA2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Azul"/>
        <s v="Verde"/>
        <s v="Branca"/>
        <s v="Convencional"/>
      </sharedItems>
    </cacheField>
    <cacheField name="Classe" numFmtId="0">
      <sharedItems count="8">
        <s v="Industrial"/>
        <s v="Comercial"/>
        <s v="Poder público"/>
        <s v="Serviço público"/>
        <s v="Residencial"/>
        <s v="Rural"/>
        <s v="Consumo próprio"/>
        <s v="Iluminação pública"/>
      </sharedItems>
    </cacheField>
    <cacheField name="Subclasse" numFmtId="0">
      <sharedItems count="10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Aquicultura"/>
        <s v="Iluminação pública – B4b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8-01T00:00:00" maxDate="2022-07-02T00:00:00" count="12"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</sharedItems>
    </cacheField>
    <cacheField name="D" numFmtId="40">
      <sharedItems containsSemiMixedTypes="0" containsString="0" containsNumber="1" containsInteger="1" minValue="0" maxValue="7588"/>
    </cacheField>
    <cacheField name="Daj" numFmtId="40">
      <sharedItems containsSemiMixedTypes="0" containsString="0" containsNumber="1" minValue="0" maxValue="3794"/>
    </cacheField>
    <cacheField name="TUSD_E" numFmtId="40">
      <sharedItems containsSemiMixedTypes="0" containsString="0" containsNumber="1" minValue="-0.35499999999999998" maxValue="3688.7570000000001"/>
    </cacheField>
    <cacheField name="TUSD_Eaj" numFmtId="40">
      <sharedItems containsSemiMixedTypes="0" containsString="0" containsNumber="1" minValue="-0.35499999999999998" maxValue="1844.3785"/>
    </cacheField>
    <cacheField name="TE_E" numFmtId="40">
      <sharedItems containsSemiMixedTypes="0" containsString="0" containsNumber="1" minValue="-0.35499999999999998" maxValue="980.88699999999994"/>
    </cacheField>
    <cacheField name="TE_Eaj" numFmtId="40">
      <sharedItems containsSemiMixedTypes="0" containsString="0" containsNumber="1" minValue="-0.35499999999999998" maxValue="980.88699999999994"/>
    </cacheField>
    <cacheField name="UC" numFmtId="40">
      <sharedItems containsSemiMixedTypes="0" containsString="0" containsNumber="1" containsInteger="1" minValue="0" maxValue="5700"/>
    </cacheField>
    <cacheField name="OPÇÃO" numFmtId="0">
      <sharedItems count="2">
        <s v="LIVRE"/>
        <s v="CATIVO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15"/>
    </cacheField>
    <cacheField name="CóD. AUX. TUSD R$/MWh" numFmtId="40">
      <sharedItems containsSemiMixedTypes="0" containsString="0" containsNumber="1" containsInteger="1" minValue="0" maxValue="68"/>
    </cacheField>
    <cacheField name="CóD. AUX. TE R$/MWh" numFmtId="40">
      <sharedItems containsSemiMixedTypes="0" containsString="0" containsNumber="1" containsInteger="1" minValue="0" maxValue="79"/>
    </cacheField>
    <cacheField name="TUSD (R$/kW)" numFmtId="40">
      <sharedItems containsSemiMixedTypes="0" containsString="0" containsNumber="1" minValue="0" maxValue="50.05"/>
    </cacheField>
    <cacheField name="TUSD (R$/MWh)" numFmtId="40">
      <sharedItems containsSemiMixedTypes="0" containsString="0" containsNumber="1" minValue="0" maxValue="1295.8499999999999"/>
    </cacheField>
    <cacheField name="TE (R$/MWh)" numFmtId="40">
      <sharedItems containsSemiMixedTypes="0" containsString="0" containsNumber="1" minValue="0" maxValue="434.95"/>
    </cacheField>
    <cacheField name="TUSD (R$/kW) NOVA" numFmtId="40">
      <sharedItems containsString="0" containsBlank="1" containsNumber="1" minValue="18.834852044119579" maxValue="54.868538138116463"/>
    </cacheField>
    <cacheField name="TUSD (R$/MWh) NOVA" numFmtId="40">
      <sharedItems containsString="0" containsBlank="1" containsNumber="1" minValue="107.04184246109106" maxValue="1438.8138130482339"/>
    </cacheField>
    <cacheField name="TE (R$/MWh) NOVA" numFmtId="40">
      <sharedItems containsString="0" containsBlank="1" containsNumber="1" minValue="72.670649597686321" maxValue="316.97983140624547"/>
    </cacheField>
    <cacheField name="RA0 ou RV - TUSD (kW)" numFmtId="40">
      <sharedItems containsSemiMixedTypes="0" containsString="0" containsNumber="1" minValue="0" maxValue="85034.95"/>
    </cacheField>
    <cacheField name="RA0 ou RV - TUSD (MWh)" numFmtId="40">
      <sharedItems containsSemiMixedTypes="0" containsString="0" containsNumber="1" minValue="-144.63409999999999" maxValue="399632.98154000001"/>
    </cacheField>
    <cacheField name="RA0 ou RV - TE (MWh)" numFmtId="40">
      <sharedItems containsSemiMixedTypes="0" containsString="0" containsNumber="1" minValue="-99.659149999999997" maxValue="275364.40750999999"/>
    </cacheField>
    <cacheField name="RA1 ou RRD - TUSD (kW)" numFmtId="40">
      <sharedItems containsSemiMixedTypes="0" containsString="0" containsNumber="1" minValue="0" maxValue="93221.646296659877"/>
    </cacheField>
    <cacheField name="RA1 ou RRD - TUSD (MWh)" numFmtId="40">
      <sharedItems containsSemiMixedTypes="0" containsString="0" containsNumber="1" minValue="-167.30940221938292" maxValue="462286.24680215173"/>
    </cacheField>
    <cacheField name="RA1 ou RRD - TE (MWh)" numFmtId="40">
      <sharedItems containsSemiMixedTypes="0" containsString="0" containsNumber="1" minValue="-73.708801734796126" maxValue="203661.98706264497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89.730403009256" createdVersion="5" refreshedVersion="8" minRefreshableVersion="3" recordCount="185" xr:uid="{EE0D48E7-FC59-4C94-8EC7-0858605BDBD2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3">
        <s v="Azul"/>
        <s v="Verde"/>
        <s v="Convencional"/>
      </sharedItems>
    </cacheField>
    <cacheField name="Classe" numFmtId="0">
      <sharedItems count="4">
        <s v="Industrial"/>
        <s v="Serviço público"/>
        <s v="Residencial"/>
        <s v="Rural"/>
      </sharedItems>
    </cacheField>
    <cacheField name="Subclasse" numFmtId="0">
      <sharedItems count="9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Aquicultura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1">
        <s v="Não se aplica"/>
      </sharedItems>
    </cacheField>
    <cacheField name="Posto" numFmtId="0">
      <sharedItems count="3">
        <s v="Fora ponta"/>
        <s v="Não se aplica"/>
        <s v="Ponta"/>
      </sharedItems>
    </cacheField>
    <cacheField name="AnoMes" numFmtId="14">
      <sharedItems containsSemiMixedTypes="0" containsNonDate="0" containsDate="1" containsString="0" minDate="2021-08-01T00:00:00" maxDate="2022-07-02T00:00:00" count="12"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</sharedItems>
    </cacheField>
    <cacheField name="D" numFmtId="40">
      <sharedItems containsSemiMixedTypes="0" containsString="0" containsNumber="1" containsInteger="1" minValue="0" maxValue="7588"/>
    </cacheField>
    <cacheField name="Daj" numFmtId="40">
      <sharedItems containsSemiMixedTypes="0" containsString="0" containsNumber="1" minValue="0" maxValue="3794"/>
    </cacheField>
    <cacheField name="TUSD_E" numFmtId="40">
      <sharedItems containsSemiMixedTypes="0" containsString="0" containsNumber="1" minValue="0" maxValue="3688.7570000000001"/>
    </cacheField>
    <cacheField name="TUSD_Eaj" numFmtId="40">
      <sharedItems containsSemiMixedTypes="0" containsString="0" containsNumber="1" minValue="0" maxValue="1844.3785"/>
    </cacheField>
    <cacheField name="TE_E" numFmtId="40">
      <sharedItems containsSemiMixedTypes="0" containsString="0" containsNumber="1" minValue="0" maxValue="846.42"/>
    </cacheField>
    <cacheField name="TE_Eaj" numFmtId="40">
      <sharedItems containsSemiMixedTypes="0" containsString="0" containsNumber="1" minValue="0" maxValue="846.42"/>
    </cacheField>
    <cacheField name="UC" numFmtId="40">
      <sharedItems containsSemiMixedTypes="0" containsString="0" containsNumber="1" containsInteger="1" minValue="0" maxValue="5673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15"/>
    </cacheField>
    <cacheField name="CóD. AUX. TUSD R$/MWh" numFmtId="0">
      <sharedItems containsSemiMixedTypes="0" containsString="0" containsNumber="1" containsInteger="1" minValue="0" maxValue="65"/>
    </cacheField>
    <cacheField name="CóD. AUX. TE R$/MWh" numFmtId="0">
      <sharedItems containsSemiMixedTypes="0" containsString="0" containsNumber="1" containsInteger="1" minValue="0" maxValue="79"/>
    </cacheField>
    <cacheField name="TUSD (R$/kW)" numFmtId="40">
      <sharedItems containsSemiMixedTypes="0" containsString="0" containsNumber="1" minValue="0" maxValue="50.05"/>
    </cacheField>
    <cacheField name="TUSD (R$/MWh)" numFmtId="40">
      <sharedItems containsSemiMixedTypes="0" containsString="0" containsNumber="1" minValue="0" maxValue="1295.8499999999999"/>
    </cacheField>
    <cacheField name="TE (R$/MWh)" numFmtId="40">
      <sharedItems containsSemiMixedTypes="0" containsString="0" containsNumber="1" minValue="0" maxValue="434.95"/>
    </cacheField>
    <cacheField name="TUSD (R$/kW) NOVA" numFmtId="40">
      <sharedItems containsString="0" containsBlank="1" containsNumber="1" minValue="18.834852044119579" maxValue="54.868538138116463"/>
    </cacheField>
    <cacheField name="TUSD (R$/MWh) NOVA" numFmtId="40">
      <sharedItems containsString="0" containsBlank="1" containsNumber="1" minValue="107.04184246109106" maxValue="1438.8138130482339"/>
    </cacheField>
    <cacheField name="TE (R$/MWh) NOVA" numFmtId="40">
      <sharedItems containsString="0" containsBlank="1" containsNumber="1" minValue="72.670649597686321" maxValue="316.97983140624547"/>
    </cacheField>
    <cacheField name="SUBSIDIO kW - TV" numFmtId="40">
      <sharedItems containsSemiMixedTypes="0" containsString="0" containsNumber="1" minValue="0" maxValue="85034.95"/>
    </cacheField>
    <cacheField name="SUBSIDIO MWh - TV" numFmtId="40">
      <sharedItems containsSemiMixedTypes="0" containsString="0" containsNumber="1" minValue="-1.3136514098732732E-13" maxValue="136096.68951500001"/>
    </cacheField>
    <cacheField name="SUBSIDIO kW - TN" numFmtId="40">
      <sharedItems containsSemiMixedTypes="0" containsString="0" containsNumber="1" minValue="0" maxValue="93221.646296659877"/>
    </cacheField>
    <cacheField name="SUBSIDIO MWh - TN" numFmtId="40">
      <sharedItems containsSemiMixedTypes="0" containsString="0" containsNumber="1" minValue="0" maxValue="197425.67283562344"/>
    </cacheField>
    <cacheField name="TIPO" numFmtId="0">
      <sharedItems containsBlank="1" count="6">
        <s v="SUBSIDIO CARGA FONTE INCENTIVADA"/>
        <s v="SUBSIDIO ÁGUA, ESGOTO E SANEAMENTO"/>
        <m/>
        <s v="SUBSIDIO BAIXA RENDA"/>
        <s v="SUBSIDIO RURAL"/>
        <s v="SUBSIDIO IRRIGANTE/AQUICULTOR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89.731113773145" createdVersion="8" refreshedVersion="8" minRefreshableVersion="3" recordCount="474" xr:uid="{98544699-B456-4AD3-B992-0482E55B9DE9}">
  <cacheSource type="worksheet">
    <worksheetSource name="Efeito4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Azul"/>
        <s v="Verde"/>
        <s v="Branca"/>
        <s v="Convencional"/>
      </sharedItems>
    </cacheField>
    <cacheField name="Classe" numFmtId="0">
      <sharedItems count="8">
        <s v="Industrial"/>
        <s v="Comercial"/>
        <s v="Poder público"/>
        <s v="Serviço público"/>
        <s v="Residencial"/>
        <s v="Rural"/>
        <s v="Consumo próprio"/>
        <s v="Iluminação pública"/>
      </sharedItems>
    </cacheField>
    <cacheField name="Subclasse" numFmtId="0">
      <sharedItems count="10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Aquicultura"/>
        <s v="Iluminação pública – B4b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8-01T00:00:00" maxDate="2022-07-02T00:00:00" count="12"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</sharedItems>
    </cacheField>
    <cacheField name="D" numFmtId="40">
      <sharedItems containsSemiMixedTypes="0" containsString="0" containsNumber="1" containsInteger="1" minValue="0" maxValue="7588"/>
    </cacheField>
    <cacheField name="Daj" numFmtId="40">
      <sharedItems containsSemiMixedTypes="0" containsString="0" containsNumber="1" minValue="0" maxValue="3794"/>
    </cacheField>
    <cacheField name="TUSD_E" numFmtId="40">
      <sharedItems containsSemiMixedTypes="0" containsString="0" containsNumber="1" minValue="-0.35499999999999998" maxValue="3688.7570000000001"/>
    </cacheField>
    <cacheField name="TUSD_Eaj" numFmtId="40">
      <sharedItems containsSemiMixedTypes="0" containsString="0" containsNumber="1" minValue="-0.35499999999999998" maxValue="1844.3785"/>
    </cacheField>
    <cacheField name="TE_E" numFmtId="40">
      <sharedItems containsSemiMixedTypes="0" containsString="0" containsNumber="1" minValue="-0.35499999999999998" maxValue="980.88699999999994"/>
    </cacheField>
    <cacheField name="TE_Eaj" numFmtId="40">
      <sharedItems containsSemiMixedTypes="0" containsString="0" containsNumber="1" minValue="-0.35499999999999998" maxValue="980.88699999999994"/>
    </cacheField>
    <cacheField name="UC" numFmtId="40">
      <sharedItems containsSemiMixedTypes="0" containsString="0" containsNumber="1" containsInteger="1" minValue="0" maxValue="5700"/>
    </cacheField>
    <cacheField name="OPÇÃO" numFmtId="0">
      <sharedItems count="2">
        <s v="LIVRE"/>
        <s v="CATIVO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15"/>
    </cacheField>
    <cacheField name="CóD. AUX. TUSD R$/MWh" numFmtId="40">
      <sharedItems containsSemiMixedTypes="0" containsString="0" containsNumber="1" containsInteger="1" minValue="0" maxValue="68"/>
    </cacheField>
    <cacheField name="CóD. AUX. TE R$/MWh" numFmtId="40">
      <sharedItems containsSemiMixedTypes="0" containsString="0" containsNumber="1" containsInteger="1" minValue="0" maxValue="79"/>
    </cacheField>
    <cacheField name="TUSD (R$/kW)" numFmtId="40">
      <sharedItems containsSemiMixedTypes="0" containsString="0" containsNumber="1" minValue="0" maxValue="50.05"/>
    </cacheField>
    <cacheField name="TUSD (R$/MWh)" numFmtId="40">
      <sharedItems containsSemiMixedTypes="0" containsString="0" containsNumber="1" minValue="0" maxValue="1295.8499999999999"/>
    </cacheField>
    <cacheField name="TE (R$/MWh)" numFmtId="40">
      <sharedItems containsSemiMixedTypes="0" containsString="0" containsNumber="1" minValue="0" maxValue="434.95"/>
    </cacheField>
    <cacheField name="TUSD (R$/kW) NOVA" numFmtId="40">
      <sharedItems containsString="0" containsBlank="1" containsNumber="1" minValue="18.269806482795993" maxValue="54.868538138116463"/>
    </cacheField>
    <cacheField name="TUSD (R$/MWh) NOVA" numFmtId="40">
      <sharedItems containsString="0" containsBlank="1" containsNumber="1" minValue="103.83058718725833" maxValue="1438.8138130482339"/>
    </cacheField>
    <cacheField name="TE (R$/MWh) NOVA" numFmtId="40">
      <sharedItems containsString="0" containsBlank="1" containsNumber="1" minValue="72.670649597686321" maxValue="316.97983140624547"/>
    </cacheField>
    <cacheField name="RA0 ou RV - TUSD (kW)" numFmtId="40">
      <sharedItems containsSemiMixedTypes="0" containsString="0" containsNumber="1" minValue="0" maxValue="85034.95"/>
    </cacheField>
    <cacheField name="RA0 ou RV - TUSD (MWh)" numFmtId="40">
      <sharedItems containsSemiMixedTypes="0" containsString="0" containsNumber="1" minValue="-144.63409999999999" maxValue="399632.98154000001"/>
    </cacheField>
    <cacheField name="RA0 ou RV - TE (MWh)" numFmtId="40">
      <sharedItems containsSemiMixedTypes="0" containsString="0" containsNumber="1" minValue="-99.659149999999997" maxValue="275364.40750999999"/>
    </cacheField>
    <cacheField name="RA1 ou RRD - TUSD (kW)" numFmtId="40">
      <sharedItems containsSemiMixedTypes="0" containsString="0" containsNumber="1" minValue="0" maxValue="93221.646296659877"/>
    </cacheField>
    <cacheField name="RA1 ou RRD - TUSD (MWh)" numFmtId="40">
      <sharedItems containsSemiMixedTypes="0" containsString="0" containsNumber="1" minValue="-167.30940221938292" maxValue="462286.24680215173"/>
    </cacheField>
    <cacheField name="RA1 ou RRD - TE (MWh)" numFmtId="40">
      <sharedItems containsSemiMixedTypes="0" containsString="0" containsNumber="1" minValue="-73.708801734796126" maxValue="203661.98706264497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">
  <r>
    <s v="Regular"/>
    <x v="0"/>
    <x v="0"/>
    <x v="0"/>
    <x v="0"/>
    <x v="0"/>
    <x v="0"/>
    <x v="0"/>
    <x v="0"/>
    <n v="7152"/>
    <n v="3576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1471.44"/>
    <n v="0"/>
    <n v="0"/>
    <n v="67353.430909771618"/>
    <n v="0"/>
    <n v="0"/>
  </r>
  <r>
    <s v="Regular"/>
    <x v="0"/>
    <x v="0"/>
    <x v="0"/>
    <x v="0"/>
    <x v="0"/>
    <x v="0"/>
    <x v="0"/>
    <x v="1"/>
    <n v="7212"/>
    <n v="3606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1987.140000000007"/>
    <n v="0"/>
    <n v="0"/>
    <n v="67918.4764710952"/>
    <n v="0"/>
    <n v="0"/>
  </r>
  <r>
    <s v="Regular"/>
    <x v="0"/>
    <x v="0"/>
    <x v="0"/>
    <x v="0"/>
    <x v="0"/>
    <x v="0"/>
    <x v="0"/>
    <x v="2"/>
    <n v="7403"/>
    <n v="3701.5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3628.785000000003"/>
    <n v="0"/>
    <n v="0"/>
    <n v="69717.204841308616"/>
    <n v="0"/>
    <n v="0"/>
  </r>
  <r>
    <s v="Regular"/>
    <x v="0"/>
    <x v="0"/>
    <x v="0"/>
    <x v="0"/>
    <x v="0"/>
    <x v="0"/>
    <x v="0"/>
    <x v="3"/>
    <n v="7236"/>
    <n v="3618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2193.420000000006"/>
    <n v="0"/>
    <n v="0"/>
    <n v="68144.494695624642"/>
    <n v="0"/>
    <n v="0"/>
  </r>
  <r>
    <s v="Regular"/>
    <x v="0"/>
    <x v="0"/>
    <x v="0"/>
    <x v="0"/>
    <x v="0"/>
    <x v="0"/>
    <x v="0"/>
    <x v="4"/>
    <n v="7075"/>
    <n v="3537.5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0809.625000000007"/>
    <n v="0"/>
    <n v="0"/>
    <n v="66628.289106073003"/>
    <n v="0"/>
    <n v="0"/>
  </r>
  <r>
    <s v="Regular"/>
    <x v="0"/>
    <x v="0"/>
    <x v="0"/>
    <x v="0"/>
    <x v="0"/>
    <x v="0"/>
    <x v="0"/>
    <x v="5"/>
    <n v="7194"/>
    <n v="3597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1832.430000000008"/>
    <n v="0"/>
    <n v="0"/>
    <n v="67748.962802698123"/>
    <n v="0"/>
    <n v="0"/>
  </r>
  <r>
    <s v="Regular"/>
    <x v="0"/>
    <x v="0"/>
    <x v="0"/>
    <x v="0"/>
    <x v="0"/>
    <x v="0"/>
    <x v="0"/>
    <x v="6"/>
    <n v="7408"/>
    <n v="3704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3671.76"/>
    <n v="0"/>
    <n v="0"/>
    <n v="69764.291971418919"/>
    <n v="0"/>
    <n v="0"/>
  </r>
  <r>
    <s v="Regular"/>
    <x v="0"/>
    <x v="0"/>
    <x v="0"/>
    <x v="0"/>
    <x v="0"/>
    <x v="0"/>
    <x v="0"/>
    <x v="7"/>
    <n v="7588"/>
    <n v="3794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5218.860000000008"/>
    <n v="0"/>
    <n v="0"/>
    <n v="71459.428655389682"/>
    <n v="0"/>
    <n v="0"/>
  </r>
  <r>
    <s v="Regular"/>
    <x v="0"/>
    <x v="0"/>
    <x v="0"/>
    <x v="0"/>
    <x v="0"/>
    <x v="0"/>
    <x v="0"/>
    <x v="8"/>
    <n v="7439"/>
    <n v="3719.5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3938.205000000002"/>
    <n v="0"/>
    <n v="0"/>
    <n v="70056.232178102771"/>
    <n v="0"/>
    <n v="0"/>
  </r>
  <r>
    <s v="Regular"/>
    <x v="0"/>
    <x v="0"/>
    <x v="0"/>
    <x v="0"/>
    <x v="0"/>
    <x v="0"/>
    <x v="0"/>
    <x v="9"/>
    <n v="7134"/>
    <n v="3567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1316.73"/>
    <n v="0"/>
    <n v="0"/>
    <n v="67183.91724137454"/>
    <n v="0"/>
    <n v="0"/>
  </r>
  <r>
    <s v="Regular"/>
    <x v="0"/>
    <x v="0"/>
    <x v="0"/>
    <x v="0"/>
    <x v="0"/>
    <x v="0"/>
    <x v="0"/>
    <x v="10"/>
    <n v="7229"/>
    <n v="3614.5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2133.255000000005"/>
    <n v="0"/>
    <n v="0"/>
    <n v="68078.572713470217"/>
    <n v="0"/>
    <n v="0"/>
  </r>
  <r>
    <s v="PROJETADO"/>
    <x v="0"/>
    <x v="0"/>
    <x v="0"/>
    <x v="0"/>
    <x v="0"/>
    <x v="0"/>
    <x v="0"/>
    <x v="11"/>
    <n v="7229"/>
    <n v="3614.5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2133.255000000005"/>
    <n v="0"/>
    <n v="0"/>
    <n v="68078.572713470217"/>
    <n v="0"/>
    <n v="0"/>
  </r>
  <r>
    <s v="Regular"/>
    <x v="0"/>
    <x v="0"/>
    <x v="0"/>
    <x v="0"/>
    <x v="0"/>
    <x v="0"/>
    <x v="1"/>
    <x v="0"/>
    <n v="0"/>
    <n v="0"/>
    <n v="3408.886"/>
    <n v="1704.443"/>
    <n v="0"/>
    <n v="0"/>
    <n v="6"/>
    <x v="0"/>
    <n v="0"/>
    <n v="0"/>
    <n v="8"/>
    <n v="0"/>
    <n v="0"/>
    <n v="73.790000000000006"/>
    <n v="0"/>
    <m/>
    <n v="107.04184246109106"/>
    <m/>
    <n v="0"/>
    <n v="125770.84897000001"/>
    <n v="0"/>
    <n v="0"/>
    <n v="182446.71908990943"/>
    <n v="0"/>
  </r>
  <r>
    <s v="Regular"/>
    <x v="0"/>
    <x v="0"/>
    <x v="0"/>
    <x v="0"/>
    <x v="0"/>
    <x v="0"/>
    <x v="1"/>
    <x v="1"/>
    <n v="0"/>
    <n v="0"/>
    <n v="3332.1570000000002"/>
    <n v="1666.0785000000001"/>
    <n v="0"/>
    <n v="0"/>
    <n v="6"/>
    <x v="0"/>
    <n v="0"/>
    <n v="0"/>
    <n v="8"/>
    <n v="0"/>
    <n v="0"/>
    <n v="73.790000000000006"/>
    <n v="0"/>
    <m/>
    <n v="107.04184246109106"/>
    <m/>
    <n v="0"/>
    <n v="122939.93251500002"/>
    <n v="0"/>
    <n v="0"/>
    <n v="178340.11232481091"/>
    <n v="0"/>
  </r>
  <r>
    <s v="Regular"/>
    <x v="0"/>
    <x v="0"/>
    <x v="0"/>
    <x v="0"/>
    <x v="0"/>
    <x v="0"/>
    <x v="1"/>
    <x v="2"/>
    <n v="0"/>
    <n v="0"/>
    <n v="3444.0309999999999"/>
    <n v="1722.0155"/>
    <n v="0"/>
    <n v="0"/>
    <n v="6"/>
    <x v="0"/>
    <n v="0"/>
    <n v="0"/>
    <n v="8"/>
    <n v="0"/>
    <n v="0"/>
    <n v="73.790000000000006"/>
    <n v="0"/>
    <m/>
    <n v="107.04184246109106"/>
    <m/>
    <n v="0"/>
    <n v="127067.52374500001"/>
    <n v="0"/>
    <n v="0"/>
    <n v="184327.71186655696"/>
    <n v="0"/>
  </r>
  <r>
    <s v="Regular"/>
    <x v="0"/>
    <x v="0"/>
    <x v="0"/>
    <x v="0"/>
    <x v="0"/>
    <x v="0"/>
    <x v="1"/>
    <x v="3"/>
    <n v="0"/>
    <n v="0"/>
    <n v="3415.11"/>
    <n v="1707.5550000000001"/>
    <n v="0"/>
    <n v="0"/>
    <n v="6"/>
    <x v="0"/>
    <n v="0"/>
    <n v="0"/>
    <n v="8"/>
    <n v="0"/>
    <n v="0"/>
    <n v="73.790000000000006"/>
    <n v="0"/>
    <m/>
    <n v="107.04184246109106"/>
    <m/>
    <n v="0"/>
    <n v="126000.48345000001"/>
    <n v="0"/>
    <n v="0"/>
    <n v="182779.83330364837"/>
    <n v="0"/>
  </r>
  <r>
    <s v="Regular"/>
    <x v="0"/>
    <x v="0"/>
    <x v="0"/>
    <x v="0"/>
    <x v="0"/>
    <x v="0"/>
    <x v="1"/>
    <x v="4"/>
    <n v="0"/>
    <n v="0"/>
    <n v="3030.1959999999999"/>
    <n v="1515.098"/>
    <n v="0"/>
    <n v="0"/>
    <n v="6"/>
    <x v="0"/>
    <n v="0"/>
    <n v="0"/>
    <n v="8"/>
    <n v="0"/>
    <n v="0"/>
    <n v="73.790000000000006"/>
    <n v="0"/>
    <m/>
    <n v="107.04184246109106"/>
    <m/>
    <n v="0"/>
    <n v="111799.08142"/>
    <n v="0"/>
    <n v="0"/>
    <n v="162178.88142911415"/>
    <n v="0"/>
  </r>
  <r>
    <s v="Regular"/>
    <x v="0"/>
    <x v="0"/>
    <x v="0"/>
    <x v="0"/>
    <x v="0"/>
    <x v="0"/>
    <x v="1"/>
    <x v="5"/>
    <n v="0"/>
    <n v="0"/>
    <n v="3510.837"/>
    <n v="1755.4185"/>
    <n v="0"/>
    <n v="0"/>
    <n v="6"/>
    <x v="0"/>
    <n v="0"/>
    <n v="0"/>
    <n v="8"/>
    <n v="0"/>
    <n v="0"/>
    <n v="73.790000000000006"/>
    <n v="0"/>
    <m/>
    <n v="107.04184246109106"/>
    <m/>
    <n v="0"/>
    <n v="129532.33111500001"/>
    <n v="0"/>
    <n v="0"/>
    <n v="187903.23053028478"/>
    <n v="0"/>
  </r>
  <r>
    <s v="Regular"/>
    <x v="0"/>
    <x v="0"/>
    <x v="0"/>
    <x v="0"/>
    <x v="0"/>
    <x v="0"/>
    <x v="1"/>
    <x v="6"/>
    <n v="0"/>
    <n v="0"/>
    <n v="3237.096"/>
    <n v="1618.548"/>
    <n v="0"/>
    <n v="0"/>
    <n v="6"/>
    <x v="0"/>
    <n v="0"/>
    <n v="0"/>
    <n v="8"/>
    <n v="0"/>
    <n v="0"/>
    <n v="73.790000000000006"/>
    <n v="0"/>
    <m/>
    <n v="107.04184246109106"/>
    <m/>
    <n v="0"/>
    <n v="119432.65692000001"/>
    <n v="0"/>
    <n v="0"/>
    <n v="173252.36003171402"/>
    <n v="0"/>
  </r>
  <r>
    <s v="Regular"/>
    <x v="0"/>
    <x v="0"/>
    <x v="0"/>
    <x v="0"/>
    <x v="0"/>
    <x v="0"/>
    <x v="1"/>
    <x v="7"/>
    <n v="0"/>
    <n v="0"/>
    <n v="3688.7570000000001"/>
    <n v="1844.3785"/>
    <n v="0"/>
    <n v="0"/>
    <n v="6"/>
    <x v="0"/>
    <n v="0"/>
    <n v="0"/>
    <n v="8"/>
    <n v="0"/>
    <n v="0"/>
    <n v="73.790000000000006"/>
    <n v="0"/>
    <m/>
    <n v="107.04184246109106"/>
    <m/>
    <n v="0"/>
    <n v="136096.68951500001"/>
    <n v="0"/>
    <n v="0"/>
    <n v="197425.67283562344"/>
    <n v="0"/>
  </r>
  <r>
    <s v="Regular"/>
    <x v="0"/>
    <x v="0"/>
    <x v="0"/>
    <x v="0"/>
    <x v="0"/>
    <x v="0"/>
    <x v="1"/>
    <x v="8"/>
    <n v="0"/>
    <n v="0"/>
    <n v="3372.8220000000001"/>
    <n v="1686.4110000000001"/>
    <n v="0"/>
    <n v="0"/>
    <n v="6"/>
    <x v="0"/>
    <n v="0"/>
    <n v="0"/>
    <n v="8"/>
    <n v="0"/>
    <n v="0"/>
    <n v="73.790000000000006"/>
    <n v="0"/>
    <m/>
    <n v="107.04184246109106"/>
    <m/>
    <n v="0"/>
    <n v="124440.26769000001"/>
    <n v="0"/>
    <n v="0"/>
    <n v="180516.54058665104"/>
    <n v="0"/>
  </r>
  <r>
    <s v="Regular"/>
    <x v="0"/>
    <x v="0"/>
    <x v="0"/>
    <x v="0"/>
    <x v="0"/>
    <x v="0"/>
    <x v="1"/>
    <x v="9"/>
    <n v="0"/>
    <n v="0"/>
    <n v="3390.308"/>
    <n v="1695.154"/>
    <n v="0"/>
    <n v="0"/>
    <n v="6"/>
    <x v="0"/>
    <n v="0"/>
    <n v="0"/>
    <n v="8"/>
    <n v="0"/>
    <n v="0"/>
    <n v="73.790000000000006"/>
    <n v="0"/>
    <m/>
    <n v="107.04184246109106"/>
    <m/>
    <n v="0"/>
    <n v="125085.41366000001"/>
    <n v="0"/>
    <n v="0"/>
    <n v="181452.40741528835"/>
    <n v="0"/>
  </r>
  <r>
    <s v="Regular"/>
    <x v="0"/>
    <x v="0"/>
    <x v="0"/>
    <x v="0"/>
    <x v="0"/>
    <x v="0"/>
    <x v="1"/>
    <x v="10"/>
    <n v="0"/>
    <n v="0"/>
    <n v="3363.3820000000001"/>
    <n v="1681.691"/>
    <n v="0"/>
    <n v="0"/>
    <n v="6"/>
    <x v="0"/>
    <n v="0"/>
    <n v="0"/>
    <n v="8"/>
    <n v="0"/>
    <n v="0"/>
    <n v="73.790000000000006"/>
    <n v="0"/>
    <m/>
    <n v="107.04184246109106"/>
    <m/>
    <n v="0"/>
    <n v="124091.97889000001"/>
    <n v="0"/>
    <n v="0"/>
    <n v="180011.30309023469"/>
    <n v="0"/>
  </r>
  <r>
    <s v="PROJETADO"/>
    <x v="0"/>
    <x v="0"/>
    <x v="0"/>
    <x v="0"/>
    <x v="0"/>
    <x v="0"/>
    <x v="1"/>
    <x v="11"/>
    <n v="0"/>
    <n v="0"/>
    <n v="3363.3820000000001"/>
    <n v="1681.691"/>
    <n v="0"/>
    <n v="0"/>
    <n v="6"/>
    <x v="0"/>
    <n v="0"/>
    <n v="0"/>
    <n v="8"/>
    <n v="0"/>
    <n v="0"/>
    <n v="73.790000000000006"/>
    <n v="0"/>
    <m/>
    <n v="107.04184246109106"/>
    <m/>
    <n v="0"/>
    <n v="124091.97889000001"/>
    <n v="0"/>
    <n v="0"/>
    <n v="180011.30309023469"/>
    <n v="0"/>
  </r>
  <r>
    <s v="Regular"/>
    <x v="0"/>
    <x v="0"/>
    <x v="0"/>
    <x v="0"/>
    <x v="0"/>
    <x v="0"/>
    <x v="2"/>
    <x v="0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1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2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3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4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5"/>
    <n v="3364"/>
    <n v="1682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4184.099999999991"/>
    <n v="0"/>
    <n v="0"/>
    <n v="92288.881148311892"/>
    <n v="0"/>
    <n v="0"/>
  </r>
  <r>
    <s v="Regular"/>
    <x v="0"/>
    <x v="0"/>
    <x v="0"/>
    <x v="0"/>
    <x v="0"/>
    <x v="0"/>
    <x v="2"/>
    <x v="6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7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8"/>
    <n v="3398"/>
    <n v="1699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5034.95"/>
    <n v="0"/>
    <n v="0"/>
    <n v="93221.646296659877"/>
    <n v="0"/>
    <n v="0"/>
  </r>
  <r>
    <s v="Regular"/>
    <x v="0"/>
    <x v="0"/>
    <x v="0"/>
    <x v="0"/>
    <x v="0"/>
    <x v="0"/>
    <x v="2"/>
    <x v="9"/>
    <n v="3237"/>
    <n v="1618.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1005.924999999988"/>
    <n v="0"/>
    <n v="0"/>
    <n v="88804.72897654149"/>
    <n v="0"/>
    <n v="0"/>
  </r>
  <r>
    <s v="Regular"/>
    <x v="0"/>
    <x v="0"/>
    <x v="0"/>
    <x v="0"/>
    <x v="0"/>
    <x v="0"/>
    <x v="2"/>
    <x v="10"/>
    <n v="3283"/>
    <n v="1641.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2157.074999999997"/>
    <n v="0"/>
    <n v="0"/>
    <n v="90066.705353718178"/>
    <n v="0"/>
    <n v="0"/>
  </r>
  <r>
    <s v="PROJETADO"/>
    <x v="0"/>
    <x v="0"/>
    <x v="0"/>
    <x v="0"/>
    <x v="0"/>
    <x v="0"/>
    <x v="2"/>
    <x v="11"/>
    <n v="3283"/>
    <n v="1641.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2157.074999999997"/>
    <n v="0"/>
    <n v="0"/>
    <n v="90066.705353718178"/>
    <n v="0"/>
    <n v="0"/>
  </r>
  <r>
    <s v="Regular"/>
    <x v="0"/>
    <x v="1"/>
    <x v="1"/>
    <x v="0"/>
    <x v="1"/>
    <x v="0"/>
    <x v="0"/>
    <x v="0"/>
    <n v="0"/>
    <n v="0"/>
    <n v="214.33199999999999"/>
    <n v="214.33199999999999"/>
    <n v="214.33199999999999"/>
    <n v="214.331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5815.558280000001"/>
    <n v="57164.487719999997"/>
    <n v="0"/>
    <n v="22942.492178370569"/>
    <n v="42371.201456134666"/>
  </r>
  <r>
    <s v="Regular"/>
    <x v="0"/>
    <x v="1"/>
    <x v="1"/>
    <x v="0"/>
    <x v="1"/>
    <x v="0"/>
    <x v="0"/>
    <x v="1"/>
    <n v="0"/>
    <n v="0"/>
    <n v="189.839"/>
    <n v="189.839"/>
    <n v="189.839"/>
    <n v="189.839"/>
    <n v="0"/>
    <x v="1"/>
    <n v="0"/>
    <n v="0"/>
    <n v="21"/>
    <n v="70"/>
    <n v="0"/>
    <n v="73.790000000000006"/>
    <n v="266.70999999999998"/>
    <m/>
    <n v="107.04184246109106"/>
    <n v="197.6895725142987"/>
    <n v="0"/>
    <n v="14008.219810000001"/>
    <n v="50631.959689999996"/>
    <n v="0"/>
    <n v="20320.716330971067"/>
    <n v="37529.190756541953"/>
  </r>
  <r>
    <s v="Regular"/>
    <x v="0"/>
    <x v="1"/>
    <x v="1"/>
    <x v="0"/>
    <x v="1"/>
    <x v="0"/>
    <x v="0"/>
    <x v="2"/>
    <n v="0"/>
    <n v="0"/>
    <n v="270.11"/>
    <n v="270.11"/>
    <n v="270.11"/>
    <n v="270.11"/>
    <n v="0"/>
    <x v="1"/>
    <n v="0"/>
    <n v="0"/>
    <n v="21"/>
    <n v="70"/>
    <n v="0"/>
    <n v="73.790000000000006"/>
    <n v="266.70999999999998"/>
    <m/>
    <n v="107.04184246109106"/>
    <n v="197.6895725142987"/>
    <n v="0"/>
    <n v="19931.416900000004"/>
    <n v="72041.038100000005"/>
    <n v="0"/>
    <n v="28913.072067165311"/>
    <n v="53397.930431837223"/>
  </r>
  <r>
    <s v="Regular"/>
    <x v="0"/>
    <x v="1"/>
    <x v="1"/>
    <x v="0"/>
    <x v="1"/>
    <x v="0"/>
    <x v="0"/>
    <x v="3"/>
    <n v="0"/>
    <n v="0"/>
    <n v="267.45999999999998"/>
    <n v="267.45999999999998"/>
    <n v="267.45999999999998"/>
    <n v="267.45999999999998"/>
    <n v="0"/>
    <x v="1"/>
    <n v="0"/>
    <n v="0"/>
    <n v="21"/>
    <n v="70"/>
    <n v="0"/>
    <n v="73.790000000000006"/>
    <n v="266.70999999999998"/>
    <m/>
    <n v="107.04184246109106"/>
    <n v="197.6895725142987"/>
    <n v="0"/>
    <n v="19735.8734"/>
    <n v="71334.256599999993"/>
    <n v="0"/>
    <n v="28629.411184643413"/>
    <n v="52874.053064674328"/>
  </r>
  <r>
    <s v="Regular"/>
    <x v="0"/>
    <x v="1"/>
    <x v="1"/>
    <x v="0"/>
    <x v="1"/>
    <x v="0"/>
    <x v="0"/>
    <x v="4"/>
    <n v="0"/>
    <n v="0"/>
    <n v="240.125"/>
    <n v="240.125"/>
    <n v="240.125"/>
    <n v="240.125"/>
    <n v="0"/>
    <x v="1"/>
    <n v="0"/>
    <n v="0"/>
    <n v="21"/>
    <n v="70"/>
    <n v="0"/>
    <n v="73.790000000000006"/>
    <n v="266.70999999999998"/>
    <m/>
    <n v="107.04184246109106"/>
    <n v="197.6895725142987"/>
    <n v="0"/>
    <n v="17718.823750000003"/>
    <n v="64043.738749999997"/>
    <n v="0"/>
    <n v="25703.422420969491"/>
    <n v="47470.208599995975"/>
  </r>
  <r>
    <s v="Regular"/>
    <x v="0"/>
    <x v="1"/>
    <x v="1"/>
    <x v="0"/>
    <x v="1"/>
    <x v="0"/>
    <x v="0"/>
    <x v="5"/>
    <n v="0"/>
    <n v="0"/>
    <n v="232.13399999999999"/>
    <n v="232.13399999999999"/>
    <n v="232.13399999999999"/>
    <n v="232.133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7129.167860000001"/>
    <n v="61912.459139999992"/>
    <n v="0"/>
    <n v="24848.051057862911"/>
    <n v="45890.471226034213"/>
  </r>
  <r>
    <s v="Regular"/>
    <x v="0"/>
    <x v="1"/>
    <x v="1"/>
    <x v="0"/>
    <x v="1"/>
    <x v="0"/>
    <x v="0"/>
    <x v="6"/>
    <n v="0"/>
    <n v="0"/>
    <n v="262.23099999999999"/>
    <n v="262.23099999999999"/>
    <n v="262.23099999999999"/>
    <n v="262.230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9350.02549"/>
    <n v="69939.630009999993"/>
    <n v="0"/>
    <n v="28069.689390414369"/>
    <n v="51840.334289997059"/>
  </r>
  <r>
    <s v="Regular"/>
    <x v="0"/>
    <x v="1"/>
    <x v="1"/>
    <x v="0"/>
    <x v="1"/>
    <x v="0"/>
    <x v="0"/>
    <x v="7"/>
    <n v="0"/>
    <n v="0"/>
    <n v="293.43700000000001"/>
    <n v="293.43700000000001"/>
    <n v="293.43700000000001"/>
    <n v="293.43700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21652.716230000002"/>
    <n v="78262.582269999999"/>
    <n v="0"/>
    <n v="31410.037126255182"/>
    <n v="58009.435089878272"/>
  </r>
  <r>
    <s v="Regular"/>
    <x v="0"/>
    <x v="1"/>
    <x v="1"/>
    <x v="0"/>
    <x v="1"/>
    <x v="0"/>
    <x v="0"/>
    <x v="8"/>
    <n v="0"/>
    <n v="0"/>
    <n v="227.185"/>
    <n v="227.185"/>
    <n v="227.185"/>
    <n v="227.185"/>
    <n v="0"/>
    <x v="1"/>
    <n v="0"/>
    <n v="0"/>
    <n v="21"/>
    <n v="70"/>
    <n v="0"/>
    <n v="73.790000000000006"/>
    <n v="266.70999999999998"/>
    <m/>
    <n v="107.04184246109106"/>
    <n v="197.6895725142987"/>
    <n v="0"/>
    <n v="16763.981150000003"/>
    <n v="60592.511349999993"/>
    <n v="0"/>
    <n v="24318.300979522974"/>
    <n v="44912.105531660949"/>
  </r>
  <r>
    <s v="Regular"/>
    <x v="0"/>
    <x v="1"/>
    <x v="1"/>
    <x v="0"/>
    <x v="1"/>
    <x v="0"/>
    <x v="0"/>
    <x v="9"/>
    <n v="0"/>
    <n v="0"/>
    <n v="200.93700000000001"/>
    <n v="200.93700000000001"/>
    <n v="200.93700000000001"/>
    <n v="200.93700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14827.141230000003"/>
    <n v="53591.907269999996"/>
    <n v="0"/>
    <n v="21508.666698604258"/>
    <n v="39723.149632305642"/>
  </r>
  <r>
    <s v="Regular"/>
    <x v="0"/>
    <x v="1"/>
    <x v="1"/>
    <x v="0"/>
    <x v="1"/>
    <x v="0"/>
    <x v="0"/>
    <x v="10"/>
    <n v="0"/>
    <n v="0"/>
    <n v="181.31399999999999"/>
    <n v="181.31399999999999"/>
    <n v="181.31399999999999"/>
    <n v="181.313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3379.16006"/>
    <n v="48358.256939999992"/>
    <n v="0"/>
    <n v="19408.184623990266"/>
    <n v="35843.887150857554"/>
  </r>
  <r>
    <s v="PROJETADO"/>
    <x v="0"/>
    <x v="1"/>
    <x v="1"/>
    <x v="0"/>
    <x v="1"/>
    <x v="0"/>
    <x v="0"/>
    <x v="11"/>
    <n v="0"/>
    <n v="0"/>
    <n v="181.31399999999999"/>
    <n v="181.31399999999999"/>
    <n v="181.31399999999999"/>
    <n v="181.313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3379.16006"/>
    <n v="48358.256939999992"/>
    <n v="0"/>
    <n v="19408.184623990266"/>
    <n v="35843.887150857554"/>
  </r>
  <r>
    <s v="Regular"/>
    <x v="0"/>
    <x v="1"/>
    <x v="1"/>
    <x v="0"/>
    <x v="1"/>
    <x v="0"/>
    <x v="1"/>
    <x v="0"/>
    <n v="957"/>
    <n v="957"/>
    <n v="0"/>
    <n v="0"/>
    <n v="0"/>
    <n v="0"/>
    <n v="9"/>
    <x v="1"/>
    <n v="0"/>
    <n v="15"/>
    <n v="0"/>
    <n v="0"/>
    <n v="17.190000000000001"/>
    <n v="0"/>
    <n v="0"/>
    <n v="18.834852044119579"/>
    <m/>
    <m/>
    <n v="16450.830000000002"/>
    <n v="0"/>
    <n v="0"/>
    <n v="18024.953406222437"/>
    <n v="0"/>
    <n v="0"/>
  </r>
  <r>
    <s v="Regular"/>
    <x v="0"/>
    <x v="1"/>
    <x v="1"/>
    <x v="0"/>
    <x v="1"/>
    <x v="0"/>
    <x v="1"/>
    <x v="1"/>
    <n v="955"/>
    <n v="955"/>
    <n v="0"/>
    <n v="0"/>
    <n v="0"/>
    <n v="0"/>
    <n v="9"/>
    <x v="1"/>
    <n v="0"/>
    <n v="15"/>
    <n v="0"/>
    <n v="0"/>
    <n v="17.190000000000001"/>
    <n v="0"/>
    <n v="0"/>
    <n v="18.834852044119579"/>
    <m/>
    <m/>
    <n v="16416.45"/>
    <n v="0"/>
    <n v="0"/>
    <n v="17987.283702134198"/>
    <n v="0"/>
    <n v="0"/>
  </r>
  <r>
    <s v="Regular"/>
    <x v="0"/>
    <x v="1"/>
    <x v="1"/>
    <x v="0"/>
    <x v="1"/>
    <x v="0"/>
    <x v="1"/>
    <x v="2"/>
    <n v="1196"/>
    <n v="1196"/>
    <n v="0"/>
    <n v="0"/>
    <n v="0"/>
    <n v="0"/>
    <n v="9"/>
    <x v="1"/>
    <n v="0"/>
    <n v="15"/>
    <n v="0"/>
    <n v="0"/>
    <n v="17.190000000000001"/>
    <n v="0"/>
    <n v="0"/>
    <n v="18.834852044119579"/>
    <m/>
    <m/>
    <n v="20559.240000000002"/>
    <n v="0"/>
    <n v="0"/>
    <n v="22526.483044767017"/>
    <n v="0"/>
    <n v="0"/>
  </r>
  <r>
    <s v="Regular"/>
    <x v="0"/>
    <x v="1"/>
    <x v="1"/>
    <x v="0"/>
    <x v="1"/>
    <x v="0"/>
    <x v="1"/>
    <x v="3"/>
    <n v="1105"/>
    <n v="1105"/>
    <n v="0"/>
    <n v="0"/>
    <n v="0"/>
    <n v="0"/>
    <n v="9"/>
    <x v="1"/>
    <n v="0"/>
    <n v="15"/>
    <n v="0"/>
    <n v="0"/>
    <n v="17.190000000000001"/>
    <n v="0"/>
    <n v="0"/>
    <n v="18.834852044119579"/>
    <m/>
    <m/>
    <n v="18994.95"/>
    <n v="0"/>
    <n v="0"/>
    <n v="20812.511508752134"/>
    <n v="0"/>
    <n v="0"/>
  </r>
  <r>
    <s v="Regular"/>
    <x v="0"/>
    <x v="1"/>
    <x v="1"/>
    <x v="0"/>
    <x v="1"/>
    <x v="0"/>
    <x v="1"/>
    <x v="4"/>
    <n v="1006"/>
    <n v="1006"/>
    <n v="0"/>
    <n v="0"/>
    <n v="0"/>
    <n v="0"/>
    <n v="9"/>
    <x v="1"/>
    <n v="0"/>
    <n v="15"/>
    <n v="0"/>
    <n v="0"/>
    <n v="17.190000000000001"/>
    <n v="0"/>
    <n v="0"/>
    <n v="18.834852044119579"/>
    <m/>
    <m/>
    <n v="17293.140000000003"/>
    <n v="0"/>
    <n v="0"/>
    <n v="18947.861156384297"/>
    <n v="0"/>
    <n v="0"/>
  </r>
  <r>
    <s v="Regular"/>
    <x v="0"/>
    <x v="1"/>
    <x v="1"/>
    <x v="0"/>
    <x v="1"/>
    <x v="0"/>
    <x v="1"/>
    <x v="5"/>
    <n v="1017"/>
    <n v="1017"/>
    <n v="0"/>
    <n v="0"/>
    <n v="0"/>
    <n v="0"/>
    <n v="9"/>
    <x v="1"/>
    <n v="0"/>
    <n v="15"/>
    <n v="0"/>
    <n v="0"/>
    <n v="17.190000000000001"/>
    <n v="0"/>
    <n v="0"/>
    <n v="18.834852044119579"/>
    <m/>
    <m/>
    <n v="17482.23"/>
    <n v="0"/>
    <n v="0"/>
    <n v="19155.04452886961"/>
    <n v="0"/>
    <n v="0"/>
  </r>
  <r>
    <s v="Regular"/>
    <x v="0"/>
    <x v="1"/>
    <x v="1"/>
    <x v="0"/>
    <x v="1"/>
    <x v="0"/>
    <x v="1"/>
    <x v="6"/>
    <n v="1181"/>
    <n v="1181"/>
    <n v="0"/>
    <n v="0"/>
    <n v="0"/>
    <n v="0"/>
    <n v="9"/>
    <x v="1"/>
    <n v="0"/>
    <n v="15"/>
    <n v="0"/>
    <n v="0"/>
    <n v="17.190000000000001"/>
    <n v="0"/>
    <n v="0"/>
    <n v="18.834852044119579"/>
    <m/>
    <m/>
    <n v="20301.390000000003"/>
    <n v="0"/>
    <n v="0"/>
    <n v="22243.960264105222"/>
    <n v="0"/>
    <n v="0"/>
  </r>
  <r>
    <s v="Regular"/>
    <x v="0"/>
    <x v="1"/>
    <x v="1"/>
    <x v="0"/>
    <x v="1"/>
    <x v="0"/>
    <x v="1"/>
    <x v="7"/>
    <n v="1171"/>
    <n v="1171"/>
    <n v="0"/>
    <n v="0"/>
    <n v="0"/>
    <n v="0"/>
    <n v="8"/>
    <x v="1"/>
    <n v="0"/>
    <n v="15"/>
    <n v="0"/>
    <n v="0"/>
    <n v="17.190000000000001"/>
    <n v="0"/>
    <n v="0"/>
    <n v="18.834852044119579"/>
    <m/>
    <m/>
    <n v="20129.490000000002"/>
    <n v="0"/>
    <n v="0"/>
    <n v="22055.611743664027"/>
    <n v="0"/>
    <n v="0"/>
  </r>
  <r>
    <s v="Regular"/>
    <x v="0"/>
    <x v="1"/>
    <x v="1"/>
    <x v="0"/>
    <x v="1"/>
    <x v="0"/>
    <x v="1"/>
    <x v="8"/>
    <n v="1188"/>
    <n v="1188"/>
    <n v="0"/>
    <n v="0"/>
    <n v="0"/>
    <n v="0"/>
    <n v="8"/>
    <x v="1"/>
    <n v="0"/>
    <n v="15"/>
    <n v="0"/>
    <n v="0"/>
    <n v="17.190000000000001"/>
    <n v="0"/>
    <n v="0"/>
    <n v="18.834852044119579"/>
    <m/>
    <m/>
    <n v="20421.72"/>
    <n v="0"/>
    <n v="0"/>
    <n v="22375.804228414061"/>
    <n v="0"/>
    <n v="0"/>
  </r>
  <r>
    <s v="Regular"/>
    <x v="0"/>
    <x v="1"/>
    <x v="1"/>
    <x v="0"/>
    <x v="1"/>
    <x v="0"/>
    <x v="1"/>
    <x v="9"/>
    <n v="952"/>
    <n v="952"/>
    <n v="0"/>
    <n v="0"/>
    <n v="0"/>
    <n v="0"/>
    <n v="8"/>
    <x v="1"/>
    <n v="0"/>
    <n v="15"/>
    <n v="0"/>
    <n v="0"/>
    <n v="17.190000000000001"/>
    <n v="0"/>
    <n v="0"/>
    <n v="18.834852044119579"/>
    <m/>
    <m/>
    <n v="16364.880000000001"/>
    <n v="0"/>
    <n v="0"/>
    <n v="17930.779146001838"/>
    <n v="0"/>
    <n v="0"/>
  </r>
  <r>
    <s v="Regular"/>
    <x v="0"/>
    <x v="1"/>
    <x v="1"/>
    <x v="0"/>
    <x v="1"/>
    <x v="0"/>
    <x v="1"/>
    <x v="10"/>
    <n v="882"/>
    <n v="882"/>
    <n v="0"/>
    <n v="0"/>
    <n v="0"/>
    <n v="0"/>
    <n v="8"/>
    <x v="1"/>
    <n v="0"/>
    <n v="15"/>
    <n v="0"/>
    <n v="0"/>
    <n v="17.190000000000001"/>
    <n v="0"/>
    <n v="0"/>
    <n v="18.834852044119579"/>
    <m/>
    <m/>
    <n v="15161.580000000002"/>
    <n v="0"/>
    <n v="0"/>
    <n v="16612.33950291347"/>
    <n v="0"/>
    <n v="0"/>
  </r>
  <r>
    <s v="PROJETADO"/>
    <x v="0"/>
    <x v="1"/>
    <x v="1"/>
    <x v="0"/>
    <x v="1"/>
    <x v="0"/>
    <x v="1"/>
    <x v="11"/>
    <n v="882"/>
    <n v="882"/>
    <n v="0"/>
    <n v="0"/>
    <n v="0"/>
    <n v="0"/>
    <n v="8"/>
    <x v="1"/>
    <n v="0"/>
    <n v="15"/>
    <n v="0"/>
    <n v="0"/>
    <n v="17.190000000000001"/>
    <n v="0"/>
    <n v="0"/>
    <n v="18.834852044119579"/>
    <m/>
    <m/>
    <n v="15161.580000000002"/>
    <n v="0"/>
    <n v="0"/>
    <n v="16612.33950291347"/>
    <n v="0"/>
    <n v="0"/>
  </r>
  <r>
    <s v="Regular"/>
    <x v="0"/>
    <x v="1"/>
    <x v="1"/>
    <x v="0"/>
    <x v="1"/>
    <x v="0"/>
    <x v="2"/>
    <x v="0"/>
    <n v="0"/>
    <n v="0"/>
    <n v="13.484999999999999"/>
    <n v="13.484999999999999"/>
    <n v="13.484999999999999"/>
    <n v="13.484999999999999"/>
    <n v="0"/>
    <x v="1"/>
    <n v="0"/>
    <n v="0"/>
    <n v="18"/>
    <n v="69"/>
    <n v="0"/>
    <n v="1295.8499999999999"/>
    <n v="434.95"/>
    <m/>
    <n v="1438.8138130482339"/>
    <n v="316.97983140624547"/>
    <n v="0"/>
    <n v="17474.537249999998"/>
    <n v="5865.3007499999994"/>
    <n v="0"/>
    <n v="19402.404268955434"/>
    <n v="4274.4730265132202"/>
  </r>
  <r>
    <s v="Regular"/>
    <x v="0"/>
    <x v="1"/>
    <x v="1"/>
    <x v="0"/>
    <x v="1"/>
    <x v="0"/>
    <x v="2"/>
    <x v="1"/>
    <n v="0"/>
    <n v="0"/>
    <n v="13.756"/>
    <n v="13.756"/>
    <n v="13.756"/>
    <n v="13.756"/>
    <n v="0"/>
    <x v="1"/>
    <n v="0"/>
    <n v="0"/>
    <n v="18"/>
    <n v="69"/>
    <n v="0"/>
    <n v="1295.8499999999999"/>
    <n v="434.95"/>
    <m/>
    <n v="1438.8138130482339"/>
    <n v="316.97983140624547"/>
    <n v="0"/>
    <n v="17825.712599999999"/>
    <n v="5983.1722"/>
    <n v="0"/>
    <n v="19792.322812291506"/>
    <n v="4360.3745608243125"/>
  </r>
  <r>
    <s v="Regular"/>
    <x v="0"/>
    <x v="1"/>
    <x v="1"/>
    <x v="0"/>
    <x v="1"/>
    <x v="0"/>
    <x v="2"/>
    <x v="2"/>
    <n v="0"/>
    <n v="0"/>
    <n v="20.298999999999999"/>
    <n v="20.298999999999999"/>
    <n v="20.298999999999999"/>
    <n v="20.298999999999999"/>
    <n v="0"/>
    <x v="1"/>
    <n v="0"/>
    <n v="0"/>
    <n v="18"/>
    <n v="69"/>
    <n v="0"/>
    <n v="1295.8499999999999"/>
    <n v="434.95"/>
    <m/>
    <n v="1438.8138130482339"/>
    <n v="316.97983140624547"/>
    <n v="0"/>
    <n v="26304.459149999999"/>
    <n v="8829.0500499999998"/>
    <n v="0"/>
    <n v="29206.481591066098"/>
    <n v="6434.3735977153765"/>
  </r>
  <r>
    <s v="Regular"/>
    <x v="0"/>
    <x v="1"/>
    <x v="1"/>
    <x v="0"/>
    <x v="1"/>
    <x v="0"/>
    <x v="2"/>
    <x v="3"/>
    <n v="0"/>
    <n v="0"/>
    <n v="13.86"/>
    <n v="13.86"/>
    <n v="13.86"/>
    <n v="13.86"/>
    <n v="0"/>
    <x v="1"/>
    <n v="0"/>
    <n v="0"/>
    <n v="18"/>
    <n v="69"/>
    <n v="0"/>
    <n v="1295.8499999999999"/>
    <n v="434.95"/>
    <m/>
    <n v="1438.8138130482339"/>
    <n v="316.97983140624547"/>
    <n v="0"/>
    <n v="17960.481"/>
    <n v="6028.4069999999992"/>
    <n v="0"/>
    <n v="19941.95944884852"/>
    <n v="4393.3404632905622"/>
  </r>
  <r>
    <s v="Regular"/>
    <x v="0"/>
    <x v="1"/>
    <x v="1"/>
    <x v="0"/>
    <x v="1"/>
    <x v="0"/>
    <x v="2"/>
    <x v="4"/>
    <n v="0"/>
    <n v="0"/>
    <n v="18.306999999999999"/>
    <n v="18.306999999999999"/>
    <n v="18.306999999999999"/>
    <n v="18.306999999999999"/>
    <n v="0"/>
    <x v="1"/>
    <n v="0"/>
    <n v="0"/>
    <n v="18"/>
    <n v="69"/>
    <n v="0"/>
    <n v="1295.8499999999999"/>
    <n v="434.95"/>
    <m/>
    <n v="1438.8138130482339"/>
    <n v="316.97983140624547"/>
    <n v="0"/>
    <n v="23723.125949999998"/>
    <n v="7962.6296499999989"/>
    <n v="0"/>
    <n v="26340.364475474016"/>
    <n v="5802.9497735541354"/>
  </r>
  <r>
    <s v="Regular"/>
    <x v="0"/>
    <x v="1"/>
    <x v="1"/>
    <x v="0"/>
    <x v="1"/>
    <x v="0"/>
    <x v="2"/>
    <x v="5"/>
    <n v="0"/>
    <n v="0"/>
    <n v="16.87"/>
    <n v="16.87"/>
    <n v="16.87"/>
    <n v="16.87"/>
    <n v="0"/>
    <x v="1"/>
    <n v="0"/>
    <n v="0"/>
    <n v="18"/>
    <n v="69"/>
    <n v="0"/>
    <n v="1295.8499999999999"/>
    <n v="434.95"/>
    <m/>
    <n v="1438.8138130482339"/>
    <n v="316.97983140624547"/>
    <n v="0"/>
    <n v="21860.9895"/>
    <n v="7337.6064999999999"/>
    <n v="0"/>
    <n v="24272.789026123708"/>
    <n v="5347.4497558233616"/>
  </r>
  <r>
    <s v="Regular"/>
    <x v="0"/>
    <x v="1"/>
    <x v="1"/>
    <x v="0"/>
    <x v="1"/>
    <x v="0"/>
    <x v="2"/>
    <x v="6"/>
    <n v="0"/>
    <n v="0"/>
    <n v="16.728000000000002"/>
    <n v="16.728000000000002"/>
    <n v="16.728000000000002"/>
    <n v="16.728000000000002"/>
    <n v="0"/>
    <x v="1"/>
    <n v="0"/>
    <n v="0"/>
    <n v="18"/>
    <n v="69"/>
    <n v="0"/>
    <n v="1295.8499999999999"/>
    <n v="434.95"/>
    <m/>
    <n v="1438.8138130482339"/>
    <n v="316.97983140624547"/>
    <n v="0"/>
    <n v="21676.978800000001"/>
    <n v="7275.8436000000002"/>
    <n v="0"/>
    <n v="24068.477464670857"/>
    <n v="5302.438619763675"/>
  </r>
  <r>
    <s v="Regular"/>
    <x v="0"/>
    <x v="1"/>
    <x v="1"/>
    <x v="0"/>
    <x v="1"/>
    <x v="0"/>
    <x v="2"/>
    <x v="7"/>
    <n v="0"/>
    <n v="0"/>
    <n v="19.248999999999999"/>
    <n v="19.248999999999999"/>
    <n v="19.248999999999999"/>
    <n v="19.248999999999999"/>
    <n v="0"/>
    <x v="1"/>
    <n v="0"/>
    <n v="0"/>
    <n v="18"/>
    <n v="69"/>
    <n v="0"/>
    <n v="1295.8499999999999"/>
    <n v="434.95"/>
    <m/>
    <n v="1438.8138130482339"/>
    <n v="316.97983140624547"/>
    <n v="0"/>
    <n v="24943.816649999997"/>
    <n v="8372.3525499999996"/>
    <n v="0"/>
    <n v="27695.727087365452"/>
    <n v="6101.5447747388189"/>
  </r>
  <r>
    <s v="Regular"/>
    <x v="0"/>
    <x v="1"/>
    <x v="1"/>
    <x v="0"/>
    <x v="1"/>
    <x v="0"/>
    <x v="2"/>
    <x v="8"/>
    <n v="0"/>
    <n v="0"/>
    <n v="12.563000000000001"/>
    <n v="12.563000000000001"/>
    <n v="12.563000000000001"/>
    <n v="12.563000000000001"/>
    <n v="0"/>
    <x v="1"/>
    <n v="0"/>
    <n v="0"/>
    <n v="18"/>
    <n v="69"/>
    <n v="0"/>
    <n v="1295.8499999999999"/>
    <n v="434.95"/>
    <m/>
    <n v="1438.8138130482339"/>
    <n v="316.97983140624547"/>
    <n v="0"/>
    <n v="16279.76355"/>
    <n v="5464.2768500000002"/>
    <n v="0"/>
    <n v="18075.817933324965"/>
    <n v="3982.2176219566618"/>
  </r>
  <r>
    <s v="Regular"/>
    <x v="0"/>
    <x v="1"/>
    <x v="1"/>
    <x v="0"/>
    <x v="1"/>
    <x v="0"/>
    <x v="2"/>
    <x v="9"/>
    <n v="0"/>
    <n v="0"/>
    <n v="13.327999999999999"/>
    <n v="13.327999999999999"/>
    <n v="13.327999999999999"/>
    <n v="13.327999999999999"/>
    <n v="0"/>
    <x v="1"/>
    <n v="0"/>
    <n v="0"/>
    <n v="18"/>
    <n v="69"/>
    <n v="0"/>
    <n v="1295.8499999999999"/>
    <n v="434.95"/>
    <m/>
    <n v="1438.8138130482339"/>
    <n v="316.97983140624547"/>
    <n v="0"/>
    <n v="17271.088799999998"/>
    <n v="5797.0135999999993"/>
    <n v="0"/>
    <n v="19176.51050030686"/>
    <n v="4224.7071929824397"/>
  </r>
  <r>
    <s v="Regular"/>
    <x v="0"/>
    <x v="1"/>
    <x v="1"/>
    <x v="0"/>
    <x v="1"/>
    <x v="0"/>
    <x v="2"/>
    <x v="10"/>
    <n v="0"/>
    <n v="0"/>
    <n v="12.855"/>
    <n v="12.855"/>
    <n v="12.855"/>
    <n v="12.855"/>
    <n v="0"/>
    <x v="1"/>
    <n v="0"/>
    <n v="0"/>
    <n v="18"/>
    <n v="69"/>
    <n v="0"/>
    <n v="1295.8499999999999"/>
    <n v="434.95"/>
    <m/>
    <n v="1438.8138130482339"/>
    <n v="316.97983140624547"/>
    <n v="0"/>
    <n v="16658.151750000001"/>
    <n v="5591.2822500000002"/>
    <n v="0"/>
    <n v="18495.951566735046"/>
    <n v="4074.7757327272857"/>
  </r>
  <r>
    <s v="PROJETADO"/>
    <x v="0"/>
    <x v="1"/>
    <x v="1"/>
    <x v="0"/>
    <x v="1"/>
    <x v="0"/>
    <x v="2"/>
    <x v="11"/>
    <n v="0"/>
    <n v="0"/>
    <n v="12.855"/>
    <n v="12.855"/>
    <n v="12.855"/>
    <n v="12.855"/>
    <n v="0"/>
    <x v="1"/>
    <n v="0"/>
    <n v="0"/>
    <n v="18"/>
    <n v="69"/>
    <n v="0"/>
    <n v="1295.8499999999999"/>
    <n v="434.95"/>
    <m/>
    <n v="1438.8138130482339"/>
    <n v="316.97983140624547"/>
    <n v="0"/>
    <n v="16658.151750000001"/>
    <n v="5591.2822500000002"/>
    <n v="0"/>
    <n v="18495.951566735046"/>
    <n v="4074.7757327272857"/>
  </r>
  <r>
    <s v="Regular"/>
    <x v="0"/>
    <x v="1"/>
    <x v="0"/>
    <x v="0"/>
    <x v="1"/>
    <x v="0"/>
    <x v="0"/>
    <x v="0"/>
    <n v="0"/>
    <n v="0"/>
    <n v="303.74400000000003"/>
    <n v="303.74400000000003"/>
    <n v="303.74400000000003"/>
    <n v="303.74400000000003"/>
    <n v="0"/>
    <x v="1"/>
    <n v="0"/>
    <n v="0"/>
    <n v="21"/>
    <n v="70"/>
    <n v="0"/>
    <n v="73.790000000000006"/>
    <n v="266.70999999999998"/>
    <m/>
    <n v="107.04184246109106"/>
    <n v="197.6895725142987"/>
    <n v="0"/>
    <n v="22413.269760000003"/>
    <n v="81011.562239999999"/>
    <n v="0"/>
    <n v="32513.317396501647"/>
    <n v="60047.021513783147"/>
  </r>
  <r>
    <s v="Regular"/>
    <x v="0"/>
    <x v="1"/>
    <x v="0"/>
    <x v="0"/>
    <x v="1"/>
    <x v="0"/>
    <x v="0"/>
    <x v="1"/>
    <n v="0"/>
    <n v="0"/>
    <n v="289.48399999999998"/>
    <n v="289.48399999999998"/>
    <n v="289.48399999999998"/>
    <n v="289.48399999999998"/>
    <n v="0"/>
    <x v="1"/>
    <n v="0"/>
    <n v="0"/>
    <n v="21"/>
    <n v="70"/>
    <n v="0"/>
    <n v="73.790000000000006"/>
    <n v="266.70999999999998"/>
    <m/>
    <n v="107.04184246109106"/>
    <n v="197.6895725142987"/>
    <n v="0"/>
    <n v="21361.024359999999"/>
    <n v="77208.277639999986"/>
    <n v="0"/>
    <n v="30986.900723006485"/>
    <n v="57227.968209729239"/>
  </r>
  <r>
    <s v="Regular"/>
    <x v="0"/>
    <x v="1"/>
    <x v="0"/>
    <x v="0"/>
    <x v="1"/>
    <x v="0"/>
    <x v="0"/>
    <x v="2"/>
    <n v="0"/>
    <n v="0"/>
    <n v="272.87900000000002"/>
    <n v="272.87900000000002"/>
    <n v="272.87900000000002"/>
    <n v="272.87900000000002"/>
    <n v="0"/>
    <x v="1"/>
    <n v="0"/>
    <n v="0"/>
    <n v="21"/>
    <n v="70"/>
    <n v="0"/>
    <n v="73.790000000000006"/>
    <n v="266.70999999999998"/>
    <m/>
    <n v="107.04184246109106"/>
    <n v="197.6895725142987"/>
    <n v="0"/>
    <n v="20135.741410000002"/>
    <n v="72779.558090000006"/>
    <n v="0"/>
    <n v="29209.470928940071"/>
    <n v="53945.332858129317"/>
  </r>
  <r>
    <s v="Regular"/>
    <x v="0"/>
    <x v="1"/>
    <x v="0"/>
    <x v="0"/>
    <x v="1"/>
    <x v="0"/>
    <x v="0"/>
    <x v="3"/>
    <n v="0"/>
    <n v="0"/>
    <n v="281.43900000000002"/>
    <n v="281.43900000000002"/>
    <n v="281.43900000000002"/>
    <n v="281.43900000000002"/>
    <n v="0"/>
    <x v="1"/>
    <n v="0"/>
    <n v="0"/>
    <n v="21"/>
    <n v="70"/>
    <n v="0"/>
    <n v="73.790000000000006"/>
    <n v="266.70999999999998"/>
    <m/>
    <n v="107.04184246109106"/>
    <n v="197.6895725142987"/>
    <n v="0"/>
    <n v="20767.383810000003"/>
    <n v="75062.595690000002"/>
    <n v="0"/>
    <n v="30125.749100407011"/>
    <n v="55637.555598851715"/>
  </r>
  <r>
    <s v="Regular"/>
    <x v="0"/>
    <x v="1"/>
    <x v="0"/>
    <x v="0"/>
    <x v="1"/>
    <x v="0"/>
    <x v="0"/>
    <x v="4"/>
    <n v="0"/>
    <n v="0"/>
    <n v="267.35599999999999"/>
    <n v="267.35599999999999"/>
    <n v="267.35599999999999"/>
    <n v="267.355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9728.199240000002"/>
    <n v="71306.518759999992"/>
    <n v="0"/>
    <n v="28618.278833027463"/>
    <n v="52853.493349132841"/>
  </r>
  <r>
    <s v="Regular"/>
    <x v="0"/>
    <x v="1"/>
    <x v="0"/>
    <x v="0"/>
    <x v="1"/>
    <x v="0"/>
    <x v="0"/>
    <x v="5"/>
    <n v="0"/>
    <n v="0"/>
    <n v="243.958"/>
    <n v="243.958"/>
    <n v="243.958"/>
    <n v="243.958"/>
    <n v="0"/>
    <x v="1"/>
    <n v="0"/>
    <n v="0"/>
    <n v="21"/>
    <n v="70"/>
    <n v="0"/>
    <n v="73.790000000000006"/>
    <n v="266.70999999999998"/>
    <m/>
    <n v="107.04184246109106"/>
    <n v="197.6895725142987"/>
    <n v="0"/>
    <n v="18001.660820000001"/>
    <n v="65066.038179999996"/>
    <n v="0"/>
    <n v="26113.713803122853"/>
    <n v="48227.952731443285"/>
  </r>
  <r>
    <s v="Regular"/>
    <x v="0"/>
    <x v="1"/>
    <x v="0"/>
    <x v="0"/>
    <x v="1"/>
    <x v="0"/>
    <x v="0"/>
    <x v="6"/>
    <n v="0"/>
    <n v="0"/>
    <n v="279.60899999999998"/>
    <n v="279.60899999999998"/>
    <n v="279.60899999999998"/>
    <n v="279.60899999999998"/>
    <n v="0"/>
    <x v="1"/>
    <n v="0"/>
    <n v="0"/>
    <n v="21"/>
    <n v="70"/>
    <n v="0"/>
    <n v="73.790000000000006"/>
    <n v="266.70999999999998"/>
    <m/>
    <n v="107.04184246109106"/>
    <n v="197.6895725142987"/>
    <n v="0"/>
    <n v="20632.348109999999"/>
    <n v="74574.51638999999"/>
    <n v="0"/>
    <n v="29929.862528703208"/>
    <n v="55275.78368115054"/>
  </r>
  <r>
    <s v="Regular"/>
    <x v="0"/>
    <x v="1"/>
    <x v="0"/>
    <x v="0"/>
    <x v="1"/>
    <x v="0"/>
    <x v="0"/>
    <x v="7"/>
    <n v="0"/>
    <n v="0"/>
    <n v="312.495"/>
    <n v="312.495"/>
    <n v="312.495"/>
    <n v="312.495"/>
    <n v="0"/>
    <x v="1"/>
    <n v="0"/>
    <n v="0"/>
    <n v="21"/>
    <n v="70"/>
    <n v="0"/>
    <n v="73.790000000000006"/>
    <n v="266.70999999999998"/>
    <m/>
    <n v="107.04184246109106"/>
    <n v="197.6895725142987"/>
    <n v="0"/>
    <n v="23059.006050000004"/>
    <n v="83345.54144999999"/>
    <n v="0"/>
    <n v="33450.040559878653"/>
    <n v="61777.002962855775"/>
  </r>
  <r>
    <s v="Regular"/>
    <x v="0"/>
    <x v="1"/>
    <x v="0"/>
    <x v="0"/>
    <x v="1"/>
    <x v="0"/>
    <x v="0"/>
    <x v="8"/>
    <n v="0"/>
    <n v="0"/>
    <n v="284.56400000000002"/>
    <n v="284.56400000000002"/>
    <n v="284.56400000000002"/>
    <n v="284.56400000000002"/>
    <n v="0"/>
    <x v="1"/>
    <n v="0"/>
    <n v="0"/>
    <n v="21"/>
    <n v="70"/>
    <n v="0"/>
    <n v="73.790000000000006"/>
    <n v="266.70999999999998"/>
    <m/>
    <n v="107.04184246109106"/>
    <n v="197.6895725142987"/>
    <n v="0"/>
    <n v="20997.977560000003"/>
    <n v="75896.064440000002"/>
    <n v="0"/>
    <n v="30460.25485809792"/>
    <n v="56255.335512958904"/>
  </r>
  <r>
    <s v="Regular"/>
    <x v="0"/>
    <x v="1"/>
    <x v="0"/>
    <x v="0"/>
    <x v="1"/>
    <x v="0"/>
    <x v="0"/>
    <x v="9"/>
    <n v="0"/>
    <n v="0"/>
    <n v="324.16500000000002"/>
    <n v="324.16500000000002"/>
    <n v="324.16500000000002"/>
    <n v="324.16500000000002"/>
    <n v="0"/>
    <x v="1"/>
    <n v="0"/>
    <n v="0"/>
    <n v="21"/>
    <n v="70"/>
    <n v="0"/>
    <n v="73.790000000000006"/>
    <n v="266.70999999999998"/>
    <m/>
    <n v="107.04184246109106"/>
    <n v="197.6895725142987"/>
    <n v="0"/>
    <n v="23920.135350000004"/>
    <n v="86458.047149999999"/>
    <n v="0"/>
    <n v="34699.21886139959"/>
    <n v="64084.040274097642"/>
  </r>
  <r>
    <s v="Regular"/>
    <x v="0"/>
    <x v="1"/>
    <x v="0"/>
    <x v="0"/>
    <x v="1"/>
    <x v="0"/>
    <x v="0"/>
    <x v="10"/>
    <n v="0"/>
    <n v="0"/>
    <n v="287.36500000000001"/>
    <n v="287.36500000000001"/>
    <n v="287.36500000000001"/>
    <n v="287.36500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21204.663350000003"/>
    <n v="76643.119149999999"/>
    <n v="0"/>
    <n v="30760.079058831434"/>
    <n v="56809.064005571447"/>
  </r>
  <r>
    <s v="PROJETADO"/>
    <x v="0"/>
    <x v="1"/>
    <x v="0"/>
    <x v="0"/>
    <x v="1"/>
    <x v="0"/>
    <x v="0"/>
    <x v="11"/>
    <n v="0"/>
    <n v="0"/>
    <n v="287.36500000000001"/>
    <n v="287.36500000000001"/>
    <n v="287.36500000000001"/>
    <n v="287.36500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21204.663350000003"/>
    <n v="76643.119149999999"/>
    <n v="0"/>
    <n v="30760.079058831434"/>
    <n v="56809.064005571447"/>
  </r>
  <r>
    <s v="Regular"/>
    <x v="0"/>
    <x v="1"/>
    <x v="0"/>
    <x v="0"/>
    <x v="1"/>
    <x v="0"/>
    <x v="1"/>
    <x v="0"/>
    <n v="1735"/>
    <n v="1735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824.65"/>
    <n v="0"/>
    <n v="0"/>
    <n v="32678.468296547468"/>
    <n v="0"/>
    <n v="0"/>
  </r>
  <r>
    <s v="Regular"/>
    <x v="0"/>
    <x v="1"/>
    <x v="0"/>
    <x v="0"/>
    <x v="1"/>
    <x v="0"/>
    <x v="1"/>
    <x v="1"/>
    <n v="1718"/>
    <n v="1718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532.420000000002"/>
    <n v="0"/>
    <n v="0"/>
    <n v="32358.275811797437"/>
    <n v="0"/>
    <n v="0"/>
  </r>
  <r>
    <s v="Regular"/>
    <x v="0"/>
    <x v="1"/>
    <x v="0"/>
    <x v="0"/>
    <x v="1"/>
    <x v="0"/>
    <x v="1"/>
    <x v="2"/>
    <n v="1701"/>
    <n v="1701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240.190000000002"/>
    <n v="0"/>
    <n v="0"/>
    <n v="32038.083327047403"/>
    <n v="0"/>
    <n v="0"/>
  </r>
  <r>
    <s v="Regular"/>
    <x v="0"/>
    <x v="1"/>
    <x v="0"/>
    <x v="0"/>
    <x v="1"/>
    <x v="0"/>
    <x v="1"/>
    <x v="3"/>
    <n v="1707"/>
    <n v="1707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343.33"/>
    <n v="0"/>
    <n v="0"/>
    <n v="32151.09243931212"/>
    <n v="0"/>
    <n v="0"/>
  </r>
  <r>
    <s v="Regular"/>
    <x v="0"/>
    <x v="1"/>
    <x v="0"/>
    <x v="0"/>
    <x v="1"/>
    <x v="0"/>
    <x v="1"/>
    <x v="4"/>
    <n v="1732"/>
    <n v="1732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773.08"/>
    <n v="0"/>
    <n v="0"/>
    <n v="32621.963740415111"/>
    <n v="0"/>
    <n v="0"/>
  </r>
  <r>
    <s v="Regular"/>
    <x v="0"/>
    <x v="1"/>
    <x v="0"/>
    <x v="0"/>
    <x v="1"/>
    <x v="0"/>
    <x v="1"/>
    <x v="5"/>
    <n v="1740"/>
    <n v="1740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910.600000000002"/>
    <n v="0"/>
    <n v="0"/>
    <n v="32772.642556768064"/>
    <n v="0"/>
    <n v="0"/>
  </r>
  <r>
    <s v="Regular"/>
    <x v="0"/>
    <x v="1"/>
    <x v="0"/>
    <x v="0"/>
    <x v="1"/>
    <x v="0"/>
    <x v="1"/>
    <x v="6"/>
    <n v="1747"/>
    <n v="1747"/>
    <n v="0"/>
    <n v="0"/>
    <n v="0"/>
    <n v="0"/>
    <n v="10"/>
    <x v="1"/>
    <n v="0"/>
    <n v="15"/>
    <n v="0"/>
    <n v="0"/>
    <n v="17.190000000000001"/>
    <n v="0"/>
    <n v="0"/>
    <n v="18.834852044119579"/>
    <m/>
    <m/>
    <n v="30030.930000000004"/>
    <n v="0"/>
    <n v="0"/>
    <n v="32904.486521076906"/>
    <n v="0"/>
    <n v="0"/>
  </r>
  <r>
    <s v="Regular"/>
    <x v="0"/>
    <x v="1"/>
    <x v="0"/>
    <x v="0"/>
    <x v="1"/>
    <x v="0"/>
    <x v="1"/>
    <x v="7"/>
    <n v="1748"/>
    <n v="1748"/>
    <n v="0"/>
    <n v="0"/>
    <n v="0"/>
    <n v="0"/>
    <n v="10"/>
    <x v="1"/>
    <n v="0"/>
    <n v="15"/>
    <n v="0"/>
    <n v="0"/>
    <n v="17.190000000000001"/>
    <n v="0"/>
    <n v="0"/>
    <n v="18.834852044119579"/>
    <m/>
    <m/>
    <n v="30048.120000000003"/>
    <n v="0"/>
    <n v="0"/>
    <n v="32923.321373121027"/>
    <n v="0"/>
    <n v="0"/>
  </r>
  <r>
    <s v="Regular"/>
    <x v="0"/>
    <x v="1"/>
    <x v="0"/>
    <x v="0"/>
    <x v="1"/>
    <x v="0"/>
    <x v="1"/>
    <x v="8"/>
    <n v="1724"/>
    <n v="1724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635.56"/>
    <n v="0"/>
    <n v="0"/>
    <n v="32471.284924062154"/>
    <n v="0"/>
    <n v="0"/>
  </r>
  <r>
    <s v="Regular"/>
    <x v="0"/>
    <x v="1"/>
    <x v="0"/>
    <x v="0"/>
    <x v="1"/>
    <x v="0"/>
    <x v="1"/>
    <x v="9"/>
    <n v="1734"/>
    <n v="1734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807.460000000003"/>
    <n v="0"/>
    <n v="0"/>
    <n v="32659.63344450335"/>
    <n v="0"/>
    <n v="0"/>
  </r>
  <r>
    <s v="Regular"/>
    <x v="0"/>
    <x v="1"/>
    <x v="0"/>
    <x v="0"/>
    <x v="1"/>
    <x v="0"/>
    <x v="1"/>
    <x v="10"/>
    <n v="1748"/>
    <n v="1748"/>
    <n v="0"/>
    <n v="0"/>
    <n v="0"/>
    <n v="0"/>
    <n v="10"/>
    <x v="1"/>
    <n v="0"/>
    <n v="15"/>
    <n v="0"/>
    <n v="0"/>
    <n v="17.190000000000001"/>
    <n v="0"/>
    <n v="0"/>
    <n v="18.834852044119579"/>
    <m/>
    <m/>
    <n v="30048.120000000003"/>
    <n v="0"/>
    <n v="0"/>
    <n v="32923.321373121027"/>
    <n v="0"/>
    <n v="0"/>
  </r>
  <r>
    <s v="PROJETADO"/>
    <x v="0"/>
    <x v="1"/>
    <x v="0"/>
    <x v="0"/>
    <x v="1"/>
    <x v="0"/>
    <x v="1"/>
    <x v="11"/>
    <n v="1748"/>
    <n v="1748"/>
    <n v="0"/>
    <n v="0"/>
    <n v="0"/>
    <n v="0"/>
    <n v="10"/>
    <x v="1"/>
    <n v="0"/>
    <n v="15"/>
    <n v="0"/>
    <n v="0"/>
    <n v="17.190000000000001"/>
    <n v="0"/>
    <n v="0"/>
    <n v="18.834852044119579"/>
    <m/>
    <m/>
    <n v="30048.120000000003"/>
    <n v="0"/>
    <n v="0"/>
    <n v="32923.321373121027"/>
    <n v="0"/>
    <n v="0"/>
  </r>
  <r>
    <s v="Regular"/>
    <x v="0"/>
    <x v="1"/>
    <x v="0"/>
    <x v="0"/>
    <x v="1"/>
    <x v="0"/>
    <x v="2"/>
    <x v="0"/>
    <n v="0"/>
    <n v="0"/>
    <n v="6.9489999999999998"/>
    <n v="6.9489999999999998"/>
    <n v="6.9489999999999998"/>
    <n v="6.9489999999999998"/>
    <n v="0"/>
    <x v="1"/>
    <n v="0"/>
    <n v="0"/>
    <n v="18"/>
    <n v="69"/>
    <n v="0"/>
    <n v="1295.8499999999999"/>
    <n v="434.95"/>
    <m/>
    <n v="1438.8138130482339"/>
    <n v="316.97983140624547"/>
    <n v="0"/>
    <n v="9004.8616499999989"/>
    <n v="3022.4675499999998"/>
    <n v="0"/>
    <n v="9998.3171868721765"/>
    <n v="2202.6928484419996"/>
  </r>
  <r>
    <s v="Regular"/>
    <x v="0"/>
    <x v="1"/>
    <x v="0"/>
    <x v="0"/>
    <x v="1"/>
    <x v="0"/>
    <x v="2"/>
    <x v="1"/>
    <n v="0"/>
    <n v="0"/>
    <n v="5.7329999999999997"/>
    <n v="5.7329999999999997"/>
    <n v="5.7329999999999997"/>
    <n v="5.7329999999999997"/>
    <n v="0"/>
    <x v="1"/>
    <n v="0"/>
    <n v="0"/>
    <n v="18"/>
    <n v="69"/>
    <n v="0"/>
    <n v="1295.8499999999999"/>
    <n v="434.95"/>
    <m/>
    <n v="1438.8138130482339"/>
    <n v="316.97983140624547"/>
    <n v="0"/>
    <n v="7429.1080499999989"/>
    <n v="2493.56835"/>
    <n v="0"/>
    <n v="8248.7195902055246"/>
    <n v="1817.2453734520052"/>
  </r>
  <r>
    <s v="Regular"/>
    <x v="0"/>
    <x v="1"/>
    <x v="0"/>
    <x v="0"/>
    <x v="1"/>
    <x v="0"/>
    <x v="2"/>
    <x v="2"/>
    <n v="0"/>
    <n v="0"/>
    <n v="5.7930000000000001"/>
    <n v="5.7930000000000001"/>
    <n v="5.7930000000000001"/>
    <n v="5.7930000000000001"/>
    <n v="0"/>
    <x v="1"/>
    <n v="0"/>
    <n v="0"/>
    <n v="18"/>
    <n v="69"/>
    <n v="0"/>
    <n v="1295.8499999999999"/>
    <n v="434.95"/>
    <m/>
    <n v="1438.8138130482339"/>
    <n v="316.97983140624547"/>
    <n v="0"/>
    <n v="7506.85905"/>
    <n v="2519.6653500000002"/>
    <n v="0"/>
    <n v="8335.0484189884191"/>
    <n v="1836.2641633363801"/>
  </r>
  <r>
    <s v="Regular"/>
    <x v="0"/>
    <x v="1"/>
    <x v="0"/>
    <x v="0"/>
    <x v="1"/>
    <x v="0"/>
    <x v="2"/>
    <x v="3"/>
    <n v="0"/>
    <n v="0"/>
    <n v="5.2130000000000001"/>
    <n v="5.2130000000000001"/>
    <n v="5.2130000000000001"/>
    <n v="5.2130000000000001"/>
    <n v="0"/>
    <x v="1"/>
    <n v="0"/>
    <n v="0"/>
    <n v="18"/>
    <n v="69"/>
    <n v="0"/>
    <n v="1295.8499999999999"/>
    <n v="434.95"/>
    <m/>
    <n v="1438.8138130482339"/>
    <n v="316.97983140624547"/>
    <n v="0"/>
    <n v="6755.2660499999993"/>
    <n v="2267.39435"/>
    <n v="0"/>
    <n v="7500.5364074204435"/>
    <n v="1652.4158611207577"/>
  </r>
  <r>
    <s v="Regular"/>
    <x v="0"/>
    <x v="1"/>
    <x v="0"/>
    <x v="0"/>
    <x v="1"/>
    <x v="0"/>
    <x v="2"/>
    <x v="4"/>
    <n v="0"/>
    <n v="0"/>
    <n v="6.1479999999999997"/>
    <n v="6.1479999999999997"/>
    <n v="6.1479999999999997"/>
    <n v="6.1479999999999997"/>
    <n v="0"/>
    <x v="1"/>
    <n v="0"/>
    <n v="0"/>
    <n v="18"/>
    <n v="69"/>
    <n v="0"/>
    <n v="1295.8499999999999"/>
    <n v="434.95"/>
    <m/>
    <n v="1438.8138130482339"/>
    <n v="316.97983140624547"/>
    <n v="0"/>
    <n v="7966.8857999999991"/>
    <n v="2674.0726"/>
    <n v="0"/>
    <n v="8845.827322620542"/>
    <n v="1948.792003485597"/>
  </r>
  <r>
    <s v="Regular"/>
    <x v="0"/>
    <x v="1"/>
    <x v="0"/>
    <x v="0"/>
    <x v="1"/>
    <x v="0"/>
    <x v="2"/>
    <x v="5"/>
    <n v="0"/>
    <n v="0"/>
    <n v="5.6349999999999998"/>
    <n v="5.6349999999999998"/>
    <n v="5.6349999999999998"/>
    <n v="5.6349999999999998"/>
    <n v="0"/>
    <x v="1"/>
    <n v="0"/>
    <n v="0"/>
    <n v="18"/>
    <n v="69"/>
    <n v="0"/>
    <n v="1295.8499999999999"/>
    <n v="434.95"/>
    <m/>
    <n v="1438.8138130482339"/>
    <n v="316.97983140624547"/>
    <n v="0"/>
    <n v="7302.1147499999988"/>
    <n v="2450.9432499999998"/>
    <n v="0"/>
    <n v="8107.7158365267978"/>
    <n v="1786.1813499741932"/>
  </r>
  <r>
    <s v="Regular"/>
    <x v="0"/>
    <x v="1"/>
    <x v="0"/>
    <x v="0"/>
    <x v="1"/>
    <x v="0"/>
    <x v="2"/>
    <x v="6"/>
    <n v="0"/>
    <n v="0"/>
    <n v="6.2969999999999997"/>
    <n v="6.2969999999999997"/>
    <n v="6.2969999999999997"/>
    <n v="6.2969999999999997"/>
    <n v="0"/>
    <x v="1"/>
    <n v="0"/>
    <n v="0"/>
    <n v="18"/>
    <n v="69"/>
    <n v="0"/>
    <n v="1295.8499999999999"/>
    <n v="434.95"/>
    <m/>
    <n v="1438.8138130482339"/>
    <n v="316.97983140624547"/>
    <n v="0"/>
    <n v="8159.9674499999992"/>
    <n v="2738.88015"/>
    <n v="0"/>
    <n v="9060.2105807647276"/>
    <n v="1996.0219983651275"/>
  </r>
  <r>
    <s v="Regular"/>
    <x v="0"/>
    <x v="1"/>
    <x v="0"/>
    <x v="0"/>
    <x v="1"/>
    <x v="0"/>
    <x v="2"/>
    <x v="7"/>
    <n v="0"/>
    <n v="0"/>
    <n v="6.0910000000000002"/>
    <n v="6.0910000000000002"/>
    <n v="6.0910000000000002"/>
    <n v="6.0910000000000002"/>
    <n v="0"/>
    <x v="1"/>
    <n v="0"/>
    <n v="0"/>
    <n v="18"/>
    <n v="69"/>
    <n v="0"/>
    <n v="1295.8499999999999"/>
    <n v="434.95"/>
    <m/>
    <n v="1438.8138130482339"/>
    <n v="316.97983140624547"/>
    <n v="0"/>
    <n v="7893.0223499999993"/>
    <n v="2649.2804500000002"/>
    <n v="0"/>
    <n v="8763.8149352767923"/>
    <n v="1930.7241530954411"/>
  </r>
  <r>
    <s v="Regular"/>
    <x v="0"/>
    <x v="1"/>
    <x v="0"/>
    <x v="0"/>
    <x v="1"/>
    <x v="0"/>
    <x v="2"/>
    <x v="8"/>
    <n v="0"/>
    <n v="0"/>
    <n v="4.9980000000000002"/>
    <n v="4.9980000000000002"/>
    <n v="4.9980000000000002"/>
    <n v="4.9980000000000002"/>
    <n v="0"/>
    <x v="1"/>
    <n v="0"/>
    <n v="0"/>
    <n v="18"/>
    <n v="69"/>
    <n v="0"/>
    <n v="1295.8499999999999"/>
    <n v="434.95"/>
    <m/>
    <n v="1438.8138130482339"/>
    <n v="316.97983140624547"/>
    <n v="0"/>
    <n v="6476.6583000000001"/>
    <n v="2173.8800999999999"/>
    <n v="0"/>
    <n v="7191.1914376150735"/>
    <n v="1584.2651973684149"/>
  </r>
  <r>
    <s v="Regular"/>
    <x v="0"/>
    <x v="1"/>
    <x v="0"/>
    <x v="0"/>
    <x v="1"/>
    <x v="0"/>
    <x v="2"/>
    <x v="9"/>
    <n v="0"/>
    <n v="0"/>
    <n v="5.8559999999999999"/>
    <n v="5.8559999999999999"/>
    <n v="5.8559999999999999"/>
    <n v="5.8559999999999999"/>
    <n v="0"/>
    <x v="1"/>
    <n v="0"/>
    <n v="0"/>
    <n v="18"/>
    <n v="69"/>
    <n v="0"/>
    <n v="1295.8499999999999"/>
    <n v="434.95"/>
    <m/>
    <n v="1438.8138130482339"/>
    <n v="316.97983140624547"/>
    <n v="0"/>
    <n v="7588.4975999999997"/>
    <n v="2547.0672"/>
    <n v="0"/>
    <n v="8425.6936892104568"/>
    <n v="1856.2338927149733"/>
  </r>
  <r>
    <s v="Regular"/>
    <x v="0"/>
    <x v="1"/>
    <x v="0"/>
    <x v="0"/>
    <x v="1"/>
    <x v="0"/>
    <x v="2"/>
    <x v="10"/>
    <n v="0"/>
    <n v="0"/>
    <n v="6.7539999999999996"/>
    <n v="6.7539999999999996"/>
    <n v="6.7539999999999996"/>
    <n v="6.7539999999999996"/>
    <n v="0"/>
    <x v="1"/>
    <n v="0"/>
    <n v="0"/>
    <n v="18"/>
    <n v="69"/>
    <n v="0"/>
    <n v="1295.8499999999999"/>
    <n v="434.95"/>
    <m/>
    <n v="1438.8138130482339"/>
    <n v="316.97983140624547"/>
    <n v="0"/>
    <n v="8752.1708999999992"/>
    <n v="2937.6522999999997"/>
    <n v="0"/>
    <n v="9717.7484933277719"/>
    <n v="2140.8817813177816"/>
  </r>
  <r>
    <s v="PROJETADO"/>
    <x v="0"/>
    <x v="1"/>
    <x v="0"/>
    <x v="0"/>
    <x v="1"/>
    <x v="0"/>
    <x v="2"/>
    <x v="11"/>
    <n v="0"/>
    <n v="0"/>
    <n v="6.7539999999999996"/>
    <n v="6.7539999999999996"/>
    <n v="6.7539999999999996"/>
    <n v="6.7539999999999996"/>
    <n v="0"/>
    <x v="1"/>
    <n v="0"/>
    <n v="0"/>
    <n v="18"/>
    <n v="69"/>
    <n v="0"/>
    <n v="1295.8499999999999"/>
    <n v="434.95"/>
    <m/>
    <n v="1438.8138130482339"/>
    <n v="316.97983140624547"/>
    <n v="0"/>
    <n v="8752.1708999999992"/>
    <n v="2937.6522999999997"/>
    <n v="0"/>
    <n v="9717.7484933277719"/>
    <n v="2140.8817813177816"/>
  </r>
  <r>
    <s v="Regular"/>
    <x v="0"/>
    <x v="1"/>
    <x v="2"/>
    <x v="0"/>
    <x v="1"/>
    <x v="0"/>
    <x v="0"/>
    <x v="0"/>
    <n v="0"/>
    <n v="0"/>
    <n v="7.9420000000000002"/>
    <n v="7.9420000000000002"/>
    <n v="7.9420000000000002"/>
    <n v="7.9420000000000002"/>
    <n v="0"/>
    <x v="1"/>
    <n v="0"/>
    <n v="0"/>
    <n v="21"/>
    <n v="70"/>
    <n v="0"/>
    <n v="73.790000000000006"/>
    <n v="266.70999999999998"/>
    <m/>
    <n v="107.04184246109106"/>
    <n v="197.6895725142987"/>
    <n v="0"/>
    <n v="586.04018000000008"/>
    <n v="2118.2108199999998"/>
    <n v="0"/>
    <n v="850.12631282598522"/>
    <n v="1570.0505849085603"/>
  </r>
  <r>
    <s v="Regular"/>
    <x v="0"/>
    <x v="1"/>
    <x v="2"/>
    <x v="0"/>
    <x v="1"/>
    <x v="0"/>
    <x v="0"/>
    <x v="1"/>
    <n v="0"/>
    <n v="0"/>
    <n v="6.1440000000000001"/>
    <n v="6.1440000000000001"/>
    <n v="6.1440000000000001"/>
    <n v="6.1440000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453.36576000000002"/>
    <n v="1638.66624"/>
    <n v="0"/>
    <n v="657.66508008094354"/>
    <n v="1214.6047335278513"/>
  </r>
  <r>
    <s v="Regular"/>
    <x v="0"/>
    <x v="1"/>
    <x v="2"/>
    <x v="0"/>
    <x v="1"/>
    <x v="0"/>
    <x v="0"/>
    <x v="2"/>
    <n v="0"/>
    <n v="0"/>
    <n v="5.9240000000000004"/>
    <n v="5.9240000000000004"/>
    <n v="5.9240000000000004"/>
    <n v="5.9240000000000004"/>
    <n v="0"/>
    <x v="1"/>
    <n v="0"/>
    <n v="0"/>
    <n v="21"/>
    <n v="70"/>
    <n v="0"/>
    <n v="73.790000000000006"/>
    <n v="266.70999999999998"/>
    <m/>
    <n v="107.04184246109106"/>
    <n v="197.6895725142987"/>
    <n v="0"/>
    <n v="437.13196000000005"/>
    <n v="1579.9900399999999"/>
    <n v="0"/>
    <n v="634.11587473950351"/>
    <n v="1171.1130275747055"/>
  </r>
  <r>
    <s v="Regular"/>
    <x v="0"/>
    <x v="1"/>
    <x v="2"/>
    <x v="0"/>
    <x v="1"/>
    <x v="0"/>
    <x v="0"/>
    <x v="3"/>
    <n v="0"/>
    <n v="0"/>
    <n v="8.7520000000000007"/>
    <n v="8.7520000000000007"/>
    <n v="8.7520000000000007"/>
    <n v="8.7520000000000007"/>
    <n v="0"/>
    <x v="1"/>
    <n v="0"/>
    <n v="0"/>
    <n v="21"/>
    <n v="70"/>
    <n v="0"/>
    <n v="73.790000000000006"/>
    <n v="266.70999999999998"/>
    <m/>
    <n v="107.04184246109106"/>
    <n v="197.6895725142987"/>
    <n v="0"/>
    <n v="645.81008000000008"/>
    <n v="2334.2459199999998"/>
    <n v="0"/>
    <n v="936.83020521946912"/>
    <n v="1730.1791386451423"/>
  </r>
  <r>
    <s v="Regular"/>
    <x v="0"/>
    <x v="1"/>
    <x v="2"/>
    <x v="0"/>
    <x v="1"/>
    <x v="0"/>
    <x v="0"/>
    <x v="4"/>
    <n v="0"/>
    <n v="0"/>
    <n v="8.3049999999999997"/>
    <n v="8.3049999999999997"/>
    <n v="8.3049999999999997"/>
    <n v="8.3049999999999997"/>
    <n v="0"/>
    <x v="1"/>
    <n v="0"/>
    <n v="0"/>
    <n v="21"/>
    <n v="70"/>
    <n v="0"/>
    <n v="73.790000000000006"/>
    <n v="266.70999999999998"/>
    <m/>
    <n v="107.04184246109106"/>
    <n v="197.6895725142987"/>
    <n v="0"/>
    <n v="612.82595000000003"/>
    <n v="2215.0265499999996"/>
    <n v="0"/>
    <n v="888.98250163936132"/>
    <n v="1641.8118997312506"/>
  </r>
  <r>
    <s v="Regular"/>
    <x v="0"/>
    <x v="1"/>
    <x v="2"/>
    <x v="0"/>
    <x v="1"/>
    <x v="0"/>
    <x v="0"/>
    <x v="5"/>
    <n v="0"/>
    <n v="0"/>
    <n v="8.02"/>
    <n v="8.02"/>
    <n v="8.02"/>
    <n v="8.02"/>
    <n v="0"/>
    <x v="1"/>
    <n v="0"/>
    <n v="0"/>
    <n v="21"/>
    <n v="70"/>
    <n v="0"/>
    <n v="73.790000000000006"/>
    <n v="266.70999999999998"/>
    <m/>
    <n v="107.04184246109106"/>
    <n v="197.6895725142987"/>
    <n v="0"/>
    <n v="591.79579999999999"/>
    <n v="2139.0141999999996"/>
    <n v="0"/>
    <n v="858.47557653795025"/>
    <n v="1585.4703715646756"/>
  </r>
  <r>
    <s v="Regular"/>
    <x v="0"/>
    <x v="1"/>
    <x v="2"/>
    <x v="0"/>
    <x v="1"/>
    <x v="0"/>
    <x v="0"/>
    <x v="6"/>
    <n v="0"/>
    <n v="0"/>
    <n v="9.1739999999999995"/>
    <n v="9.1739999999999995"/>
    <n v="9.1739999999999995"/>
    <n v="9.1739999999999995"/>
    <n v="0"/>
    <x v="1"/>
    <n v="0"/>
    <n v="0"/>
    <n v="21"/>
    <n v="70"/>
    <n v="0"/>
    <n v="73.790000000000006"/>
    <n v="266.70999999999998"/>
    <m/>
    <n v="107.04184246109106"/>
    <n v="197.6895725142987"/>
    <n v="0"/>
    <n v="676.94946000000004"/>
    <n v="2446.7975399999996"/>
    <n v="0"/>
    <n v="982.00186273804934"/>
    <n v="1813.6041382461763"/>
  </r>
  <r>
    <s v="Regular"/>
    <x v="0"/>
    <x v="1"/>
    <x v="2"/>
    <x v="0"/>
    <x v="1"/>
    <x v="0"/>
    <x v="0"/>
    <x v="7"/>
    <n v="0"/>
    <n v="0"/>
    <n v="7.5529999999999999"/>
    <n v="7.5529999999999999"/>
    <n v="7.5529999999999999"/>
    <n v="7.55299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557.33587"/>
    <n v="2014.4606299999998"/>
    <n v="0"/>
    <n v="808.48703610862083"/>
    <n v="1493.1493412004982"/>
  </r>
  <r>
    <s v="Regular"/>
    <x v="0"/>
    <x v="1"/>
    <x v="2"/>
    <x v="0"/>
    <x v="1"/>
    <x v="0"/>
    <x v="0"/>
    <x v="8"/>
    <n v="0"/>
    <n v="0"/>
    <n v="5.3319999999999999"/>
    <n v="5.3319999999999999"/>
    <n v="5.3319999999999999"/>
    <n v="5.33199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393.44828000000001"/>
    <n v="1422.0977199999998"/>
    <n v="0"/>
    <n v="570.74710400253753"/>
    <n v="1054.0808006462407"/>
  </r>
  <r>
    <s v="Regular"/>
    <x v="0"/>
    <x v="1"/>
    <x v="2"/>
    <x v="0"/>
    <x v="1"/>
    <x v="0"/>
    <x v="0"/>
    <x v="9"/>
    <n v="0"/>
    <n v="0"/>
    <n v="7.4889999999999999"/>
    <n v="7.4889999999999999"/>
    <n v="7.4889999999999999"/>
    <n v="7.48899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552.61331000000007"/>
    <n v="1997.3911899999998"/>
    <n v="0"/>
    <n v="801.63635819111096"/>
    <n v="1480.497208559583"/>
  </r>
  <r>
    <s v="Regular"/>
    <x v="0"/>
    <x v="1"/>
    <x v="2"/>
    <x v="0"/>
    <x v="1"/>
    <x v="0"/>
    <x v="0"/>
    <x v="10"/>
    <n v="0"/>
    <n v="0"/>
    <n v="7.5709999999999997"/>
    <n v="7.5709999999999997"/>
    <n v="7.5709999999999997"/>
    <n v="7.5709999999999997"/>
    <n v="0"/>
    <x v="1"/>
    <n v="0"/>
    <n v="0"/>
    <n v="21"/>
    <n v="70"/>
    <n v="0"/>
    <n v="73.790000000000006"/>
    <n v="266.70999999999998"/>
    <m/>
    <n v="107.04184246109106"/>
    <n v="197.6895725142987"/>
    <n v="0"/>
    <n v="558.66408999999999"/>
    <n v="2019.2614099999998"/>
    <n v="0"/>
    <n v="810.41378927292044"/>
    <n v="1496.7077535057554"/>
  </r>
  <r>
    <s v="PROJETADO"/>
    <x v="0"/>
    <x v="1"/>
    <x v="2"/>
    <x v="0"/>
    <x v="1"/>
    <x v="0"/>
    <x v="0"/>
    <x v="11"/>
    <n v="0"/>
    <n v="0"/>
    <n v="7.5709999999999997"/>
    <n v="7.5709999999999997"/>
    <n v="7.5709999999999997"/>
    <n v="7.5709999999999997"/>
    <n v="0"/>
    <x v="1"/>
    <n v="0"/>
    <n v="0"/>
    <n v="21"/>
    <n v="70"/>
    <n v="0"/>
    <n v="73.790000000000006"/>
    <n v="266.70999999999998"/>
    <m/>
    <n v="107.04184246109106"/>
    <n v="197.6895725142987"/>
    <n v="0"/>
    <n v="558.66408999999999"/>
    <n v="2019.2614099999998"/>
    <n v="0"/>
    <n v="810.41378927292044"/>
    <n v="1496.7077535057554"/>
  </r>
  <r>
    <s v="Regular"/>
    <x v="0"/>
    <x v="1"/>
    <x v="2"/>
    <x v="0"/>
    <x v="1"/>
    <x v="0"/>
    <x v="1"/>
    <x v="0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1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2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3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4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5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6"/>
    <n v="100"/>
    <n v="100"/>
    <n v="0"/>
    <n v="0"/>
    <n v="0"/>
    <n v="0"/>
    <n v="1"/>
    <x v="1"/>
    <n v="0"/>
    <n v="15"/>
    <n v="0"/>
    <n v="0"/>
    <n v="17.190000000000001"/>
    <n v="0"/>
    <n v="0"/>
    <n v="18.834852044119579"/>
    <m/>
    <m/>
    <n v="1719.0000000000002"/>
    <n v="0"/>
    <n v="0"/>
    <n v="1883.485204411958"/>
    <n v="0"/>
    <n v="0"/>
  </r>
  <r>
    <s v="Regular"/>
    <x v="0"/>
    <x v="1"/>
    <x v="2"/>
    <x v="0"/>
    <x v="1"/>
    <x v="0"/>
    <x v="1"/>
    <x v="7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8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9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10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PROJETADO"/>
    <x v="0"/>
    <x v="1"/>
    <x v="2"/>
    <x v="0"/>
    <x v="1"/>
    <x v="0"/>
    <x v="1"/>
    <x v="11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2"/>
    <x v="0"/>
    <n v="0"/>
    <n v="0"/>
    <n v="0.80200000000000005"/>
    <n v="0.80200000000000005"/>
    <n v="0.80200000000000005"/>
    <n v="0.80200000000000005"/>
    <n v="0"/>
    <x v="1"/>
    <n v="0"/>
    <n v="0"/>
    <n v="18"/>
    <n v="69"/>
    <n v="0"/>
    <n v="1295.8499999999999"/>
    <n v="434.95"/>
    <m/>
    <n v="1438.8138130482339"/>
    <n v="316.97983140624547"/>
    <n v="0"/>
    <n v="1039.2717"/>
    <n v="348.82990000000001"/>
    <n v="0"/>
    <n v="1153.9286780646837"/>
    <n v="254.21782478780887"/>
  </r>
  <r>
    <s v="Regular"/>
    <x v="0"/>
    <x v="1"/>
    <x v="2"/>
    <x v="0"/>
    <x v="1"/>
    <x v="0"/>
    <x v="2"/>
    <x v="1"/>
    <n v="0"/>
    <n v="0"/>
    <n v="0.61099999999999999"/>
    <n v="0.61099999999999999"/>
    <n v="0.61099999999999999"/>
    <n v="0.61099999999999999"/>
    <n v="0"/>
    <x v="1"/>
    <n v="0"/>
    <n v="0"/>
    <n v="18"/>
    <n v="69"/>
    <n v="0"/>
    <n v="1295.8499999999999"/>
    <n v="434.95"/>
    <m/>
    <n v="1438.8138130482339"/>
    <n v="316.97983140624547"/>
    <n v="0"/>
    <n v="791.76434999999992"/>
    <n v="265.75444999999996"/>
    <n v="0"/>
    <n v="879.11523977247089"/>
    <n v="193.67467698921598"/>
  </r>
  <r>
    <s v="Regular"/>
    <x v="0"/>
    <x v="1"/>
    <x v="2"/>
    <x v="0"/>
    <x v="1"/>
    <x v="0"/>
    <x v="2"/>
    <x v="2"/>
    <n v="0"/>
    <n v="0"/>
    <n v="0.59399999999999997"/>
    <n v="0.59399999999999997"/>
    <n v="0.59399999999999997"/>
    <n v="0.59399999999999997"/>
    <n v="0"/>
    <x v="1"/>
    <n v="0"/>
    <n v="0"/>
    <n v="18"/>
    <n v="69"/>
    <n v="0"/>
    <n v="1295.8499999999999"/>
    <n v="434.95"/>
    <m/>
    <n v="1438.8138130482339"/>
    <n v="316.97983140624547"/>
    <n v="0"/>
    <n v="769.73489999999993"/>
    <n v="258.3603"/>
    <n v="0"/>
    <n v="854.6554049506509"/>
    <n v="188.2860198553098"/>
  </r>
  <r>
    <s v="Regular"/>
    <x v="0"/>
    <x v="1"/>
    <x v="2"/>
    <x v="0"/>
    <x v="1"/>
    <x v="0"/>
    <x v="2"/>
    <x v="3"/>
    <n v="0"/>
    <n v="0"/>
    <n v="0.72"/>
    <n v="0.72"/>
    <n v="0.72"/>
    <n v="0.72"/>
    <n v="0"/>
    <x v="1"/>
    <n v="0"/>
    <n v="0"/>
    <n v="18"/>
    <n v="69"/>
    <n v="0"/>
    <n v="1295.8499999999999"/>
    <n v="434.95"/>
    <m/>
    <n v="1438.8138130482339"/>
    <n v="316.97983140624547"/>
    <n v="0"/>
    <n v="933.01199999999994"/>
    <n v="313.16399999999999"/>
    <n v="0"/>
    <n v="1035.9459453947284"/>
    <n v="228.22547861249672"/>
  </r>
  <r>
    <s v="Regular"/>
    <x v="0"/>
    <x v="1"/>
    <x v="2"/>
    <x v="0"/>
    <x v="1"/>
    <x v="0"/>
    <x v="2"/>
    <x v="4"/>
    <n v="0"/>
    <n v="0"/>
    <n v="0.77300000000000002"/>
    <n v="0.77300000000000002"/>
    <n v="0.77300000000000002"/>
    <n v="0.77300000000000002"/>
    <n v="0"/>
    <x v="1"/>
    <n v="0"/>
    <n v="0"/>
    <n v="18"/>
    <n v="69"/>
    <n v="0"/>
    <n v="1295.8499999999999"/>
    <n v="434.95"/>
    <m/>
    <n v="1438.8138130482339"/>
    <n v="316.97983140624547"/>
    <n v="0"/>
    <n v="1001.69205"/>
    <n v="336.21634999999998"/>
    <n v="0"/>
    <n v="1112.2030774862849"/>
    <n v="245.02540967702774"/>
  </r>
  <r>
    <s v="Regular"/>
    <x v="0"/>
    <x v="1"/>
    <x v="2"/>
    <x v="0"/>
    <x v="1"/>
    <x v="0"/>
    <x v="2"/>
    <x v="5"/>
    <n v="0"/>
    <n v="0"/>
    <n v="0.74099999999999999"/>
    <n v="0.74099999999999999"/>
    <n v="0.74099999999999999"/>
    <n v="0.74099999999999999"/>
    <n v="0"/>
    <x v="1"/>
    <n v="0"/>
    <n v="0"/>
    <n v="18"/>
    <n v="69"/>
    <n v="0"/>
    <n v="1295.8499999999999"/>
    <n v="434.95"/>
    <m/>
    <n v="1438.8138130482339"/>
    <n v="316.97983140624547"/>
    <n v="0"/>
    <n v="960.22484999999995"/>
    <n v="322.29795000000001"/>
    <n v="0"/>
    <n v="1066.1610354687414"/>
    <n v="234.8820550720279"/>
  </r>
  <r>
    <s v="Regular"/>
    <x v="0"/>
    <x v="1"/>
    <x v="2"/>
    <x v="0"/>
    <x v="1"/>
    <x v="0"/>
    <x v="2"/>
    <x v="6"/>
    <n v="0"/>
    <n v="0"/>
    <n v="0.89"/>
    <n v="0.89"/>
    <n v="0.89"/>
    <n v="0.89"/>
    <n v="0"/>
    <x v="1"/>
    <n v="0"/>
    <n v="0"/>
    <n v="18"/>
    <n v="69"/>
    <n v="0"/>
    <n v="1295.8499999999999"/>
    <n v="434.95"/>
    <m/>
    <n v="1438.8138130482339"/>
    <n v="316.97983140624547"/>
    <n v="0"/>
    <n v="1153.3064999999999"/>
    <n v="387.10550000000001"/>
    <n v="0"/>
    <n v="1280.5442936129282"/>
    <n v="282.11204995155845"/>
  </r>
  <r>
    <s v="Regular"/>
    <x v="0"/>
    <x v="1"/>
    <x v="2"/>
    <x v="0"/>
    <x v="1"/>
    <x v="0"/>
    <x v="2"/>
    <x v="7"/>
    <n v="0"/>
    <n v="0"/>
    <n v="0.70899999999999996"/>
    <n v="0.70899999999999996"/>
    <n v="0.70899999999999996"/>
    <n v="0.70899999999999996"/>
    <n v="0"/>
    <x v="1"/>
    <n v="0"/>
    <n v="0"/>
    <n v="18"/>
    <n v="69"/>
    <n v="0"/>
    <n v="1295.8499999999999"/>
    <n v="434.95"/>
    <m/>
    <n v="1438.8138130482339"/>
    <n v="316.97983140624547"/>
    <n v="0"/>
    <n v="918.7576499999999"/>
    <n v="308.37954999999999"/>
    <n v="0"/>
    <n v="1020.1189934511978"/>
    <n v="224.73870046702802"/>
  </r>
  <r>
    <s v="Regular"/>
    <x v="0"/>
    <x v="1"/>
    <x v="2"/>
    <x v="0"/>
    <x v="1"/>
    <x v="0"/>
    <x v="2"/>
    <x v="8"/>
    <n v="0"/>
    <n v="0"/>
    <n v="0.49099999999999999"/>
    <n v="0.49099999999999999"/>
    <n v="0.49099999999999999"/>
    <n v="0.49099999999999999"/>
    <n v="0"/>
    <x v="1"/>
    <n v="0"/>
    <n v="0"/>
    <n v="18"/>
    <n v="69"/>
    <n v="0"/>
    <n v="1295.8499999999999"/>
    <n v="434.95"/>
    <m/>
    <n v="1438.8138130482339"/>
    <n v="316.97983140624547"/>
    <n v="0"/>
    <n v="636.26234999999997"/>
    <n v="213.56045"/>
    <n v="0"/>
    <n v="706.45758220668279"/>
    <n v="155.63709722046653"/>
  </r>
  <r>
    <s v="Regular"/>
    <x v="0"/>
    <x v="1"/>
    <x v="2"/>
    <x v="0"/>
    <x v="1"/>
    <x v="0"/>
    <x v="2"/>
    <x v="9"/>
    <n v="0"/>
    <n v="0"/>
    <n v="0.73699999999999999"/>
    <n v="0.73699999999999999"/>
    <n v="0.73699999999999999"/>
    <n v="0.73699999999999999"/>
    <n v="0"/>
    <x v="1"/>
    <n v="0"/>
    <n v="0"/>
    <n v="18"/>
    <n v="69"/>
    <n v="0"/>
    <n v="1295.8499999999999"/>
    <n v="434.95"/>
    <m/>
    <n v="1438.8138130482339"/>
    <n v="316.97983140624547"/>
    <n v="0"/>
    <n v="955.04144999999994"/>
    <n v="320.55815000000001"/>
    <n v="0"/>
    <n v="1060.4057802165485"/>
    <n v="233.61413574640289"/>
  </r>
  <r>
    <s v="Regular"/>
    <x v="0"/>
    <x v="1"/>
    <x v="2"/>
    <x v="0"/>
    <x v="1"/>
    <x v="0"/>
    <x v="2"/>
    <x v="10"/>
    <n v="0"/>
    <n v="0"/>
    <n v="0.69099999999999995"/>
    <n v="0.69099999999999995"/>
    <n v="0.69099999999999995"/>
    <n v="0.69099999999999995"/>
    <n v="0"/>
    <x v="1"/>
    <n v="0"/>
    <n v="0"/>
    <n v="18"/>
    <n v="69"/>
    <n v="0"/>
    <n v="1295.8499999999999"/>
    <n v="434.95"/>
    <m/>
    <n v="1438.8138130482339"/>
    <n v="316.97983140624547"/>
    <n v="0"/>
    <n v="895.43234999999981"/>
    <n v="300.55044999999996"/>
    <n v="0"/>
    <n v="994.22034481632954"/>
    <n v="219.03306350171559"/>
  </r>
  <r>
    <s v="PROJETADO"/>
    <x v="0"/>
    <x v="1"/>
    <x v="2"/>
    <x v="0"/>
    <x v="1"/>
    <x v="0"/>
    <x v="2"/>
    <x v="11"/>
    <n v="0"/>
    <n v="0"/>
    <n v="0.69099999999999995"/>
    <n v="0.69099999999999995"/>
    <n v="0.69099999999999995"/>
    <n v="0.69099999999999995"/>
    <n v="0"/>
    <x v="1"/>
    <n v="0"/>
    <n v="0"/>
    <n v="18"/>
    <n v="69"/>
    <n v="0"/>
    <n v="1295.8499999999999"/>
    <n v="434.95"/>
    <m/>
    <n v="1438.8138130482339"/>
    <n v="316.97983140624547"/>
    <n v="0"/>
    <n v="895.43234999999981"/>
    <n v="300.55044999999996"/>
    <n v="0"/>
    <n v="994.22034481632954"/>
    <n v="219.03306350171559"/>
  </r>
  <r>
    <s v="Regular"/>
    <x v="0"/>
    <x v="1"/>
    <x v="3"/>
    <x v="1"/>
    <x v="1"/>
    <x v="0"/>
    <x v="0"/>
    <x v="0"/>
    <n v="0"/>
    <n v="0"/>
    <n v="91.888999999999996"/>
    <n v="86.375659999999996"/>
    <n v="91.888999999999996"/>
    <n v="86.375659999999996"/>
    <n v="0"/>
    <x v="1"/>
    <n v="0"/>
    <n v="0"/>
    <n v="21"/>
    <n v="70"/>
    <n v="0"/>
    <n v="73.790000000000006"/>
    <n v="266.70999999999998"/>
    <m/>
    <n v="107.04184246109106"/>
    <n v="197.6895725142987"/>
    <n v="0"/>
    <n v="6373.6599514"/>
    <n v="23037.252278599997"/>
    <n v="0"/>
    <n v="9245.8097901927649"/>
    <n v="17075.56730104041"/>
  </r>
  <r>
    <s v="Regular"/>
    <x v="0"/>
    <x v="1"/>
    <x v="3"/>
    <x v="1"/>
    <x v="1"/>
    <x v="0"/>
    <x v="0"/>
    <x v="1"/>
    <n v="0"/>
    <n v="0"/>
    <n v="105.346"/>
    <n v="99.025239999999997"/>
    <n v="105.346"/>
    <n v="99.025239999999997"/>
    <n v="0"/>
    <x v="1"/>
    <n v="0"/>
    <n v="0"/>
    <n v="21"/>
    <n v="70"/>
    <n v="0"/>
    <n v="73.790000000000006"/>
    <n v="266.70999999999998"/>
    <m/>
    <n v="107.04184246109106"/>
    <n v="197.6895725142987"/>
    <n v="0"/>
    <n v="7307.0724596"/>
    <n v="26411.021760399995"/>
    <n v="0"/>
    <n v="10599.844139751733"/>
    <n v="19576.257363725832"/>
  </r>
  <r>
    <s v="Regular"/>
    <x v="0"/>
    <x v="1"/>
    <x v="3"/>
    <x v="1"/>
    <x v="1"/>
    <x v="0"/>
    <x v="0"/>
    <x v="2"/>
    <n v="0"/>
    <n v="0"/>
    <n v="91.350999999999999"/>
    <n v="85.86994"/>
    <n v="91.350999999999999"/>
    <n v="85.86994"/>
    <n v="0"/>
    <x v="1"/>
    <n v="0"/>
    <n v="0"/>
    <n v="21"/>
    <n v="70"/>
    <n v="0"/>
    <n v="73.790000000000006"/>
    <n v="266.70999999999998"/>
    <m/>
    <n v="107.04184246109106"/>
    <n v="197.6895725142987"/>
    <n v="0"/>
    <n v="6336.3428726000002"/>
    <n v="22902.371697399998"/>
    <n v="0"/>
    <n v="9191.6765896233428"/>
    <n v="16975.591730428478"/>
  </r>
  <r>
    <s v="Regular"/>
    <x v="0"/>
    <x v="1"/>
    <x v="3"/>
    <x v="1"/>
    <x v="1"/>
    <x v="0"/>
    <x v="0"/>
    <x v="3"/>
    <n v="0"/>
    <n v="0"/>
    <n v="104.70699999999999"/>
    <n v="98.424580000000006"/>
    <n v="104.70699999999999"/>
    <n v="98.424580000000006"/>
    <n v="0"/>
    <x v="1"/>
    <n v="0"/>
    <n v="0"/>
    <n v="21"/>
    <n v="70"/>
    <n v="0"/>
    <n v="73.790000000000006"/>
    <n v="266.70999999999998"/>
    <m/>
    <n v="107.04184246109106"/>
    <n v="197.6895725142987"/>
    <n v="0"/>
    <n v="7262.7497582000015"/>
    <n v="26250.819731799998"/>
    <n v="0"/>
    <n v="10535.548386659055"/>
    <n v="19457.513145099394"/>
  </r>
  <r>
    <s v="Regular"/>
    <x v="0"/>
    <x v="1"/>
    <x v="3"/>
    <x v="1"/>
    <x v="1"/>
    <x v="0"/>
    <x v="0"/>
    <x v="4"/>
    <n v="0"/>
    <n v="0"/>
    <n v="120.598"/>
    <n v="113.36212"/>
    <n v="120.598"/>
    <n v="113.36212"/>
    <n v="0"/>
    <x v="1"/>
    <n v="0"/>
    <n v="0"/>
    <n v="21"/>
    <n v="70"/>
    <n v="0"/>
    <n v="73.790000000000006"/>
    <n v="266.70999999999998"/>
    <m/>
    <n v="107.04184246109106"/>
    <n v="197.6895725142987"/>
    <n v="0"/>
    <n v="8364.9908348000008"/>
    <n v="30234.811025200001"/>
    <n v="0"/>
    <n v="12134.490190095301"/>
    <n v="22410.509042114631"/>
  </r>
  <r>
    <s v="Regular"/>
    <x v="0"/>
    <x v="1"/>
    <x v="3"/>
    <x v="1"/>
    <x v="1"/>
    <x v="0"/>
    <x v="0"/>
    <x v="5"/>
    <n v="0"/>
    <n v="0"/>
    <n v="111.91200000000001"/>
    <n v="105.19728000000001"/>
    <n v="111.91200000000001"/>
    <n v="105.19728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7762.5072912000014"/>
    <n v="28057.1665488"/>
    <n v="0"/>
    <n v="11260.510673095287"/>
    <n v="20796.405312866988"/>
  </r>
  <r>
    <s v="Regular"/>
    <x v="0"/>
    <x v="1"/>
    <x v="3"/>
    <x v="1"/>
    <x v="1"/>
    <x v="0"/>
    <x v="0"/>
    <x v="6"/>
    <n v="0"/>
    <n v="0"/>
    <n v="101.56"/>
    <n v="95.466399999999993"/>
    <n v="101.56"/>
    <n v="95.466399999999993"/>
    <n v="0"/>
    <x v="1"/>
    <n v="0"/>
    <n v="0"/>
    <n v="21"/>
    <n v="70"/>
    <n v="0"/>
    <n v="73.790000000000006"/>
    <n v="266.70999999999998"/>
    <m/>
    <n v="107.04184246109106"/>
    <n v="197.6895725142987"/>
    <n v="0"/>
    <n v="7044.4656560000003"/>
    <n v="25461.843543999996"/>
    <n v="0"/>
    <n v="10218.899349127503"/>
    <n v="18872.711805479044"/>
  </r>
  <r>
    <s v="Regular"/>
    <x v="0"/>
    <x v="1"/>
    <x v="3"/>
    <x v="1"/>
    <x v="1"/>
    <x v="0"/>
    <x v="0"/>
    <x v="7"/>
    <n v="0"/>
    <n v="0"/>
    <n v="116.85"/>
    <n v="109.839"/>
    <n v="116.85"/>
    <n v="109.839"/>
    <n v="0"/>
    <x v="1"/>
    <n v="0"/>
    <n v="0"/>
    <n v="21"/>
    <n v="70"/>
    <n v="0"/>
    <n v="73.790000000000006"/>
    <n v="266.70999999999998"/>
    <m/>
    <n v="107.04184246109106"/>
    <n v="197.6895725142987"/>
    <n v="0"/>
    <n v="8105.0198100000007"/>
    <n v="29295.159689999997"/>
    <n v="0"/>
    <n v="11757.368934083781"/>
    <n v="21714.024955398054"/>
  </r>
  <r>
    <s v="Regular"/>
    <x v="0"/>
    <x v="1"/>
    <x v="3"/>
    <x v="1"/>
    <x v="1"/>
    <x v="0"/>
    <x v="0"/>
    <x v="8"/>
    <n v="0"/>
    <n v="0"/>
    <n v="105.839"/>
    <n v="99.488659999999996"/>
    <n v="105.839"/>
    <n v="99.488659999999996"/>
    <n v="0"/>
    <x v="1"/>
    <n v="0"/>
    <n v="0"/>
    <n v="21"/>
    <n v="70"/>
    <n v="0"/>
    <n v="73.790000000000006"/>
    <n v="266.70999999999998"/>
    <m/>
    <n v="107.04184246109106"/>
    <n v="197.6895725142987"/>
    <n v="0"/>
    <n v="7341.2682214000006"/>
    <n v="26534.620508599997"/>
    <n v="0"/>
    <n v="10649.449470385052"/>
    <n v="19667.870665420407"/>
  </r>
  <r>
    <s v="Regular"/>
    <x v="0"/>
    <x v="1"/>
    <x v="3"/>
    <x v="1"/>
    <x v="1"/>
    <x v="0"/>
    <x v="0"/>
    <x v="9"/>
    <n v="0"/>
    <n v="0"/>
    <n v="110.95099999999999"/>
    <n v="104.29394000000001"/>
    <n v="110.95099999999999"/>
    <n v="104.29394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7695.8498326000008"/>
    <n v="27816.236737399999"/>
    <n v="0"/>
    <n v="11163.815495126484"/>
    <n v="20617.824414431918"/>
  </r>
  <r>
    <s v="Regular"/>
    <x v="0"/>
    <x v="1"/>
    <x v="3"/>
    <x v="1"/>
    <x v="1"/>
    <x v="0"/>
    <x v="0"/>
    <x v="10"/>
    <n v="0"/>
    <n v="0"/>
    <n v="106.52"/>
    <n v="100.1288"/>
    <n v="106.52"/>
    <n v="100.1288"/>
    <n v="0"/>
    <x v="1"/>
    <n v="0"/>
    <n v="0"/>
    <n v="21"/>
    <n v="70"/>
    <n v="0"/>
    <n v="73.790000000000006"/>
    <n v="266.70999999999998"/>
    <m/>
    <n v="107.04184246109106"/>
    <n v="197.6895725142987"/>
    <n v="0"/>
    <n v="7388.5041520000004"/>
    <n v="26705.352247999999"/>
    <n v="0"/>
    <n v="10717.971235418096"/>
    <n v="19794.419668369712"/>
  </r>
  <r>
    <s v="PROJETADO"/>
    <x v="0"/>
    <x v="1"/>
    <x v="3"/>
    <x v="1"/>
    <x v="1"/>
    <x v="0"/>
    <x v="0"/>
    <x v="11"/>
    <n v="0"/>
    <n v="0"/>
    <n v="106.52"/>
    <n v="100.1288"/>
    <n v="106.52"/>
    <n v="100.1288"/>
    <n v="0"/>
    <x v="1"/>
    <n v="0"/>
    <n v="0"/>
    <n v="21"/>
    <n v="70"/>
    <n v="0"/>
    <n v="73.790000000000006"/>
    <n v="266.70999999999998"/>
    <m/>
    <n v="107.04184246109106"/>
    <n v="197.6895725142987"/>
    <n v="0"/>
    <n v="7388.5041520000004"/>
    <n v="26705.352247999999"/>
    <n v="0"/>
    <n v="10717.971235418096"/>
    <n v="19794.419668369712"/>
  </r>
  <r>
    <s v="Regular"/>
    <x v="0"/>
    <x v="1"/>
    <x v="3"/>
    <x v="1"/>
    <x v="1"/>
    <x v="0"/>
    <x v="1"/>
    <x v="0"/>
    <n v="244"/>
    <n v="207.4"/>
    <n v="0"/>
    <n v="0"/>
    <n v="0"/>
    <n v="0"/>
    <n v="2"/>
    <x v="1"/>
    <n v="0"/>
    <n v="15"/>
    <n v="0"/>
    <n v="0"/>
    <n v="17.190000000000001"/>
    <n v="0"/>
    <n v="0"/>
    <n v="18.834852044119579"/>
    <m/>
    <m/>
    <n v="3565.2060000000006"/>
    <n v="0"/>
    <n v="0"/>
    <n v="3906.3483139504006"/>
    <n v="0"/>
    <n v="0"/>
  </r>
  <r>
    <s v="Regular"/>
    <x v="0"/>
    <x v="1"/>
    <x v="3"/>
    <x v="1"/>
    <x v="1"/>
    <x v="0"/>
    <x v="1"/>
    <x v="1"/>
    <n v="244"/>
    <n v="207.4"/>
    <n v="0"/>
    <n v="0"/>
    <n v="0"/>
    <n v="0"/>
    <n v="2"/>
    <x v="1"/>
    <n v="0"/>
    <n v="15"/>
    <n v="0"/>
    <n v="0"/>
    <n v="17.190000000000001"/>
    <n v="0"/>
    <n v="0"/>
    <n v="18.834852044119579"/>
    <m/>
    <m/>
    <n v="3565.2060000000006"/>
    <n v="0"/>
    <n v="0"/>
    <n v="3906.3483139504006"/>
    <n v="0"/>
    <n v="0"/>
  </r>
  <r>
    <s v="Regular"/>
    <x v="0"/>
    <x v="1"/>
    <x v="3"/>
    <x v="1"/>
    <x v="1"/>
    <x v="0"/>
    <x v="1"/>
    <x v="2"/>
    <n v="245"/>
    <n v="208.25"/>
    <n v="0"/>
    <n v="0"/>
    <n v="0"/>
    <n v="0"/>
    <n v="2"/>
    <x v="1"/>
    <n v="0"/>
    <n v="15"/>
    <n v="0"/>
    <n v="0"/>
    <n v="17.190000000000001"/>
    <n v="0"/>
    <n v="0"/>
    <n v="18.834852044119579"/>
    <m/>
    <m/>
    <n v="3579.8175000000001"/>
    <n v="0"/>
    <n v="0"/>
    <n v="3922.3579381879022"/>
    <n v="0"/>
    <n v="0"/>
  </r>
  <r>
    <s v="Regular"/>
    <x v="0"/>
    <x v="1"/>
    <x v="3"/>
    <x v="1"/>
    <x v="1"/>
    <x v="0"/>
    <x v="1"/>
    <x v="3"/>
    <n v="245"/>
    <n v="208.25"/>
    <n v="0"/>
    <n v="0"/>
    <n v="0"/>
    <n v="0"/>
    <n v="2"/>
    <x v="1"/>
    <n v="0"/>
    <n v="15"/>
    <n v="0"/>
    <n v="0"/>
    <n v="17.190000000000001"/>
    <n v="0"/>
    <n v="0"/>
    <n v="18.834852044119579"/>
    <m/>
    <m/>
    <n v="3579.8175000000001"/>
    <n v="0"/>
    <n v="0"/>
    <n v="3922.3579381879022"/>
    <n v="0"/>
    <n v="0"/>
  </r>
  <r>
    <s v="Regular"/>
    <x v="0"/>
    <x v="1"/>
    <x v="3"/>
    <x v="1"/>
    <x v="1"/>
    <x v="0"/>
    <x v="1"/>
    <x v="4"/>
    <n v="254"/>
    <n v="215.9"/>
    <n v="0"/>
    <n v="0"/>
    <n v="0"/>
    <n v="0"/>
    <n v="2"/>
    <x v="1"/>
    <n v="0"/>
    <n v="15"/>
    <n v="0"/>
    <n v="0"/>
    <n v="17.190000000000001"/>
    <n v="0"/>
    <n v="0"/>
    <n v="18.834852044119579"/>
    <m/>
    <m/>
    <n v="3711.3210000000004"/>
    <n v="0"/>
    <n v="0"/>
    <n v="4066.4445563254171"/>
    <n v="0"/>
    <n v="0"/>
  </r>
  <r>
    <s v="Regular"/>
    <x v="0"/>
    <x v="1"/>
    <x v="3"/>
    <x v="1"/>
    <x v="1"/>
    <x v="0"/>
    <x v="1"/>
    <x v="5"/>
    <n v="265"/>
    <n v="225.25"/>
    <n v="0"/>
    <n v="0"/>
    <n v="0"/>
    <n v="0"/>
    <n v="2"/>
    <x v="1"/>
    <n v="0"/>
    <n v="15"/>
    <n v="0"/>
    <n v="0"/>
    <n v="17.190000000000001"/>
    <n v="0"/>
    <n v="0"/>
    <n v="18.834852044119579"/>
    <m/>
    <m/>
    <n v="3872.0475000000001"/>
    <n v="0"/>
    <n v="0"/>
    <n v="4242.5504229379349"/>
    <n v="0"/>
    <n v="0"/>
  </r>
  <r>
    <s v="Regular"/>
    <x v="0"/>
    <x v="1"/>
    <x v="3"/>
    <x v="1"/>
    <x v="1"/>
    <x v="0"/>
    <x v="1"/>
    <x v="6"/>
    <n v="256"/>
    <n v="217.6"/>
    <n v="0"/>
    <n v="0"/>
    <n v="0"/>
    <n v="0"/>
    <n v="2"/>
    <x v="1"/>
    <n v="0"/>
    <n v="15"/>
    <n v="0"/>
    <n v="0"/>
    <n v="17.190000000000001"/>
    <n v="0"/>
    <n v="0"/>
    <n v="18.834852044119579"/>
    <m/>
    <m/>
    <n v="3740.5440000000003"/>
    <n v="0"/>
    <n v="0"/>
    <n v="4098.4638048004199"/>
    <n v="0"/>
    <n v="0"/>
  </r>
  <r>
    <s v="Regular"/>
    <x v="0"/>
    <x v="1"/>
    <x v="3"/>
    <x v="1"/>
    <x v="1"/>
    <x v="0"/>
    <x v="1"/>
    <x v="7"/>
    <n v="246"/>
    <n v="209.1"/>
    <n v="0"/>
    <n v="0"/>
    <n v="0"/>
    <n v="0"/>
    <n v="2"/>
    <x v="1"/>
    <n v="0"/>
    <n v="15"/>
    <n v="0"/>
    <n v="0"/>
    <n v="17.190000000000001"/>
    <n v="0"/>
    <n v="0"/>
    <n v="18.834852044119579"/>
    <m/>
    <m/>
    <n v="3594.4290000000001"/>
    <n v="0"/>
    <n v="0"/>
    <n v="3938.3675624254038"/>
    <n v="0"/>
    <n v="0"/>
  </r>
  <r>
    <s v="Regular"/>
    <x v="0"/>
    <x v="1"/>
    <x v="3"/>
    <x v="1"/>
    <x v="1"/>
    <x v="0"/>
    <x v="1"/>
    <x v="8"/>
    <n v="247"/>
    <n v="209.95"/>
    <n v="0"/>
    <n v="0"/>
    <n v="0"/>
    <n v="0"/>
    <n v="2"/>
    <x v="1"/>
    <n v="0"/>
    <n v="15"/>
    <n v="0"/>
    <n v="0"/>
    <n v="17.190000000000001"/>
    <n v="0"/>
    <n v="0"/>
    <n v="18.834852044119579"/>
    <m/>
    <m/>
    <n v="3609.0405000000001"/>
    <n v="0"/>
    <n v="0"/>
    <n v="3954.3771866629054"/>
    <n v="0"/>
    <n v="0"/>
  </r>
  <r>
    <s v="Regular"/>
    <x v="0"/>
    <x v="1"/>
    <x v="3"/>
    <x v="1"/>
    <x v="1"/>
    <x v="0"/>
    <x v="1"/>
    <x v="9"/>
    <n v="243"/>
    <n v="206.54999999999998"/>
    <n v="0"/>
    <n v="0"/>
    <n v="0"/>
    <n v="0"/>
    <n v="2"/>
    <x v="1"/>
    <n v="0"/>
    <n v="15"/>
    <n v="0"/>
    <n v="0"/>
    <n v="17.190000000000001"/>
    <n v="0"/>
    <n v="0"/>
    <n v="18.834852044119579"/>
    <m/>
    <m/>
    <n v="3550.5945000000002"/>
    <n v="0"/>
    <n v="0"/>
    <n v="3890.3386897128985"/>
    <n v="0"/>
    <n v="0"/>
  </r>
  <r>
    <s v="Regular"/>
    <x v="0"/>
    <x v="1"/>
    <x v="3"/>
    <x v="1"/>
    <x v="1"/>
    <x v="0"/>
    <x v="1"/>
    <x v="10"/>
    <n v="244"/>
    <n v="207.4"/>
    <n v="0"/>
    <n v="0"/>
    <n v="0"/>
    <n v="0"/>
    <n v="2"/>
    <x v="1"/>
    <n v="0"/>
    <n v="15"/>
    <n v="0"/>
    <n v="0"/>
    <n v="17.190000000000001"/>
    <n v="0"/>
    <n v="0"/>
    <n v="18.834852044119579"/>
    <m/>
    <m/>
    <n v="3565.2060000000006"/>
    <n v="0"/>
    <n v="0"/>
    <n v="3906.3483139504006"/>
    <n v="0"/>
    <n v="0"/>
  </r>
  <r>
    <s v="PROJETADO"/>
    <x v="0"/>
    <x v="1"/>
    <x v="3"/>
    <x v="1"/>
    <x v="1"/>
    <x v="0"/>
    <x v="1"/>
    <x v="11"/>
    <n v="244"/>
    <n v="207.4"/>
    <n v="0"/>
    <n v="0"/>
    <n v="0"/>
    <n v="0"/>
    <n v="2"/>
    <x v="1"/>
    <n v="0"/>
    <n v="15"/>
    <n v="0"/>
    <n v="0"/>
    <n v="17.190000000000001"/>
    <n v="0"/>
    <n v="0"/>
    <n v="18.834852044119579"/>
    <m/>
    <m/>
    <n v="3565.2060000000006"/>
    <n v="0"/>
    <n v="0"/>
    <n v="3906.3483139504006"/>
    <n v="0"/>
    <n v="0"/>
  </r>
  <r>
    <s v="Regular"/>
    <x v="0"/>
    <x v="1"/>
    <x v="3"/>
    <x v="1"/>
    <x v="1"/>
    <x v="0"/>
    <x v="2"/>
    <x v="0"/>
    <n v="0"/>
    <n v="0"/>
    <n v="0.41399999999999998"/>
    <n v="0.38915999999999995"/>
    <n v="0.41399999999999998"/>
    <n v="0.38915999999999995"/>
    <n v="0"/>
    <x v="1"/>
    <n v="0"/>
    <n v="0"/>
    <n v="18"/>
    <n v="69"/>
    <n v="0"/>
    <n v="1295.8499999999999"/>
    <n v="434.95"/>
    <m/>
    <n v="1438.8138130482339"/>
    <n v="316.97983140624547"/>
    <n v="0"/>
    <n v="504.29298599999993"/>
    <n v="169.26514199999997"/>
    <n v="0"/>
    <n v="559.92878348585066"/>
    <n v="123.35587119005447"/>
  </r>
  <r>
    <s v="Regular"/>
    <x v="0"/>
    <x v="1"/>
    <x v="3"/>
    <x v="1"/>
    <x v="1"/>
    <x v="0"/>
    <x v="2"/>
    <x v="1"/>
    <n v="0"/>
    <n v="0"/>
    <n v="1.6830000000000001"/>
    <n v="1.58202"/>
    <n v="1.6830000000000001"/>
    <n v="1.58202"/>
    <n v="0"/>
    <x v="1"/>
    <n v="0"/>
    <n v="0"/>
    <n v="18"/>
    <n v="69"/>
    <n v="0"/>
    <n v="1295.8499999999999"/>
    <n v="434.95"/>
    <m/>
    <n v="1438.8138130482339"/>
    <n v="316.97983140624547"/>
    <n v="0"/>
    <n v="2050.0606169999996"/>
    <n v="688.09959900000001"/>
    <n v="0"/>
    <n v="2276.2322285185669"/>
    <n v="501.46843288130844"/>
  </r>
  <r>
    <s v="Regular"/>
    <x v="0"/>
    <x v="1"/>
    <x v="3"/>
    <x v="1"/>
    <x v="1"/>
    <x v="0"/>
    <x v="2"/>
    <x v="2"/>
    <n v="0"/>
    <n v="0"/>
    <n v="1.395"/>
    <n v="1.3112999999999999"/>
    <n v="1.395"/>
    <n v="1.3112999999999999"/>
    <n v="0"/>
    <x v="1"/>
    <n v="0"/>
    <n v="0"/>
    <n v="18"/>
    <n v="69"/>
    <n v="0"/>
    <n v="1295.8499999999999"/>
    <n v="434.95"/>
    <m/>
    <n v="1438.8138130482339"/>
    <n v="316.97983140624547"/>
    <n v="0"/>
    <n v="1699.2481049999997"/>
    <n v="570.34993499999996"/>
    <n v="0"/>
    <n v="1886.7165530501491"/>
    <n v="415.65565292300965"/>
  </r>
  <r>
    <s v="Regular"/>
    <x v="0"/>
    <x v="1"/>
    <x v="3"/>
    <x v="1"/>
    <x v="1"/>
    <x v="0"/>
    <x v="2"/>
    <x v="3"/>
    <n v="0"/>
    <n v="0"/>
    <n v="1.407"/>
    <n v="1.3225800000000001"/>
    <n v="1.407"/>
    <n v="1.3225800000000001"/>
    <n v="0"/>
    <x v="1"/>
    <n v="0"/>
    <n v="0"/>
    <n v="18"/>
    <n v="69"/>
    <n v="0"/>
    <n v="1295.8499999999999"/>
    <n v="434.95"/>
    <m/>
    <n v="1438.8138130482339"/>
    <n v="316.97983140624547"/>
    <n v="0"/>
    <n v="1713.8652930000001"/>
    <n v="575.25617099999999"/>
    <n v="0"/>
    <n v="1902.9463728613332"/>
    <n v="419.23118542127213"/>
  </r>
  <r>
    <s v="Regular"/>
    <x v="0"/>
    <x v="1"/>
    <x v="3"/>
    <x v="1"/>
    <x v="1"/>
    <x v="0"/>
    <x v="2"/>
    <x v="4"/>
    <n v="0"/>
    <n v="0"/>
    <n v="1.752"/>
    <n v="1.6468799999999999"/>
    <n v="1.752"/>
    <n v="1.6468799999999999"/>
    <n v="0"/>
    <x v="1"/>
    <n v="0"/>
    <n v="0"/>
    <n v="18"/>
    <n v="69"/>
    <n v="0"/>
    <n v="1295.8499999999999"/>
    <n v="434.95"/>
    <m/>
    <n v="1438.8138130482339"/>
    <n v="316.97983140624547"/>
    <n v="0"/>
    <n v="2134.1094479999997"/>
    <n v="716.31045599999993"/>
    <n v="0"/>
    <n v="2369.5536924328753"/>
    <n v="522.02774474631747"/>
  </r>
  <r>
    <s v="Regular"/>
    <x v="0"/>
    <x v="1"/>
    <x v="3"/>
    <x v="1"/>
    <x v="1"/>
    <x v="0"/>
    <x v="2"/>
    <x v="5"/>
    <n v="0"/>
    <n v="0"/>
    <n v="0.41399999999999998"/>
    <n v="0.38916000000000001"/>
    <n v="0.41399999999999998"/>
    <n v="0.38916000000000001"/>
    <n v="0"/>
    <x v="1"/>
    <n v="0"/>
    <n v="0"/>
    <n v="18"/>
    <n v="69"/>
    <n v="0"/>
    <n v="1295.8499999999999"/>
    <n v="434.95"/>
    <m/>
    <n v="1438.8138130482339"/>
    <n v="316.97983140624547"/>
    <n v="0"/>
    <n v="504.29298599999998"/>
    <n v="169.265142"/>
    <n v="0"/>
    <n v="559.92878348585066"/>
    <n v="123.35587119005449"/>
  </r>
  <r>
    <s v="Regular"/>
    <x v="0"/>
    <x v="1"/>
    <x v="3"/>
    <x v="1"/>
    <x v="1"/>
    <x v="0"/>
    <x v="2"/>
    <x v="6"/>
    <n v="0"/>
    <n v="0"/>
    <n v="0.432"/>
    <n v="0.40608"/>
    <n v="0.432"/>
    <n v="0.40608"/>
    <n v="0"/>
    <x v="1"/>
    <n v="0"/>
    <n v="0"/>
    <n v="18"/>
    <n v="69"/>
    <n v="0"/>
    <n v="1295.8499999999999"/>
    <n v="434.95"/>
    <m/>
    <n v="1438.8138130482339"/>
    <n v="316.97983140624547"/>
    <n v="0"/>
    <n v="526.21876799999995"/>
    <n v="176.62449599999999"/>
    <n v="0"/>
    <n v="584.27351320262676"/>
    <n v="128.71916993744816"/>
  </r>
  <r>
    <s v="Regular"/>
    <x v="0"/>
    <x v="1"/>
    <x v="3"/>
    <x v="1"/>
    <x v="1"/>
    <x v="0"/>
    <x v="2"/>
    <x v="7"/>
    <n v="0"/>
    <n v="0"/>
    <n v="1.669"/>
    <n v="1.5688599999999999"/>
    <n v="1.669"/>
    <n v="1.5688599999999999"/>
    <n v="0"/>
    <x v="1"/>
    <n v="0"/>
    <n v="0"/>
    <n v="18"/>
    <n v="69"/>
    <n v="0"/>
    <n v="1295.8499999999999"/>
    <n v="434.95"/>
    <m/>
    <n v="1438.8138130482339"/>
    <n v="316.97983140624547"/>
    <n v="0"/>
    <n v="2033.0072309999998"/>
    <n v="682.37565699999993"/>
    <n v="0"/>
    <n v="2257.2974387388522"/>
    <n v="497.29697830000225"/>
  </r>
  <r>
    <s v="Regular"/>
    <x v="0"/>
    <x v="1"/>
    <x v="3"/>
    <x v="1"/>
    <x v="1"/>
    <x v="0"/>
    <x v="2"/>
    <x v="8"/>
    <n v="0"/>
    <n v="0"/>
    <n v="1.6120000000000001"/>
    <n v="1.51528"/>
    <n v="1.6120000000000001"/>
    <n v="1.51528"/>
    <n v="0"/>
    <x v="1"/>
    <n v="0"/>
    <n v="0"/>
    <n v="18"/>
    <n v="69"/>
    <n v="0"/>
    <n v="1295.8499999999999"/>
    <n v="434.95"/>
    <m/>
    <n v="1438.8138130482339"/>
    <n v="316.97983140624547"/>
    <n v="0"/>
    <n v="1963.5755879999997"/>
    <n v="659.07103599999994"/>
    <n v="0"/>
    <n v="2180.2057946357277"/>
    <n v="480.31319893325559"/>
  </r>
  <r>
    <s v="Regular"/>
    <x v="0"/>
    <x v="1"/>
    <x v="3"/>
    <x v="1"/>
    <x v="1"/>
    <x v="0"/>
    <x v="2"/>
    <x v="9"/>
    <n v="0"/>
    <n v="0"/>
    <n v="1.198"/>
    <n v="1.12612"/>
    <n v="1.198"/>
    <n v="1.12612"/>
    <n v="0"/>
    <x v="1"/>
    <n v="0"/>
    <n v="0"/>
    <n v="18"/>
    <n v="69"/>
    <n v="0"/>
    <n v="1295.8499999999999"/>
    <n v="434.95"/>
    <m/>
    <n v="1438.8138130482339"/>
    <n v="316.97983140624547"/>
    <n v="0"/>
    <n v="1459.282602"/>
    <n v="489.80589399999997"/>
    <n v="0"/>
    <n v="1620.2770111498771"/>
    <n v="356.95732774320112"/>
  </r>
  <r>
    <s v="Regular"/>
    <x v="0"/>
    <x v="1"/>
    <x v="3"/>
    <x v="1"/>
    <x v="1"/>
    <x v="0"/>
    <x v="2"/>
    <x v="10"/>
    <n v="0"/>
    <n v="0"/>
    <n v="1.851"/>
    <n v="1.73994"/>
    <n v="1.851"/>
    <n v="1.73994"/>
    <n v="0"/>
    <x v="1"/>
    <n v="0"/>
    <n v="0"/>
    <n v="18"/>
    <n v="69"/>
    <n v="0"/>
    <n v="1295.8499999999999"/>
    <n v="434.95"/>
    <m/>
    <n v="1438.8138130482339"/>
    <n v="316.97983140624547"/>
    <n v="0"/>
    <n v="2254.7012489999997"/>
    <n v="756.78690300000005"/>
    <n v="0"/>
    <n v="2503.449705875144"/>
    <n v="551.52588785698276"/>
  </r>
  <r>
    <s v="PROJETADO"/>
    <x v="0"/>
    <x v="1"/>
    <x v="3"/>
    <x v="1"/>
    <x v="1"/>
    <x v="0"/>
    <x v="2"/>
    <x v="11"/>
    <n v="0"/>
    <n v="0"/>
    <n v="1.851"/>
    <n v="1.73994"/>
    <n v="1.851"/>
    <n v="1.73994"/>
    <n v="0"/>
    <x v="1"/>
    <n v="0"/>
    <n v="0"/>
    <n v="18"/>
    <n v="69"/>
    <n v="0"/>
    <n v="1295.8499999999999"/>
    <n v="434.95"/>
    <m/>
    <n v="1438.8138130482339"/>
    <n v="316.97983140624547"/>
    <n v="0"/>
    <n v="2254.7012489999997"/>
    <n v="756.78690300000005"/>
    <n v="0"/>
    <n v="2503.449705875144"/>
    <n v="551.52588785698276"/>
  </r>
  <r>
    <s v="Regular"/>
    <x v="1"/>
    <x v="2"/>
    <x v="4"/>
    <x v="2"/>
    <x v="1"/>
    <x v="0"/>
    <x v="0"/>
    <x v="0"/>
    <n v="0"/>
    <n v="0"/>
    <n v="0.20899999999999999"/>
    <n v="0.20899999999999999"/>
    <n v="0.20899999999999999"/>
    <n v="0.20899999999999999"/>
    <n v="0"/>
    <x v="1"/>
    <n v="0"/>
    <n v="0"/>
    <n v="36"/>
    <n v="74"/>
    <n v="0"/>
    <n v="275.68"/>
    <n v="266.70999999999998"/>
    <m/>
    <n v="327.59045518303162"/>
    <n v="197.6895725142987"/>
    <n v="0"/>
    <n v="57.61712"/>
    <n v="55.742389999999993"/>
    <n v="0"/>
    <n v="68.466405133253602"/>
    <n v="41.317120655488431"/>
  </r>
  <r>
    <s v="Regular"/>
    <x v="1"/>
    <x v="2"/>
    <x v="4"/>
    <x v="2"/>
    <x v="1"/>
    <x v="0"/>
    <x v="0"/>
    <x v="1"/>
    <n v="0"/>
    <n v="0"/>
    <n v="0.16200000000000001"/>
    <n v="0.16200000000000001"/>
    <n v="0.16200000000000001"/>
    <n v="0.16200000000000001"/>
    <n v="0"/>
    <x v="1"/>
    <n v="0"/>
    <n v="0"/>
    <n v="36"/>
    <n v="74"/>
    <n v="0"/>
    <n v="275.68"/>
    <n v="266.70999999999998"/>
    <m/>
    <n v="327.59045518303162"/>
    <n v="197.6895725142987"/>
    <n v="0"/>
    <n v="44.660160000000005"/>
    <n v="43.20702"/>
    <n v="0"/>
    <n v="53.069653739651123"/>
    <n v="32.025710747316388"/>
  </r>
  <r>
    <s v="Regular"/>
    <x v="1"/>
    <x v="2"/>
    <x v="4"/>
    <x v="2"/>
    <x v="1"/>
    <x v="0"/>
    <x v="0"/>
    <x v="2"/>
    <n v="0"/>
    <n v="0"/>
    <n v="0.20200000000000001"/>
    <n v="0.20200000000000001"/>
    <n v="0.20200000000000001"/>
    <n v="0.20200000000000001"/>
    <n v="0"/>
    <x v="1"/>
    <n v="0"/>
    <n v="0"/>
    <n v="36"/>
    <n v="74"/>
    <n v="0"/>
    <n v="275.68"/>
    <n v="266.70999999999998"/>
    <m/>
    <n v="327.59045518303162"/>
    <n v="197.6895725142987"/>
    <n v="0"/>
    <n v="55.687360000000005"/>
    <n v="53.875419999999998"/>
    <n v="0"/>
    <n v="66.173271946972392"/>
    <n v="39.933293647888341"/>
  </r>
  <r>
    <s v="Regular"/>
    <x v="1"/>
    <x v="2"/>
    <x v="4"/>
    <x v="2"/>
    <x v="1"/>
    <x v="0"/>
    <x v="0"/>
    <x v="3"/>
    <n v="0"/>
    <n v="0"/>
    <n v="0.182"/>
    <n v="0.182"/>
    <n v="0.182"/>
    <n v="0.182"/>
    <n v="0"/>
    <x v="1"/>
    <n v="0"/>
    <n v="0"/>
    <n v="36"/>
    <n v="74"/>
    <n v="0"/>
    <n v="275.68"/>
    <n v="266.70999999999998"/>
    <m/>
    <n v="327.59045518303162"/>
    <n v="197.6895725142987"/>
    <n v="0"/>
    <n v="50.173760000000001"/>
    <n v="48.541219999999996"/>
    <n v="0"/>
    <n v="59.621462843311754"/>
    <n v="35.979502197602365"/>
  </r>
  <r>
    <s v="Regular"/>
    <x v="1"/>
    <x v="2"/>
    <x v="4"/>
    <x v="2"/>
    <x v="1"/>
    <x v="0"/>
    <x v="0"/>
    <x v="4"/>
    <n v="0"/>
    <n v="0"/>
    <n v="0.28599999999999998"/>
    <n v="0.28599999999999998"/>
    <n v="0.28599999999999998"/>
    <n v="0.28599999999999998"/>
    <n v="0"/>
    <x v="1"/>
    <n v="0"/>
    <n v="0"/>
    <n v="36"/>
    <n v="74"/>
    <n v="0"/>
    <n v="275.68"/>
    <n v="266.70999999999998"/>
    <m/>
    <n v="327.59045518303162"/>
    <n v="197.6895725142987"/>
    <n v="0"/>
    <n v="78.84447999999999"/>
    <n v="76.279059999999987"/>
    <n v="0"/>
    <n v="93.690870182347041"/>
    <n v="56.539217739089423"/>
  </r>
  <r>
    <s v="Regular"/>
    <x v="1"/>
    <x v="2"/>
    <x v="4"/>
    <x v="2"/>
    <x v="1"/>
    <x v="0"/>
    <x v="0"/>
    <x v="5"/>
    <n v="0"/>
    <n v="0"/>
    <n v="0.47099999999999997"/>
    <n v="0.47099999999999997"/>
    <n v="0.47099999999999997"/>
    <n v="0.47099999999999997"/>
    <n v="0"/>
    <x v="1"/>
    <n v="0"/>
    <n v="0"/>
    <n v="36"/>
    <n v="74"/>
    <n v="0"/>
    <n v="275.68"/>
    <n v="266.70999999999998"/>
    <m/>
    <n v="327.59045518303162"/>
    <n v="197.6895725142987"/>
    <n v="0"/>
    <n v="129.84528"/>
    <n v="125.62040999999998"/>
    <n v="0"/>
    <n v="154.29510439120787"/>
    <n v="93.111788654234687"/>
  </r>
  <r>
    <s v="Regular"/>
    <x v="1"/>
    <x v="2"/>
    <x v="4"/>
    <x v="2"/>
    <x v="1"/>
    <x v="0"/>
    <x v="0"/>
    <x v="6"/>
    <n v="0"/>
    <n v="0"/>
    <n v="0.20799999999999999"/>
    <n v="0.20799999999999999"/>
    <n v="0.20799999999999999"/>
    <n v="0.20799999999999999"/>
    <n v="0"/>
    <x v="1"/>
    <n v="0"/>
    <n v="0"/>
    <n v="36"/>
    <n v="74"/>
    <n v="0"/>
    <n v="275.68"/>
    <n v="266.70999999999998"/>
    <m/>
    <n v="327.59045518303162"/>
    <n v="197.6895725142987"/>
    <n v="0"/>
    <n v="57.341439999999999"/>
    <n v="55.47567999999999"/>
    <n v="0"/>
    <n v="68.138814678070574"/>
    <n v="41.119431082974131"/>
  </r>
  <r>
    <s v="Regular"/>
    <x v="1"/>
    <x v="2"/>
    <x v="4"/>
    <x v="2"/>
    <x v="1"/>
    <x v="0"/>
    <x v="0"/>
    <x v="7"/>
    <n v="0"/>
    <n v="0"/>
    <n v="0.36099999999999999"/>
    <n v="0.36099999999999999"/>
    <n v="0.36099999999999999"/>
    <n v="0.36099999999999999"/>
    <n v="0"/>
    <x v="1"/>
    <n v="0"/>
    <n v="0"/>
    <n v="36"/>
    <n v="74"/>
    <n v="0"/>
    <n v="275.68"/>
    <n v="266.70999999999998"/>
    <m/>
    <n v="327.59045518303162"/>
    <n v="197.6895725142987"/>
    <n v="0"/>
    <n v="99.520479999999992"/>
    <n v="96.282309999999995"/>
    <n v="0"/>
    <n v="118.26015432107441"/>
    <n v="71.365935677661824"/>
  </r>
  <r>
    <s v="Regular"/>
    <x v="1"/>
    <x v="2"/>
    <x v="4"/>
    <x v="2"/>
    <x v="1"/>
    <x v="0"/>
    <x v="0"/>
    <x v="8"/>
    <n v="0"/>
    <n v="0"/>
    <n v="0.12"/>
    <n v="0.12"/>
    <n v="0.12"/>
    <n v="0.12"/>
    <n v="0"/>
    <x v="1"/>
    <n v="0"/>
    <n v="0"/>
    <n v="36"/>
    <n v="74"/>
    <n v="0"/>
    <n v="275.68"/>
    <n v="266.70999999999998"/>
    <m/>
    <n v="327.59045518303162"/>
    <n v="197.6895725142987"/>
    <n v="0"/>
    <n v="33.081600000000002"/>
    <n v="32.005199999999995"/>
    <n v="0"/>
    <n v="39.310854621963792"/>
    <n v="23.722748701715844"/>
  </r>
  <r>
    <s v="Regular"/>
    <x v="1"/>
    <x v="2"/>
    <x v="4"/>
    <x v="2"/>
    <x v="1"/>
    <x v="0"/>
    <x v="0"/>
    <x v="9"/>
    <n v="0"/>
    <n v="0"/>
    <n v="7.2999999999999995E-2"/>
    <n v="7.2999999999999995E-2"/>
    <n v="7.2999999999999995E-2"/>
    <n v="7.2999999999999995E-2"/>
    <n v="0"/>
    <x v="1"/>
    <n v="0"/>
    <n v="0"/>
    <n v="36"/>
    <n v="74"/>
    <n v="0"/>
    <n v="275.68"/>
    <n v="266.70999999999998"/>
    <m/>
    <n v="327.59045518303162"/>
    <n v="197.6895725142987"/>
    <n v="0"/>
    <n v="20.124639999999999"/>
    <n v="19.469829999999998"/>
    <n v="0"/>
    <n v="23.914103228361306"/>
    <n v="14.431338793543805"/>
  </r>
  <r>
    <s v="Regular"/>
    <x v="1"/>
    <x v="2"/>
    <x v="4"/>
    <x v="2"/>
    <x v="1"/>
    <x v="0"/>
    <x v="0"/>
    <x v="10"/>
    <n v="0"/>
    <n v="0"/>
    <n v="0.09"/>
    <n v="0.09"/>
    <n v="0.09"/>
    <n v="0.09"/>
    <n v="0"/>
    <x v="1"/>
    <n v="0"/>
    <n v="0"/>
    <n v="36"/>
    <n v="74"/>
    <n v="0"/>
    <n v="275.68"/>
    <n v="266.70999999999998"/>
    <m/>
    <n v="327.59045518303162"/>
    <n v="197.6895725142987"/>
    <n v="0"/>
    <n v="24.811199999999999"/>
    <n v="24.003899999999998"/>
    <n v="0"/>
    <n v="29.483140966472845"/>
    <n v="17.792061526286883"/>
  </r>
  <r>
    <s v="PROJETADO"/>
    <x v="1"/>
    <x v="2"/>
    <x v="4"/>
    <x v="2"/>
    <x v="1"/>
    <x v="0"/>
    <x v="0"/>
    <x v="11"/>
    <n v="0"/>
    <n v="0"/>
    <n v="0.09"/>
    <n v="0.09"/>
    <n v="0.09"/>
    <n v="0.09"/>
    <n v="0"/>
    <x v="1"/>
    <n v="0"/>
    <n v="0"/>
    <n v="36"/>
    <n v="74"/>
    <n v="0"/>
    <n v="275.68"/>
    <n v="266.70999999999998"/>
    <m/>
    <n v="327.59045518303162"/>
    <n v="197.6895725142987"/>
    <n v="0"/>
    <n v="24.811199999999999"/>
    <n v="24.003899999999998"/>
    <n v="0"/>
    <n v="29.483140966472845"/>
    <n v="17.792061526286883"/>
  </r>
  <r>
    <s v="Regular"/>
    <x v="1"/>
    <x v="2"/>
    <x v="4"/>
    <x v="2"/>
    <x v="1"/>
    <x v="0"/>
    <x v="3"/>
    <x v="0"/>
    <n v="0"/>
    <n v="0"/>
    <n v="1.0999999999999999E-2"/>
    <n v="1.0999999999999999E-2"/>
    <n v="1.0999999999999999E-2"/>
    <n v="1.0999999999999999E-2"/>
    <n v="0"/>
    <x v="1"/>
    <n v="0"/>
    <n v="0"/>
    <n v="35"/>
    <n v="73"/>
    <n v="0"/>
    <n v="611.01"/>
    <n v="266.70999999999998"/>
    <m/>
    <n v="693.38139934142191"/>
    <n v="197.6895725142987"/>
    <n v="0"/>
    <n v="6.7211099999999995"/>
    <n v="2.9338099999999998"/>
    <n v="0"/>
    <n v="7.6271953927556408"/>
    <n v="2.1745852976572855"/>
  </r>
  <r>
    <s v="Regular"/>
    <x v="1"/>
    <x v="2"/>
    <x v="4"/>
    <x v="2"/>
    <x v="1"/>
    <x v="0"/>
    <x v="3"/>
    <x v="1"/>
    <n v="0"/>
    <n v="0"/>
    <n v="8.9999999999999993E-3"/>
    <n v="8.9999999999999993E-3"/>
    <n v="8.9999999999999993E-3"/>
    <n v="8.9999999999999993E-3"/>
    <n v="0"/>
    <x v="1"/>
    <n v="0"/>
    <n v="0"/>
    <n v="35"/>
    <n v="73"/>
    <n v="0"/>
    <n v="611.01"/>
    <n v="266.70999999999998"/>
    <m/>
    <n v="693.38139934142191"/>
    <n v="197.6895725142987"/>
    <n v="0"/>
    <n v="5.4990899999999998"/>
    <n v="2.4003899999999998"/>
    <n v="0"/>
    <n v="6.2404325940727965"/>
    <n v="1.7792061526286882"/>
  </r>
  <r>
    <s v="Regular"/>
    <x v="1"/>
    <x v="2"/>
    <x v="4"/>
    <x v="2"/>
    <x v="1"/>
    <x v="0"/>
    <x v="3"/>
    <x v="2"/>
    <n v="0"/>
    <n v="0"/>
    <n v="1.6E-2"/>
    <n v="1.6E-2"/>
    <n v="1.6E-2"/>
    <n v="1.6E-2"/>
    <n v="0"/>
    <x v="1"/>
    <n v="0"/>
    <n v="0"/>
    <n v="35"/>
    <n v="73"/>
    <n v="0"/>
    <n v="611.01"/>
    <n v="266.70999999999998"/>
    <m/>
    <n v="693.38139934142191"/>
    <n v="197.6895725142987"/>
    <n v="0"/>
    <n v="9.7761600000000008"/>
    <n v="4.26736"/>
    <n v="0"/>
    <n v="11.094102389462751"/>
    <n v="3.1630331602287791"/>
  </r>
  <r>
    <s v="Regular"/>
    <x v="1"/>
    <x v="2"/>
    <x v="4"/>
    <x v="2"/>
    <x v="1"/>
    <x v="0"/>
    <x v="3"/>
    <x v="3"/>
    <n v="0"/>
    <n v="0"/>
    <n v="8.9999999999999993E-3"/>
    <n v="8.9999999999999993E-3"/>
    <n v="8.9999999999999993E-3"/>
    <n v="8.9999999999999993E-3"/>
    <n v="0"/>
    <x v="1"/>
    <n v="0"/>
    <n v="0"/>
    <n v="35"/>
    <n v="73"/>
    <n v="0"/>
    <n v="611.01"/>
    <n v="266.70999999999998"/>
    <m/>
    <n v="693.38139934142191"/>
    <n v="197.6895725142987"/>
    <n v="0"/>
    <n v="5.4990899999999998"/>
    <n v="2.4003899999999998"/>
    <n v="0"/>
    <n v="6.2404325940727965"/>
    <n v="1.7792061526286882"/>
  </r>
  <r>
    <s v="Regular"/>
    <x v="1"/>
    <x v="2"/>
    <x v="4"/>
    <x v="2"/>
    <x v="1"/>
    <x v="0"/>
    <x v="3"/>
    <x v="4"/>
    <n v="0"/>
    <n v="0"/>
    <n v="1.6E-2"/>
    <n v="1.6E-2"/>
    <n v="1.6E-2"/>
    <n v="1.6E-2"/>
    <n v="0"/>
    <x v="1"/>
    <n v="0"/>
    <n v="0"/>
    <n v="35"/>
    <n v="73"/>
    <n v="0"/>
    <n v="611.01"/>
    <n v="266.70999999999998"/>
    <m/>
    <n v="693.38139934142191"/>
    <n v="197.6895725142987"/>
    <n v="0"/>
    <n v="9.7761600000000008"/>
    <n v="4.26736"/>
    <n v="0"/>
    <n v="11.094102389462751"/>
    <n v="3.1630331602287791"/>
  </r>
  <r>
    <s v="Regular"/>
    <x v="1"/>
    <x v="2"/>
    <x v="4"/>
    <x v="2"/>
    <x v="1"/>
    <x v="0"/>
    <x v="3"/>
    <x v="5"/>
    <n v="0"/>
    <n v="0"/>
    <n v="0.02"/>
    <n v="0.02"/>
    <n v="0.02"/>
    <n v="0.02"/>
    <n v="0"/>
    <x v="1"/>
    <n v="0"/>
    <n v="0"/>
    <n v="35"/>
    <n v="73"/>
    <n v="0"/>
    <n v="611.01"/>
    <n v="266.70999999999998"/>
    <m/>
    <n v="693.38139934142191"/>
    <n v="197.6895725142987"/>
    <n v="0"/>
    <n v="12.2202"/>
    <n v="5.3342000000000001"/>
    <n v="0"/>
    <n v="13.867627986828438"/>
    <n v="3.9537914502859741"/>
  </r>
  <r>
    <s v="Regular"/>
    <x v="1"/>
    <x v="2"/>
    <x v="4"/>
    <x v="2"/>
    <x v="1"/>
    <x v="0"/>
    <x v="3"/>
    <x v="6"/>
    <n v="0"/>
    <n v="0"/>
    <n v="7.0000000000000001E-3"/>
    <n v="7.0000000000000001E-3"/>
    <n v="7.0000000000000001E-3"/>
    <n v="7.0000000000000001E-3"/>
    <n v="0"/>
    <x v="1"/>
    <n v="0"/>
    <n v="0"/>
    <n v="35"/>
    <n v="73"/>
    <n v="0"/>
    <n v="611.01"/>
    <n v="266.70999999999998"/>
    <m/>
    <n v="693.38139934142191"/>
    <n v="197.6895725142987"/>
    <n v="0"/>
    <n v="4.2770700000000001"/>
    <n v="1.8669699999999998"/>
    <n v="0"/>
    <n v="4.8536697953899539"/>
    <n v="1.3838270076000909"/>
  </r>
  <r>
    <s v="Regular"/>
    <x v="1"/>
    <x v="2"/>
    <x v="4"/>
    <x v="2"/>
    <x v="1"/>
    <x v="0"/>
    <x v="3"/>
    <x v="7"/>
    <n v="0"/>
    <n v="0"/>
    <n v="1.2999999999999999E-2"/>
    <n v="1.2999999999999999E-2"/>
    <n v="1.2999999999999999E-2"/>
    <n v="1.2999999999999999E-2"/>
    <n v="0"/>
    <x v="1"/>
    <n v="0"/>
    <n v="0"/>
    <n v="35"/>
    <n v="73"/>
    <n v="0"/>
    <n v="611.01"/>
    <n v="266.70999999999998"/>
    <m/>
    <n v="693.38139934142191"/>
    <n v="197.6895725142987"/>
    <n v="0"/>
    <n v="7.9431299999999991"/>
    <n v="3.4672299999999994"/>
    <n v="0"/>
    <n v="9.0139581914384852"/>
    <n v="2.5699644426858832"/>
  </r>
  <r>
    <s v="Regular"/>
    <x v="1"/>
    <x v="2"/>
    <x v="4"/>
    <x v="2"/>
    <x v="1"/>
    <x v="0"/>
    <x v="3"/>
    <x v="8"/>
    <n v="0"/>
    <n v="0"/>
    <n v="8.0000000000000002E-3"/>
    <n v="8.0000000000000002E-3"/>
    <n v="8.0000000000000002E-3"/>
    <n v="8.0000000000000002E-3"/>
    <n v="0"/>
    <x v="1"/>
    <n v="0"/>
    <n v="0"/>
    <n v="35"/>
    <n v="73"/>
    <n v="0"/>
    <n v="611.01"/>
    <n v="266.70999999999998"/>
    <m/>
    <n v="693.38139934142191"/>
    <n v="197.6895725142987"/>
    <n v="0"/>
    <n v="4.8880800000000004"/>
    <n v="2.13368"/>
    <n v="0"/>
    <n v="5.5470511947313756"/>
    <n v="1.5815165801143896"/>
  </r>
  <r>
    <s v="Regular"/>
    <x v="1"/>
    <x v="2"/>
    <x v="4"/>
    <x v="2"/>
    <x v="1"/>
    <x v="0"/>
    <x v="3"/>
    <x v="9"/>
    <n v="0"/>
    <n v="0"/>
    <n v="5.0000000000000001E-3"/>
    <n v="5.0000000000000001E-3"/>
    <n v="5.0000000000000001E-3"/>
    <n v="5.0000000000000001E-3"/>
    <n v="0"/>
    <x v="1"/>
    <n v="0"/>
    <n v="0"/>
    <n v="35"/>
    <n v="73"/>
    <n v="0"/>
    <n v="611.01"/>
    <n v="266.70999999999998"/>
    <m/>
    <n v="693.38139934142191"/>
    <n v="197.6895725142987"/>
    <n v="0"/>
    <n v="3.05505"/>
    <n v="1.33355"/>
    <n v="0"/>
    <n v="3.4669069967071096"/>
    <n v="0.98844786257149353"/>
  </r>
  <r>
    <s v="Regular"/>
    <x v="1"/>
    <x v="2"/>
    <x v="4"/>
    <x v="2"/>
    <x v="1"/>
    <x v="0"/>
    <x v="3"/>
    <x v="10"/>
    <n v="0"/>
    <n v="0"/>
    <n v="8.0000000000000002E-3"/>
    <n v="8.0000000000000002E-3"/>
    <n v="8.0000000000000002E-3"/>
    <n v="8.0000000000000002E-3"/>
    <n v="0"/>
    <x v="1"/>
    <n v="0"/>
    <n v="0"/>
    <n v="35"/>
    <n v="73"/>
    <n v="0"/>
    <n v="611.01"/>
    <n v="266.70999999999998"/>
    <m/>
    <n v="693.38139934142191"/>
    <n v="197.6895725142987"/>
    <n v="0"/>
    <n v="4.8880800000000004"/>
    <n v="2.13368"/>
    <n v="0"/>
    <n v="5.5470511947313756"/>
    <n v="1.5815165801143896"/>
  </r>
  <r>
    <s v="PROJETADO"/>
    <x v="1"/>
    <x v="2"/>
    <x v="4"/>
    <x v="2"/>
    <x v="1"/>
    <x v="0"/>
    <x v="3"/>
    <x v="11"/>
    <n v="0"/>
    <n v="0"/>
    <n v="8.0000000000000002E-3"/>
    <n v="8.0000000000000002E-3"/>
    <n v="8.0000000000000002E-3"/>
    <n v="8.0000000000000002E-3"/>
    <n v="0"/>
    <x v="1"/>
    <n v="0"/>
    <n v="0"/>
    <n v="35"/>
    <n v="73"/>
    <n v="0"/>
    <n v="611.01"/>
    <n v="266.70999999999998"/>
    <m/>
    <n v="693.38139934142191"/>
    <n v="197.6895725142987"/>
    <n v="0"/>
    <n v="4.8880800000000004"/>
    <n v="2.13368"/>
    <n v="0"/>
    <n v="5.5470511947313756"/>
    <n v="1.5815165801143896"/>
  </r>
  <r>
    <s v="Regular"/>
    <x v="1"/>
    <x v="2"/>
    <x v="4"/>
    <x v="2"/>
    <x v="1"/>
    <x v="0"/>
    <x v="2"/>
    <x v="0"/>
    <n v="0"/>
    <n v="0"/>
    <n v="1.7999999999999999E-2"/>
    <n v="1.7999999999999999E-2"/>
    <n v="1.7999999999999999E-2"/>
    <n v="1.7999999999999999E-2"/>
    <n v="0"/>
    <x v="1"/>
    <n v="0"/>
    <n v="0"/>
    <n v="34"/>
    <n v="72"/>
    <n v="0"/>
    <n v="946.35"/>
    <n v="434.95"/>
    <m/>
    <n v="1059.1724684837104"/>
    <n v="316.97983140624547"/>
    <n v="0"/>
    <n v="17.034299999999998"/>
    <n v="7.8290999999999995"/>
    <n v="0"/>
    <n v="19.065104432706786"/>
    <n v="5.7056369653124177"/>
  </r>
  <r>
    <s v="Regular"/>
    <x v="1"/>
    <x v="2"/>
    <x v="4"/>
    <x v="2"/>
    <x v="1"/>
    <x v="0"/>
    <x v="2"/>
    <x v="1"/>
    <n v="0"/>
    <n v="0"/>
    <n v="1.6E-2"/>
    <n v="1.6E-2"/>
    <n v="1.6E-2"/>
    <n v="1.6E-2"/>
    <n v="0"/>
    <x v="1"/>
    <n v="0"/>
    <n v="0"/>
    <n v="34"/>
    <n v="72"/>
    <n v="0"/>
    <n v="946.35"/>
    <n v="434.95"/>
    <m/>
    <n v="1059.1724684837104"/>
    <n v="316.97983140624547"/>
    <n v="0"/>
    <n v="15.1416"/>
    <n v="6.9592000000000001"/>
    <n v="0"/>
    <n v="16.946759495739368"/>
    <n v="5.0716773024999275"/>
  </r>
  <r>
    <s v="Regular"/>
    <x v="1"/>
    <x v="2"/>
    <x v="4"/>
    <x v="2"/>
    <x v="1"/>
    <x v="0"/>
    <x v="2"/>
    <x v="2"/>
    <n v="0"/>
    <n v="0"/>
    <n v="1.7999999999999999E-2"/>
    <n v="1.7999999999999999E-2"/>
    <n v="1.7999999999999999E-2"/>
    <n v="1.7999999999999999E-2"/>
    <n v="0"/>
    <x v="1"/>
    <n v="0"/>
    <n v="0"/>
    <n v="34"/>
    <n v="72"/>
    <n v="0"/>
    <n v="946.35"/>
    <n v="434.95"/>
    <m/>
    <n v="1059.1724684837104"/>
    <n v="316.97983140624547"/>
    <n v="0"/>
    <n v="17.034299999999998"/>
    <n v="7.8290999999999995"/>
    <n v="0"/>
    <n v="19.065104432706786"/>
    <n v="5.7056369653124177"/>
  </r>
  <r>
    <s v="Regular"/>
    <x v="1"/>
    <x v="2"/>
    <x v="4"/>
    <x v="2"/>
    <x v="1"/>
    <x v="0"/>
    <x v="2"/>
    <x v="3"/>
    <n v="0"/>
    <n v="0"/>
    <n v="1.4E-2"/>
    <n v="1.4E-2"/>
    <n v="1.4E-2"/>
    <n v="1.4E-2"/>
    <n v="0"/>
    <x v="1"/>
    <n v="0"/>
    <n v="0"/>
    <n v="34"/>
    <n v="72"/>
    <n v="0"/>
    <n v="946.35"/>
    <n v="434.95"/>
    <m/>
    <n v="1059.1724684837104"/>
    <n v="316.97983140624547"/>
    <n v="0"/>
    <n v="13.248900000000001"/>
    <n v="6.0892999999999997"/>
    <n v="0"/>
    <n v="14.828414558771946"/>
    <n v="4.4377176396874365"/>
  </r>
  <r>
    <s v="Regular"/>
    <x v="1"/>
    <x v="2"/>
    <x v="4"/>
    <x v="2"/>
    <x v="1"/>
    <x v="0"/>
    <x v="2"/>
    <x v="4"/>
    <n v="0"/>
    <n v="0"/>
    <n v="1.7000000000000001E-2"/>
    <n v="1.7000000000000001E-2"/>
    <n v="1.7000000000000001E-2"/>
    <n v="1.7000000000000001E-2"/>
    <n v="0"/>
    <x v="1"/>
    <n v="0"/>
    <n v="0"/>
    <n v="34"/>
    <n v="72"/>
    <n v="0"/>
    <n v="946.35"/>
    <n v="434.95"/>
    <m/>
    <n v="1059.1724684837104"/>
    <n v="316.97983140624547"/>
    <n v="0"/>
    <n v="16.087950000000003"/>
    <n v="7.3941500000000007"/>
    <n v="0"/>
    <n v="18.005931964223077"/>
    <n v="5.3886571339061735"/>
  </r>
  <r>
    <s v="Regular"/>
    <x v="1"/>
    <x v="2"/>
    <x v="4"/>
    <x v="2"/>
    <x v="1"/>
    <x v="0"/>
    <x v="2"/>
    <x v="5"/>
    <n v="0"/>
    <n v="0"/>
    <n v="2.5999999999999999E-2"/>
    <n v="2.5999999999999999E-2"/>
    <n v="2.5999999999999999E-2"/>
    <n v="2.5999999999999999E-2"/>
    <n v="0"/>
    <x v="1"/>
    <n v="0"/>
    <n v="0"/>
    <n v="34"/>
    <n v="72"/>
    <n v="0"/>
    <n v="946.35"/>
    <n v="434.95"/>
    <m/>
    <n v="1059.1724684837104"/>
    <n v="316.97983140624547"/>
    <n v="0"/>
    <n v="24.6051"/>
    <n v="11.3087"/>
    <n v="0"/>
    <n v="27.538484180576468"/>
    <n v="8.241475616562381"/>
  </r>
  <r>
    <s v="Regular"/>
    <x v="1"/>
    <x v="2"/>
    <x v="4"/>
    <x v="2"/>
    <x v="1"/>
    <x v="0"/>
    <x v="2"/>
    <x v="6"/>
    <n v="0"/>
    <n v="0"/>
    <n v="0.01"/>
    <n v="0.01"/>
    <n v="0.01"/>
    <n v="0.01"/>
    <n v="0"/>
    <x v="1"/>
    <n v="0"/>
    <n v="0"/>
    <n v="34"/>
    <n v="72"/>
    <n v="0"/>
    <n v="946.35"/>
    <n v="434.95"/>
    <m/>
    <n v="1059.1724684837104"/>
    <n v="316.97983140624547"/>
    <n v="0"/>
    <n v="9.4634999999999998"/>
    <n v="4.3494999999999999"/>
    <n v="0"/>
    <n v="10.591724684837104"/>
    <n v="3.1697983140624548"/>
  </r>
  <r>
    <s v="Regular"/>
    <x v="1"/>
    <x v="2"/>
    <x v="4"/>
    <x v="2"/>
    <x v="1"/>
    <x v="0"/>
    <x v="2"/>
    <x v="7"/>
    <n v="0"/>
    <n v="0"/>
    <n v="0.01"/>
    <n v="0.01"/>
    <n v="0.01"/>
    <n v="0.01"/>
    <n v="0"/>
    <x v="1"/>
    <n v="0"/>
    <n v="0"/>
    <n v="34"/>
    <n v="72"/>
    <n v="0"/>
    <n v="946.35"/>
    <n v="434.95"/>
    <m/>
    <n v="1059.1724684837104"/>
    <n v="316.97983140624547"/>
    <n v="0"/>
    <n v="9.4634999999999998"/>
    <n v="4.3494999999999999"/>
    <n v="0"/>
    <n v="10.591724684837104"/>
    <n v="3.1697983140624548"/>
  </r>
  <r>
    <s v="Regular"/>
    <x v="1"/>
    <x v="2"/>
    <x v="4"/>
    <x v="2"/>
    <x v="1"/>
    <x v="0"/>
    <x v="2"/>
    <x v="8"/>
    <n v="0"/>
    <n v="0"/>
    <n v="0.01"/>
    <n v="0.01"/>
    <n v="0.01"/>
    <n v="0.01"/>
    <n v="0"/>
    <x v="1"/>
    <n v="0"/>
    <n v="0"/>
    <n v="34"/>
    <n v="72"/>
    <n v="0"/>
    <n v="946.35"/>
    <n v="434.95"/>
    <m/>
    <n v="1059.1724684837104"/>
    <n v="316.97983140624547"/>
    <n v="0"/>
    <n v="9.4634999999999998"/>
    <n v="4.3494999999999999"/>
    <n v="0"/>
    <n v="10.591724684837104"/>
    <n v="3.1697983140624548"/>
  </r>
  <r>
    <s v="Regular"/>
    <x v="1"/>
    <x v="2"/>
    <x v="4"/>
    <x v="2"/>
    <x v="1"/>
    <x v="0"/>
    <x v="2"/>
    <x v="9"/>
    <n v="0"/>
    <n v="0"/>
    <n v="8.9999999999999993E-3"/>
    <n v="8.9999999999999993E-3"/>
    <n v="8.9999999999999993E-3"/>
    <n v="8.9999999999999993E-3"/>
    <n v="0"/>
    <x v="1"/>
    <n v="0"/>
    <n v="0"/>
    <n v="34"/>
    <n v="72"/>
    <n v="0"/>
    <n v="946.35"/>
    <n v="434.95"/>
    <m/>
    <n v="1059.1724684837104"/>
    <n v="316.97983140624547"/>
    <n v="0"/>
    <n v="8.5171499999999991"/>
    <n v="3.9145499999999998"/>
    <n v="0"/>
    <n v="9.5325522163533929"/>
    <n v="2.8528184826562089"/>
  </r>
  <r>
    <s v="Regular"/>
    <x v="1"/>
    <x v="2"/>
    <x v="4"/>
    <x v="2"/>
    <x v="1"/>
    <x v="0"/>
    <x v="2"/>
    <x v="10"/>
    <n v="0"/>
    <n v="0"/>
    <n v="1.0999999999999999E-2"/>
    <n v="1.0999999999999999E-2"/>
    <n v="1.0999999999999999E-2"/>
    <n v="1.0999999999999999E-2"/>
    <n v="0"/>
    <x v="1"/>
    <n v="0"/>
    <n v="0"/>
    <n v="34"/>
    <n v="72"/>
    <n v="0"/>
    <n v="946.35"/>
    <n v="434.95"/>
    <m/>
    <n v="1059.1724684837104"/>
    <n v="316.97983140624547"/>
    <n v="0"/>
    <n v="10.40985"/>
    <n v="4.7844499999999996"/>
    <n v="0"/>
    <n v="11.650897153320814"/>
    <n v="3.4867781454686999"/>
  </r>
  <r>
    <s v="PROJETADO"/>
    <x v="1"/>
    <x v="2"/>
    <x v="4"/>
    <x v="2"/>
    <x v="1"/>
    <x v="0"/>
    <x v="2"/>
    <x v="11"/>
    <n v="0"/>
    <n v="0"/>
    <n v="1.0999999999999999E-2"/>
    <n v="1.0999999999999999E-2"/>
    <n v="1.0999999999999999E-2"/>
    <n v="1.0999999999999999E-2"/>
    <n v="0"/>
    <x v="1"/>
    <n v="0"/>
    <n v="0"/>
    <n v="34"/>
    <n v="72"/>
    <n v="0"/>
    <n v="946.35"/>
    <n v="434.95"/>
    <m/>
    <n v="1059.1724684837104"/>
    <n v="316.97983140624547"/>
    <n v="0"/>
    <n v="10.40985"/>
    <n v="4.7844499999999996"/>
    <n v="0"/>
    <n v="11.650897153320814"/>
    <n v="3.4867781454686999"/>
  </r>
  <r>
    <s v="Regular"/>
    <x v="1"/>
    <x v="3"/>
    <x v="4"/>
    <x v="2"/>
    <x v="1"/>
    <x v="0"/>
    <x v="1"/>
    <x v="0"/>
    <n v="0"/>
    <n v="0"/>
    <n v="846.42"/>
    <n v="846.42"/>
    <n v="846.42"/>
    <n v="846.42"/>
    <n v="5673"/>
    <x v="1"/>
    <n v="0"/>
    <n v="0"/>
    <n v="37"/>
    <n v="75"/>
    <n v="0"/>
    <n v="407.42"/>
    <n v="280.73"/>
    <m/>
    <n v="471.29409075882518"/>
    <n v="207.63042742196092"/>
    <n v="0"/>
    <n v="344848.43640000001"/>
    <n v="237615.4866"/>
    <n v="0"/>
    <n v="398912.74430008477"/>
    <n v="175742.54637849616"/>
  </r>
  <r>
    <s v="Sistema de Compensação"/>
    <x v="1"/>
    <x v="3"/>
    <x v="4"/>
    <x v="2"/>
    <x v="1"/>
    <x v="0"/>
    <x v="1"/>
    <x v="0"/>
    <n v="0"/>
    <n v="0"/>
    <n v="17.163"/>
    <n v="17.163"/>
    <n v="17.163"/>
    <n v="17.163"/>
    <n v="160"/>
    <x v="1"/>
    <n v="0"/>
    <n v="0"/>
    <n v="37"/>
    <n v="75"/>
    <n v="0"/>
    <n v="407.42"/>
    <n v="280.73"/>
    <m/>
    <n v="471.29409075882518"/>
    <n v="207.63042742196092"/>
    <n v="0"/>
    <n v="6992.5494600000002"/>
    <n v="4818.1689900000001"/>
    <n v="0"/>
    <n v="8088.8204796937171"/>
    <n v="3563.5610258431152"/>
  </r>
  <r>
    <s v="Regular"/>
    <x v="1"/>
    <x v="3"/>
    <x v="4"/>
    <x v="2"/>
    <x v="1"/>
    <x v="0"/>
    <x v="1"/>
    <x v="1"/>
    <n v="0"/>
    <n v="0"/>
    <n v="898.92100000000005"/>
    <n v="898.92100000000005"/>
    <n v="898.92100000000005"/>
    <n v="898.92100000000005"/>
    <n v="5700"/>
    <x v="1"/>
    <n v="0"/>
    <n v="0"/>
    <n v="37"/>
    <n v="75"/>
    <n v="0"/>
    <n v="407.42"/>
    <n v="280.73"/>
    <m/>
    <n v="471.29409075882518"/>
    <n v="207.63042742196092"/>
    <n v="0"/>
    <n v="366238.39382000006"/>
    <n v="252354.09233000004"/>
    <n v="0"/>
    <n v="423656.15535901394"/>
    <n v="186643.35144857655"/>
  </r>
  <r>
    <s v="Sistema de Compensação"/>
    <x v="1"/>
    <x v="3"/>
    <x v="4"/>
    <x v="2"/>
    <x v="1"/>
    <x v="0"/>
    <x v="1"/>
    <x v="1"/>
    <n v="0"/>
    <n v="0"/>
    <n v="13.840999999999999"/>
    <n v="13.840999999999999"/>
    <n v="13.840999999999999"/>
    <n v="13.840999999999999"/>
    <n v="165"/>
    <x v="1"/>
    <n v="0"/>
    <n v="0"/>
    <n v="37"/>
    <n v="75"/>
    <n v="0"/>
    <n v="407.42"/>
    <n v="280.73"/>
    <m/>
    <n v="471.29409075882518"/>
    <n v="207.63042742196092"/>
    <n v="0"/>
    <n v="5639.1002200000003"/>
    <n v="3885.5839300000002"/>
    <n v="0"/>
    <n v="6523.1815101928987"/>
    <n v="2873.8127459473608"/>
  </r>
  <r>
    <s v="Regular"/>
    <x v="1"/>
    <x v="3"/>
    <x v="4"/>
    <x v="2"/>
    <x v="1"/>
    <x v="0"/>
    <x v="1"/>
    <x v="2"/>
    <n v="0"/>
    <n v="0"/>
    <n v="795.89800000000002"/>
    <n v="795.89800000000002"/>
    <n v="795.89800000000002"/>
    <n v="795.89800000000002"/>
    <n v="5685"/>
    <x v="1"/>
    <n v="0"/>
    <n v="0"/>
    <n v="37"/>
    <n v="75"/>
    <n v="0"/>
    <n v="407.42"/>
    <n v="280.73"/>
    <m/>
    <n v="471.29409075882518"/>
    <n v="207.63042742196092"/>
    <n v="0"/>
    <n v="324264.76316000003"/>
    <n v="223432.44554000002"/>
    <n v="0"/>
    <n v="375102.02424676745"/>
    <n v="165252.64192428385"/>
  </r>
  <r>
    <s v="Sistema de Compensação"/>
    <x v="1"/>
    <x v="3"/>
    <x v="4"/>
    <x v="2"/>
    <x v="1"/>
    <x v="0"/>
    <x v="1"/>
    <x v="2"/>
    <n v="0"/>
    <n v="0"/>
    <n v="18.109000000000002"/>
    <n v="18.109000000000002"/>
    <n v="18.109000000000002"/>
    <n v="18.109000000000002"/>
    <n v="187"/>
    <x v="1"/>
    <n v="0"/>
    <n v="0"/>
    <n v="37"/>
    <n v="75"/>
    <n v="0"/>
    <n v="407.42"/>
    <n v="280.73"/>
    <m/>
    <n v="471.29409075882518"/>
    <n v="207.63042742196092"/>
    <n v="0"/>
    <n v="7377.9687800000011"/>
    <n v="5083.7395700000006"/>
    <n v="0"/>
    <n v="8534.664689551566"/>
    <n v="3759.9794101842908"/>
  </r>
  <r>
    <s v="Regular"/>
    <x v="1"/>
    <x v="3"/>
    <x v="4"/>
    <x v="2"/>
    <x v="1"/>
    <x v="0"/>
    <x v="1"/>
    <x v="3"/>
    <n v="0"/>
    <n v="0"/>
    <n v="870.99800000000005"/>
    <n v="870.99800000000005"/>
    <n v="870.99800000000005"/>
    <n v="870.99800000000005"/>
    <n v="5654"/>
    <x v="1"/>
    <n v="0"/>
    <n v="0"/>
    <n v="37"/>
    <n v="75"/>
    <n v="0"/>
    <n v="407.42"/>
    <n v="280.73"/>
    <m/>
    <n v="471.29409075882518"/>
    <n v="207.63042742196092"/>
    <n v="0"/>
    <n v="354862.00516000006"/>
    <n v="244515.26854000002"/>
    <n v="0"/>
    <n v="410496.21046275523"/>
    <n v="180845.68702367312"/>
  </r>
  <r>
    <s v="Sistema de Compensação"/>
    <x v="1"/>
    <x v="3"/>
    <x v="4"/>
    <x v="2"/>
    <x v="1"/>
    <x v="0"/>
    <x v="1"/>
    <x v="3"/>
    <n v="0"/>
    <n v="0"/>
    <n v="16.065000000000001"/>
    <n v="16.065000000000001"/>
    <n v="16.065000000000001"/>
    <n v="16.065000000000001"/>
    <n v="205"/>
    <x v="1"/>
    <n v="0"/>
    <n v="0"/>
    <n v="37"/>
    <n v="75"/>
    <n v="0"/>
    <n v="407.42"/>
    <n v="280.73"/>
    <m/>
    <n v="471.29409075882518"/>
    <n v="207.63042742196092"/>
    <n v="0"/>
    <n v="6545.2023000000008"/>
    <n v="4509.927450000001"/>
    <n v="0"/>
    <n v="7571.3395680405274"/>
    <n v="3335.5828165338025"/>
  </r>
  <r>
    <s v="Regular"/>
    <x v="1"/>
    <x v="3"/>
    <x v="4"/>
    <x v="2"/>
    <x v="1"/>
    <x v="0"/>
    <x v="1"/>
    <x v="4"/>
    <n v="0"/>
    <n v="0"/>
    <n v="980.88699999999994"/>
    <n v="980.88699999999994"/>
    <n v="980.88699999999994"/>
    <n v="980.88699999999994"/>
    <n v="5635"/>
    <x v="1"/>
    <n v="0"/>
    <n v="0"/>
    <n v="37"/>
    <n v="75"/>
    <n v="0"/>
    <n v="407.42"/>
    <n v="280.73"/>
    <m/>
    <n v="471.29409075882518"/>
    <n v="207.63042742196092"/>
    <n v="0"/>
    <n v="399632.98154000001"/>
    <n v="275364.40750999999"/>
    <n v="0"/>
    <n v="462286.24680215173"/>
    <n v="203661.98706264497"/>
  </r>
  <r>
    <s v="Sistema de Compensação"/>
    <x v="1"/>
    <x v="3"/>
    <x v="4"/>
    <x v="2"/>
    <x v="1"/>
    <x v="0"/>
    <x v="1"/>
    <x v="4"/>
    <n v="0"/>
    <n v="0"/>
    <n v="19.164999999999999"/>
    <n v="19.164999999999999"/>
    <n v="19.164999999999999"/>
    <n v="19.164999999999999"/>
    <n v="223"/>
    <x v="1"/>
    <n v="0"/>
    <n v="0"/>
    <n v="37"/>
    <n v="75"/>
    <n v="0"/>
    <n v="407.42"/>
    <n v="280.73"/>
    <m/>
    <n v="471.29409075882518"/>
    <n v="207.63042742196092"/>
    <n v="0"/>
    <n v="7808.2043000000003"/>
    <n v="5380.1904500000001"/>
    <n v="0"/>
    <n v="9032.3512493928847"/>
    <n v="3979.2371415418806"/>
  </r>
  <r>
    <s v="Regular"/>
    <x v="1"/>
    <x v="3"/>
    <x v="4"/>
    <x v="2"/>
    <x v="1"/>
    <x v="0"/>
    <x v="1"/>
    <x v="5"/>
    <n v="0"/>
    <n v="0"/>
    <n v="952.029"/>
    <n v="952.029"/>
    <n v="952.029"/>
    <n v="952.029"/>
    <n v="5611"/>
    <x v="1"/>
    <n v="0"/>
    <n v="0"/>
    <n v="37"/>
    <n v="75"/>
    <n v="0"/>
    <n v="407.42"/>
    <n v="280.73"/>
    <m/>
    <n v="471.29409075882518"/>
    <n v="207.63042742196092"/>
    <n v="0"/>
    <n v="387875.65518"/>
    <n v="267263.10117000004"/>
    <n v="0"/>
    <n v="448685.64193103358"/>
    <n v="197670.18818810204"/>
  </r>
  <r>
    <s v="Sistema de Compensação"/>
    <x v="1"/>
    <x v="3"/>
    <x v="4"/>
    <x v="2"/>
    <x v="1"/>
    <x v="0"/>
    <x v="1"/>
    <x v="5"/>
    <n v="0"/>
    <n v="0"/>
    <n v="20.507000000000001"/>
    <n v="20.507000000000001"/>
    <n v="20.507000000000001"/>
    <n v="20.507000000000001"/>
    <n v="234"/>
    <x v="1"/>
    <n v="0"/>
    <n v="0"/>
    <n v="37"/>
    <n v="75"/>
    <n v="0"/>
    <n v="407.42"/>
    <n v="280.73"/>
    <m/>
    <n v="471.29409075882518"/>
    <n v="207.63042742196092"/>
    <n v="0"/>
    <n v="8354.9619400000011"/>
    <n v="5756.9301100000012"/>
    <n v="0"/>
    <n v="9664.8279191912279"/>
    <n v="4257.8771751421527"/>
  </r>
  <r>
    <s v="Regular"/>
    <x v="1"/>
    <x v="3"/>
    <x v="4"/>
    <x v="2"/>
    <x v="1"/>
    <x v="0"/>
    <x v="1"/>
    <x v="6"/>
    <n v="0"/>
    <n v="0"/>
    <n v="840.39200000000005"/>
    <n v="840.39200000000005"/>
    <n v="840.39200000000005"/>
    <n v="840.39200000000005"/>
    <n v="5585"/>
    <x v="1"/>
    <n v="0"/>
    <n v="0"/>
    <n v="37"/>
    <n v="75"/>
    <n v="0"/>
    <n v="407.42"/>
    <n v="280.73"/>
    <m/>
    <n v="471.29409075882518"/>
    <n v="207.63042742196092"/>
    <n v="0"/>
    <n v="342392.50864000001"/>
    <n v="235923.24616000004"/>
    <n v="0"/>
    <n v="396071.78352099063"/>
    <n v="174490.95016199659"/>
  </r>
  <r>
    <s v="Sistema de Compensação"/>
    <x v="1"/>
    <x v="3"/>
    <x v="4"/>
    <x v="2"/>
    <x v="1"/>
    <x v="0"/>
    <x v="1"/>
    <x v="6"/>
    <n v="0"/>
    <n v="0"/>
    <n v="20.370999999999999"/>
    <n v="20.370999999999999"/>
    <n v="20.370999999999999"/>
    <n v="20.370999999999999"/>
    <n v="247"/>
    <x v="1"/>
    <n v="0"/>
    <n v="0"/>
    <n v="37"/>
    <n v="75"/>
    <n v="0"/>
    <n v="407.42"/>
    <n v="280.73"/>
    <m/>
    <n v="471.29409075882518"/>
    <n v="207.63042742196092"/>
    <n v="0"/>
    <n v="8299.552819999999"/>
    <n v="5718.75083"/>
    <n v="0"/>
    <n v="9600.7319228480264"/>
    <n v="4229.6394370127655"/>
  </r>
  <r>
    <s v="Regular"/>
    <x v="1"/>
    <x v="3"/>
    <x v="4"/>
    <x v="2"/>
    <x v="1"/>
    <x v="0"/>
    <x v="1"/>
    <x v="7"/>
    <n v="0"/>
    <n v="0"/>
    <n v="915.86900000000003"/>
    <n v="915.86900000000003"/>
    <n v="915.86900000000003"/>
    <n v="915.86900000000003"/>
    <n v="5572"/>
    <x v="1"/>
    <n v="0"/>
    <n v="0"/>
    <n v="37"/>
    <n v="75"/>
    <n v="0"/>
    <n v="407.42"/>
    <n v="280.73"/>
    <m/>
    <n v="471.29409075882518"/>
    <n v="207.63042742196092"/>
    <n v="0"/>
    <n v="373143.34798000002"/>
    <n v="257111.90437000003"/>
    <n v="0"/>
    <n v="431643.64760919445"/>
    <n v="190162.27193252393"/>
  </r>
  <r>
    <s v="Sistema de Compensação"/>
    <x v="1"/>
    <x v="3"/>
    <x v="4"/>
    <x v="2"/>
    <x v="1"/>
    <x v="0"/>
    <x v="1"/>
    <x v="7"/>
    <n v="0"/>
    <n v="0"/>
    <n v="25.789000000000001"/>
    <n v="25.789000000000001"/>
    <n v="25.789000000000001"/>
    <n v="25.789000000000001"/>
    <n v="256"/>
    <x v="1"/>
    <n v="0"/>
    <n v="0"/>
    <n v="37"/>
    <n v="75"/>
    <n v="0"/>
    <n v="407.42"/>
    <n v="280.73"/>
    <m/>
    <n v="471.29409075882518"/>
    <n v="207.63042742196092"/>
    <n v="0"/>
    <n v="10506.954380000001"/>
    <n v="7239.7459700000009"/>
    <n v="0"/>
    <n v="12154.203306579344"/>
    <n v="5354.5810927849507"/>
  </r>
  <r>
    <s v="Regular"/>
    <x v="1"/>
    <x v="3"/>
    <x v="4"/>
    <x v="2"/>
    <x v="1"/>
    <x v="0"/>
    <x v="1"/>
    <x v="8"/>
    <n v="0"/>
    <n v="0"/>
    <n v="806.23099999999999"/>
    <n v="806.23099999999999"/>
    <n v="806.23099999999999"/>
    <n v="806.23099999999999"/>
    <n v="5559"/>
    <x v="1"/>
    <n v="0"/>
    <n v="0"/>
    <n v="37"/>
    <n v="75"/>
    <n v="0"/>
    <n v="407.42"/>
    <n v="280.73"/>
    <m/>
    <n v="471.29409075882518"/>
    <n v="207.63042742196092"/>
    <n v="0"/>
    <n v="328474.63402"/>
    <n v="226333.22863000003"/>
    <n v="0"/>
    <n v="379971.90608657838"/>
    <n v="167398.08713083496"/>
  </r>
  <r>
    <s v="Sistema de Compensação"/>
    <x v="1"/>
    <x v="3"/>
    <x v="4"/>
    <x v="2"/>
    <x v="1"/>
    <x v="0"/>
    <x v="1"/>
    <x v="8"/>
    <n v="0"/>
    <n v="0"/>
    <n v="23.277999999999999"/>
    <n v="23.277999999999999"/>
    <n v="23.277999999999999"/>
    <n v="23.277999999999999"/>
    <n v="269"/>
    <x v="1"/>
    <n v="0"/>
    <n v="0"/>
    <n v="37"/>
    <n v="75"/>
    <n v="0"/>
    <n v="407.42"/>
    <n v="280.73"/>
    <m/>
    <n v="471.29409075882518"/>
    <n v="207.63042742196092"/>
    <n v="0"/>
    <n v="9483.9227599999995"/>
    <n v="6534.8329400000002"/>
    <n v="0"/>
    <n v="10970.783844683932"/>
    <n v="4833.2210895284061"/>
  </r>
  <r>
    <s v="Regular"/>
    <x v="1"/>
    <x v="3"/>
    <x v="4"/>
    <x v="2"/>
    <x v="1"/>
    <x v="0"/>
    <x v="1"/>
    <x v="9"/>
    <n v="0"/>
    <n v="0"/>
    <n v="778.399"/>
    <n v="778.399"/>
    <n v="778.399"/>
    <n v="778.399"/>
    <n v="5532"/>
    <x v="1"/>
    <n v="0"/>
    <n v="0"/>
    <n v="37"/>
    <n v="75"/>
    <n v="0"/>
    <n v="407.42"/>
    <n v="280.73"/>
    <m/>
    <n v="471.29409075882518"/>
    <n v="207.63042742196092"/>
    <n v="0"/>
    <n v="317135.32058"/>
    <n v="218519.95127000002"/>
    <n v="0"/>
    <n v="366854.84895257879"/>
    <n v="161619.31707482695"/>
  </r>
  <r>
    <s v="Refaturamento - Regular"/>
    <x v="1"/>
    <x v="3"/>
    <x v="4"/>
    <x v="2"/>
    <x v="1"/>
    <x v="0"/>
    <x v="1"/>
    <x v="9"/>
    <n v="0"/>
    <n v="0"/>
    <n v="-0.35499999999999998"/>
    <n v="-0.35499999999999998"/>
    <n v="-0.35499999999999998"/>
    <n v="-0.35499999999999998"/>
    <n v="0"/>
    <x v="1"/>
    <n v="0"/>
    <n v="0"/>
    <n v="37"/>
    <n v="75"/>
    <n v="0"/>
    <n v="407.42"/>
    <n v="280.73"/>
    <m/>
    <n v="471.29409075882518"/>
    <n v="207.63042742196092"/>
    <n v="0"/>
    <n v="-144.63409999999999"/>
    <n v="-99.659149999999997"/>
    <n v="0"/>
    <n v="-167.30940221938292"/>
    <n v="-73.708801734796126"/>
  </r>
  <r>
    <s v="Sistema de Compensação"/>
    <x v="1"/>
    <x v="3"/>
    <x v="4"/>
    <x v="2"/>
    <x v="1"/>
    <x v="0"/>
    <x v="1"/>
    <x v="9"/>
    <n v="0"/>
    <n v="0"/>
    <n v="26.268000000000001"/>
    <n v="26.268000000000001"/>
    <n v="26.268000000000001"/>
    <n v="26.268000000000001"/>
    <n v="274"/>
    <x v="1"/>
    <n v="0"/>
    <n v="0"/>
    <n v="37"/>
    <n v="75"/>
    <n v="0"/>
    <n v="407.42"/>
    <n v="280.73"/>
    <m/>
    <n v="471.29409075882518"/>
    <n v="207.63042742196092"/>
    <n v="0"/>
    <n v="10702.108560000001"/>
    <n v="7374.2156400000003"/>
    <n v="0"/>
    <n v="12379.953176052821"/>
    <n v="5454.0360675200691"/>
  </r>
  <r>
    <s v="Regular"/>
    <x v="1"/>
    <x v="3"/>
    <x v="4"/>
    <x v="2"/>
    <x v="1"/>
    <x v="0"/>
    <x v="1"/>
    <x v="10"/>
    <n v="0"/>
    <n v="0"/>
    <n v="809.38900000000001"/>
    <n v="809.38900000000001"/>
    <n v="809.38900000000001"/>
    <n v="809.38900000000001"/>
    <n v="5556"/>
    <x v="1"/>
    <n v="0"/>
    <n v="0"/>
    <n v="37"/>
    <n v="75"/>
    <n v="0"/>
    <n v="407.42"/>
    <n v="280.73"/>
    <m/>
    <n v="471.29409075882518"/>
    <n v="207.63042742196092"/>
    <n v="0"/>
    <n v="329761.26638000004"/>
    <n v="227219.77397000001"/>
    <n v="0"/>
    <n v="381460.25282519474"/>
    <n v="168053.78402063352"/>
  </r>
  <r>
    <s v="Sistema de Compensação"/>
    <x v="1"/>
    <x v="3"/>
    <x v="4"/>
    <x v="2"/>
    <x v="1"/>
    <x v="0"/>
    <x v="1"/>
    <x v="10"/>
    <n v="0"/>
    <n v="0"/>
    <n v="34.978999999999999"/>
    <n v="34.978999999999999"/>
    <n v="34.978999999999999"/>
    <n v="34.978999999999999"/>
    <n v="283"/>
    <x v="1"/>
    <n v="0"/>
    <n v="0"/>
    <n v="37"/>
    <n v="75"/>
    <n v="0"/>
    <n v="407.42"/>
    <n v="280.73"/>
    <m/>
    <n v="471.29409075882518"/>
    <n v="207.63042742196092"/>
    <n v="0"/>
    <n v="14251.144179999999"/>
    <n v="9819.6546699999999"/>
    <n v="0"/>
    <n v="16485.396000652945"/>
    <n v="7262.7047207927708"/>
  </r>
  <r>
    <s v="PROJETADO"/>
    <x v="1"/>
    <x v="3"/>
    <x v="4"/>
    <x v="2"/>
    <x v="1"/>
    <x v="0"/>
    <x v="1"/>
    <x v="11"/>
    <n v="0"/>
    <n v="0"/>
    <n v="809.38900000000001"/>
    <n v="809.38900000000001"/>
    <n v="809.38900000000001"/>
    <n v="809.38900000000001"/>
    <n v="5556"/>
    <x v="1"/>
    <n v="0"/>
    <n v="0"/>
    <n v="37"/>
    <n v="75"/>
    <n v="0"/>
    <n v="407.42"/>
    <n v="280.73"/>
    <m/>
    <n v="471.29409075882518"/>
    <n v="207.63042742196092"/>
    <n v="0"/>
    <n v="329761.26638000004"/>
    <n v="227219.77397000001"/>
    <n v="0"/>
    <n v="381460.25282519474"/>
    <n v="168053.78402063352"/>
  </r>
  <r>
    <s v="PROJETADO"/>
    <x v="1"/>
    <x v="3"/>
    <x v="4"/>
    <x v="2"/>
    <x v="1"/>
    <x v="0"/>
    <x v="1"/>
    <x v="11"/>
    <n v="0"/>
    <n v="0"/>
    <n v="34.978999999999999"/>
    <n v="34.978999999999999"/>
    <n v="34.978999999999999"/>
    <n v="34.978999999999999"/>
    <n v="283"/>
    <x v="1"/>
    <n v="0"/>
    <n v="0"/>
    <n v="37"/>
    <n v="75"/>
    <n v="0"/>
    <n v="407.42"/>
    <n v="280.73"/>
    <m/>
    <n v="471.29409075882518"/>
    <n v="207.63042742196092"/>
    <n v="0"/>
    <n v="14251.144179999999"/>
    <n v="9819.6546699999999"/>
    <n v="0"/>
    <n v="16485.396000652945"/>
    <n v="7262.7047207927708"/>
  </r>
  <r>
    <s v="Regular"/>
    <x v="1"/>
    <x v="3"/>
    <x v="4"/>
    <x v="3"/>
    <x v="1"/>
    <x v="0"/>
    <x v="1"/>
    <x v="0"/>
    <n v="0"/>
    <n v="0"/>
    <n v="17.309999999999999"/>
    <n v="17.309999999999999"/>
    <n v="17.309999999999999"/>
    <n v="17.309999999999999"/>
    <n v="21"/>
    <x v="1"/>
    <n v="0"/>
    <n v="0"/>
    <n v="38"/>
    <n v="76"/>
    <n v="0"/>
    <n v="115.69"/>
    <n v="98.26"/>
    <m/>
    <n v="122.8690453266418"/>
    <n v="72.670649597686321"/>
    <n v="0"/>
    <n v="2002.5938999999998"/>
    <n v="1700.8806"/>
    <n v="0"/>
    <n v="2126.8631746041692"/>
    <n v="1257.9289445359502"/>
  </r>
  <r>
    <s v="Regular"/>
    <x v="1"/>
    <x v="3"/>
    <x v="4"/>
    <x v="3"/>
    <x v="1"/>
    <x v="0"/>
    <x v="1"/>
    <x v="1"/>
    <n v="0"/>
    <n v="0"/>
    <n v="16.2"/>
    <n v="16.2"/>
    <n v="16.2"/>
    <n v="16.2"/>
    <n v="21"/>
    <x v="1"/>
    <n v="0"/>
    <n v="0"/>
    <n v="38"/>
    <n v="76"/>
    <n v="0"/>
    <n v="115.69"/>
    <n v="98.26"/>
    <m/>
    <n v="122.8690453266418"/>
    <n v="72.670649597686321"/>
    <n v="0"/>
    <n v="1874.1779999999999"/>
    <n v="1591.8120000000001"/>
    <n v="0"/>
    <n v="1990.478534291597"/>
    <n v="1177.2645234825184"/>
  </r>
  <r>
    <s v="Regular"/>
    <x v="1"/>
    <x v="3"/>
    <x v="4"/>
    <x v="3"/>
    <x v="1"/>
    <x v="0"/>
    <x v="1"/>
    <x v="2"/>
    <n v="0"/>
    <n v="0"/>
    <n v="15.93"/>
    <n v="15.93"/>
    <n v="15.93"/>
    <n v="15.93"/>
    <n v="22"/>
    <x v="1"/>
    <n v="0"/>
    <n v="0"/>
    <n v="38"/>
    <n v="76"/>
    <n v="0"/>
    <n v="115.69"/>
    <n v="98.26"/>
    <m/>
    <n v="122.8690453266418"/>
    <n v="72.670649597686321"/>
    <n v="0"/>
    <n v="1842.9416999999999"/>
    <n v="1565.2818"/>
    <n v="0"/>
    <n v="1957.3038920534038"/>
    <n v="1157.643448091143"/>
  </r>
  <r>
    <s v="Regular"/>
    <x v="1"/>
    <x v="3"/>
    <x v="4"/>
    <x v="3"/>
    <x v="1"/>
    <x v="0"/>
    <x v="1"/>
    <x v="3"/>
    <n v="0"/>
    <n v="0"/>
    <n v="16.260000000000002"/>
    <n v="16.260000000000002"/>
    <n v="16.260000000000002"/>
    <n v="16.260000000000002"/>
    <n v="21"/>
    <x v="1"/>
    <n v="0"/>
    <n v="0"/>
    <n v="38"/>
    <n v="76"/>
    <n v="0"/>
    <n v="115.69"/>
    <n v="98.26"/>
    <m/>
    <n v="122.8690453266418"/>
    <n v="72.670649597686321"/>
    <n v="0"/>
    <n v="1881.1194"/>
    <n v="1597.7076000000002"/>
    <n v="0"/>
    <n v="1997.8506770111958"/>
    <n v="1181.6247624583798"/>
  </r>
  <r>
    <s v="Regular"/>
    <x v="1"/>
    <x v="3"/>
    <x v="4"/>
    <x v="3"/>
    <x v="1"/>
    <x v="0"/>
    <x v="1"/>
    <x v="4"/>
    <n v="0"/>
    <n v="0"/>
    <n v="16.62"/>
    <n v="16.62"/>
    <n v="16.62"/>
    <n v="16.62"/>
    <n v="20"/>
    <x v="1"/>
    <n v="0"/>
    <n v="0"/>
    <n v="38"/>
    <n v="76"/>
    <n v="0"/>
    <n v="115.69"/>
    <n v="98.26"/>
    <m/>
    <n v="122.8690453266418"/>
    <n v="72.670649597686321"/>
    <n v="0"/>
    <n v="1922.7678000000001"/>
    <n v="1633.0812000000001"/>
    <n v="0"/>
    <n v="2042.0835333287869"/>
    <n v="1207.7861963135467"/>
  </r>
  <r>
    <s v="Regular"/>
    <x v="1"/>
    <x v="3"/>
    <x v="4"/>
    <x v="3"/>
    <x v="1"/>
    <x v="0"/>
    <x v="1"/>
    <x v="5"/>
    <n v="0"/>
    <n v="0"/>
    <n v="16.739999999999998"/>
    <n v="16.739999999999998"/>
    <n v="16.739999999999998"/>
    <n v="16.739999999999998"/>
    <n v="18"/>
    <x v="1"/>
    <n v="0"/>
    <n v="0"/>
    <n v="38"/>
    <n v="76"/>
    <n v="0"/>
    <n v="115.69"/>
    <n v="98.26"/>
    <m/>
    <n v="122.8690453266418"/>
    <n v="72.670649597686321"/>
    <n v="0"/>
    <n v="1936.6505999999997"/>
    <n v="1644.8724"/>
    <n v="0"/>
    <n v="2056.8278187679834"/>
    <n v="1216.5066742652689"/>
  </r>
  <r>
    <s v="Regular"/>
    <x v="1"/>
    <x v="3"/>
    <x v="4"/>
    <x v="3"/>
    <x v="1"/>
    <x v="0"/>
    <x v="1"/>
    <x v="6"/>
    <n v="0"/>
    <n v="0"/>
    <n v="16.940000000000001"/>
    <n v="16.940000000000001"/>
    <n v="16.940000000000001"/>
    <n v="16.940000000000001"/>
    <n v="17"/>
    <x v="1"/>
    <n v="0"/>
    <n v="0"/>
    <n v="38"/>
    <n v="76"/>
    <n v="0"/>
    <n v="115.69"/>
    <n v="98.26"/>
    <m/>
    <n v="122.8690453266418"/>
    <n v="72.670649597686321"/>
    <n v="0"/>
    <n v="1959.7886000000001"/>
    <n v="1664.5244000000002"/>
    <n v="0"/>
    <n v="2081.401627833312"/>
    <n v="1231.0408041848063"/>
  </r>
  <r>
    <s v="Regular"/>
    <x v="1"/>
    <x v="3"/>
    <x v="4"/>
    <x v="3"/>
    <x v="1"/>
    <x v="0"/>
    <x v="1"/>
    <x v="7"/>
    <n v="0"/>
    <n v="0"/>
    <n v="17.22"/>
    <n v="17.22"/>
    <n v="17.22"/>
    <n v="17.22"/>
    <n v="13"/>
    <x v="1"/>
    <n v="0"/>
    <n v="0"/>
    <n v="38"/>
    <n v="76"/>
    <n v="0"/>
    <n v="115.69"/>
    <n v="98.26"/>
    <m/>
    <n v="122.8690453266418"/>
    <n v="72.670649597686321"/>
    <n v="0"/>
    <n v="1992.1817999999998"/>
    <n v="1692.0372"/>
    <n v="0"/>
    <n v="2115.8049605247716"/>
    <n v="1251.3885860721584"/>
  </r>
  <r>
    <s v="Regular"/>
    <x v="1"/>
    <x v="3"/>
    <x v="4"/>
    <x v="3"/>
    <x v="1"/>
    <x v="0"/>
    <x v="1"/>
    <x v="8"/>
    <n v="0"/>
    <n v="0"/>
    <n v="17.399999999999999"/>
    <n v="17.399999999999999"/>
    <n v="17.399999999999999"/>
    <n v="17.399999999999999"/>
    <n v="24"/>
    <x v="1"/>
    <n v="0"/>
    <n v="0"/>
    <n v="38"/>
    <n v="76"/>
    <n v="0"/>
    <n v="115.69"/>
    <n v="98.26"/>
    <m/>
    <n v="122.8690453266418"/>
    <n v="72.670649597686321"/>
    <n v="0"/>
    <n v="2013.0059999999999"/>
    <n v="1709.7239999999999"/>
    <n v="0"/>
    <n v="2137.9213886835669"/>
    <n v="1264.4693029997418"/>
  </r>
  <r>
    <s v="Regular"/>
    <x v="1"/>
    <x v="3"/>
    <x v="4"/>
    <x v="3"/>
    <x v="1"/>
    <x v="0"/>
    <x v="1"/>
    <x v="9"/>
    <n v="0"/>
    <n v="0"/>
    <n v="17.7"/>
    <n v="17.7"/>
    <n v="17.7"/>
    <n v="17.7"/>
    <n v="23"/>
    <x v="1"/>
    <n v="0"/>
    <n v="0"/>
    <n v="38"/>
    <n v="76"/>
    <n v="0"/>
    <n v="115.69"/>
    <n v="98.26"/>
    <m/>
    <n v="122.8690453266418"/>
    <n v="72.670649597686321"/>
    <n v="0"/>
    <n v="2047.713"/>
    <n v="1739.202"/>
    <n v="0"/>
    <n v="2174.7821022815597"/>
    <n v="1286.2704978790478"/>
  </r>
  <r>
    <s v="Regular"/>
    <x v="1"/>
    <x v="3"/>
    <x v="4"/>
    <x v="3"/>
    <x v="1"/>
    <x v="0"/>
    <x v="1"/>
    <x v="10"/>
    <n v="0"/>
    <n v="0"/>
    <n v="18.149999999999999"/>
    <n v="18.149999999999999"/>
    <n v="18.149999999999999"/>
    <n v="18.149999999999999"/>
    <n v="29"/>
    <x v="1"/>
    <n v="0"/>
    <n v="0"/>
    <n v="38"/>
    <n v="76"/>
    <n v="0"/>
    <n v="115.69"/>
    <n v="98.26"/>
    <m/>
    <n v="122.8690453266418"/>
    <n v="72.670649597686321"/>
    <n v="0"/>
    <n v="2099.7734999999998"/>
    <n v="1783.4189999999999"/>
    <n v="0"/>
    <n v="2230.0731726785484"/>
    <n v="1318.9722901980067"/>
  </r>
  <r>
    <s v="PROJETADO"/>
    <x v="1"/>
    <x v="3"/>
    <x v="4"/>
    <x v="3"/>
    <x v="1"/>
    <x v="0"/>
    <x v="1"/>
    <x v="11"/>
    <n v="0"/>
    <n v="0"/>
    <n v="18.149999999999999"/>
    <n v="18.149999999999999"/>
    <n v="18.149999999999999"/>
    <n v="18.149999999999999"/>
    <n v="29"/>
    <x v="1"/>
    <n v="0"/>
    <n v="0"/>
    <n v="38"/>
    <n v="76"/>
    <n v="0"/>
    <n v="115.69"/>
    <n v="98.26"/>
    <m/>
    <n v="122.8690453266418"/>
    <n v="72.670649597686321"/>
    <n v="0"/>
    <n v="2099.7734999999998"/>
    <n v="1783.4189999999999"/>
    <n v="0"/>
    <n v="2230.0731726785484"/>
    <n v="1318.9722901980067"/>
  </r>
  <r>
    <s v="Regular"/>
    <x v="1"/>
    <x v="3"/>
    <x v="4"/>
    <x v="4"/>
    <x v="1"/>
    <x v="0"/>
    <x v="1"/>
    <x v="0"/>
    <n v="0"/>
    <n v="0"/>
    <n v="30.582999999999998"/>
    <n v="30.582999999999998"/>
    <n v="30.582999999999998"/>
    <n v="30.582999999999998"/>
    <n v="273"/>
    <x v="1"/>
    <n v="0"/>
    <n v="0"/>
    <n v="39"/>
    <n v="77"/>
    <n v="0"/>
    <n v="198.33"/>
    <n v="168.44"/>
    <m/>
    <n v="210.63264913138596"/>
    <n v="124.57825645317655"/>
    <n v="0"/>
    <n v="6065.52639"/>
    <n v="5151.4005199999992"/>
    <n v="0"/>
    <n v="6441.7783083851764"/>
    <n v="3809.9768171074984"/>
  </r>
  <r>
    <s v="Regular"/>
    <x v="1"/>
    <x v="3"/>
    <x v="4"/>
    <x v="4"/>
    <x v="1"/>
    <x v="0"/>
    <x v="1"/>
    <x v="1"/>
    <n v="0"/>
    <n v="0"/>
    <n v="30.933"/>
    <n v="30.933"/>
    <n v="30.933"/>
    <n v="30.933"/>
    <n v="205"/>
    <x v="1"/>
    <n v="0"/>
    <n v="0"/>
    <n v="39"/>
    <n v="77"/>
    <n v="0"/>
    <n v="198.33"/>
    <n v="168.44"/>
    <m/>
    <n v="210.63264913138596"/>
    <n v="124.57825645317655"/>
    <n v="0"/>
    <n v="6134.9418900000001"/>
    <n v="5210.3545199999999"/>
    <n v="0"/>
    <n v="6515.499735581162"/>
    <n v="3853.5792068661103"/>
  </r>
  <r>
    <s v="Regular"/>
    <x v="1"/>
    <x v="3"/>
    <x v="4"/>
    <x v="4"/>
    <x v="1"/>
    <x v="0"/>
    <x v="1"/>
    <x v="2"/>
    <n v="0"/>
    <n v="0"/>
    <n v="28.279"/>
    <n v="28.279"/>
    <n v="28.279"/>
    <n v="28.279"/>
    <n v="263"/>
    <x v="1"/>
    <n v="0"/>
    <n v="0"/>
    <n v="39"/>
    <n v="77"/>
    <n v="0"/>
    <n v="198.33"/>
    <n v="168.44"/>
    <m/>
    <n v="210.63264913138596"/>
    <n v="124.57825645317655"/>
    <n v="0"/>
    <n v="5608.5740700000006"/>
    <n v="4763.3147600000002"/>
    <n v="0"/>
    <n v="5956.4806847864638"/>
    <n v="3522.9485142393796"/>
  </r>
  <r>
    <s v="Regular"/>
    <x v="1"/>
    <x v="3"/>
    <x v="4"/>
    <x v="4"/>
    <x v="1"/>
    <x v="0"/>
    <x v="1"/>
    <x v="3"/>
    <n v="0"/>
    <n v="0"/>
    <n v="31.254000000000001"/>
    <n v="31.254000000000001"/>
    <n v="31.254000000000001"/>
    <n v="31.254000000000001"/>
    <n v="221"/>
    <x v="1"/>
    <n v="0"/>
    <n v="0"/>
    <n v="39"/>
    <n v="77"/>
    <n v="0"/>
    <n v="198.33"/>
    <n v="168.44"/>
    <m/>
    <n v="210.63264913138596"/>
    <n v="124.57825645317655"/>
    <n v="0"/>
    <n v="6198.6058200000007"/>
    <n v="5264.4237600000006"/>
    <n v="0"/>
    <n v="6583.1128159523369"/>
    <n v="3893.5688271875802"/>
  </r>
  <r>
    <s v="Regular"/>
    <x v="1"/>
    <x v="3"/>
    <x v="4"/>
    <x v="4"/>
    <x v="1"/>
    <x v="0"/>
    <x v="1"/>
    <x v="4"/>
    <n v="0"/>
    <n v="0"/>
    <n v="32.868000000000002"/>
    <n v="32.868000000000002"/>
    <n v="32.868000000000002"/>
    <n v="32.868000000000002"/>
    <n v="183"/>
    <x v="1"/>
    <n v="0"/>
    <n v="0"/>
    <n v="39"/>
    <n v="77"/>
    <n v="0"/>
    <n v="198.33"/>
    <n v="168.44"/>
    <m/>
    <n v="210.63264913138596"/>
    <n v="124.57825645317655"/>
    <n v="0"/>
    <n v="6518.7104400000007"/>
    <n v="5536.2859200000003"/>
    <n v="0"/>
    <n v="6923.0739116503946"/>
    <n v="4094.638133103007"/>
  </r>
  <r>
    <s v="Regular"/>
    <x v="1"/>
    <x v="3"/>
    <x v="4"/>
    <x v="4"/>
    <x v="1"/>
    <x v="0"/>
    <x v="1"/>
    <x v="5"/>
    <n v="0"/>
    <n v="0"/>
    <n v="32.591999999999999"/>
    <n v="32.591999999999999"/>
    <n v="32.591999999999999"/>
    <n v="32.591999999999999"/>
    <n v="199"/>
    <x v="1"/>
    <n v="0"/>
    <n v="0"/>
    <n v="39"/>
    <n v="77"/>
    <n v="0"/>
    <n v="198.33"/>
    <n v="168.44"/>
    <m/>
    <n v="210.63264913138596"/>
    <n v="124.57825645317655"/>
    <n v="0"/>
    <n v="6463.9713600000005"/>
    <n v="5489.79648"/>
    <n v="0"/>
    <n v="6864.9393004901312"/>
    <n v="4060.2545343219299"/>
  </r>
  <r>
    <s v="Regular"/>
    <x v="1"/>
    <x v="3"/>
    <x v="4"/>
    <x v="4"/>
    <x v="1"/>
    <x v="0"/>
    <x v="1"/>
    <x v="6"/>
    <n v="0"/>
    <n v="0"/>
    <n v="31.766999999999999"/>
    <n v="31.766999999999999"/>
    <n v="31.766999999999999"/>
    <n v="31.766999999999999"/>
    <n v="252"/>
    <x v="1"/>
    <n v="0"/>
    <n v="0"/>
    <n v="39"/>
    <n v="77"/>
    <n v="0"/>
    <n v="198.33"/>
    <n v="168.44"/>
    <m/>
    <n v="210.63264913138596"/>
    <n v="124.57825645317655"/>
    <n v="0"/>
    <n v="6300.3491100000001"/>
    <n v="5350.8334800000002"/>
    <n v="0"/>
    <n v="6691.1673649567374"/>
    <n v="3957.4774727480594"/>
  </r>
  <r>
    <s v="Regular"/>
    <x v="1"/>
    <x v="3"/>
    <x v="4"/>
    <x v="4"/>
    <x v="1"/>
    <x v="0"/>
    <x v="1"/>
    <x v="7"/>
    <n v="0"/>
    <n v="0"/>
    <n v="33.64"/>
    <n v="33.64"/>
    <n v="33.64"/>
    <n v="33.64"/>
    <n v="222"/>
    <x v="1"/>
    <n v="0"/>
    <n v="0"/>
    <n v="39"/>
    <n v="77"/>
    <n v="0"/>
    <n v="198.33"/>
    <n v="168.44"/>
    <m/>
    <n v="210.63264913138596"/>
    <n v="124.57825645317655"/>
    <n v="0"/>
    <n v="6671.8212000000003"/>
    <n v="5666.3216000000002"/>
    <n v="0"/>
    <n v="7085.6823167798239"/>
    <n v="4190.812547084859"/>
  </r>
  <r>
    <s v="Regular"/>
    <x v="1"/>
    <x v="3"/>
    <x v="4"/>
    <x v="4"/>
    <x v="1"/>
    <x v="0"/>
    <x v="1"/>
    <x v="8"/>
    <n v="0"/>
    <n v="0"/>
    <n v="31.475999999999999"/>
    <n v="31.475999999999999"/>
    <n v="31.475999999999999"/>
    <n v="31.475999999999999"/>
    <n v="266"/>
    <x v="1"/>
    <n v="0"/>
    <n v="0"/>
    <n v="39"/>
    <n v="77"/>
    <n v="0"/>
    <n v="198.33"/>
    <n v="168.44"/>
    <m/>
    <n v="210.63264913138596"/>
    <n v="124.57825645317655"/>
    <n v="0"/>
    <n v="6242.63508"/>
    <n v="5301.8174399999998"/>
    <n v="0"/>
    <n v="6629.8732640595044"/>
    <n v="3921.225200120185"/>
  </r>
  <r>
    <s v="Regular"/>
    <x v="1"/>
    <x v="3"/>
    <x v="4"/>
    <x v="4"/>
    <x v="1"/>
    <x v="0"/>
    <x v="1"/>
    <x v="9"/>
    <n v="0"/>
    <n v="0"/>
    <n v="30.445"/>
    <n v="30.445"/>
    <n v="30.445"/>
    <n v="30.445"/>
    <n v="324"/>
    <x v="1"/>
    <n v="0"/>
    <n v="0"/>
    <n v="39"/>
    <n v="77"/>
    <n v="0"/>
    <n v="198.33"/>
    <n v="168.44"/>
    <m/>
    <n v="210.63264913138596"/>
    <n v="124.57825645317655"/>
    <n v="0"/>
    <n v="6038.1568500000003"/>
    <n v="5128.1557999999995"/>
    <n v="0"/>
    <n v="6412.7110028050456"/>
    <n v="3792.7850177169603"/>
  </r>
  <r>
    <s v="Regular"/>
    <x v="1"/>
    <x v="3"/>
    <x v="4"/>
    <x v="4"/>
    <x v="1"/>
    <x v="0"/>
    <x v="1"/>
    <x v="10"/>
    <n v="0"/>
    <n v="0"/>
    <n v="31.358000000000001"/>
    <n v="31.358000000000001"/>
    <n v="31.358000000000001"/>
    <n v="31.358000000000001"/>
    <n v="291"/>
    <x v="1"/>
    <n v="0"/>
    <n v="0"/>
    <n v="39"/>
    <n v="77"/>
    <n v="0"/>
    <n v="198.33"/>
    <n v="168.44"/>
    <m/>
    <n v="210.63264913138596"/>
    <n v="124.57825645317655"/>
    <n v="0"/>
    <n v="6219.2321400000001"/>
    <n v="5281.9415200000003"/>
    <n v="0"/>
    <n v="6605.018611462001"/>
    <n v="3906.5249658587104"/>
  </r>
  <r>
    <s v="PROJETADO"/>
    <x v="1"/>
    <x v="3"/>
    <x v="4"/>
    <x v="4"/>
    <x v="1"/>
    <x v="0"/>
    <x v="1"/>
    <x v="11"/>
    <n v="0"/>
    <n v="0"/>
    <n v="31.358000000000001"/>
    <n v="31.358000000000001"/>
    <n v="31.358000000000001"/>
    <n v="31.358000000000001"/>
    <n v="291"/>
    <x v="1"/>
    <n v="0"/>
    <n v="0"/>
    <n v="39"/>
    <n v="77"/>
    <n v="0"/>
    <n v="198.33"/>
    <n v="168.44"/>
    <m/>
    <n v="210.63264913138596"/>
    <n v="124.57825645317655"/>
    <n v="0"/>
    <n v="6219.2321400000001"/>
    <n v="5281.9415200000003"/>
    <n v="0"/>
    <n v="6605.018611462001"/>
    <n v="3906.5249658587104"/>
  </r>
  <r>
    <s v="Regular"/>
    <x v="1"/>
    <x v="3"/>
    <x v="4"/>
    <x v="5"/>
    <x v="1"/>
    <x v="0"/>
    <x v="1"/>
    <x v="0"/>
    <n v="0"/>
    <n v="0"/>
    <n v="13.061"/>
    <n v="13.061"/>
    <n v="13.061"/>
    <n v="13.061"/>
    <n v="261"/>
    <x v="1"/>
    <n v="0"/>
    <n v="0"/>
    <n v="40"/>
    <n v="78"/>
    <n v="0"/>
    <n v="297.49"/>
    <n v="252.66"/>
    <m/>
    <n v="315.94897369707894"/>
    <n v="186.86738467976483"/>
    <n v="0"/>
    <n v="3885.5168899999999"/>
    <n v="3299.99226"/>
    <n v="0"/>
    <n v="4126.6095454575479"/>
    <n v="2440.6749113024084"/>
  </r>
  <r>
    <s v="Regular"/>
    <x v="1"/>
    <x v="3"/>
    <x v="4"/>
    <x v="5"/>
    <x v="1"/>
    <x v="0"/>
    <x v="1"/>
    <x v="1"/>
    <n v="0"/>
    <n v="0"/>
    <n v="15.353999999999999"/>
    <n v="15.353999999999999"/>
    <n v="15.353999999999999"/>
    <n v="15.353999999999999"/>
    <n v="286"/>
    <x v="1"/>
    <n v="0"/>
    <n v="0"/>
    <n v="40"/>
    <n v="78"/>
    <n v="0"/>
    <n v="297.49"/>
    <n v="252.66"/>
    <m/>
    <n v="315.94897369707894"/>
    <n v="186.86738467976483"/>
    <n v="0"/>
    <n v="4567.6614600000003"/>
    <n v="3879.3416399999996"/>
    <n v="0"/>
    <n v="4851.0805421449495"/>
    <n v="2869.1618243731091"/>
  </r>
  <r>
    <s v="Regular"/>
    <x v="1"/>
    <x v="3"/>
    <x v="4"/>
    <x v="5"/>
    <x v="1"/>
    <x v="0"/>
    <x v="1"/>
    <x v="2"/>
    <n v="0"/>
    <n v="0"/>
    <n v="10.358000000000001"/>
    <n v="10.358000000000001"/>
    <n v="10.358000000000001"/>
    <n v="10.358000000000001"/>
    <n v="232"/>
    <x v="1"/>
    <n v="0"/>
    <n v="0"/>
    <n v="40"/>
    <n v="78"/>
    <n v="0"/>
    <n v="297.49"/>
    <n v="252.66"/>
    <m/>
    <n v="315.94897369707894"/>
    <n v="186.86738467976483"/>
    <n v="0"/>
    <n v="3081.4014200000001"/>
    <n v="2617.0522799999999"/>
    <n v="0"/>
    <n v="3272.5994695543436"/>
    <n v="1935.5723705130042"/>
  </r>
  <r>
    <s v="Regular"/>
    <x v="1"/>
    <x v="3"/>
    <x v="4"/>
    <x v="5"/>
    <x v="1"/>
    <x v="0"/>
    <x v="1"/>
    <x v="3"/>
    <n v="0"/>
    <n v="0"/>
    <n v="14.414"/>
    <n v="14.414"/>
    <n v="14.414"/>
    <n v="14.414"/>
    <n v="268"/>
    <x v="1"/>
    <n v="0"/>
    <n v="0"/>
    <n v="40"/>
    <n v="78"/>
    <n v="0"/>
    <n v="297.49"/>
    <n v="252.66"/>
    <m/>
    <n v="315.94897369707894"/>
    <n v="186.86738467976483"/>
    <n v="0"/>
    <n v="4288.0208599999996"/>
    <n v="3641.8412399999997"/>
    <n v="0"/>
    <n v="4554.0885068696962"/>
    <n v="2693.5064827741303"/>
  </r>
  <r>
    <s v="Regular"/>
    <x v="1"/>
    <x v="3"/>
    <x v="4"/>
    <x v="5"/>
    <x v="1"/>
    <x v="0"/>
    <x v="1"/>
    <x v="4"/>
    <n v="0"/>
    <n v="0"/>
    <n v="18.116"/>
    <n v="18.116"/>
    <n v="18.116"/>
    <n v="18.116"/>
    <n v="312"/>
    <x v="1"/>
    <n v="0"/>
    <n v="0"/>
    <n v="40"/>
    <n v="78"/>
    <n v="0"/>
    <n v="297.49"/>
    <n v="252.66"/>
    <m/>
    <n v="315.94897369707894"/>
    <n v="186.86738467976483"/>
    <n v="0"/>
    <n v="5389.3288400000001"/>
    <n v="4577.1885599999996"/>
    <n v="0"/>
    <n v="5723.7316074962819"/>
    <n v="3385.2895408586196"/>
  </r>
  <r>
    <s v="Regular"/>
    <x v="1"/>
    <x v="3"/>
    <x v="4"/>
    <x v="5"/>
    <x v="1"/>
    <x v="0"/>
    <x v="1"/>
    <x v="5"/>
    <n v="0"/>
    <n v="0"/>
    <n v="16.149999999999999"/>
    <n v="16.149999999999999"/>
    <n v="16.149999999999999"/>
    <n v="16.149999999999999"/>
    <n v="307"/>
    <x v="1"/>
    <n v="0"/>
    <n v="0"/>
    <n v="40"/>
    <n v="78"/>
    <n v="0"/>
    <n v="297.49"/>
    <n v="252.66"/>
    <m/>
    <n v="315.94897369707894"/>
    <n v="186.86738467976483"/>
    <n v="0"/>
    <n v="4804.4634999999998"/>
    <n v="4080.4589999999994"/>
    <n v="0"/>
    <n v="5102.5759252078242"/>
    <n v="3017.9082625782016"/>
  </r>
  <r>
    <s v="Regular"/>
    <x v="1"/>
    <x v="3"/>
    <x v="4"/>
    <x v="5"/>
    <x v="1"/>
    <x v="0"/>
    <x v="1"/>
    <x v="6"/>
    <n v="0"/>
    <n v="0"/>
    <n v="13.394"/>
    <n v="13.394"/>
    <n v="13.394"/>
    <n v="13.394"/>
    <n v="273"/>
    <x v="1"/>
    <n v="0"/>
    <n v="0"/>
    <n v="40"/>
    <n v="78"/>
    <n v="0"/>
    <n v="297.49"/>
    <n v="252.66"/>
    <m/>
    <n v="315.94897369707894"/>
    <n v="186.86738467976483"/>
    <n v="0"/>
    <n v="3984.58106"/>
    <n v="3384.1280400000001"/>
    <n v="0"/>
    <n v="4231.8205536986752"/>
    <n v="2502.9017504007702"/>
  </r>
  <r>
    <s v="Regular"/>
    <x v="1"/>
    <x v="3"/>
    <x v="4"/>
    <x v="5"/>
    <x v="1"/>
    <x v="0"/>
    <x v="1"/>
    <x v="7"/>
    <n v="0"/>
    <n v="0"/>
    <n v="16.189"/>
    <n v="16.189"/>
    <n v="16.189"/>
    <n v="16.189"/>
    <n v="309"/>
    <x v="1"/>
    <n v="0"/>
    <n v="0"/>
    <n v="40"/>
    <n v="78"/>
    <n v="0"/>
    <n v="297.49"/>
    <n v="252.66"/>
    <m/>
    <n v="315.94897369707894"/>
    <n v="186.86738467976483"/>
    <n v="0"/>
    <n v="4816.0656100000006"/>
    <n v="4090.3127399999998"/>
    <n v="0"/>
    <n v="5114.8979351820108"/>
    <n v="3025.1960905807127"/>
  </r>
  <r>
    <s v="Regular"/>
    <x v="1"/>
    <x v="3"/>
    <x v="4"/>
    <x v="5"/>
    <x v="1"/>
    <x v="0"/>
    <x v="1"/>
    <x v="8"/>
    <n v="0"/>
    <n v="0"/>
    <n v="12.414999999999999"/>
    <n v="12.414999999999999"/>
    <n v="12.414999999999999"/>
    <n v="12.414999999999999"/>
    <n v="268"/>
    <x v="1"/>
    <n v="0"/>
    <n v="0"/>
    <n v="40"/>
    <n v="78"/>
    <n v="0"/>
    <n v="297.49"/>
    <n v="252.66"/>
    <m/>
    <n v="315.94897369707894"/>
    <n v="186.86738467976483"/>
    <n v="0"/>
    <n v="3693.33835"/>
    <n v="3136.7738999999997"/>
    <n v="0"/>
    <n v="3922.5065084492348"/>
    <n v="2319.9585807992803"/>
  </r>
  <r>
    <s v="Regular"/>
    <x v="1"/>
    <x v="3"/>
    <x v="4"/>
    <x v="5"/>
    <x v="1"/>
    <x v="0"/>
    <x v="1"/>
    <x v="9"/>
    <n v="0"/>
    <n v="0"/>
    <n v="10.862"/>
    <n v="10.862"/>
    <n v="10.862"/>
    <n v="10.862"/>
    <n v="228"/>
    <x v="1"/>
    <n v="0"/>
    <n v="0"/>
    <n v="40"/>
    <n v="78"/>
    <n v="0"/>
    <n v="297.49"/>
    <n v="252.66"/>
    <m/>
    <n v="315.94897369707894"/>
    <n v="186.86738467976483"/>
    <n v="0"/>
    <n v="3231.3363800000002"/>
    <n v="2744.3929199999998"/>
    <n v="0"/>
    <n v="3431.8377522976716"/>
    <n v="2029.7535323916056"/>
  </r>
  <r>
    <s v="Regular"/>
    <x v="1"/>
    <x v="3"/>
    <x v="4"/>
    <x v="5"/>
    <x v="1"/>
    <x v="0"/>
    <x v="1"/>
    <x v="10"/>
    <n v="0"/>
    <n v="0"/>
    <n v="12.992000000000001"/>
    <n v="12.992000000000001"/>
    <n v="12.992000000000001"/>
    <n v="12.992000000000001"/>
    <n v="259"/>
    <x v="1"/>
    <n v="0"/>
    <n v="0"/>
    <n v="40"/>
    <n v="78"/>
    <n v="0"/>
    <n v="297.49"/>
    <n v="252.66"/>
    <m/>
    <n v="315.94897369707894"/>
    <n v="186.86738467976483"/>
    <n v="0"/>
    <n v="3864.9900800000005"/>
    <n v="3282.55872"/>
    <n v="0"/>
    <n v="4104.8090662724499"/>
    <n v="2427.7810617595046"/>
  </r>
  <r>
    <s v="PROJETADO"/>
    <x v="1"/>
    <x v="3"/>
    <x v="4"/>
    <x v="5"/>
    <x v="1"/>
    <x v="0"/>
    <x v="1"/>
    <x v="11"/>
    <n v="0"/>
    <n v="0"/>
    <n v="12.992000000000001"/>
    <n v="12.992000000000001"/>
    <n v="12.992000000000001"/>
    <n v="12.992000000000001"/>
    <n v="259"/>
    <x v="1"/>
    <n v="0"/>
    <n v="0"/>
    <n v="40"/>
    <n v="78"/>
    <n v="0"/>
    <n v="297.49"/>
    <n v="252.66"/>
    <m/>
    <n v="315.94897369707894"/>
    <n v="186.86738467976483"/>
    <n v="0"/>
    <n v="3864.9900800000005"/>
    <n v="3282.55872"/>
    <n v="0"/>
    <n v="4104.8090662724499"/>
    <n v="2427.7810617595046"/>
  </r>
  <r>
    <s v="Regular"/>
    <x v="1"/>
    <x v="3"/>
    <x v="4"/>
    <x v="6"/>
    <x v="1"/>
    <x v="0"/>
    <x v="1"/>
    <x v="0"/>
    <n v="0"/>
    <n v="0"/>
    <n v="0.874"/>
    <n v="0.874"/>
    <n v="0.874"/>
    <n v="0.874"/>
    <n v="22"/>
    <x v="1"/>
    <n v="0"/>
    <n v="0"/>
    <n v="41"/>
    <n v="79"/>
    <n v="0"/>
    <n v="330.54"/>
    <n v="280.73"/>
    <m/>
    <n v="351.0544152189766"/>
    <n v="207.63042742196092"/>
    <n v="0"/>
    <n v="288.89196000000004"/>
    <n v="245.35802000000001"/>
    <n v="0"/>
    <n v="306.82155890138557"/>
    <n v="181.46899356679384"/>
  </r>
  <r>
    <s v="Regular"/>
    <x v="1"/>
    <x v="3"/>
    <x v="4"/>
    <x v="6"/>
    <x v="1"/>
    <x v="0"/>
    <x v="1"/>
    <x v="1"/>
    <n v="0"/>
    <n v="0"/>
    <n v="1.5940000000000001"/>
    <n v="1.5940000000000001"/>
    <n v="1.5940000000000001"/>
    <n v="1.5940000000000001"/>
    <n v="28"/>
    <x v="1"/>
    <n v="0"/>
    <n v="0"/>
    <n v="41"/>
    <n v="79"/>
    <n v="0"/>
    <n v="330.54"/>
    <n v="280.73"/>
    <m/>
    <n v="351.0544152189766"/>
    <n v="207.63042742196092"/>
    <n v="0"/>
    <n v="526.88076000000001"/>
    <n v="447.48362000000003"/>
    <n v="0"/>
    <n v="559.58073785904878"/>
    <n v="330.96290131060573"/>
  </r>
  <r>
    <s v="Regular"/>
    <x v="1"/>
    <x v="3"/>
    <x v="4"/>
    <x v="6"/>
    <x v="1"/>
    <x v="0"/>
    <x v="1"/>
    <x v="2"/>
    <n v="0"/>
    <n v="0"/>
    <n v="0.61299999999999999"/>
    <n v="0.61299999999999999"/>
    <n v="0.61299999999999999"/>
    <n v="0.61299999999999999"/>
    <n v="14"/>
    <x v="1"/>
    <n v="0"/>
    <n v="0"/>
    <n v="41"/>
    <n v="79"/>
    <n v="0"/>
    <n v="330.54"/>
    <n v="280.73"/>
    <m/>
    <n v="351.0544152189766"/>
    <n v="207.63042742196092"/>
    <n v="0"/>
    <n v="202.62102000000002"/>
    <n v="172.08749"/>
    <n v="0"/>
    <n v="215.19635652923265"/>
    <n v="127.27745200966204"/>
  </r>
  <r>
    <s v="Regular"/>
    <x v="1"/>
    <x v="3"/>
    <x v="4"/>
    <x v="6"/>
    <x v="1"/>
    <x v="0"/>
    <x v="1"/>
    <x v="3"/>
    <n v="0"/>
    <n v="0"/>
    <n v="1.5680000000000001"/>
    <n v="1.5680000000000001"/>
    <n v="1.5680000000000001"/>
    <n v="1.5680000000000001"/>
    <n v="32"/>
    <x v="1"/>
    <n v="0"/>
    <n v="0"/>
    <n v="41"/>
    <n v="79"/>
    <n v="0"/>
    <n v="330.54"/>
    <n v="280.73"/>
    <m/>
    <n v="351.0544152189766"/>
    <n v="207.63042742196092"/>
    <n v="0"/>
    <n v="518.28672000000006"/>
    <n v="440.18464000000006"/>
    <n v="0"/>
    <n v="550.45332306335536"/>
    <n v="325.56451019763472"/>
  </r>
  <r>
    <s v="Regular"/>
    <x v="1"/>
    <x v="3"/>
    <x v="4"/>
    <x v="6"/>
    <x v="1"/>
    <x v="0"/>
    <x v="1"/>
    <x v="4"/>
    <n v="0"/>
    <n v="0"/>
    <n v="2.3109999999999999"/>
    <n v="2.3109999999999999"/>
    <n v="2.3109999999999999"/>
    <n v="2.3109999999999999"/>
    <n v="39"/>
    <x v="1"/>
    <n v="0"/>
    <n v="0"/>
    <n v="41"/>
    <n v="79"/>
    <n v="0"/>
    <n v="330.54"/>
    <n v="280.73"/>
    <m/>
    <n v="351.0544152189766"/>
    <n v="207.63042742196092"/>
    <n v="0"/>
    <n v="763.87794000000008"/>
    <n v="648.76702999999998"/>
    <n v="0"/>
    <n v="811.28675357105487"/>
    <n v="479.83391777215166"/>
  </r>
  <r>
    <s v="Regular"/>
    <x v="1"/>
    <x v="3"/>
    <x v="4"/>
    <x v="6"/>
    <x v="1"/>
    <x v="0"/>
    <x v="1"/>
    <x v="5"/>
    <n v="0"/>
    <n v="0"/>
    <n v="1.925"/>
    <n v="1.925"/>
    <n v="1.925"/>
    <n v="1.925"/>
    <n v="34"/>
    <x v="1"/>
    <n v="0"/>
    <n v="0"/>
    <n v="41"/>
    <n v="79"/>
    <n v="0"/>
    <n v="330.54"/>
    <n v="280.73"/>
    <m/>
    <n v="351.0544152189766"/>
    <n v="207.63042742196092"/>
    <n v="0"/>
    <n v="636.28950000000009"/>
    <n v="540.40525000000002"/>
    <n v="0"/>
    <n v="675.77974929652999"/>
    <n v="399.68857278727478"/>
  </r>
  <r>
    <s v="Regular"/>
    <x v="1"/>
    <x v="3"/>
    <x v="4"/>
    <x v="6"/>
    <x v="1"/>
    <x v="0"/>
    <x v="1"/>
    <x v="6"/>
    <n v="0"/>
    <n v="0"/>
    <n v="1.6319999999999999"/>
    <n v="1.6319999999999999"/>
    <n v="1.6319999999999999"/>
    <n v="1.6319999999999999"/>
    <n v="23"/>
    <x v="1"/>
    <n v="0"/>
    <n v="0"/>
    <n v="41"/>
    <n v="79"/>
    <n v="0"/>
    <n v="330.54"/>
    <n v="280.73"/>
    <m/>
    <n v="351.0544152189766"/>
    <n v="207.63042742196092"/>
    <n v="0"/>
    <n v="539.44128000000001"/>
    <n v="458.15136000000001"/>
    <n v="0"/>
    <n v="572.92080563736977"/>
    <n v="338.85285755264022"/>
  </r>
  <r>
    <s v="Regular"/>
    <x v="1"/>
    <x v="3"/>
    <x v="4"/>
    <x v="6"/>
    <x v="1"/>
    <x v="0"/>
    <x v="1"/>
    <x v="7"/>
    <n v="0"/>
    <n v="0"/>
    <n v="2.0339999999999998"/>
    <n v="2.0339999999999998"/>
    <n v="2.0339999999999998"/>
    <n v="2.0339999999999998"/>
    <n v="30"/>
    <x v="1"/>
    <n v="0"/>
    <n v="0"/>
    <n v="41"/>
    <n v="79"/>
    <n v="0"/>
    <n v="330.54"/>
    <n v="280.73"/>
    <m/>
    <n v="351.0544152189766"/>
    <n v="207.63042742196092"/>
    <n v="0"/>
    <n v="672.31835999999998"/>
    <n v="571.00482"/>
    <n v="0"/>
    <n v="714.04468055539837"/>
    <n v="422.32028937626848"/>
  </r>
  <r>
    <s v="Regular"/>
    <x v="1"/>
    <x v="3"/>
    <x v="4"/>
    <x v="6"/>
    <x v="1"/>
    <x v="0"/>
    <x v="1"/>
    <x v="8"/>
    <n v="0"/>
    <n v="0"/>
    <n v="0.96599999999999997"/>
    <n v="0.96599999999999997"/>
    <n v="0.96599999999999997"/>
    <n v="0.96599999999999997"/>
    <n v="22"/>
    <x v="1"/>
    <n v="0"/>
    <n v="0"/>
    <n v="41"/>
    <n v="79"/>
    <n v="0"/>
    <n v="330.54"/>
    <n v="280.73"/>
    <m/>
    <n v="351.0544152189766"/>
    <n v="207.63042742196092"/>
    <n v="0"/>
    <n v="319.30164000000002"/>
    <n v="271.18518"/>
    <n v="0"/>
    <n v="339.11856510153137"/>
    <n v="200.57099288961425"/>
  </r>
  <r>
    <s v="Regular"/>
    <x v="1"/>
    <x v="3"/>
    <x v="4"/>
    <x v="6"/>
    <x v="1"/>
    <x v="0"/>
    <x v="1"/>
    <x v="9"/>
    <n v="0"/>
    <n v="0"/>
    <n v="1.1439999999999999"/>
    <n v="1.1439999999999999"/>
    <n v="1.1439999999999999"/>
    <n v="1.1439999999999999"/>
    <n v="15"/>
    <x v="1"/>
    <n v="0"/>
    <n v="0"/>
    <n v="41"/>
    <n v="79"/>
    <n v="0"/>
    <n v="330.54"/>
    <n v="280.73"/>
    <m/>
    <n v="351.0544152189766"/>
    <n v="207.63042742196092"/>
    <n v="0"/>
    <n v="378.13776000000001"/>
    <n v="321.15512000000001"/>
    <n v="0"/>
    <n v="401.6062510105092"/>
    <n v="237.52920897072326"/>
  </r>
  <r>
    <s v="Regular"/>
    <x v="1"/>
    <x v="3"/>
    <x v="4"/>
    <x v="6"/>
    <x v="1"/>
    <x v="0"/>
    <x v="1"/>
    <x v="10"/>
    <n v="0"/>
    <n v="0"/>
    <n v="1.573"/>
    <n v="1.573"/>
    <n v="1.573"/>
    <n v="1.573"/>
    <n v="26"/>
    <x v="1"/>
    <n v="0"/>
    <n v="0"/>
    <n v="41"/>
    <n v="79"/>
    <n v="0"/>
    <n v="330.54"/>
    <n v="280.73"/>
    <m/>
    <n v="351.0544152189766"/>
    <n v="207.63042742196092"/>
    <n v="0"/>
    <n v="519.93942000000004"/>
    <n v="441.58829000000003"/>
    <n v="0"/>
    <n v="552.20859513945015"/>
    <n v="326.60266233474454"/>
  </r>
  <r>
    <s v="PROJETADO"/>
    <x v="1"/>
    <x v="3"/>
    <x v="4"/>
    <x v="6"/>
    <x v="1"/>
    <x v="0"/>
    <x v="1"/>
    <x v="11"/>
    <n v="0"/>
    <n v="0"/>
    <n v="1.573"/>
    <n v="1.573"/>
    <n v="1.573"/>
    <n v="1.573"/>
    <n v="26"/>
    <x v="1"/>
    <n v="0"/>
    <n v="0"/>
    <n v="41"/>
    <n v="79"/>
    <n v="0"/>
    <n v="330.54"/>
    <n v="280.73"/>
    <m/>
    <n v="351.0544152189766"/>
    <n v="207.63042742196092"/>
    <n v="0"/>
    <n v="519.93942000000004"/>
    <n v="441.58829000000003"/>
    <n v="0"/>
    <n v="552.20859513945015"/>
    <n v="326.60266233474454"/>
  </r>
  <r>
    <s v="Regular"/>
    <x v="2"/>
    <x v="3"/>
    <x v="5"/>
    <x v="7"/>
    <x v="2"/>
    <x v="0"/>
    <x v="1"/>
    <x v="0"/>
    <n v="0"/>
    <n v="0"/>
    <n v="0.25800000000000001"/>
    <n v="0.25800000000000001"/>
    <n v="0.25800000000000001"/>
    <n v="0.25800000000000001"/>
    <n v="0"/>
    <x v="1"/>
    <n v="0"/>
    <n v="0"/>
    <n v="50"/>
    <n v="1"/>
    <n v="0"/>
    <n v="358.53"/>
    <n v="247.04"/>
    <m/>
    <n v="443.01644531329566"/>
    <n v="195.17260177664326"/>
    <n v="0"/>
    <n v="92.500739999999993"/>
    <n v="63.736319999999999"/>
    <n v="0"/>
    <n v="114.29824289083028"/>
    <n v="50.35453125837396"/>
  </r>
  <r>
    <s v="Regular"/>
    <x v="2"/>
    <x v="3"/>
    <x v="5"/>
    <x v="7"/>
    <x v="2"/>
    <x v="0"/>
    <x v="1"/>
    <x v="1"/>
    <n v="0"/>
    <n v="0"/>
    <n v="0.254"/>
    <n v="0.254"/>
    <n v="0.254"/>
    <n v="0.254"/>
    <n v="0"/>
    <x v="1"/>
    <n v="0"/>
    <n v="0"/>
    <n v="50"/>
    <n v="1"/>
    <n v="0"/>
    <n v="358.53"/>
    <n v="247.04"/>
    <m/>
    <n v="443.01644531329566"/>
    <n v="195.17260177664326"/>
    <n v="0"/>
    <n v="91.06662"/>
    <n v="62.748159999999999"/>
    <n v="0"/>
    <n v="112.52617710957711"/>
    <n v="49.573840851267391"/>
  </r>
  <r>
    <s v="Regular"/>
    <x v="2"/>
    <x v="3"/>
    <x v="5"/>
    <x v="7"/>
    <x v="2"/>
    <x v="0"/>
    <x v="1"/>
    <x v="2"/>
    <n v="0"/>
    <n v="0"/>
    <n v="0.224"/>
    <n v="0.224"/>
    <n v="0.224"/>
    <n v="0.224"/>
    <n v="0"/>
    <x v="1"/>
    <n v="0"/>
    <n v="0"/>
    <n v="50"/>
    <n v="1"/>
    <n v="0"/>
    <n v="358.53"/>
    <n v="247.04"/>
    <m/>
    <n v="443.01644531329566"/>
    <n v="195.17260177664326"/>
    <n v="0"/>
    <n v="80.310719999999989"/>
    <n v="55.336959999999998"/>
    <n v="0"/>
    <n v="99.235683750178225"/>
    <n v="43.718662797968094"/>
  </r>
  <r>
    <s v="Regular"/>
    <x v="2"/>
    <x v="3"/>
    <x v="5"/>
    <x v="7"/>
    <x v="2"/>
    <x v="0"/>
    <x v="1"/>
    <x v="3"/>
    <n v="0"/>
    <n v="0"/>
    <n v="0.25800000000000001"/>
    <n v="0.25800000000000001"/>
    <n v="0.25800000000000001"/>
    <n v="0.25800000000000001"/>
    <n v="0"/>
    <x v="1"/>
    <n v="0"/>
    <n v="0"/>
    <n v="50"/>
    <n v="1"/>
    <n v="0"/>
    <n v="358.53"/>
    <n v="247.04"/>
    <m/>
    <n v="443.01644531329566"/>
    <n v="195.17260177664326"/>
    <n v="0"/>
    <n v="92.500739999999993"/>
    <n v="63.736319999999999"/>
    <n v="0"/>
    <n v="114.29824289083028"/>
    <n v="50.35453125837396"/>
  </r>
  <r>
    <s v="Regular"/>
    <x v="2"/>
    <x v="3"/>
    <x v="5"/>
    <x v="7"/>
    <x v="2"/>
    <x v="0"/>
    <x v="1"/>
    <x v="4"/>
    <n v="0"/>
    <n v="0"/>
    <n v="0.377"/>
    <n v="0.377"/>
    <n v="0.377"/>
    <n v="0.377"/>
    <n v="0"/>
    <x v="1"/>
    <n v="0"/>
    <n v="0"/>
    <n v="50"/>
    <n v="1"/>
    <n v="0"/>
    <n v="358.53"/>
    <n v="247.04"/>
    <m/>
    <n v="443.01644531329566"/>
    <n v="195.17260177664326"/>
    <n v="0"/>
    <n v="135.16580999999999"/>
    <n v="93.134079999999997"/>
    <n v="0"/>
    <n v="167.01719988311245"/>
    <n v="73.580070869794511"/>
  </r>
  <r>
    <s v="Regular"/>
    <x v="2"/>
    <x v="3"/>
    <x v="5"/>
    <x v="7"/>
    <x v="2"/>
    <x v="0"/>
    <x v="1"/>
    <x v="5"/>
    <n v="0"/>
    <n v="0"/>
    <n v="0.316"/>
    <n v="0.316"/>
    <n v="0.316"/>
    <n v="0.316"/>
    <n v="0"/>
    <x v="1"/>
    <n v="0"/>
    <n v="0"/>
    <n v="50"/>
    <n v="1"/>
    <n v="0"/>
    <n v="358.53"/>
    <n v="247.04"/>
    <m/>
    <n v="443.01644531329566"/>
    <n v="195.17260177664326"/>
    <n v="0"/>
    <n v="113.29548"/>
    <n v="78.064639999999997"/>
    <n v="0"/>
    <n v="139.99319671900142"/>
    <n v="61.674542161419268"/>
  </r>
  <r>
    <s v="Regular"/>
    <x v="2"/>
    <x v="3"/>
    <x v="5"/>
    <x v="7"/>
    <x v="2"/>
    <x v="0"/>
    <x v="1"/>
    <x v="6"/>
    <n v="0"/>
    <n v="0"/>
    <n v="0.61"/>
    <n v="0.61"/>
    <n v="0.61"/>
    <n v="0.61"/>
    <n v="0"/>
    <x v="1"/>
    <n v="0"/>
    <n v="0"/>
    <n v="50"/>
    <n v="1"/>
    <n v="0"/>
    <n v="358.53"/>
    <n v="247.04"/>
    <m/>
    <n v="443.01644531329566"/>
    <n v="195.17260177664326"/>
    <n v="0"/>
    <n v="218.70329999999998"/>
    <n v="150.6944"/>
    <n v="0"/>
    <n v="270.24003164111036"/>
    <n v="119.05528708375239"/>
  </r>
  <r>
    <s v="Regular"/>
    <x v="2"/>
    <x v="3"/>
    <x v="5"/>
    <x v="7"/>
    <x v="2"/>
    <x v="0"/>
    <x v="1"/>
    <x v="7"/>
    <n v="0"/>
    <n v="0"/>
    <n v="0.22900000000000001"/>
    <n v="0.22900000000000001"/>
    <n v="0.22900000000000001"/>
    <n v="0.22900000000000001"/>
    <n v="0"/>
    <x v="1"/>
    <n v="0"/>
    <n v="0"/>
    <n v="50"/>
    <n v="1"/>
    <n v="0"/>
    <n v="358.53"/>
    <n v="247.04"/>
    <m/>
    <n v="443.01644531329566"/>
    <n v="195.17260177664326"/>
    <n v="0"/>
    <n v="82.103369999999998"/>
    <n v="56.572160000000004"/>
    <n v="0"/>
    <n v="101.45076597674471"/>
    <n v="44.69452580685131"/>
  </r>
  <r>
    <s v="Regular"/>
    <x v="2"/>
    <x v="3"/>
    <x v="5"/>
    <x v="7"/>
    <x v="2"/>
    <x v="0"/>
    <x v="1"/>
    <x v="8"/>
    <n v="0"/>
    <n v="0"/>
    <n v="0.29899999999999999"/>
    <n v="0.29899999999999999"/>
    <n v="0.29899999999999999"/>
    <n v="0.29899999999999999"/>
    <n v="0"/>
    <x v="1"/>
    <n v="0"/>
    <n v="0"/>
    <n v="50"/>
    <n v="1"/>
    <n v="0"/>
    <n v="358.53"/>
    <n v="247.04"/>
    <m/>
    <n v="443.01644531329566"/>
    <n v="195.17260177664326"/>
    <n v="0"/>
    <n v="107.20046999999998"/>
    <n v="73.864959999999996"/>
    <n v="0"/>
    <n v="132.46191714867541"/>
    <n v="58.356607931216331"/>
  </r>
  <r>
    <s v="Regular"/>
    <x v="2"/>
    <x v="3"/>
    <x v="5"/>
    <x v="7"/>
    <x v="2"/>
    <x v="0"/>
    <x v="1"/>
    <x v="9"/>
    <n v="0"/>
    <n v="0"/>
    <n v="0.2"/>
    <n v="0.2"/>
    <n v="0.2"/>
    <n v="0.2"/>
    <n v="0"/>
    <x v="1"/>
    <n v="0"/>
    <n v="0"/>
    <n v="50"/>
    <n v="1"/>
    <n v="0"/>
    <n v="358.53"/>
    <n v="247.04"/>
    <m/>
    <n v="443.01644531329566"/>
    <n v="195.17260177664326"/>
    <n v="0"/>
    <n v="71.706000000000003"/>
    <n v="49.408000000000001"/>
    <n v="0"/>
    <n v="88.603289062659144"/>
    <n v="39.034520355328652"/>
  </r>
  <r>
    <s v="Regular"/>
    <x v="2"/>
    <x v="3"/>
    <x v="5"/>
    <x v="7"/>
    <x v="2"/>
    <x v="0"/>
    <x v="1"/>
    <x v="10"/>
    <n v="0"/>
    <n v="0"/>
    <n v="0.51900000000000002"/>
    <n v="0.51900000000000002"/>
    <n v="0.51900000000000002"/>
    <n v="0.51900000000000002"/>
    <n v="0"/>
    <x v="1"/>
    <n v="0"/>
    <n v="0"/>
    <n v="50"/>
    <n v="1"/>
    <n v="0"/>
    <n v="358.53"/>
    <n v="247.04"/>
    <m/>
    <n v="443.01644531329566"/>
    <n v="195.17260177664326"/>
    <n v="0"/>
    <n v="186.07706999999999"/>
    <n v="128.21376000000001"/>
    <n v="0"/>
    <n v="229.92553511760045"/>
    <n v="101.29458032207786"/>
  </r>
  <r>
    <s v="PROJETADO"/>
    <x v="2"/>
    <x v="3"/>
    <x v="5"/>
    <x v="7"/>
    <x v="2"/>
    <x v="0"/>
    <x v="1"/>
    <x v="11"/>
    <n v="0"/>
    <n v="0"/>
    <n v="0.51900000000000002"/>
    <n v="0.51900000000000002"/>
    <n v="0.51900000000000002"/>
    <n v="0.51900000000000002"/>
    <n v="0"/>
    <x v="1"/>
    <n v="0"/>
    <n v="0"/>
    <n v="50"/>
    <n v="1"/>
    <n v="0"/>
    <n v="358.53"/>
    <n v="247.04"/>
    <m/>
    <n v="443.01644531329566"/>
    <n v="195.17260177664326"/>
    <n v="0"/>
    <n v="186.07706999999999"/>
    <n v="128.21376000000001"/>
    <n v="0"/>
    <n v="229.92553511760045"/>
    <n v="101.29458032207786"/>
  </r>
  <r>
    <s v="Regular"/>
    <x v="2"/>
    <x v="3"/>
    <x v="5"/>
    <x v="7"/>
    <x v="3"/>
    <x v="0"/>
    <x v="1"/>
    <x v="0"/>
    <n v="0"/>
    <n v="0"/>
    <n v="0.374"/>
    <n v="0.14960000000000001"/>
    <n v="0.374"/>
    <n v="0.14960000000000001"/>
    <n v="0"/>
    <x v="1"/>
    <n v="0"/>
    <n v="0"/>
    <n v="50"/>
    <n v="1"/>
    <n v="0"/>
    <n v="358.53"/>
    <n v="247.04"/>
    <m/>
    <n v="443.01644531329566"/>
    <n v="195.17260177664326"/>
    <n v="0"/>
    <n v="53.636088000000001"/>
    <n v="36.957183999999998"/>
    <n v="0"/>
    <n v="66.275260218869036"/>
    <n v="29.197821225785834"/>
  </r>
  <r>
    <s v="Regular"/>
    <x v="2"/>
    <x v="3"/>
    <x v="5"/>
    <x v="7"/>
    <x v="3"/>
    <x v="0"/>
    <x v="1"/>
    <x v="1"/>
    <n v="0"/>
    <n v="0"/>
    <n v="0.47699999999999998"/>
    <n v="0.1908"/>
    <n v="0.47699999999999998"/>
    <n v="0.1908"/>
    <n v="0"/>
    <x v="1"/>
    <n v="0"/>
    <n v="0"/>
    <n v="50"/>
    <n v="1"/>
    <n v="0"/>
    <n v="358.53"/>
    <n v="247.04"/>
    <m/>
    <n v="443.01644531329566"/>
    <n v="195.17260177664326"/>
    <n v="0"/>
    <n v="68.407523999999995"/>
    <n v="47.135231999999995"/>
    <n v="0"/>
    <n v="84.527537765776813"/>
    <n v="37.238932418983531"/>
  </r>
  <r>
    <s v="Regular"/>
    <x v="2"/>
    <x v="3"/>
    <x v="5"/>
    <x v="7"/>
    <x v="3"/>
    <x v="0"/>
    <x v="1"/>
    <x v="2"/>
    <n v="0"/>
    <n v="0"/>
    <n v="0.41799999999999998"/>
    <n v="0.16719999999999999"/>
    <n v="0.41799999999999998"/>
    <n v="0.16719999999999999"/>
    <n v="0"/>
    <x v="1"/>
    <n v="0"/>
    <n v="0"/>
    <n v="50"/>
    <n v="1"/>
    <n v="0"/>
    <n v="358.53"/>
    <n v="247.04"/>
    <m/>
    <n v="443.01644531329566"/>
    <n v="195.17260177664326"/>
    <n v="0"/>
    <n v="59.946215999999993"/>
    <n v="41.305087999999998"/>
    <n v="0"/>
    <n v="74.072349656383025"/>
    <n v="32.632859017054749"/>
  </r>
  <r>
    <s v="Regular"/>
    <x v="2"/>
    <x v="3"/>
    <x v="5"/>
    <x v="7"/>
    <x v="3"/>
    <x v="0"/>
    <x v="1"/>
    <x v="3"/>
    <n v="0"/>
    <n v="0"/>
    <n v="1.002"/>
    <n v="0.40079999999999999"/>
    <n v="1.002"/>
    <n v="0.40079999999999999"/>
    <n v="0"/>
    <x v="1"/>
    <n v="0"/>
    <n v="0"/>
    <n v="50"/>
    <n v="1"/>
    <n v="0"/>
    <n v="358.53"/>
    <n v="247.04"/>
    <m/>
    <n v="443.01644531329566"/>
    <n v="195.17260177664326"/>
    <n v="0"/>
    <n v="143.69882399999997"/>
    <n v="99.013632000000001"/>
    <n v="0"/>
    <n v="177.5609912815689"/>
    <n v="78.225178792078623"/>
  </r>
  <r>
    <s v="Regular"/>
    <x v="2"/>
    <x v="3"/>
    <x v="5"/>
    <x v="7"/>
    <x v="3"/>
    <x v="0"/>
    <x v="1"/>
    <x v="4"/>
    <n v="0"/>
    <n v="0"/>
    <n v="3.3149999999999999"/>
    <n v="1.3260000000000001"/>
    <n v="3.3149999999999999"/>
    <n v="1.3260000000000001"/>
    <n v="0"/>
    <x v="1"/>
    <n v="0"/>
    <n v="0"/>
    <n v="50"/>
    <n v="1"/>
    <n v="0"/>
    <n v="358.53"/>
    <n v="247.04"/>
    <m/>
    <n v="443.01644531329566"/>
    <n v="195.17260177664326"/>
    <n v="0"/>
    <n v="475.41077999999999"/>
    <n v="327.57504"/>
    <n v="0"/>
    <n v="587.43980648543004"/>
    <n v="258.79886995582899"/>
  </r>
  <r>
    <s v="Regular"/>
    <x v="2"/>
    <x v="3"/>
    <x v="5"/>
    <x v="7"/>
    <x v="3"/>
    <x v="0"/>
    <x v="1"/>
    <x v="5"/>
    <n v="0"/>
    <n v="0"/>
    <n v="1.873"/>
    <n v="0.74919999999999998"/>
    <n v="1.873"/>
    <n v="0.74919999999999998"/>
    <n v="0"/>
    <x v="1"/>
    <n v="0"/>
    <n v="0"/>
    <n v="50"/>
    <n v="1"/>
    <n v="0"/>
    <n v="358.53"/>
    <n v="247.04"/>
    <m/>
    <n v="443.01644531329566"/>
    <n v="195.17260177664326"/>
    <n v="0"/>
    <n v="268.61067599999996"/>
    <n v="185.082368"/>
    <n v="0"/>
    <n v="331.9079208287211"/>
    <n v="146.22331325106111"/>
  </r>
  <r>
    <s v="Regular"/>
    <x v="2"/>
    <x v="3"/>
    <x v="5"/>
    <x v="7"/>
    <x v="3"/>
    <x v="0"/>
    <x v="1"/>
    <x v="6"/>
    <n v="0"/>
    <n v="0"/>
    <n v="0.86899999999999999"/>
    <n v="0.34760000000000002"/>
    <n v="0.86899999999999999"/>
    <n v="0.34760000000000002"/>
    <n v="0"/>
    <x v="1"/>
    <n v="0"/>
    <n v="0"/>
    <n v="50"/>
    <n v="1"/>
    <n v="0"/>
    <n v="358.53"/>
    <n v="247.04"/>
    <m/>
    <n v="443.01644531329566"/>
    <n v="195.17260177664326"/>
    <n v="0"/>
    <n v="124.625028"/>
    <n v="85.871104000000003"/>
    <n v="0"/>
    <n v="153.99251639090159"/>
    <n v="67.841996377561202"/>
  </r>
  <r>
    <s v="Regular"/>
    <x v="2"/>
    <x v="3"/>
    <x v="5"/>
    <x v="7"/>
    <x v="3"/>
    <x v="0"/>
    <x v="1"/>
    <x v="7"/>
    <n v="0"/>
    <n v="0"/>
    <n v="0.53500000000000003"/>
    <n v="0.214"/>
    <n v="0.53500000000000003"/>
    <n v="0.214"/>
    <n v="0"/>
    <x v="1"/>
    <n v="0"/>
    <n v="0"/>
    <n v="50"/>
    <n v="1"/>
    <n v="0"/>
    <n v="358.53"/>
    <n v="247.04"/>
    <m/>
    <n v="443.01644531329566"/>
    <n v="195.17260177664326"/>
    <n v="0"/>
    <n v="76.72542"/>
    <n v="52.86656"/>
    <n v="0"/>
    <n v="94.805519297045265"/>
    <n v="41.766936780201654"/>
  </r>
  <r>
    <s v="Regular"/>
    <x v="2"/>
    <x v="3"/>
    <x v="5"/>
    <x v="7"/>
    <x v="3"/>
    <x v="0"/>
    <x v="1"/>
    <x v="8"/>
    <n v="0"/>
    <n v="0"/>
    <n v="0.30099999999999999"/>
    <n v="0.12039999999999999"/>
    <n v="0.30099999999999999"/>
    <n v="0.12039999999999999"/>
    <n v="0"/>
    <x v="1"/>
    <n v="0"/>
    <n v="0"/>
    <n v="50"/>
    <n v="1"/>
    <n v="0"/>
    <n v="358.53"/>
    <n v="247.04"/>
    <m/>
    <n v="443.01644531329566"/>
    <n v="195.17260177664326"/>
    <n v="0"/>
    <n v="43.167011999999993"/>
    <n v="29.743615999999996"/>
    <n v="0"/>
    <n v="53.339180015720792"/>
    <n v="23.498781253907847"/>
  </r>
  <r>
    <s v="Regular"/>
    <x v="2"/>
    <x v="3"/>
    <x v="5"/>
    <x v="7"/>
    <x v="3"/>
    <x v="0"/>
    <x v="1"/>
    <x v="9"/>
    <n v="0"/>
    <n v="0"/>
    <n v="0.2"/>
    <n v="0.08"/>
    <n v="0.2"/>
    <n v="0.08"/>
    <n v="0"/>
    <x v="1"/>
    <n v="0"/>
    <n v="0"/>
    <n v="50"/>
    <n v="1"/>
    <n v="0"/>
    <n v="358.53"/>
    <n v="247.04"/>
    <m/>
    <n v="443.01644531329566"/>
    <n v="195.17260177664326"/>
    <n v="0"/>
    <n v="28.682399999999998"/>
    <n v="19.763200000000001"/>
    <n v="0"/>
    <n v="35.441315625063652"/>
    <n v="15.613808142131461"/>
  </r>
  <r>
    <s v="Regular"/>
    <x v="2"/>
    <x v="3"/>
    <x v="5"/>
    <x v="7"/>
    <x v="3"/>
    <x v="0"/>
    <x v="1"/>
    <x v="10"/>
    <n v="0"/>
    <n v="0"/>
    <n v="0.54"/>
    <n v="0.216"/>
    <n v="0.54"/>
    <n v="0.216"/>
    <n v="0"/>
    <x v="1"/>
    <n v="0"/>
    <n v="0"/>
    <n v="50"/>
    <n v="1"/>
    <n v="0"/>
    <n v="358.53"/>
    <n v="247.04"/>
    <m/>
    <n v="443.01644531329566"/>
    <n v="195.17260177664326"/>
    <n v="0"/>
    <n v="77.442479999999989"/>
    <n v="53.360639999999997"/>
    <n v="0"/>
    <n v="95.69155218767186"/>
    <n v="42.157281983754942"/>
  </r>
  <r>
    <s v="PROJETADO"/>
    <x v="2"/>
    <x v="3"/>
    <x v="5"/>
    <x v="7"/>
    <x v="3"/>
    <x v="0"/>
    <x v="1"/>
    <x v="11"/>
    <n v="0"/>
    <n v="0"/>
    <n v="0.54"/>
    <n v="0.216"/>
    <n v="0.54"/>
    <n v="0.216"/>
    <n v="0"/>
    <x v="1"/>
    <n v="0"/>
    <n v="0"/>
    <n v="50"/>
    <n v="1"/>
    <n v="0"/>
    <n v="358.53"/>
    <n v="247.04"/>
    <m/>
    <n v="443.01644531329566"/>
    <n v="195.17260177664326"/>
    <n v="0"/>
    <n v="77.442479999999989"/>
    <n v="53.360639999999997"/>
    <n v="0"/>
    <n v="95.69155218767186"/>
    <n v="42.157281983754942"/>
  </r>
  <r>
    <s v="Regular"/>
    <x v="2"/>
    <x v="3"/>
    <x v="5"/>
    <x v="8"/>
    <x v="2"/>
    <x v="0"/>
    <x v="1"/>
    <x v="0"/>
    <n v="0"/>
    <n v="0"/>
    <n v="0.496"/>
    <n v="0.496"/>
    <n v="0.496"/>
    <n v="0.496"/>
    <n v="0"/>
    <x v="1"/>
    <n v="0"/>
    <n v="0"/>
    <n v="50"/>
    <n v="1"/>
    <n v="0"/>
    <n v="358.53"/>
    <n v="247.04"/>
    <m/>
    <n v="443.01644531329566"/>
    <n v="195.17260177664326"/>
    <n v="0"/>
    <n v="177.83087999999998"/>
    <n v="122.53183999999999"/>
    <n v="0"/>
    <n v="219.73615687539464"/>
    <n v="96.805610481215055"/>
  </r>
  <r>
    <s v="Regular"/>
    <x v="2"/>
    <x v="3"/>
    <x v="5"/>
    <x v="8"/>
    <x v="2"/>
    <x v="0"/>
    <x v="1"/>
    <x v="1"/>
    <n v="0"/>
    <n v="0"/>
    <n v="9.2999999999999999E-2"/>
    <n v="9.2999999999999999E-2"/>
    <n v="9.2999999999999999E-2"/>
    <n v="9.2999999999999999E-2"/>
    <n v="0"/>
    <x v="1"/>
    <n v="0"/>
    <n v="0"/>
    <n v="50"/>
    <n v="1"/>
    <n v="0"/>
    <n v="358.53"/>
    <n v="247.04"/>
    <m/>
    <n v="443.01644531329566"/>
    <n v="195.17260177664326"/>
    <n v="0"/>
    <n v="33.343289999999996"/>
    <n v="22.974719999999998"/>
    <n v="0"/>
    <n v="41.200529414136497"/>
    <n v="18.151051965227822"/>
  </r>
  <r>
    <s v="Regular"/>
    <x v="2"/>
    <x v="3"/>
    <x v="5"/>
    <x v="8"/>
    <x v="3"/>
    <x v="0"/>
    <x v="1"/>
    <x v="0"/>
    <n v="0"/>
    <n v="0"/>
    <n v="1.4019999999999999"/>
    <n v="0.56079999999999997"/>
    <n v="1.4019999999999999"/>
    <n v="0.56079999999999997"/>
    <n v="0"/>
    <x v="1"/>
    <n v="0"/>
    <n v="0"/>
    <n v="50"/>
    <n v="1"/>
    <n v="0"/>
    <n v="358.53"/>
    <n v="247.04"/>
    <m/>
    <n v="443.01644531329566"/>
    <n v="195.17260177664326"/>
    <n v="0"/>
    <n v="201.06362399999998"/>
    <n v="138.540032"/>
    <n v="0"/>
    <n v="248.44362253169618"/>
    <n v="109.45279507634153"/>
  </r>
  <r>
    <s v="Regular"/>
    <x v="2"/>
    <x v="3"/>
    <x v="5"/>
    <x v="8"/>
    <x v="3"/>
    <x v="0"/>
    <x v="1"/>
    <x v="1"/>
    <n v="0"/>
    <n v="0"/>
    <n v="7.0000000000000001E-3"/>
    <n v="2.8E-3"/>
    <n v="7.0000000000000001E-3"/>
    <n v="2.8E-3"/>
    <n v="0"/>
    <x v="1"/>
    <n v="0"/>
    <n v="0"/>
    <n v="50"/>
    <n v="1"/>
    <n v="0"/>
    <n v="358.53"/>
    <n v="247.04"/>
    <m/>
    <n v="443.01644531329566"/>
    <n v="195.17260177664326"/>
    <n v="0"/>
    <n v="1.003884"/>
    <n v="0.69171199999999999"/>
    <n v="0"/>
    <n v="1.2404460468772278"/>
    <n v="0.54648328497460108"/>
  </r>
  <r>
    <s v="Regular"/>
    <x v="2"/>
    <x v="3"/>
    <x v="5"/>
    <x v="0"/>
    <x v="1"/>
    <x v="0"/>
    <x v="1"/>
    <x v="0"/>
    <n v="0"/>
    <n v="0"/>
    <n v="274.19200000000001"/>
    <n v="274.19200000000001"/>
    <n v="274.19200000000001"/>
    <n v="274.19200000000001"/>
    <n v="711"/>
    <x v="1"/>
    <n v="0"/>
    <n v="0"/>
    <n v="50"/>
    <n v="1"/>
    <n v="0"/>
    <n v="358.53"/>
    <n v="247.04"/>
    <m/>
    <n v="443.01644531329566"/>
    <n v="195.17260177664326"/>
    <n v="0"/>
    <n v="98306.057759999996"/>
    <n v="67736.391680000001"/>
    <n v="0"/>
    <n v="121471.56517334317"/>
    <n v="53514.766026341371"/>
  </r>
  <r>
    <s v="Sistema de Compensação"/>
    <x v="2"/>
    <x v="3"/>
    <x v="5"/>
    <x v="0"/>
    <x v="1"/>
    <x v="0"/>
    <x v="1"/>
    <x v="0"/>
    <n v="0"/>
    <n v="0"/>
    <n v="2.69"/>
    <n v="2.69"/>
    <n v="2.69"/>
    <n v="2.69"/>
    <n v="17"/>
    <x v="1"/>
    <n v="0"/>
    <n v="0"/>
    <n v="50"/>
    <n v="1"/>
    <n v="0"/>
    <n v="358.53"/>
    <n v="247.04"/>
    <m/>
    <n v="443.01644531329566"/>
    <n v="195.17260177664326"/>
    <n v="0"/>
    <n v="964.44569999999987"/>
    <n v="664.5376"/>
    <n v="0"/>
    <n v="1191.7142378927654"/>
    <n v="525.01429877917042"/>
  </r>
  <r>
    <s v="Regular"/>
    <x v="2"/>
    <x v="3"/>
    <x v="5"/>
    <x v="0"/>
    <x v="1"/>
    <x v="0"/>
    <x v="1"/>
    <x v="1"/>
    <n v="0"/>
    <n v="0"/>
    <n v="270.55799999999999"/>
    <n v="270.55799999999999"/>
    <n v="270.55799999999999"/>
    <n v="270.55799999999999"/>
    <n v="712"/>
    <x v="1"/>
    <n v="0"/>
    <n v="0"/>
    <n v="50"/>
    <n v="1"/>
    <n v="0"/>
    <n v="358.53"/>
    <n v="247.04"/>
    <m/>
    <n v="443.01644531329566"/>
    <n v="195.17260177664326"/>
    <n v="0"/>
    <n v="97003.159739999988"/>
    <n v="66838.648319999993"/>
    <n v="0"/>
    <n v="119861.64341107465"/>
    <n v="52805.508791485045"/>
  </r>
  <r>
    <s v="Sistema de Compensação"/>
    <x v="2"/>
    <x v="3"/>
    <x v="5"/>
    <x v="0"/>
    <x v="1"/>
    <x v="0"/>
    <x v="1"/>
    <x v="1"/>
    <n v="0"/>
    <n v="0"/>
    <n v="6.202"/>
    <n v="6.202"/>
    <n v="6.202"/>
    <n v="6.202"/>
    <n v="19"/>
    <x v="1"/>
    <n v="0"/>
    <n v="0"/>
    <n v="50"/>
    <n v="1"/>
    <n v="0"/>
    <n v="358.53"/>
    <n v="247.04"/>
    <m/>
    <n v="443.01644531329566"/>
    <n v="195.17260177664326"/>
    <n v="0"/>
    <n v="2223.6030599999999"/>
    <n v="1532.1420799999999"/>
    <n v="0"/>
    <n v="2747.5879938330595"/>
    <n v="1210.4604762187414"/>
  </r>
  <r>
    <s v="Regular"/>
    <x v="2"/>
    <x v="3"/>
    <x v="5"/>
    <x v="0"/>
    <x v="1"/>
    <x v="0"/>
    <x v="1"/>
    <x v="2"/>
    <n v="0"/>
    <n v="0"/>
    <n v="266.101"/>
    <n v="266.101"/>
    <n v="266.101"/>
    <n v="266.101"/>
    <n v="712"/>
    <x v="1"/>
    <n v="0"/>
    <n v="0"/>
    <n v="50"/>
    <n v="1"/>
    <n v="0"/>
    <n v="358.53"/>
    <n v="247.04"/>
    <m/>
    <n v="443.01644531329566"/>
    <n v="195.17260177664326"/>
    <n v="0"/>
    <n v="95405.191529999996"/>
    <n v="65737.591039999999"/>
    <n v="0"/>
    <n v="117887.11911431329"/>
    <n v="51935.624505366548"/>
  </r>
  <r>
    <s v="Sistema de Compensação"/>
    <x v="2"/>
    <x v="3"/>
    <x v="5"/>
    <x v="0"/>
    <x v="1"/>
    <x v="0"/>
    <x v="1"/>
    <x v="2"/>
    <n v="0"/>
    <n v="0"/>
    <n v="4.1890000000000001"/>
    <n v="4.1890000000000001"/>
    <n v="4.1890000000000001"/>
    <n v="4.1890000000000001"/>
    <n v="20"/>
    <x v="1"/>
    <n v="0"/>
    <n v="0"/>
    <n v="50"/>
    <n v="1"/>
    <n v="0"/>
    <n v="358.53"/>
    <n v="247.04"/>
    <m/>
    <n v="443.01644531329566"/>
    <n v="195.17260177664326"/>
    <n v="0"/>
    <n v="1501.8821699999999"/>
    <n v="1034.8505600000001"/>
    <n v="0"/>
    <n v="1855.7958894173955"/>
    <n v="817.57802884235866"/>
  </r>
  <r>
    <s v="Regular"/>
    <x v="2"/>
    <x v="3"/>
    <x v="5"/>
    <x v="0"/>
    <x v="1"/>
    <x v="0"/>
    <x v="1"/>
    <x v="3"/>
    <n v="0"/>
    <n v="0"/>
    <n v="276.16699999999997"/>
    <n v="276.16699999999997"/>
    <n v="276.16699999999997"/>
    <n v="276.16699999999997"/>
    <n v="711"/>
    <x v="1"/>
    <n v="0"/>
    <n v="0"/>
    <n v="50"/>
    <n v="1"/>
    <n v="0"/>
    <n v="358.53"/>
    <n v="247.04"/>
    <m/>
    <n v="443.01644531329566"/>
    <n v="195.17260177664326"/>
    <n v="0"/>
    <n v="99014.154509999978"/>
    <n v="68224.295679999996"/>
    <n v="0"/>
    <n v="122346.52265283691"/>
    <n v="53900.231914850236"/>
  </r>
  <r>
    <s v="Sistema de Compensação"/>
    <x v="2"/>
    <x v="3"/>
    <x v="5"/>
    <x v="0"/>
    <x v="1"/>
    <x v="0"/>
    <x v="1"/>
    <x v="3"/>
    <n v="0"/>
    <n v="0"/>
    <n v="8.4710000000000001"/>
    <n v="8.4710000000000001"/>
    <n v="8.4710000000000001"/>
    <n v="8.4710000000000001"/>
    <n v="23"/>
    <x v="1"/>
    <n v="0"/>
    <n v="0"/>
    <n v="50"/>
    <n v="1"/>
    <n v="0"/>
    <n v="358.53"/>
    <n v="247.04"/>
    <m/>
    <n v="443.01644531329566"/>
    <n v="195.17260177664326"/>
    <n v="0"/>
    <n v="3037.10763"/>
    <n v="2092.6758399999999"/>
    <n v="0"/>
    <n v="3752.7923082489274"/>
    <n v="1653.307109649945"/>
  </r>
  <r>
    <s v="Regular"/>
    <x v="2"/>
    <x v="3"/>
    <x v="5"/>
    <x v="0"/>
    <x v="1"/>
    <x v="0"/>
    <x v="1"/>
    <x v="4"/>
    <n v="0"/>
    <n v="0"/>
    <n v="279.435"/>
    <n v="279.435"/>
    <n v="279.435"/>
    <n v="279.435"/>
    <n v="707"/>
    <x v="1"/>
    <n v="0"/>
    <n v="0"/>
    <n v="50"/>
    <n v="1"/>
    <n v="0"/>
    <n v="358.53"/>
    <n v="247.04"/>
    <m/>
    <n v="443.01644531329566"/>
    <n v="195.17260177664326"/>
    <n v="0"/>
    <n v="100185.83055"/>
    <n v="69031.622399999993"/>
    <n v="0"/>
    <n v="123794.30039612077"/>
    <n v="54538.055977456308"/>
  </r>
  <r>
    <s v="Sistema de Compensação"/>
    <x v="2"/>
    <x v="3"/>
    <x v="5"/>
    <x v="0"/>
    <x v="1"/>
    <x v="0"/>
    <x v="1"/>
    <x v="4"/>
    <n v="0"/>
    <n v="0"/>
    <n v="9.2650000000000006"/>
    <n v="9.2650000000000006"/>
    <n v="9.2650000000000006"/>
    <n v="9.2650000000000006"/>
    <n v="26"/>
    <x v="1"/>
    <n v="0"/>
    <n v="0"/>
    <n v="50"/>
    <n v="1"/>
    <n v="0"/>
    <n v="358.53"/>
    <n v="247.04"/>
    <m/>
    <n v="443.01644531329566"/>
    <n v="195.17260177664326"/>
    <n v="0"/>
    <n v="3321.7804499999997"/>
    <n v="2288.8256000000001"/>
    <n v="0"/>
    <n v="4104.5473658276842"/>
    <n v="1808.2741554606"/>
  </r>
  <r>
    <s v="Regular"/>
    <x v="2"/>
    <x v="3"/>
    <x v="5"/>
    <x v="0"/>
    <x v="1"/>
    <x v="0"/>
    <x v="1"/>
    <x v="5"/>
    <n v="0"/>
    <n v="0"/>
    <n v="277.08"/>
    <n v="277.08"/>
    <n v="277.08"/>
    <n v="277.08"/>
    <n v="707"/>
    <x v="1"/>
    <n v="0"/>
    <n v="0"/>
    <n v="50"/>
    <n v="1"/>
    <n v="0"/>
    <n v="358.53"/>
    <n v="247.04"/>
    <m/>
    <n v="443.01644531329566"/>
    <n v="195.17260177664326"/>
    <n v="0"/>
    <n v="99341.492399999988"/>
    <n v="68449.843199999988"/>
    <n v="0"/>
    <n v="122750.99666740795"/>
    <n v="54078.424500272311"/>
  </r>
  <r>
    <s v="Sistema de Compensação"/>
    <x v="2"/>
    <x v="3"/>
    <x v="5"/>
    <x v="0"/>
    <x v="1"/>
    <x v="0"/>
    <x v="1"/>
    <x v="5"/>
    <n v="0"/>
    <n v="0"/>
    <n v="11.061999999999999"/>
    <n v="11.061999999999999"/>
    <n v="11.061999999999999"/>
    <n v="11.061999999999999"/>
    <n v="27"/>
    <x v="1"/>
    <n v="0"/>
    <n v="0"/>
    <n v="50"/>
    <n v="1"/>
    <n v="0"/>
    <n v="358.53"/>
    <n v="247.04"/>
    <m/>
    <n v="443.01644531329566"/>
    <n v="195.17260177664326"/>
    <n v="0"/>
    <n v="3966.0588599999996"/>
    <n v="2732.7564799999996"/>
    <n v="0"/>
    <n v="4900.6479180556762"/>
    <n v="2158.9993208532278"/>
  </r>
  <r>
    <s v="Regular"/>
    <x v="2"/>
    <x v="3"/>
    <x v="5"/>
    <x v="0"/>
    <x v="1"/>
    <x v="0"/>
    <x v="1"/>
    <x v="6"/>
    <n v="0"/>
    <n v="0"/>
    <n v="264.673"/>
    <n v="264.673"/>
    <n v="264.673"/>
    <n v="264.673"/>
    <n v="700"/>
    <x v="1"/>
    <n v="0"/>
    <n v="0"/>
    <n v="50"/>
    <n v="1"/>
    <n v="0"/>
    <n v="358.53"/>
    <n v="247.04"/>
    <m/>
    <n v="443.01644531329566"/>
    <n v="195.17260177664326"/>
    <n v="0"/>
    <n v="94893.210689999993"/>
    <n v="65384.817920000001"/>
    <n v="0"/>
    <n v="117254.4916304059"/>
    <n v="51656.918030029505"/>
  </r>
  <r>
    <s v="Sistema de Compensação"/>
    <x v="2"/>
    <x v="3"/>
    <x v="5"/>
    <x v="0"/>
    <x v="1"/>
    <x v="0"/>
    <x v="1"/>
    <x v="6"/>
    <n v="0"/>
    <n v="0"/>
    <n v="10.478999999999999"/>
    <n v="10.478999999999999"/>
    <n v="10.478999999999999"/>
    <n v="10.478999999999999"/>
    <n v="33"/>
    <x v="1"/>
    <n v="0"/>
    <n v="0"/>
    <n v="50"/>
    <n v="1"/>
    <n v="0"/>
    <n v="358.53"/>
    <n v="247.04"/>
    <m/>
    <n v="443.01644531329566"/>
    <n v="195.17260177664326"/>
    <n v="0"/>
    <n v="3757.0358699999992"/>
    <n v="2588.7321599999996"/>
    <n v="0"/>
    <n v="4642.3693304380249"/>
    <n v="2045.2136940174446"/>
  </r>
  <r>
    <s v="Regular"/>
    <x v="2"/>
    <x v="3"/>
    <x v="5"/>
    <x v="0"/>
    <x v="1"/>
    <x v="0"/>
    <x v="1"/>
    <x v="7"/>
    <n v="0"/>
    <n v="0"/>
    <n v="263.85599999999999"/>
    <n v="263.85599999999999"/>
    <n v="263.85599999999999"/>
    <n v="263.85599999999999"/>
    <n v="697"/>
    <x v="1"/>
    <n v="0"/>
    <n v="0"/>
    <n v="50"/>
    <n v="1"/>
    <n v="0"/>
    <n v="358.53"/>
    <n v="247.04"/>
    <m/>
    <n v="443.01644531329566"/>
    <n v="195.17260177664326"/>
    <n v="0"/>
    <n v="94600.291679999995"/>
    <n v="65182.986239999998"/>
    <n v="0"/>
    <n v="116892.54719458494"/>
    <n v="51497.462014377983"/>
  </r>
  <r>
    <s v="Sistema de Compensação"/>
    <x v="2"/>
    <x v="3"/>
    <x v="5"/>
    <x v="0"/>
    <x v="1"/>
    <x v="0"/>
    <x v="1"/>
    <x v="7"/>
    <n v="0"/>
    <n v="0"/>
    <n v="14.637"/>
    <n v="14.637"/>
    <n v="14.637"/>
    <n v="14.637"/>
    <n v="35"/>
    <x v="1"/>
    <n v="0"/>
    <n v="0"/>
    <n v="50"/>
    <n v="1"/>
    <n v="0"/>
    <n v="358.53"/>
    <n v="247.04"/>
    <m/>
    <n v="443.01644531329566"/>
    <n v="195.17260177664326"/>
    <n v="0"/>
    <n v="5247.8036099999999"/>
    <n v="3615.9244800000001"/>
    <n v="0"/>
    <n v="6484.4317100507087"/>
    <n v="2856.7413722047277"/>
  </r>
  <r>
    <s v="Regular"/>
    <x v="2"/>
    <x v="3"/>
    <x v="5"/>
    <x v="0"/>
    <x v="1"/>
    <x v="0"/>
    <x v="1"/>
    <x v="8"/>
    <n v="0"/>
    <n v="0"/>
    <n v="253.28200000000001"/>
    <n v="253.28200000000001"/>
    <n v="253.28200000000001"/>
    <n v="253.28200000000001"/>
    <n v="695"/>
    <x v="1"/>
    <n v="0"/>
    <n v="0"/>
    <n v="50"/>
    <n v="1"/>
    <n v="0"/>
    <n v="358.53"/>
    <n v="247.04"/>
    <m/>
    <n v="443.01644531329566"/>
    <n v="195.17260177664326"/>
    <n v="0"/>
    <n v="90809.195460000003"/>
    <n v="62570.785280000004"/>
    <n v="0"/>
    <n v="112208.09130184216"/>
    <n v="49433.706923191763"/>
  </r>
  <r>
    <s v="Sistema de Compensação"/>
    <x v="2"/>
    <x v="3"/>
    <x v="5"/>
    <x v="0"/>
    <x v="1"/>
    <x v="0"/>
    <x v="1"/>
    <x v="8"/>
    <n v="0"/>
    <n v="0"/>
    <n v="13.574999999999999"/>
    <n v="13.574999999999999"/>
    <n v="13.574999999999999"/>
    <n v="13.574999999999999"/>
    <n v="40"/>
    <x v="1"/>
    <n v="0"/>
    <n v="0"/>
    <n v="50"/>
    <n v="1"/>
    <n v="0"/>
    <n v="358.53"/>
    <n v="247.04"/>
    <m/>
    <n v="443.01644531329566"/>
    <n v="195.17260177664326"/>
    <n v="0"/>
    <n v="4867.0447499999991"/>
    <n v="3353.5679999999998"/>
    <n v="0"/>
    <n v="6013.9482451279882"/>
    <n v="2649.4680691179319"/>
  </r>
  <r>
    <s v="Regular"/>
    <x v="2"/>
    <x v="3"/>
    <x v="5"/>
    <x v="0"/>
    <x v="1"/>
    <x v="0"/>
    <x v="1"/>
    <x v="9"/>
    <n v="0"/>
    <n v="0"/>
    <n v="275.17200000000003"/>
    <n v="275.17200000000003"/>
    <n v="275.17200000000003"/>
    <n v="275.17200000000003"/>
    <n v="689"/>
    <x v="1"/>
    <n v="0"/>
    <n v="0"/>
    <n v="50"/>
    <n v="1"/>
    <n v="0"/>
    <n v="358.53"/>
    <n v="247.04"/>
    <m/>
    <n v="443.01644531329566"/>
    <n v="195.17260177664326"/>
    <n v="0"/>
    <n v="98657.417159999997"/>
    <n v="67978.490879999998"/>
    <n v="0"/>
    <n v="121905.7212897502"/>
    <n v="53706.035176082485"/>
  </r>
  <r>
    <s v="Sistema de Compensação"/>
    <x v="2"/>
    <x v="3"/>
    <x v="5"/>
    <x v="0"/>
    <x v="1"/>
    <x v="0"/>
    <x v="1"/>
    <x v="9"/>
    <n v="0"/>
    <n v="0"/>
    <n v="9.4760000000000009"/>
    <n v="9.4760000000000009"/>
    <n v="9.4760000000000009"/>
    <n v="9.4760000000000009"/>
    <n v="42"/>
    <x v="1"/>
    <n v="0"/>
    <n v="0"/>
    <n v="50"/>
    <n v="1"/>
    <n v="0"/>
    <n v="358.53"/>
    <n v="247.04"/>
    <m/>
    <n v="443.01644531329566"/>
    <n v="195.17260177664326"/>
    <n v="0"/>
    <n v="3397.43028"/>
    <n v="2340.9510399999999"/>
    <n v="0"/>
    <n v="4198.0238357887902"/>
    <n v="1849.4555744354718"/>
  </r>
  <r>
    <s v="Regular"/>
    <x v="2"/>
    <x v="3"/>
    <x v="5"/>
    <x v="0"/>
    <x v="1"/>
    <x v="0"/>
    <x v="1"/>
    <x v="10"/>
    <n v="0"/>
    <n v="0"/>
    <n v="252.16800000000001"/>
    <n v="252.16800000000001"/>
    <n v="252.16800000000001"/>
    <n v="252.16800000000001"/>
    <n v="709"/>
    <x v="1"/>
    <n v="0"/>
    <n v="0"/>
    <n v="50"/>
    <n v="1"/>
    <n v="0"/>
    <n v="358.53"/>
    <n v="247.04"/>
    <m/>
    <n v="443.01644531329566"/>
    <n v="195.17260177664326"/>
    <n v="0"/>
    <n v="90409.79303999999"/>
    <n v="62295.582719999999"/>
    <n v="0"/>
    <n v="111714.57098176314"/>
    <n v="49216.284644812578"/>
  </r>
  <r>
    <s v="Sistema de Compensação"/>
    <x v="2"/>
    <x v="3"/>
    <x v="5"/>
    <x v="0"/>
    <x v="1"/>
    <x v="0"/>
    <x v="1"/>
    <x v="10"/>
    <n v="0"/>
    <n v="0"/>
    <n v="12.196999999999999"/>
    <n v="12.196999999999999"/>
    <n v="12.196999999999999"/>
    <n v="12.196999999999999"/>
    <n v="44"/>
    <x v="1"/>
    <n v="0"/>
    <n v="0"/>
    <n v="50"/>
    <n v="1"/>
    <n v="0"/>
    <n v="358.53"/>
    <n v="247.04"/>
    <m/>
    <n v="443.01644531329566"/>
    <n v="195.17260177664326"/>
    <n v="0"/>
    <n v="4372.9904099999994"/>
    <n v="3013.1468799999998"/>
    <n v="0"/>
    <n v="5403.4715834862673"/>
    <n v="2380.5202238697175"/>
  </r>
  <r>
    <s v="PROJETADO"/>
    <x v="2"/>
    <x v="3"/>
    <x v="5"/>
    <x v="0"/>
    <x v="1"/>
    <x v="0"/>
    <x v="1"/>
    <x v="11"/>
    <n v="0"/>
    <n v="0"/>
    <n v="252.16800000000001"/>
    <n v="252.16800000000001"/>
    <n v="252.16800000000001"/>
    <n v="252.16800000000001"/>
    <n v="709"/>
    <x v="1"/>
    <n v="0"/>
    <n v="0"/>
    <n v="50"/>
    <n v="1"/>
    <n v="0"/>
    <n v="358.53"/>
    <n v="247.04"/>
    <m/>
    <n v="443.01644531329566"/>
    <n v="195.17260177664326"/>
    <n v="0"/>
    <n v="90409.79303999999"/>
    <n v="62295.582719999999"/>
    <n v="0"/>
    <n v="111714.57098176314"/>
    <n v="49216.284644812578"/>
  </r>
  <r>
    <s v="PROJETADO"/>
    <x v="2"/>
    <x v="3"/>
    <x v="5"/>
    <x v="0"/>
    <x v="1"/>
    <x v="0"/>
    <x v="1"/>
    <x v="11"/>
    <n v="0"/>
    <n v="0"/>
    <n v="12.196999999999999"/>
    <n v="12.196999999999999"/>
    <n v="12.196999999999999"/>
    <n v="12.196999999999999"/>
    <n v="44"/>
    <x v="1"/>
    <n v="0"/>
    <n v="0"/>
    <n v="50"/>
    <n v="1"/>
    <n v="0"/>
    <n v="358.53"/>
    <n v="247.04"/>
    <m/>
    <n v="443.01644531329566"/>
    <n v="195.17260177664326"/>
    <n v="0"/>
    <n v="4372.9904099999994"/>
    <n v="3013.1468799999998"/>
    <n v="0"/>
    <n v="5403.4715834862673"/>
    <n v="2380.5202238697175"/>
  </r>
  <r>
    <s v="Regular"/>
    <x v="3"/>
    <x v="2"/>
    <x v="1"/>
    <x v="0"/>
    <x v="1"/>
    <x v="0"/>
    <x v="0"/>
    <x v="0"/>
    <n v="0"/>
    <n v="0"/>
    <n v="0.67900000000000005"/>
    <n v="0.67900000000000005"/>
    <n v="0.67900000000000005"/>
    <n v="0.67900000000000005"/>
    <n v="0"/>
    <x v="1"/>
    <n v="0"/>
    <n v="0"/>
    <n v="64"/>
    <n v="23"/>
    <n v="0"/>
    <n v="305.62"/>
    <n v="266.70999999999998"/>
    <m/>
    <n v="360.2503276452785"/>
    <n v="197.6895725142987"/>
    <n v="0"/>
    <n v="207.51598000000001"/>
    <n v="181.09609"/>
    <n v="0"/>
    <n v="244.60997247114412"/>
    <n v="134.23121973720882"/>
  </r>
  <r>
    <s v="Regular"/>
    <x v="3"/>
    <x v="2"/>
    <x v="1"/>
    <x v="0"/>
    <x v="1"/>
    <x v="0"/>
    <x v="0"/>
    <x v="1"/>
    <n v="0"/>
    <n v="0"/>
    <n v="0.73699999999999999"/>
    <n v="0.73699999999999999"/>
    <n v="0.73699999999999999"/>
    <n v="0.73699999999999999"/>
    <n v="0"/>
    <x v="1"/>
    <n v="0"/>
    <n v="0"/>
    <n v="64"/>
    <n v="23"/>
    <n v="0"/>
    <n v="305.62"/>
    <n v="266.70999999999998"/>
    <m/>
    <n v="360.2503276452785"/>
    <n v="197.6895725142987"/>
    <n v="0"/>
    <n v="225.24194"/>
    <n v="196.56526999999997"/>
    <n v="0"/>
    <n v="265.50449147457027"/>
    <n v="145.69721494303815"/>
  </r>
  <r>
    <s v="Regular"/>
    <x v="3"/>
    <x v="2"/>
    <x v="1"/>
    <x v="0"/>
    <x v="1"/>
    <x v="0"/>
    <x v="0"/>
    <x v="2"/>
    <n v="0"/>
    <n v="0"/>
    <n v="0.70199999999999996"/>
    <n v="0.70199999999999996"/>
    <n v="0.70199999999999996"/>
    <n v="0.70199999999999996"/>
    <n v="0"/>
    <x v="1"/>
    <n v="0"/>
    <n v="0"/>
    <n v="64"/>
    <n v="23"/>
    <n v="0"/>
    <n v="305.62"/>
    <n v="266.70999999999998"/>
    <m/>
    <n v="360.2503276452785"/>
    <n v="197.6895725142987"/>
    <n v="0"/>
    <n v="214.54523999999998"/>
    <n v="187.23041999999998"/>
    <n v="0"/>
    <n v="252.8957300069855"/>
    <n v="138.77807990503769"/>
  </r>
  <r>
    <s v="Regular"/>
    <x v="3"/>
    <x v="2"/>
    <x v="1"/>
    <x v="0"/>
    <x v="1"/>
    <x v="0"/>
    <x v="0"/>
    <x v="3"/>
    <n v="0"/>
    <n v="0"/>
    <n v="1.1000000000000001"/>
    <n v="1.1000000000000001"/>
    <n v="1.1000000000000001"/>
    <n v="1.1000000000000001"/>
    <n v="0"/>
    <x v="1"/>
    <n v="0"/>
    <n v="0"/>
    <n v="64"/>
    <n v="23"/>
    <n v="0"/>
    <n v="305.62"/>
    <n v="266.70999999999998"/>
    <m/>
    <n v="360.2503276452785"/>
    <n v="197.6895725142987"/>
    <n v="0"/>
    <n v="336.18200000000002"/>
    <n v="293.38100000000003"/>
    <n v="0"/>
    <n v="396.27536040980641"/>
    <n v="217.4585297657286"/>
  </r>
  <r>
    <s v="Regular"/>
    <x v="3"/>
    <x v="2"/>
    <x v="1"/>
    <x v="0"/>
    <x v="1"/>
    <x v="0"/>
    <x v="0"/>
    <x v="4"/>
    <n v="0"/>
    <n v="0"/>
    <n v="1.31"/>
    <n v="1.31"/>
    <n v="1.31"/>
    <n v="1.31"/>
    <n v="0"/>
    <x v="1"/>
    <n v="0"/>
    <n v="0"/>
    <n v="64"/>
    <n v="23"/>
    <n v="0"/>
    <n v="305.62"/>
    <n v="266.70999999999998"/>
    <m/>
    <n v="360.2503276452785"/>
    <n v="197.6895725142987"/>
    <n v="0"/>
    <n v="400.36220000000003"/>
    <n v="349.39009999999996"/>
    <n v="0"/>
    <n v="471.92792921531486"/>
    <n v="258.97333999373132"/>
  </r>
  <r>
    <s v="Regular"/>
    <x v="3"/>
    <x v="2"/>
    <x v="1"/>
    <x v="0"/>
    <x v="1"/>
    <x v="0"/>
    <x v="0"/>
    <x v="5"/>
    <n v="0"/>
    <n v="0"/>
    <n v="1.37"/>
    <n v="1.37"/>
    <n v="1.37"/>
    <n v="1.37"/>
    <n v="0"/>
    <x v="1"/>
    <n v="0"/>
    <n v="0"/>
    <n v="64"/>
    <n v="23"/>
    <n v="0"/>
    <n v="305.62"/>
    <n v="266.70999999999998"/>
    <m/>
    <n v="360.2503276452785"/>
    <n v="197.6895725142987"/>
    <n v="0"/>
    <n v="418.69940000000003"/>
    <n v="365.39269999999999"/>
    <n v="0"/>
    <n v="493.54294887403159"/>
    <n v="270.83471434458926"/>
  </r>
  <r>
    <s v="Regular"/>
    <x v="3"/>
    <x v="2"/>
    <x v="1"/>
    <x v="0"/>
    <x v="1"/>
    <x v="0"/>
    <x v="0"/>
    <x v="6"/>
    <n v="0"/>
    <n v="0"/>
    <n v="1.2749999999999999"/>
    <n v="1.2749999999999999"/>
    <n v="1.2749999999999999"/>
    <n v="1.2749999999999999"/>
    <n v="0"/>
    <x v="1"/>
    <n v="0"/>
    <n v="0"/>
    <n v="64"/>
    <n v="23"/>
    <n v="0"/>
    <n v="305.62"/>
    <n v="266.70999999999998"/>
    <m/>
    <n v="360.2503276452785"/>
    <n v="197.6895725142987"/>
    <n v="0"/>
    <n v="389.66549999999995"/>
    <n v="340.05524999999994"/>
    <n v="0"/>
    <n v="459.31916774773003"/>
    <n v="252.05420495573082"/>
  </r>
  <r>
    <s v="Regular"/>
    <x v="3"/>
    <x v="2"/>
    <x v="1"/>
    <x v="0"/>
    <x v="1"/>
    <x v="0"/>
    <x v="0"/>
    <x v="7"/>
    <n v="0"/>
    <n v="0"/>
    <n v="1.129"/>
    <n v="1.129"/>
    <n v="1.129"/>
    <n v="1.129"/>
    <n v="0"/>
    <x v="1"/>
    <n v="0"/>
    <n v="0"/>
    <n v="64"/>
    <n v="23"/>
    <n v="0"/>
    <n v="305.62"/>
    <n v="266.70999999999998"/>
    <m/>
    <n v="360.2503276452785"/>
    <n v="197.6895725142987"/>
    <n v="0"/>
    <n v="345.04498000000001"/>
    <n v="301.11559"/>
    <n v="0"/>
    <n v="406.72261991151942"/>
    <n v="223.19152736864325"/>
  </r>
  <r>
    <s v="Regular"/>
    <x v="3"/>
    <x v="2"/>
    <x v="1"/>
    <x v="0"/>
    <x v="1"/>
    <x v="0"/>
    <x v="0"/>
    <x v="8"/>
    <n v="0"/>
    <n v="0"/>
    <n v="0.77100000000000002"/>
    <n v="0.77100000000000002"/>
    <n v="0.77100000000000002"/>
    <n v="0.77100000000000002"/>
    <n v="0"/>
    <x v="1"/>
    <n v="0"/>
    <n v="0"/>
    <n v="64"/>
    <n v="23"/>
    <n v="0"/>
    <n v="305.62"/>
    <n v="266.70999999999998"/>
    <m/>
    <n v="360.2503276452785"/>
    <n v="197.6895725142987"/>
    <n v="0"/>
    <n v="235.63302000000002"/>
    <n v="205.63341"/>
    <n v="0"/>
    <n v="277.75300261450974"/>
    <n v="152.41866040852432"/>
  </r>
  <r>
    <s v="Regular"/>
    <x v="3"/>
    <x v="2"/>
    <x v="1"/>
    <x v="0"/>
    <x v="1"/>
    <x v="0"/>
    <x v="0"/>
    <x v="9"/>
    <n v="0"/>
    <n v="0"/>
    <n v="0.61699999999999999"/>
    <n v="0.61699999999999999"/>
    <n v="0.61699999999999999"/>
    <n v="0.61699999999999999"/>
    <n v="0"/>
    <x v="1"/>
    <n v="0"/>
    <n v="0"/>
    <n v="64"/>
    <n v="23"/>
    <n v="0"/>
    <n v="305.62"/>
    <n v="266.70999999999998"/>
    <m/>
    <n v="360.2503276452785"/>
    <n v="197.6895725142987"/>
    <n v="0"/>
    <n v="188.56754000000001"/>
    <n v="164.56007"/>
    <n v="0"/>
    <n v="222.27445215713684"/>
    <n v="121.9744662413223"/>
  </r>
  <r>
    <s v="Regular"/>
    <x v="3"/>
    <x v="2"/>
    <x v="1"/>
    <x v="0"/>
    <x v="1"/>
    <x v="0"/>
    <x v="0"/>
    <x v="10"/>
    <n v="0"/>
    <n v="0"/>
    <n v="0.443"/>
    <n v="0.443"/>
    <n v="0.443"/>
    <n v="0.443"/>
    <n v="0"/>
    <x v="1"/>
    <n v="0"/>
    <n v="0"/>
    <n v="64"/>
    <n v="23"/>
    <n v="0"/>
    <n v="305.62"/>
    <n v="266.70999999999998"/>
    <m/>
    <n v="360.2503276452785"/>
    <n v="197.6895725142987"/>
    <n v="0"/>
    <n v="135.38965999999999"/>
    <n v="118.15253"/>
    <n v="0"/>
    <n v="159.59089514685837"/>
    <n v="87.576480623834328"/>
  </r>
  <r>
    <s v="PROJETADO"/>
    <x v="3"/>
    <x v="2"/>
    <x v="1"/>
    <x v="0"/>
    <x v="1"/>
    <x v="0"/>
    <x v="0"/>
    <x v="11"/>
    <n v="0"/>
    <n v="0"/>
    <n v="0.443"/>
    <n v="0.443"/>
    <n v="0.443"/>
    <n v="0.443"/>
    <n v="0"/>
    <x v="1"/>
    <n v="0"/>
    <n v="0"/>
    <n v="64"/>
    <n v="23"/>
    <n v="0"/>
    <n v="305.62"/>
    <n v="266.70999999999998"/>
    <m/>
    <n v="360.2503276452785"/>
    <n v="197.6895725142987"/>
    <n v="0"/>
    <n v="135.38965999999999"/>
    <n v="118.15253"/>
    <n v="0"/>
    <n v="159.59089514685837"/>
    <n v="87.576480623834328"/>
  </r>
  <r>
    <s v="Regular"/>
    <x v="3"/>
    <x v="2"/>
    <x v="1"/>
    <x v="0"/>
    <x v="1"/>
    <x v="0"/>
    <x v="3"/>
    <x v="0"/>
    <n v="0"/>
    <n v="0"/>
    <n v="2.5999999999999999E-2"/>
    <n v="2.5999999999999999E-2"/>
    <n v="2.5999999999999999E-2"/>
    <n v="2.5999999999999999E-2"/>
    <n v="0"/>
    <x v="1"/>
    <n v="0"/>
    <n v="0"/>
    <n v="63"/>
    <n v="22"/>
    <n v="0"/>
    <n v="700.84"/>
    <n v="266.70999999999998"/>
    <m/>
    <n v="791.36114171206077"/>
    <n v="197.6895725142987"/>
    <n v="0"/>
    <n v="18.22184"/>
    <n v="6.9344599999999987"/>
    <n v="0"/>
    <n v="20.575389684513578"/>
    <n v="5.1399288853717664"/>
  </r>
  <r>
    <s v="Regular"/>
    <x v="3"/>
    <x v="2"/>
    <x v="1"/>
    <x v="0"/>
    <x v="1"/>
    <x v="0"/>
    <x v="3"/>
    <x v="1"/>
    <n v="0"/>
    <n v="0"/>
    <n v="2.8000000000000001E-2"/>
    <n v="2.8000000000000001E-2"/>
    <n v="2.8000000000000001E-2"/>
    <n v="2.8000000000000001E-2"/>
    <n v="0"/>
    <x v="1"/>
    <n v="0"/>
    <n v="0"/>
    <n v="63"/>
    <n v="22"/>
    <n v="0"/>
    <n v="700.84"/>
    <n v="266.70999999999998"/>
    <m/>
    <n v="791.36114171206077"/>
    <n v="197.6895725142987"/>
    <n v="0"/>
    <n v="19.623520000000003"/>
    <n v="7.4678799999999992"/>
    <n v="0"/>
    <n v="22.158111967937703"/>
    <n v="5.5353080304003637"/>
  </r>
  <r>
    <s v="Regular"/>
    <x v="3"/>
    <x v="2"/>
    <x v="1"/>
    <x v="0"/>
    <x v="1"/>
    <x v="0"/>
    <x v="3"/>
    <x v="2"/>
    <n v="0"/>
    <n v="0"/>
    <n v="3.1E-2"/>
    <n v="3.1E-2"/>
    <n v="3.1E-2"/>
    <n v="3.1E-2"/>
    <n v="0"/>
    <x v="1"/>
    <n v="0"/>
    <n v="0"/>
    <n v="63"/>
    <n v="22"/>
    <n v="0"/>
    <n v="700.84"/>
    <n v="266.70999999999998"/>
    <m/>
    <n v="791.36114171206077"/>
    <n v="197.6895725142987"/>
    <n v="0"/>
    <n v="21.726040000000001"/>
    <n v="8.2680099999999985"/>
    <n v="0"/>
    <n v="24.532195393073884"/>
    <n v="6.1283767479432596"/>
  </r>
  <r>
    <s v="Regular"/>
    <x v="3"/>
    <x v="2"/>
    <x v="1"/>
    <x v="0"/>
    <x v="1"/>
    <x v="0"/>
    <x v="3"/>
    <x v="3"/>
    <n v="0"/>
    <n v="0"/>
    <n v="4.8000000000000001E-2"/>
    <n v="4.8000000000000001E-2"/>
    <n v="4.8000000000000001E-2"/>
    <n v="4.8000000000000001E-2"/>
    <n v="0"/>
    <x v="1"/>
    <n v="0"/>
    <n v="0"/>
    <n v="63"/>
    <n v="22"/>
    <n v="0"/>
    <n v="700.84"/>
    <n v="266.70999999999998"/>
    <m/>
    <n v="791.36114171206077"/>
    <n v="197.6895725142987"/>
    <n v="0"/>
    <n v="33.640320000000003"/>
    <n v="12.80208"/>
    <n v="0"/>
    <n v="37.985334802178919"/>
    <n v="9.4890994806863382"/>
  </r>
  <r>
    <s v="Regular"/>
    <x v="3"/>
    <x v="2"/>
    <x v="1"/>
    <x v="0"/>
    <x v="1"/>
    <x v="0"/>
    <x v="3"/>
    <x v="4"/>
    <n v="0"/>
    <n v="0"/>
    <n v="4.9000000000000002E-2"/>
    <n v="4.9000000000000002E-2"/>
    <n v="4.9000000000000002E-2"/>
    <n v="4.9000000000000002E-2"/>
    <n v="0"/>
    <x v="1"/>
    <n v="0"/>
    <n v="0"/>
    <n v="63"/>
    <n v="22"/>
    <n v="0"/>
    <n v="700.84"/>
    <n v="266.70999999999998"/>
    <m/>
    <n v="791.36114171206077"/>
    <n v="197.6895725142987"/>
    <n v="0"/>
    <n v="34.341160000000002"/>
    <n v="13.06879"/>
    <n v="0"/>
    <n v="38.776695943890978"/>
    <n v="9.686789053200636"/>
  </r>
  <r>
    <s v="Regular"/>
    <x v="3"/>
    <x v="2"/>
    <x v="1"/>
    <x v="0"/>
    <x v="1"/>
    <x v="0"/>
    <x v="3"/>
    <x v="5"/>
    <n v="0"/>
    <n v="0"/>
    <n v="4.1000000000000002E-2"/>
    <n v="4.1000000000000002E-2"/>
    <n v="4.1000000000000002E-2"/>
    <n v="4.1000000000000002E-2"/>
    <n v="0"/>
    <x v="1"/>
    <n v="0"/>
    <n v="0"/>
    <n v="63"/>
    <n v="22"/>
    <n v="0"/>
    <n v="700.84"/>
    <n v="266.70999999999998"/>
    <m/>
    <n v="791.36114171206077"/>
    <n v="197.6895725142987"/>
    <n v="0"/>
    <n v="28.734440000000003"/>
    <n v="10.93511"/>
    <n v="0"/>
    <n v="32.44580681019449"/>
    <n v="8.1052724730862469"/>
  </r>
  <r>
    <s v="Regular"/>
    <x v="3"/>
    <x v="2"/>
    <x v="1"/>
    <x v="0"/>
    <x v="1"/>
    <x v="0"/>
    <x v="3"/>
    <x v="6"/>
    <n v="0"/>
    <n v="0"/>
    <n v="6.4000000000000001E-2"/>
    <n v="6.4000000000000001E-2"/>
    <n v="6.4000000000000001E-2"/>
    <n v="6.4000000000000001E-2"/>
    <n v="0"/>
    <x v="1"/>
    <n v="0"/>
    <n v="0"/>
    <n v="63"/>
    <n v="22"/>
    <n v="0"/>
    <n v="700.84"/>
    <n v="266.70999999999998"/>
    <m/>
    <n v="791.36114171206077"/>
    <n v="197.6895725142987"/>
    <n v="0"/>
    <n v="44.853760000000001"/>
    <n v="17.06944"/>
    <n v="0"/>
    <n v="50.647113069571887"/>
    <n v="12.652132640915116"/>
  </r>
  <r>
    <s v="Regular"/>
    <x v="3"/>
    <x v="2"/>
    <x v="1"/>
    <x v="0"/>
    <x v="1"/>
    <x v="0"/>
    <x v="3"/>
    <x v="7"/>
    <n v="0"/>
    <n v="0"/>
    <n v="4.3999999999999997E-2"/>
    <n v="4.3999999999999997E-2"/>
    <n v="4.3999999999999997E-2"/>
    <n v="4.3999999999999997E-2"/>
    <n v="0"/>
    <x v="1"/>
    <n v="0"/>
    <n v="0"/>
    <n v="63"/>
    <n v="22"/>
    <n v="0"/>
    <n v="700.84"/>
    <n v="266.70999999999998"/>
    <m/>
    <n v="791.36114171206077"/>
    <n v="197.6895725142987"/>
    <n v="0"/>
    <n v="30.836960000000001"/>
    <n v="11.735239999999999"/>
    <n v="0"/>
    <n v="34.819890235330675"/>
    <n v="8.6983411906291419"/>
  </r>
  <r>
    <s v="Regular"/>
    <x v="3"/>
    <x v="2"/>
    <x v="1"/>
    <x v="0"/>
    <x v="1"/>
    <x v="0"/>
    <x v="3"/>
    <x v="8"/>
    <n v="0"/>
    <n v="0"/>
    <n v="3.6999999999999998E-2"/>
    <n v="3.6999999999999998E-2"/>
    <n v="3.6999999999999998E-2"/>
    <n v="3.6999999999999998E-2"/>
    <n v="0"/>
    <x v="1"/>
    <n v="0"/>
    <n v="0"/>
    <n v="63"/>
    <n v="22"/>
    <n v="0"/>
    <n v="700.84"/>
    <n v="266.70999999999998"/>
    <m/>
    <n v="791.36114171206077"/>
    <n v="197.6895725142987"/>
    <n v="0"/>
    <n v="25.931080000000001"/>
    <n v="9.868269999999999"/>
    <n v="0"/>
    <n v="29.280362243346246"/>
    <n v="7.3145141830290514"/>
  </r>
  <r>
    <s v="Regular"/>
    <x v="3"/>
    <x v="2"/>
    <x v="1"/>
    <x v="0"/>
    <x v="1"/>
    <x v="0"/>
    <x v="3"/>
    <x v="9"/>
    <n v="0"/>
    <n v="0"/>
    <n v="3.5000000000000003E-2"/>
    <n v="3.5000000000000003E-2"/>
    <n v="3.5000000000000003E-2"/>
    <n v="3.5000000000000003E-2"/>
    <n v="0"/>
    <x v="1"/>
    <n v="0"/>
    <n v="0"/>
    <n v="63"/>
    <n v="22"/>
    <n v="0"/>
    <n v="700.84"/>
    <n v="266.70999999999998"/>
    <m/>
    <n v="791.36114171206077"/>
    <n v="197.6895725142987"/>
    <n v="0"/>
    <n v="24.529400000000003"/>
    <n v="9.3348499999999994"/>
    <n v="0"/>
    <n v="27.697639959922128"/>
    <n v="6.919135038000455"/>
  </r>
  <r>
    <s v="Regular"/>
    <x v="3"/>
    <x v="2"/>
    <x v="1"/>
    <x v="0"/>
    <x v="1"/>
    <x v="0"/>
    <x v="3"/>
    <x v="10"/>
    <n v="0"/>
    <n v="0"/>
    <n v="2.8000000000000001E-2"/>
    <n v="2.8000000000000001E-2"/>
    <n v="2.8000000000000001E-2"/>
    <n v="2.8000000000000001E-2"/>
    <n v="0"/>
    <x v="1"/>
    <n v="0"/>
    <n v="0"/>
    <n v="63"/>
    <n v="22"/>
    <n v="0"/>
    <n v="700.84"/>
    <n v="266.70999999999998"/>
    <m/>
    <n v="791.36114171206077"/>
    <n v="197.6895725142987"/>
    <n v="0"/>
    <n v="19.623520000000003"/>
    <n v="7.4678799999999992"/>
    <n v="0"/>
    <n v="22.158111967937703"/>
    <n v="5.5353080304003637"/>
  </r>
  <r>
    <s v="PROJETADO"/>
    <x v="3"/>
    <x v="2"/>
    <x v="1"/>
    <x v="0"/>
    <x v="1"/>
    <x v="0"/>
    <x v="3"/>
    <x v="11"/>
    <n v="0"/>
    <n v="0"/>
    <n v="2.8000000000000001E-2"/>
    <n v="2.8000000000000001E-2"/>
    <n v="2.8000000000000001E-2"/>
    <n v="2.8000000000000001E-2"/>
    <n v="0"/>
    <x v="1"/>
    <n v="0"/>
    <n v="0"/>
    <n v="63"/>
    <n v="22"/>
    <n v="0"/>
    <n v="700.84"/>
    <n v="266.70999999999998"/>
    <m/>
    <n v="791.36114171206077"/>
    <n v="197.6895725142987"/>
    <n v="0"/>
    <n v="19.623520000000003"/>
    <n v="7.4678799999999992"/>
    <n v="0"/>
    <n v="22.158111967937703"/>
    <n v="5.5353080304003637"/>
  </r>
  <r>
    <s v="Regular"/>
    <x v="3"/>
    <x v="2"/>
    <x v="1"/>
    <x v="0"/>
    <x v="1"/>
    <x v="0"/>
    <x v="2"/>
    <x v="0"/>
    <n v="0"/>
    <n v="0"/>
    <n v="2.9000000000000001E-2"/>
    <n v="2.9000000000000001E-2"/>
    <n v="2.9000000000000001E-2"/>
    <n v="2.9000000000000001E-2"/>
    <n v="0"/>
    <x v="1"/>
    <n v="0"/>
    <n v="0"/>
    <n v="62"/>
    <n v="20"/>
    <n v="0"/>
    <n v="1096.05"/>
    <n v="434.95"/>
    <m/>
    <n v="1222.4720807627414"/>
    <n v="316.97983140624547"/>
    <n v="0"/>
    <n v="31.785450000000001"/>
    <n v="12.61355"/>
    <n v="0"/>
    <n v="35.451690342119498"/>
    <n v="9.1924151107811198"/>
  </r>
  <r>
    <s v="Regular"/>
    <x v="3"/>
    <x v="2"/>
    <x v="1"/>
    <x v="0"/>
    <x v="1"/>
    <x v="0"/>
    <x v="2"/>
    <x v="1"/>
    <n v="0"/>
    <n v="0"/>
    <n v="2.9000000000000001E-2"/>
    <n v="2.9000000000000001E-2"/>
    <n v="2.9000000000000001E-2"/>
    <n v="2.9000000000000001E-2"/>
    <n v="0"/>
    <x v="1"/>
    <n v="0"/>
    <n v="0"/>
    <n v="62"/>
    <n v="20"/>
    <n v="0"/>
    <n v="1096.05"/>
    <n v="434.95"/>
    <m/>
    <n v="1222.4720807627414"/>
    <n v="316.97983140624547"/>
    <n v="0"/>
    <n v="31.785450000000001"/>
    <n v="12.61355"/>
    <n v="0"/>
    <n v="35.451690342119498"/>
    <n v="9.1924151107811198"/>
  </r>
  <r>
    <s v="Regular"/>
    <x v="3"/>
    <x v="2"/>
    <x v="1"/>
    <x v="0"/>
    <x v="1"/>
    <x v="0"/>
    <x v="2"/>
    <x v="2"/>
    <n v="0"/>
    <n v="0"/>
    <n v="2.5000000000000001E-2"/>
    <n v="2.5000000000000001E-2"/>
    <n v="2.5000000000000001E-2"/>
    <n v="2.5000000000000001E-2"/>
    <n v="0"/>
    <x v="1"/>
    <n v="0"/>
    <n v="0"/>
    <n v="62"/>
    <n v="20"/>
    <n v="0"/>
    <n v="1096.05"/>
    <n v="434.95"/>
    <m/>
    <n v="1222.4720807627414"/>
    <n v="316.97983140624547"/>
    <n v="0"/>
    <n v="27.401250000000001"/>
    <n v="10.873750000000001"/>
    <n v="0"/>
    <n v="30.561802019068537"/>
    <n v="7.9244957851561368"/>
  </r>
  <r>
    <s v="Regular"/>
    <x v="3"/>
    <x v="2"/>
    <x v="1"/>
    <x v="0"/>
    <x v="1"/>
    <x v="0"/>
    <x v="2"/>
    <x v="3"/>
    <n v="0"/>
    <n v="0"/>
    <n v="2.5000000000000001E-2"/>
    <n v="2.5000000000000001E-2"/>
    <n v="2.5000000000000001E-2"/>
    <n v="2.5000000000000001E-2"/>
    <n v="0"/>
    <x v="1"/>
    <n v="0"/>
    <n v="0"/>
    <n v="62"/>
    <n v="20"/>
    <n v="0"/>
    <n v="1096.05"/>
    <n v="434.95"/>
    <m/>
    <n v="1222.4720807627414"/>
    <n v="316.97983140624547"/>
    <n v="0"/>
    <n v="27.401250000000001"/>
    <n v="10.873750000000001"/>
    <n v="0"/>
    <n v="30.561802019068537"/>
    <n v="7.9244957851561368"/>
  </r>
  <r>
    <s v="Regular"/>
    <x v="3"/>
    <x v="2"/>
    <x v="1"/>
    <x v="0"/>
    <x v="1"/>
    <x v="0"/>
    <x v="2"/>
    <x v="4"/>
    <n v="0"/>
    <n v="0"/>
    <n v="3.1E-2"/>
    <n v="3.1E-2"/>
    <n v="3.1E-2"/>
    <n v="3.1E-2"/>
    <n v="0"/>
    <x v="1"/>
    <n v="0"/>
    <n v="0"/>
    <n v="62"/>
    <n v="20"/>
    <n v="0"/>
    <n v="1096.05"/>
    <n v="434.95"/>
    <m/>
    <n v="1222.4720807627414"/>
    <n v="316.97983140624547"/>
    <n v="0"/>
    <n v="33.977550000000001"/>
    <n v="13.483449999999999"/>
    <n v="0"/>
    <n v="37.896634503644982"/>
    <n v="9.82637477359361"/>
  </r>
  <r>
    <s v="Regular"/>
    <x v="3"/>
    <x v="2"/>
    <x v="1"/>
    <x v="0"/>
    <x v="1"/>
    <x v="0"/>
    <x v="2"/>
    <x v="5"/>
    <n v="0"/>
    <n v="0"/>
    <n v="0.03"/>
    <n v="0.03"/>
    <n v="0.03"/>
    <n v="0.03"/>
    <n v="0"/>
    <x v="1"/>
    <n v="0"/>
    <n v="0"/>
    <n v="62"/>
    <n v="20"/>
    <n v="0"/>
    <n v="1096.05"/>
    <n v="434.95"/>
    <m/>
    <n v="1222.4720807627414"/>
    <n v="316.97983140624547"/>
    <n v="0"/>
    <n v="32.881499999999996"/>
    <n v="13.048499999999999"/>
    <n v="0"/>
    <n v="36.67416242288224"/>
    <n v="9.5093949421873631"/>
  </r>
  <r>
    <s v="Regular"/>
    <x v="3"/>
    <x v="2"/>
    <x v="1"/>
    <x v="0"/>
    <x v="1"/>
    <x v="0"/>
    <x v="2"/>
    <x v="6"/>
    <n v="0"/>
    <n v="0"/>
    <n v="3.6999999999999998E-2"/>
    <n v="3.6999999999999998E-2"/>
    <n v="3.6999999999999998E-2"/>
    <n v="3.6999999999999998E-2"/>
    <n v="0"/>
    <x v="1"/>
    <n v="0"/>
    <n v="0"/>
    <n v="62"/>
    <n v="20"/>
    <n v="0"/>
    <n v="1096.05"/>
    <n v="434.95"/>
    <m/>
    <n v="1222.4720807627414"/>
    <n v="316.97983140624547"/>
    <n v="0"/>
    <n v="40.553849999999997"/>
    <n v="16.093149999999998"/>
    <n v="0"/>
    <n v="45.231466988221428"/>
    <n v="11.728253762031082"/>
  </r>
  <r>
    <s v="Regular"/>
    <x v="3"/>
    <x v="2"/>
    <x v="1"/>
    <x v="0"/>
    <x v="1"/>
    <x v="0"/>
    <x v="2"/>
    <x v="7"/>
    <n v="0"/>
    <n v="0"/>
    <n v="2.5999999999999999E-2"/>
    <n v="2.5999999999999999E-2"/>
    <n v="2.5999999999999999E-2"/>
    <n v="2.5999999999999999E-2"/>
    <n v="0"/>
    <x v="1"/>
    <n v="0"/>
    <n v="0"/>
    <n v="62"/>
    <n v="20"/>
    <n v="0"/>
    <n v="1096.05"/>
    <n v="434.95"/>
    <m/>
    <n v="1222.4720807627414"/>
    <n v="316.97983140624547"/>
    <n v="0"/>
    <n v="28.497299999999999"/>
    <n v="11.3087"/>
    <n v="0"/>
    <n v="31.784274099831276"/>
    <n v="8.241475616562381"/>
  </r>
  <r>
    <s v="Regular"/>
    <x v="3"/>
    <x v="2"/>
    <x v="1"/>
    <x v="0"/>
    <x v="1"/>
    <x v="0"/>
    <x v="2"/>
    <x v="8"/>
    <n v="0"/>
    <n v="0"/>
    <n v="2.4E-2"/>
    <n v="2.4E-2"/>
    <n v="2.4E-2"/>
    <n v="2.4E-2"/>
    <n v="0"/>
    <x v="1"/>
    <n v="0"/>
    <n v="0"/>
    <n v="62"/>
    <n v="20"/>
    <n v="0"/>
    <n v="1096.05"/>
    <n v="434.95"/>
    <m/>
    <n v="1222.4720807627414"/>
    <n v="316.97983140624547"/>
    <n v="0"/>
    <n v="26.305199999999999"/>
    <n v="10.438800000000001"/>
    <n v="0"/>
    <n v="29.339329938305795"/>
    <n v="7.6075159537498918"/>
  </r>
  <r>
    <s v="Regular"/>
    <x v="3"/>
    <x v="2"/>
    <x v="1"/>
    <x v="0"/>
    <x v="1"/>
    <x v="0"/>
    <x v="2"/>
    <x v="9"/>
    <n v="0"/>
    <n v="0"/>
    <n v="2.5999999999999999E-2"/>
    <n v="2.5999999999999999E-2"/>
    <n v="2.5999999999999999E-2"/>
    <n v="2.5999999999999999E-2"/>
    <n v="0"/>
    <x v="1"/>
    <n v="0"/>
    <n v="0"/>
    <n v="62"/>
    <n v="20"/>
    <n v="0"/>
    <n v="1096.05"/>
    <n v="434.95"/>
    <m/>
    <n v="1222.4720807627414"/>
    <n v="316.97983140624547"/>
    <n v="0"/>
    <n v="28.497299999999999"/>
    <n v="11.3087"/>
    <n v="0"/>
    <n v="31.784274099831276"/>
    <n v="8.241475616562381"/>
  </r>
  <r>
    <s v="Regular"/>
    <x v="3"/>
    <x v="2"/>
    <x v="1"/>
    <x v="0"/>
    <x v="1"/>
    <x v="0"/>
    <x v="2"/>
    <x v="10"/>
    <n v="0"/>
    <n v="0"/>
    <n v="2.7E-2"/>
    <n v="2.7E-2"/>
    <n v="2.7E-2"/>
    <n v="2.7E-2"/>
    <n v="0"/>
    <x v="1"/>
    <n v="0"/>
    <n v="0"/>
    <n v="62"/>
    <n v="20"/>
    <n v="0"/>
    <n v="1096.05"/>
    <n v="434.95"/>
    <m/>
    <n v="1222.4720807627414"/>
    <n v="316.97983140624547"/>
    <n v="0"/>
    <n v="29.593349999999997"/>
    <n v="11.743649999999999"/>
    <n v="0"/>
    <n v="33.006746180594014"/>
    <n v="8.5584554479686279"/>
  </r>
  <r>
    <s v="PROJETADO"/>
    <x v="3"/>
    <x v="2"/>
    <x v="1"/>
    <x v="0"/>
    <x v="1"/>
    <x v="0"/>
    <x v="2"/>
    <x v="11"/>
    <n v="0"/>
    <n v="0"/>
    <n v="2.7E-2"/>
    <n v="2.7E-2"/>
    <n v="2.7E-2"/>
    <n v="2.7E-2"/>
    <n v="0"/>
    <x v="1"/>
    <n v="0"/>
    <n v="0"/>
    <n v="62"/>
    <n v="20"/>
    <n v="0"/>
    <n v="1096.05"/>
    <n v="434.95"/>
    <m/>
    <n v="1222.4720807627414"/>
    <n v="316.97983140624547"/>
    <n v="0"/>
    <n v="29.593349999999997"/>
    <n v="11.743649999999999"/>
    <n v="0"/>
    <n v="33.006746180594014"/>
    <n v="8.5584554479686279"/>
  </r>
  <r>
    <s v="Regular"/>
    <x v="3"/>
    <x v="3"/>
    <x v="1"/>
    <x v="0"/>
    <x v="1"/>
    <x v="0"/>
    <x v="1"/>
    <x v="0"/>
    <n v="0"/>
    <n v="0"/>
    <n v="292.185"/>
    <n v="292.185"/>
    <n v="292.185"/>
    <n v="292.185"/>
    <n v="728"/>
    <x v="1"/>
    <n v="0"/>
    <n v="0"/>
    <n v="65"/>
    <n v="25"/>
    <n v="0"/>
    <n v="407.42"/>
    <n v="280.73"/>
    <m/>
    <n v="471.29409075882518"/>
    <n v="207.63042742196092"/>
    <n v="0"/>
    <n v="119042.01270000001"/>
    <n v="82025.095050000004"/>
    <n v="0"/>
    <n v="137705.06390836733"/>
    <n v="60666.496436285648"/>
  </r>
  <r>
    <s v="Sistema de Compensação"/>
    <x v="3"/>
    <x v="3"/>
    <x v="1"/>
    <x v="0"/>
    <x v="1"/>
    <x v="0"/>
    <x v="1"/>
    <x v="0"/>
    <n v="0"/>
    <n v="0"/>
    <n v="13.595000000000001"/>
    <n v="13.595000000000001"/>
    <n v="13.595000000000001"/>
    <n v="13.595000000000001"/>
    <n v="62"/>
    <x v="1"/>
    <n v="0"/>
    <n v="0"/>
    <n v="65"/>
    <n v="25"/>
    <n v="0"/>
    <n v="407.42"/>
    <n v="280.73"/>
    <m/>
    <n v="471.29409075882518"/>
    <n v="207.63042742196092"/>
    <n v="0"/>
    <n v="5538.8749000000007"/>
    <n v="3816.5243500000006"/>
    <n v="0"/>
    <n v="6407.2431638662283"/>
    <n v="2822.7356608015589"/>
  </r>
  <r>
    <s v="Regular"/>
    <x v="3"/>
    <x v="3"/>
    <x v="1"/>
    <x v="0"/>
    <x v="1"/>
    <x v="0"/>
    <x v="1"/>
    <x v="1"/>
    <n v="0"/>
    <n v="0"/>
    <n v="319.61500000000001"/>
    <n v="319.61500000000001"/>
    <n v="319.61500000000001"/>
    <n v="319.61500000000001"/>
    <n v="730"/>
    <x v="1"/>
    <n v="0"/>
    <n v="0"/>
    <n v="65"/>
    <n v="25"/>
    <n v="0"/>
    <n v="407.42"/>
    <n v="280.73"/>
    <m/>
    <n v="471.29409075882518"/>
    <n v="207.63042742196092"/>
    <n v="0"/>
    <n v="130217.5433"/>
    <n v="89725.518950000012"/>
    <n v="0"/>
    <n v="150632.6608178819"/>
    <n v="66361.799060470046"/>
  </r>
  <r>
    <s v="Sistema de Compensação"/>
    <x v="3"/>
    <x v="3"/>
    <x v="1"/>
    <x v="0"/>
    <x v="1"/>
    <x v="0"/>
    <x v="1"/>
    <x v="1"/>
    <n v="0"/>
    <n v="0"/>
    <n v="11.760999999999999"/>
    <n v="11.760999999999999"/>
    <n v="11.760999999999999"/>
    <n v="11.760999999999999"/>
    <n v="63"/>
    <x v="1"/>
    <n v="0"/>
    <n v="0"/>
    <n v="65"/>
    <n v="25"/>
    <n v="0"/>
    <n v="407.42"/>
    <n v="280.73"/>
    <m/>
    <n v="471.29409075882518"/>
    <n v="207.63042742196092"/>
    <n v="0"/>
    <n v="4791.66662"/>
    <n v="3301.6655300000002"/>
    <n v="0"/>
    <n v="5542.8898014145425"/>
    <n v="2441.9414569096821"/>
  </r>
  <r>
    <s v="Regular"/>
    <x v="3"/>
    <x v="3"/>
    <x v="1"/>
    <x v="0"/>
    <x v="1"/>
    <x v="0"/>
    <x v="1"/>
    <x v="2"/>
    <n v="0"/>
    <n v="0"/>
    <n v="290.27999999999997"/>
    <n v="290.27999999999997"/>
    <n v="290.27999999999997"/>
    <n v="290.27999999999997"/>
    <n v="724"/>
    <x v="1"/>
    <n v="0"/>
    <n v="0"/>
    <n v="65"/>
    <n v="25"/>
    <n v="0"/>
    <n v="407.42"/>
    <n v="280.73"/>
    <m/>
    <n v="471.29409075882518"/>
    <n v="207.63042742196092"/>
    <n v="0"/>
    <n v="118265.87759999999"/>
    <n v="81490.304399999994"/>
    <n v="0"/>
    <n v="136807.24866547176"/>
    <n v="60270.960472046812"/>
  </r>
  <r>
    <s v="Sistema de Compensação"/>
    <x v="3"/>
    <x v="3"/>
    <x v="1"/>
    <x v="0"/>
    <x v="1"/>
    <x v="0"/>
    <x v="1"/>
    <x v="2"/>
    <n v="0"/>
    <n v="0"/>
    <n v="16.209"/>
    <n v="16.209"/>
    <n v="16.209"/>
    <n v="16.209"/>
    <n v="68"/>
    <x v="1"/>
    <n v="0"/>
    <n v="0"/>
    <n v="65"/>
    <n v="25"/>
    <n v="0"/>
    <n v="407.42"/>
    <n v="280.73"/>
    <m/>
    <n v="471.29409075882518"/>
    <n v="207.63042742196092"/>
    <n v="0"/>
    <n v="6603.8707800000002"/>
    <n v="4550.35257"/>
    <n v="0"/>
    <n v="7639.2059171097972"/>
    <n v="3365.4815980825642"/>
  </r>
  <r>
    <s v="Regular"/>
    <x v="3"/>
    <x v="3"/>
    <x v="1"/>
    <x v="0"/>
    <x v="1"/>
    <x v="0"/>
    <x v="1"/>
    <x v="3"/>
    <n v="0"/>
    <n v="0"/>
    <n v="354.77800000000002"/>
    <n v="354.77800000000002"/>
    <n v="354.77800000000002"/>
    <n v="354.77800000000002"/>
    <n v="724"/>
    <x v="1"/>
    <n v="0"/>
    <n v="0"/>
    <n v="65"/>
    <n v="25"/>
    <n v="0"/>
    <n v="407.42"/>
    <n v="280.73"/>
    <m/>
    <n v="471.29409075882518"/>
    <n v="207.63042742196092"/>
    <n v="0"/>
    <n v="144543.65276000003"/>
    <n v="99596.827940000017"/>
    <n v="0"/>
    <n v="167204.77493123448"/>
    <n v="73662.707779908451"/>
  </r>
  <r>
    <s v="Sistema de Compensação"/>
    <x v="3"/>
    <x v="3"/>
    <x v="1"/>
    <x v="0"/>
    <x v="1"/>
    <x v="0"/>
    <x v="1"/>
    <x v="3"/>
    <n v="0"/>
    <n v="0"/>
    <n v="12.118"/>
    <n v="12.118"/>
    <n v="12.118"/>
    <n v="12.118"/>
    <n v="71"/>
    <x v="1"/>
    <n v="0"/>
    <n v="0"/>
    <n v="65"/>
    <n v="25"/>
    <n v="0"/>
    <n v="407.42"/>
    <n v="280.73"/>
    <m/>
    <n v="471.29409075882518"/>
    <n v="207.63042742196092"/>
    <n v="0"/>
    <n v="4937.1155600000002"/>
    <n v="3401.8861400000005"/>
    <n v="0"/>
    <n v="5711.1417918154439"/>
    <n v="2516.0655194993224"/>
  </r>
  <r>
    <s v="Regular"/>
    <x v="3"/>
    <x v="3"/>
    <x v="1"/>
    <x v="0"/>
    <x v="1"/>
    <x v="0"/>
    <x v="1"/>
    <x v="4"/>
    <n v="0"/>
    <n v="0"/>
    <n v="393.10399999999998"/>
    <n v="393.10399999999998"/>
    <n v="393.10399999999998"/>
    <n v="393.10399999999998"/>
    <n v="724"/>
    <x v="1"/>
    <n v="0"/>
    <n v="0"/>
    <n v="65"/>
    <n v="25"/>
    <n v="0"/>
    <n v="407.42"/>
    <n v="280.73"/>
    <m/>
    <n v="471.29409075882518"/>
    <n v="207.63042742196092"/>
    <n v="0"/>
    <n v="160158.43168000001"/>
    <n v="110356.08592"/>
    <n v="0"/>
    <n v="185267.5922536572"/>
    <n v="81620.351541282522"/>
  </r>
  <r>
    <s v="Sistema de Compensação"/>
    <x v="3"/>
    <x v="3"/>
    <x v="1"/>
    <x v="0"/>
    <x v="1"/>
    <x v="0"/>
    <x v="1"/>
    <x v="4"/>
    <n v="0"/>
    <n v="0"/>
    <n v="15.016"/>
    <n v="15.016"/>
    <n v="15.016"/>
    <n v="15.016"/>
    <n v="74"/>
    <x v="1"/>
    <n v="0"/>
    <n v="0"/>
    <n v="65"/>
    <n v="25"/>
    <n v="0"/>
    <n v="407.42"/>
    <n v="280.73"/>
    <m/>
    <n v="471.29409075882518"/>
    <n v="207.63042742196092"/>
    <n v="0"/>
    <n v="6117.8187200000002"/>
    <n v="4215.4416799999999"/>
    <n v="0"/>
    <n v="7076.9520668345185"/>
    <n v="3117.7784981681652"/>
  </r>
  <r>
    <s v="Regular"/>
    <x v="3"/>
    <x v="3"/>
    <x v="1"/>
    <x v="0"/>
    <x v="1"/>
    <x v="0"/>
    <x v="1"/>
    <x v="5"/>
    <n v="0"/>
    <n v="0"/>
    <n v="376.59699999999998"/>
    <n v="376.59699999999998"/>
    <n v="376.59699999999998"/>
    <n v="376.59699999999998"/>
    <n v="721"/>
    <x v="1"/>
    <n v="0"/>
    <n v="0"/>
    <n v="65"/>
    <n v="25"/>
    <n v="0"/>
    <n v="407.42"/>
    <n v="280.73"/>
    <m/>
    <n v="471.29409075882518"/>
    <n v="207.63042742196092"/>
    <n v="0"/>
    <n v="153433.14973999999"/>
    <n v="105722.07580999999"/>
    <n v="0"/>
    <n v="177487.94069750127"/>
    <n v="78192.99607582821"/>
  </r>
  <r>
    <s v="Sistema de Compensação"/>
    <x v="3"/>
    <x v="3"/>
    <x v="1"/>
    <x v="0"/>
    <x v="1"/>
    <x v="0"/>
    <x v="1"/>
    <x v="5"/>
    <n v="0"/>
    <n v="0"/>
    <n v="14.444000000000001"/>
    <n v="14.444000000000001"/>
    <n v="14.444000000000001"/>
    <n v="14.444000000000001"/>
    <n v="75"/>
    <x v="1"/>
    <n v="0"/>
    <n v="0"/>
    <n v="65"/>
    <n v="25"/>
    <n v="0"/>
    <n v="407.42"/>
    <n v="280.73"/>
    <m/>
    <n v="471.29409075882518"/>
    <n v="207.63042742196092"/>
    <n v="0"/>
    <n v="5884.7744800000009"/>
    <n v="4054.8641200000006"/>
    <n v="0"/>
    <n v="6807.3718469204714"/>
    <n v="2999.0138936828039"/>
  </r>
  <r>
    <s v="Regular"/>
    <x v="3"/>
    <x v="3"/>
    <x v="1"/>
    <x v="0"/>
    <x v="1"/>
    <x v="0"/>
    <x v="1"/>
    <x v="6"/>
    <n v="0"/>
    <n v="0"/>
    <n v="345.58699999999999"/>
    <n v="345.58699999999999"/>
    <n v="345.58699999999999"/>
    <n v="345.58699999999999"/>
    <n v="720"/>
    <x v="1"/>
    <n v="0"/>
    <n v="0"/>
    <n v="65"/>
    <n v="25"/>
    <n v="0"/>
    <n v="407.42"/>
    <n v="280.73"/>
    <m/>
    <n v="471.29409075882518"/>
    <n v="207.63042742196092"/>
    <n v="0"/>
    <n v="140799.05554"/>
    <n v="97016.638510000004"/>
    <n v="0"/>
    <n v="162873.11094307012"/>
    <n v="71754.376521473212"/>
  </r>
  <r>
    <s v="Sistema de Compensação"/>
    <x v="3"/>
    <x v="3"/>
    <x v="1"/>
    <x v="0"/>
    <x v="1"/>
    <x v="0"/>
    <x v="1"/>
    <x v="6"/>
    <n v="0"/>
    <n v="0"/>
    <n v="17.829000000000001"/>
    <n v="17.829000000000001"/>
    <n v="17.829000000000001"/>
    <n v="17.829000000000001"/>
    <n v="76"/>
    <x v="1"/>
    <n v="0"/>
    <n v="0"/>
    <n v="65"/>
    <n v="25"/>
    <n v="0"/>
    <n v="407.42"/>
    <n v="280.73"/>
    <m/>
    <n v="471.29409075882518"/>
    <n v="207.63042742196092"/>
    <n v="0"/>
    <n v="7263.8911800000005"/>
    <n v="5005.1351700000005"/>
    <n v="0"/>
    <n v="8402.7023441390938"/>
    <n v="3701.8428905061414"/>
  </r>
  <r>
    <s v="Regular"/>
    <x v="3"/>
    <x v="3"/>
    <x v="1"/>
    <x v="0"/>
    <x v="1"/>
    <x v="0"/>
    <x v="1"/>
    <x v="7"/>
    <n v="0"/>
    <n v="0"/>
    <n v="361.27199999999999"/>
    <n v="361.27199999999999"/>
    <n v="361.27199999999999"/>
    <n v="361.27199999999999"/>
    <n v="720"/>
    <x v="1"/>
    <n v="0"/>
    <n v="0"/>
    <n v="65"/>
    <n v="25"/>
    <n v="0"/>
    <n v="407.42"/>
    <n v="280.73"/>
    <m/>
    <n v="471.29409075882518"/>
    <n v="207.63042742196092"/>
    <n v="0"/>
    <n v="147189.43823999999"/>
    <n v="101419.88856000001"/>
    <n v="0"/>
    <n v="170265.3587566223"/>
    <n v="75011.059775586662"/>
  </r>
  <r>
    <s v="Sistema de Compensação"/>
    <x v="3"/>
    <x v="3"/>
    <x v="1"/>
    <x v="0"/>
    <x v="1"/>
    <x v="0"/>
    <x v="1"/>
    <x v="7"/>
    <n v="0"/>
    <n v="0"/>
    <n v="28.901"/>
    <n v="28.901"/>
    <n v="28.901"/>
    <n v="28.901"/>
    <n v="82"/>
    <x v="1"/>
    <n v="0"/>
    <n v="0"/>
    <n v="65"/>
    <n v="25"/>
    <n v="0"/>
    <n v="407.42"/>
    <n v="280.73"/>
    <m/>
    <n v="471.29409075882518"/>
    <n v="207.63042742196092"/>
    <n v="0"/>
    <n v="11774.84542"/>
    <n v="8113.3777300000002"/>
    <n v="0"/>
    <n v="13620.870517020807"/>
    <n v="6000.7269829220922"/>
  </r>
  <r>
    <s v="Regular"/>
    <x v="3"/>
    <x v="3"/>
    <x v="1"/>
    <x v="0"/>
    <x v="1"/>
    <x v="0"/>
    <x v="1"/>
    <x v="8"/>
    <n v="0"/>
    <n v="0"/>
    <n v="283.11"/>
    <n v="283.11"/>
    <n v="283.11"/>
    <n v="283.11"/>
    <n v="726"/>
    <x v="1"/>
    <n v="0"/>
    <n v="0"/>
    <n v="65"/>
    <n v="25"/>
    <n v="0"/>
    <n v="407.42"/>
    <n v="280.73"/>
    <m/>
    <n v="471.29409075882518"/>
    <n v="207.63042742196092"/>
    <n v="0"/>
    <n v="115344.67620000002"/>
    <n v="79477.470300000015"/>
    <n v="0"/>
    <n v="133428.070034731"/>
    <n v="58782.250307431357"/>
  </r>
  <r>
    <s v="Sistema de Compensação"/>
    <x v="3"/>
    <x v="3"/>
    <x v="1"/>
    <x v="0"/>
    <x v="1"/>
    <x v="0"/>
    <x v="1"/>
    <x v="8"/>
    <n v="0"/>
    <n v="0"/>
    <n v="22.95"/>
    <n v="22.95"/>
    <n v="22.95"/>
    <n v="22.95"/>
    <n v="83"/>
    <x v="1"/>
    <n v="0"/>
    <n v="0"/>
    <n v="65"/>
    <n v="25"/>
    <n v="0"/>
    <n v="407.42"/>
    <n v="280.73"/>
    <m/>
    <n v="471.29409075882518"/>
    <n v="207.63042742196092"/>
    <n v="0"/>
    <n v="9350.2890000000007"/>
    <n v="6442.7534999999998"/>
    <n v="0"/>
    <n v="10816.199382915038"/>
    <n v="4765.1183093340032"/>
  </r>
  <r>
    <s v="Regular"/>
    <x v="3"/>
    <x v="3"/>
    <x v="1"/>
    <x v="0"/>
    <x v="1"/>
    <x v="0"/>
    <x v="1"/>
    <x v="9"/>
    <n v="0"/>
    <n v="0"/>
    <n v="287.95999999999998"/>
    <n v="287.95999999999998"/>
    <n v="287.95999999999998"/>
    <n v="287.95999999999998"/>
    <n v="728"/>
    <x v="1"/>
    <n v="0"/>
    <n v="0"/>
    <n v="65"/>
    <n v="25"/>
    <n v="0"/>
    <n v="407.42"/>
    <n v="280.73"/>
    <m/>
    <n v="471.29409075882518"/>
    <n v="207.63042742196092"/>
    <n v="0"/>
    <n v="117320.6632"/>
    <n v="80839.010800000004"/>
    <n v="0"/>
    <n v="135713.84637491129"/>
    <n v="59789.25788042786"/>
  </r>
  <r>
    <s v="Refaturamento - Regular"/>
    <x v="3"/>
    <x v="3"/>
    <x v="1"/>
    <x v="0"/>
    <x v="1"/>
    <x v="0"/>
    <x v="1"/>
    <x v="9"/>
    <n v="0"/>
    <n v="0"/>
    <n v="-0.09"/>
    <n v="-0.09"/>
    <n v="-0.09"/>
    <n v="-0.09"/>
    <n v="0"/>
    <x v="1"/>
    <n v="0"/>
    <n v="0"/>
    <n v="65"/>
    <n v="25"/>
    <n v="0"/>
    <n v="407.42"/>
    <n v="280.73"/>
    <m/>
    <n v="471.29409075882518"/>
    <n v="207.63042742196092"/>
    <n v="0"/>
    <n v="-36.6678"/>
    <n v="-25.265699999999999"/>
    <n v="0"/>
    <n v="-42.416468168294266"/>
    <n v="-18.686738467976483"/>
  </r>
  <r>
    <s v="Sistema de Compensação"/>
    <x v="3"/>
    <x v="3"/>
    <x v="1"/>
    <x v="0"/>
    <x v="1"/>
    <x v="0"/>
    <x v="1"/>
    <x v="9"/>
    <n v="0"/>
    <n v="0"/>
    <n v="24.727"/>
    <n v="24.727"/>
    <n v="24.727"/>
    <n v="24.727"/>
    <n v="81"/>
    <x v="1"/>
    <n v="0"/>
    <n v="0"/>
    <n v="65"/>
    <n v="25"/>
    <n v="0"/>
    <n v="407.42"/>
    <n v="280.73"/>
    <m/>
    <n v="471.29409075882518"/>
    <n v="207.63042742196092"/>
    <n v="0"/>
    <n v="10074.27434"/>
    <n v="6941.6107100000008"/>
    <n v="0"/>
    <n v="11653.688982193471"/>
    <n v="5134.077578862828"/>
  </r>
  <r>
    <s v="Regular"/>
    <x v="3"/>
    <x v="3"/>
    <x v="1"/>
    <x v="0"/>
    <x v="1"/>
    <x v="0"/>
    <x v="1"/>
    <x v="10"/>
    <n v="0"/>
    <n v="0"/>
    <n v="268.26799999999997"/>
    <n v="268.26799999999997"/>
    <n v="268.26799999999997"/>
    <n v="268.26799999999997"/>
    <n v="732"/>
    <x v="1"/>
    <n v="0"/>
    <n v="0"/>
    <n v="65"/>
    <n v="25"/>
    <n v="0"/>
    <n v="407.42"/>
    <n v="280.73"/>
    <m/>
    <n v="471.29409075882518"/>
    <n v="207.63042742196092"/>
    <n v="0"/>
    <n v="109297.74855999999"/>
    <n v="75310.875639999998"/>
    <n v="0"/>
    <n v="126433.1231396885"/>
    <n v="55700.599503634607"/>
  </r>
  <r>
    <s v="Sistema de Compensação"/>
    <x v="3"/>
    <x v="3"/>
    <x v="1"/>
    <x v="0"/>
    <x v="1"/>
    <x v="0"/>
    <x v="1"/>
    <x v="10"/>
    <n v="0"/>
    <n v="0"/>
    <n v="31.753"/>
    <n v="31.753"/>
    <n v="31.753"/>
    <n v="31.753"/>
    <n v="80"/>
    <x v="1"/>
    <n v="0"/>
    <n v="0"/>
    <n v="65"/>
    <n v="25"/>
    <n v="0"/>
    <n v="407.42"/>
    <n v="280.73"/>
    <m/>
    <n v="471.29409075882518"/>
    <n v="207.63042742196092"/>
    <n v="0"/>
    <n v="12936.807260000001"/>
    <n v="8914.019690000001"/>
    <n v="0"/>
    <n v="14965.001263864975"/>
    <n v="6592.8889619295251"/>
  </r>
  <r>
    <s v="PROJETADO"/>
    <x v="3"/>
    <x v="3"/>
    <x v="1"/>
    <x v="0"/>
    <x v="1"/>
    <x v="0"/>
    <x v="1"/>
    <x v="11"/>
    <n v="0"/>
    <n v="0"/>
    <n v="268.26799999999997"/>
    <n v="268.26799999999997"/>
    <n v="268.26799999999997"/>
    <n v="268.26799999999997"/>
    <n v="732"/>
    <x v="1"/>
    <n v="0"/>
    <n v="0"/>
    <n v="65"/>
    <n v="25"/>
    <n v="0"/>
    <n v="407.42"/>
    <n v="280.73"/>
    <m/>
    <n v="471.29409075882518"/>
    <n v="207.63042742196092"/>
    <n v="0"/>
    <n v="109297.74855999999"/>
    <n v="75310.875639999998"/>
    <n v="0"/>
    <n v="126433.1231396885"/>
    <n v="55700.599503634607"/>
  </r>
  <r>
    <s v="PROJETADO"/>
    <x v="3"/>
    <x v="3"/>
    <x v="1"/>
    <x v="0"/>
    <x v="1"/>
    <x v="0"/>
    <x v="1"/>
    <x v="11"/>
    <n v="0"/>
    <n v="0"/>
    <n v="31.753"/>
    <n v="31.753"/>
    <n v="31.753"/>
    <n v="31.753"/>
    <n v="80"/>
    <x v="1"/>
    <n v="0"/>
    <n v="0"/>
    <n v="65"/>
    <n v="25"/>
    <n v="0"/>
    <n v="407.42"/>
    <n v="280.73"/>
    <m/>
    <n v="471.29409075882518"/>
    <n v="207.63042742196092"/>
    <n v="0"/>
    <n v="12936.807260000001"/>
    <n v="8914.019690000001"/>
    <n v="0"/>
    <n v="14965.001263864975"/>
    <n v="6592.8889619295251"/>
  </r>
  <r>
    <s v="Regular"/>
    <x v="3"/>
    <x v="3"/>
    <x v="6"/>
    <x v="0"/>
    <x v="1"/>
    <x v="0"/>
    <x v="1"/>
    <x v="0"/>
    <n v="0"/>
    <n v="0"/>
    <n v="6.327"/>
    <n v="6.327"/>
    <n v="6.327"/>
    <n v="6.327"/>
    <n v="3"/>
    <x v="1"/>
    <n v="0"/>
    <n v="0"/>
    <n v="65"/>
    <n v="25"/>
    <n v="0"/>
    <n v="407.42"/>
    <n v="280.73"/>
    <m/>
    <n v="471.29409075882518"/>
    <n v="207.63042742196092"/>
    <n v="0"/>
    <n v="2577.7463400000001"/>
    <n v="1776.1787100000001"/>
    <n v="0"/>
    <n v="2981.8777122310867"/>
    <n v="1313.6777142987467"/>
  </r>
  <r>
    <s v="Regular"/>
    <x v="3"/>
    <x v="3"/>
    <x v="6"/>
    <x v="0"/>
    <x v="1"/>
    <x v="0"/>
    <x v="1"/>
    <x v="1"/>
    <n v="0"/>
    <n v="0"/>
    <n v="6.0439999999999996"/>
    <n v="6.0439999999999996"/>
    <n v="6.0439999999999996"/>
    <n v="6.0439999999999996"/>
    <n v="3"/>
    <x v="1"/>
    <n v="0"/>
    <n v="0"/>
    <n v="65"/>
    <n v="25"/>
    <n v="0"/>
    <n v="407.42"/>
    <n v="280.73"/>
    <m/>
    <n v="471.29409075882518"/>
    <n v="207.63042742196092"/>
    <n v="0"/>
    <n v="2462.4464800000001"/>
    <n v="1696.7321199999999"/>
    <n v="0"/>
    <n v="2848.5014845463393"/>
    <n v="1254.9183033383317"/>
  </r>
  <r>
    <s v="Regular"/>
    <x v="3"/>
    <x v="3"/>
    <x v="6"/>
    <x v="0"/>
    <x v="1"/>
    <x v="0"/>
    <x v="1"/>
    <x v="2"/>
    <n v="0"/>
    <n v="0"/>
    <n v="6.4960000000000004"/>
    <n v="6.4960000000000004"/>
    <n v="6.4960000000000004"/>
    <n v="6.4960000000000004"/>
    <n v="3"/>
    <x v="1"/>
    <n v="0"/>
    <n v="0"/>
    <n v="65"/>
    <n v="25"/>
    <n v="0"/>
    <n v="407.42"/>
    <n v="280.73"/>
    <m/>
    <n v="471.29409075882518"/>
    <n v="207.63042742196092"/>
    <n v="0"/>
    <n v="2646.6003200000005"/>
    <n v="1823.6220800000003"/>
    <n v="0"/>
    <n v="3061.5264135693287"/>
    <n v="1348.7672565330581"/>
  </r>
  <r>
    <s v="Regular"/>
    <x v="3"/>
    <x v="3"/>
    <x v="6"/>
    <x v="0"/>
    <x v="1"/>
    <x v="0"/>
    <x v="1"/>
    <x v="3"/>
    <n v="0"/>
    <n v="0"/>
    <n v="5.3410000000000002"/>
    <n v="5.3410000000000002"/>
    <n v="5.3410000000000002"/>
    <n v="5.3410000000000002"/>
    <n v="3"/>
    <x v="1"/>
    <n v="0"/>
    <n v="0"/>
    <n v="65"/>
    <n v="25"/>
    <n v="0"/>
    <n v="407.42"/>
    <n v="280.73"/>
    <m/>
    <n v="471.29409075882518"/>
    <n v="207.63042742196092"/>
    <n v="0"/>
    <n v="2176.0302200000001"/>
    <n v="1499.3789300000001"/>
    <n v="0"/>
    <n v="2517.1817387428855"/>
    <n v="1108.9541128606934"/>
  </r>
  <r>
    <s v="Regular"/>
    <x v="3"/>
    <x v="3"/>
    <x v="6"/>
    <x v="0"/>
    <x v="1"/>
    <x v="0"/>
    <x v="1"/>
    <x v="4"/>
    <n v="0"/>
    <n v="0"/>
    <n v="5.7690000000000001"/>
    <n v="5.7690000000000001"/>
    <n v="5.7690000000000001"/>
    <n v="5.7690000000000001"/>
    <n v="3"/>
    <x v="1"/>
    <n v="0"/>
    <n v="0"/>
    <n v="65"/>
    <n v="25"/>
    <n v="0"/>
    <n v="407.42"/>
    <n v="280.73"/>
    <m/>
    <n v="471.29409075882518"/>
    <n v="207.63042742196092"/>
    <n v="0"/>
    <n v="2350.40598"/>
    <n v="1619.5313700000002"/>
    <n v="0"/>
    <n v="2718.8956095876624"/>
    <n v="1197.8199357972926"/>
  </r>
  <r>
    <s v="Regular"/>
    <x v="3"/>
    <x v="3"/>
    <x v="6"/>
    <x v="0"/>
    <x v="1"/>
    <x v="0"/>
    <x v="1"/>
    <x v="5"/>
    <n v="0"/>
    <n v="0"/>
    <n v="6.2809999999999997"/>
    <n v="6.2809999999999997"/>
    <n v="6.2809999999999997"/>
    <n v="6.2809999999999997"/>
    <n v="3"/>
    <x v="1"/>
    <n v="0"/>
    <n v="0"/>
    <n v="65"/>
    <n v="25"/>
    <n v="0"/>
    <n v="407.42"/>
    <n v="280.73"/>
    <m/>
    <n v="471.29409075882518"/>
    <n v="207.63042742196092"/>
    <n v="0"/>
    <n v="2559.0050200000001"/>
    <n v="1763.26513"/>
    <n v="0"/>
    <n v="2960.1981840561807"/>
    <n v="1304.1267146373364"/>
  </r>
  <r>
    <s v="Regular"/>
    <x v="3"/>
    <x v="3"/>
    <x v="6"/>
    <x v="0"/>
    <x v="1"/>
    <x v="0"/>
    <x v="1"/>
    <x v="6"/>
    <n v="0"/>
    <n v="0"/>
    <n v="6.3"/>
    <n v="6.3"/>
    <n v="6.3"/>
    <n v="6.3"/>
    <n v="3"/>
    <x v="1"/>
    <n v="0"/>
    <n v="0"/>
    <n v="65"/>
    <n v="25"/>
    <n v="0"/>
    <n v="407.42"/>
    <n v="280.73"/>
    <m/>
    <n v="471.29409075882518"/>
    <n v="207.63042742196092"/>
    <n v="0"/>
    <n v="2566.7460000000001"/>
    <n v="1768.5990000000002"/>
    <n v="0"/>
    <n v="2969.1527717805984"/>
    <n v="1308.0716927583537"/>
  </r>
  <r>
    <s v="Regular"/>
    <x v="3"/>
    <x v="3"/>
    <x v="6"/>
    <x v="0"/>
    <x v="1"/>
    <x v="0"/>
    <x v="1"/>
    <x v="7"/>
    <n v="0"/>
    <n v="0"/>
    <n v="5.9020000000000001"/>
    <n v="5.9020000000000001"/>
    <n v="5.9020000000000001"/>
    <n v="5.9020000000000001"/>
    <n v="4"/>
    <x v="1"/>
    <n v="0"/>
    <n v="0"/>
    <n v="65"/>
    <n v="25"/>
    <n v="0"/>
    <n v="407.42"/>
    <n v="280.73"/>
    <m/>
    <n v="471.29409075882518"/>
    <n v="207.63042742196092"/>
    <n v="0"/>
    <n v="2404.5928400000003"/>
    <n v="1656.8684600000001"/>
    <n v="0"/>
    <n v="2781.5777236585864"/>
    <n v="1225.4347826444134"/>
  </r>
  <r>
    <s v="Regular"/>
    <x v="3"/>
    <x v="3"/>
    <x v="6"/>
    <x v="0"/>
    <x v="1"/>
    <x v="0"/>
    <x v="1"/>
    <x v="8"/>
    <n v="0"/>
    <n v="0"/>
    <n v="5.4180000000000001"/>
    <n v="5.4180000000000001"/>
    <n v="5.4180000000000001"/>
    <n v="5.4180000000000001"/>
    <n v="5"/>
    <x v="1"/>
    <n v="0"/>
    <n v="0"/>
    <n v="65"/>
    <n v="25"/>
    <n v="0"/>
    <n v="407.42"/>
    <n v="280.73"/>
    <m/>
    <n v="471.29409075882518"/>
    <n v="207.63042742196092"/>
    <n v="0"/>
    <n v="2207.4015600000002"/>
    <n v="1520.9951400000002"/>
    <n v="0"/>
    <n v="2553.4713837313147"/>
    <n v="1124.9416557721843"/>
  </r>
  <r>
    <s v="Regular"/>
    <x v="3"/>
    <x v="3"/>
    <x v="6"/>
    <x v="0"/>
    <x v="1"/>
    <x v="0"/>
    <x v="1"/>
    <x v="9"/>
    <n v="0"/>
    <n v="0"/>
    <n v="5.0190000000000001"/>
    <n v="5.0190000000000001"/>
    <n v="5.0190000000000001"/>
    <n v="5.0190000000000001"/>
    <n v="5"/>
    <x v="1"/>
    <n v="0"/>
    <n v="0"/>
    <n v="65"/>
    <n v="25"/>
    <n v="0"/>
    <n v="407.42"/>
    <n v="280.73"/>
    <m/>
    <n v="471.29409075882518"/>
    <n v="207.63042742196092"/>
    <n v="0"/>
    <n v="2044.8409800000002"/>
    <n v="1408.98387"/>
    <n v="0"/>
    <n v="2365.4250415185438"/>
    <n v="1042.0971152308218"/>
  </r>
  <r>
    <s v="Regular"/>
    <x v="3"/>
    <x v="3"/>
    <x v="6"/>
    <x v="0"/>
    <x v="1"/>
    <x v="0"/>
    <x v="1"/>
    <x v="10"/>
    <n v="0"/>
    <n v="0"/>
    <n v="2.41"/>
    <n v="2.41"/>
    <n v="2.41"/>
    <n v="2.41"/>
    <n v="5"/>
    <x v="1"/>
    <n v="0"/>
    <n v="0"/>
    <n v="65"/>
    <n v="25"/>
    <n v="0"/>
    <n v="407.42"/>
    <n v="280.73"/>
    <m/>
    <n v="471.29409075882518"/>
    <n v="207.63042742196092"/>
    <n v="0"/>
    <n v="981.88220000000013"/>
    <n v="676.55930000000012"/>
    <n v="0"/>
    <n v="1135.8187587287687"/>
    <n v="500.38933008692584"/>
  </r>
  <r>
    <s v="PROJETADO"/>
    <x v="3"/>
    <x v="3"/>
    <x v="6"/>
    <x v="0"/>
    <x v="1"/>
    <x v="0"/>
    <x v="1"/>
    <x v="11"/>
    <n v="0"/>
    <n v="0"/>
    <n v="2.41"/>
    <n v="2.41"/>
    <n v="2.41"/>
    <n v="2.41"/>
    <n v="5"/>
    <x v="1"/>
    <n v="0"/>
    <n v="0"/>
    <n v="65"/>
    <n v="25"/>
    <n v="0"/>
    <n v="407.42"/>
    <n v="280.73"/>
    <m/>
    <n v="471.29409075882518"/>
    <n v="207.63042742196092"/>
    <n v="0"/>
    <n v="981.88220000000013"/>
    <n v="676.55930000000012"/>
    <n v="0"/>
    <n v="1135.8187587287687"/>
    <n v="500.38933008692584"/>
  </r>
  <r>
    <s v="Regular"/>
    <x v="3"/>
    <x v="3"/>
    <x v="0"/>
    <x v="0"/>
    <x v="1"/>
    <x v="0"/>
    <x v="1"/>
    <x v="0"/>
    <n v="0"/>
    <n v="0"/>
    <n v="84.075999999999993"/>
    <n v="84.075999999999993"/>
    <n v="84.075999999999993"/>
    <n v="84.075999999999993"/>
    <n v="178"/>
    <x v="1"/>
    <n v="0"/>
    <n v="0"/>
    <n v="65"/>
    <n v="25"/>
    <n v="0"/>
    <n v="407.42"/>
    <n v="280.73"/>
    <m/>
    <n v="471.29409075882518"/>
    <n v="207.63042742196092"/>
    <n v="0"/>
    <n v="34254.243920000001"/>
    <n v="23602.655480000001"/>
    <n v="0"/>
    <n v="39624.521974638985"/>
    <n v="17456.735815928783"/>
  </r>
  <r>
    <s v="Sistema de Compensação"/>
    <x v="3"/>
    <x v="3"/>
    <x v="0"/>
    <x v="0"/>
    <x v="1"/>
    <x v="0"/>
    <x v="1"/>
    <x v="0"/>
    <n v="0"/>
    <n v="0"/>
    <n v="1.48"/>
    <n v="1.48"/>
    <n v="1.48"/>
    <n v="1.48"/>
    <n v="5"/>
    <x v="1"/>
    <n v="0"/>
    <n v="0"/>
    <n v="65"/>
    <n v="25"/>
    <n v="0"/>
    <n v="407.42"/>
    <n v="280.73"/>
    <m/>
    <n v="471.29409075882518"/>
    <n v="207.63042742196092"/>
    <n v="0"/>
    <n v="602.98160000000007"/>
    <n v="415.48040000000003"/>
    <n v="0"/>
    <n v="697.5152543230613"/>
    <n v="307.29303258450216"/>
  </r>
  <r>
    <s v="Regular"/>
    <x v="3"/>
    <x v="3"/>
    <x v="0"/>
    <x v="0"/>
    <x v="1"/>
    <x v="0"/>
    <x v="1"/>
    <x v="1"/>
    <n v="0"/>
    <n v="0"/>
    <n v="91.444999999999993"/>
    <n v="91.444999999999993"/>
    <n v="91.444999999999993"/>
    <n v="91.444999999999993"/>
    <n v="191"/>
    <x v="1"/>
    <n v="0"/>
    <n v="0"/>
    <n v="65"/>
    <n v="25"/>
    <n v="0"/>
    <n v="407.42"/>
    <n v="280.73"/>
    <m/>
    <n v="471.29409075882518"/>
    <n v="207.63042742196092"/>
    <n v="0"/>
    <n v="37256.5219"/>
    <n v="25671.35485"/>
    <n v="0"/>
    <n v="43097.488129440768"/>
    <n v="18986.764435601213"/>
  </r>
  <r>
    <s v="Sistema de Compensação"/>
    <x v="3"/>
    <x v="3"/>
    <x v="0"/>
    <x v="0"/>
    <x v="1"/>
    <x v="0"/>
    <x v="1"/>
    <x v="1"/>
    <n v="0"/>
    <n v="0"/>
    <n v="0.55900000000000005"/>
    <n v="0.55900000000000005"/>
    <n v="0.55900000000000005"/>
    <n v="0.55900000000000005"/>
    <n v="5"/>
    <x v="1"/>
    <n v="0"/>
    <n v="0"/>
    <n v="65"/>
    <n v="25"/>
    <n v="0"/>
    <n v="407.42"/>
    <n v="280.73"/>
    <m/>
    <n v="471.29409075882518"/>
    <n v="207.63042742196092"/>
    <n v="0"/>
    <n v="227.74778000000003"/>
    <n v="156.92807000000002"/>
    <n v="0"/>
    <n v="263.45339673418329"/>
    <n v="116.06540892887617"/>
  </r>
  <r>
    <s v="Regular"/>
    <x v="3"/>
    <x v="3"/>
    <x v="0"/>
    <x v="0"/>
    <x v="1"/>
    <x v="0"/>
    <x v="1"/>
    <x v="2"/>
    <n v="0"/>
    <n v="0"/>
    <n v="87.825999999999993"/>
    <n v="87.825999999999993"/>
    <n v="87.825999999999993"/>
    <n v="87.825999999999993"/>
    <n v="204"/>
    <x v="1"/>
    <n v="0"/>
    <n v="0"/>
    <n v="65"/>
    <n v="25"/>
    <n v="0"/>
    <n v="407.42"/>
    <n v="280.73"/>
    <m/>
    <n v="471.29409075882518"/>
    <n v="207.63042742196092"/>
    <n v="0"/>
    <n v="35782.068919999998"/>
    <n v="24655.392980000001"/>
    <n v="0"/>
    <n v="41391.874814984578"/>
    <n v="18235.349918761138"/>
  </r>
  <r>
    <s v="Sistema de Compensação"/>
    <x v="3"/>
    <x v="3"/>
    <x v="0"/>
    <x v="0"/>
    <x v="1"/>
    <x v="0"/>
    <x v="1"/>
    <x v="2"/>
    <n v="0"/>
    <n v="0"/>
    <n v="0.92300000000000004"/>
    <n v="0.92300000000000004"/>
    <n v="0.92300000000000004"/>
    <n v="0.92300000000000004"/>
    <n v="6"/>
    <x v="1"/>
    <n v="0"/>
    <n v="0"/>
    <n v="65"/>
    <n v="25"/>
    <n v="0"/>
    <n v="407.42"/>
    <n v="280.73"/>
    <m/>
    <n v="471.29409075882518"/>
    <n v="207.63042742196092"/>
    <n v="0"/>
    <n v="376.04866000000004"/>
    <n v="259.11379000000005"/>
    <n v="0"/>
    <n v="435.00444577039565"/>
    <n v="191.64288451046994"/>
  </r>
  <r>
    <s v="Regular"/>
    <x v="3"/>
    <x v="3"/>
    <x v="0"/>
    <x v="0"/>
    <x v="1"/>
    <x v="0"/>
    <x v="1"/>
    <x v="3"/>
    <n v="0"/>
    <n v="0"/>
    <n v="90.174999999999997"/>
    <n v="90.174999999999997"/>
    <n v="90.174999999999997"/>
    <n v="90.174999999999997"/>
    <n v="209"/>
    <x v="1"/>
    <n v="0"/>
    <n v="0"/>
    <n v="65"/>
    <n v="25"/>
    <n v="0"/>
    <n v="407.42"/>
    <n v="280.73"/>
    <m/>
    <n v="471.29409075882518"/>
    <n v="207.63042742196092"/>
    <n v="0"/>
    <n v="36739.0985"/>
    <n v="25314.82775"/>
    <n v="0"/>
    <n v="42498.94463417706"/>
    <n v="18723.073792775325"/>
  </r>
  <r>
    <s v="Sistema de Compensação"/>
    <x v="3"/>
    <x v="3"/>
    <x v="0"/>
    <x v="0"/>
    <x v="1"/>
    <x v="0"/>
    <x v="1"/>
    <x v="3"/>
    <n v="0"/>
    <n v="0"/>
    <n v="0.64300000000000002"/>
    <n v="0.64300000000000002"/>
    <n v="0.64300000000000002"/>
    <n v="0.64300000000000002"/>
    <n v="6"/>
    <x v="1"/>
    <n v="0"/>
    <n v="0"/>
    <n v="65"/>
    <n v="25"/>
    <n v="0"/>
    <n v="407.42"/>
    <n v="280.73"/>
    <m/>
    <n v="471.29409075882518"/>
    <n v="207.63042742196092"/>
    <n v="0"/>
    <n v="261.97106000000002"/>
    <n v="180.50939000000002"/>
    <n v="0"/>
    <n v="303.0421003579246"/>
    <n v="133.50636483232088"/>
  </r>
  <r>
    <s v="Regular"/>
    <x v="3"/>
    <x v="3"/>
    <x v="0"/>
    <x v="0"/>
    <x v="1"/>
    <x v="0"/>
    <x v="1"/>
    <x v="4"/>
    <n v="0"/>
    <n v="0"/>
    <n v="98.649000000000001"/>
    <n v="98.649000000000001"/>
    <n v="98.649000000000001"/>
    <n v="98.649000000000001"/>
    <n v="209"/>
    <x v="1"/>
    <n v="0"/>
    <n v="0"/>
    <n v="65"/>
    <n v="25"/>
    <n v="0"/>
    <n v="407.42"/>
    <n v="280.73"/>
    <m/>
    <n v="471.29409075882518"/>
    <n v="207.63042742196092"/>
    <n v="0"/>
    <n v="40191.575580000004"/>
    <n v="27693.733770000003"/>
    <n v="0"/>
    <n v="46492.690759267345"/>
    <n v="20482.534034749024"/>
  </r>
  <r>
    <s v="Sistema de Compensação"/>
    <x v="3"/>
    <x v="3"/>
    <x v="0"/>
    <x v="0"/>
    <x v="1"/>
    <x v="0"/>
    <x v="1"/>
    <x v="4"/>
    <n v="0"/>
    <n v="0"/>
    <n v="1.7350000000000001"/>
    <n v="1.7350000000000001"/>
    <n v="1.7350000000000001"/>
    <n v="1.7350000000000001"/>
    <n v="7"/>
    <x v="1"/>
    <n v="0"/>
    <n v="0"/>
    <n v="65"/>
    <n v="25"/>
    <n v="0"/>
    <n v="407.42"/>
    <n v="280.73"/>
    <m/>
    <n v="471.29409075882518"/>
    <n v="207.63042742196092"/>
    <n v="0"/>
    <n v="706.8737000000001"/>
    <n v="487.06655000000006"/>
    <n v="0"/>
    <n v="817.69524746656168"/>
    <n v="360.23879157710223"/>
  </r>
  <r>
    <s v="Regular"/>
    <x v="3"/>
    <x v="3"/>
    <x v="0"/>
    <x v="0"/>
    <x v="1"/>
    <x v="0"/>
    <x v="1"/>
    <x v="5"/>
    <n v="0"/>
    <n v="0"/>
    <n v="92.94"/>
    <n v="92.94"/>
    <n v="92.94"/>
    <n v="92.94"/>
    <n v="213"/>
    <x v="1"/>
    <n v="0"/>
    <n v="0"/>
    <n v="65"/>
    <n v="25"/>
    <n v="0"/>
    <n v="407.42"/>
    <n v="280.73"/>
    <m/>
    <n v="471.29409075882518"/>
    <n v="207.63042742196092"/>
    <n v="0"/>
    <n v="37865.614800000003"/>
    <n v="26091.046200000001"/>
    <n v="0"/>
    <n v="43802.072795125212"/>
    <n v="19297.171924597049"/>
  </r>
  <r>
    <s v="Sistema de Compensação"/>
    <x v="3"/>
    <x v="3"/>
    <x v="0"/>
    <x v="0"/>
    <x v="1"/>
    <x v="0"/>
    <x v="1"/>
    <x v="5"/>
    <n v="0"/>
    <n v="0"/>
    <n v="0.7"/>
    <n v="0.7"/>
    <n v="0.7"/>
    <n v="0.7"/>
    <n v="7"/>
    <x v="1"/>
    <n v="0"/>
    <n v="0"/>
    <n v="65"/>
    <n v="25"/>
    <n v="0"/>
    <n v="407.42"/>
    <n v="280.73"/>
    <m/>
    <n v="471.29409075882518"/>
    <n v="207.63042742196092"/>
    <n v="0"/>
    <n v="285.19400000000002"/>
    <n v="196.511"/>
    <n v="0"/>
    <n v="329.9058635311776"/>
    <n v="145.34129919537264"/>
  </r>
  <r>
    <s v="Regular"/>
    <x v="3"/>
    <x v="3"/>
    <x v="0"/>
    <x v="0"/>
    <x v="1"/>
    <x v="0"/>
    <x v="1"/>
    <x v="6"/>
    <n v="0"/>
    <n v="0"/>
    <n v="99.83"/>
    <n v="99.83"/>
    <n v="99.83"/>
    <n v="99.83"/>
    <n v="216"/>
    <x v="1"/>
    <n v="0"/>
    <n v="0"/>
    <n v="65"/>
    <n v="25"/>
    <n v="0"/>
    <n v="407.42"/>
    <n v="280.73"/>
    <m/>
    <n v="471.29409075882518"/>
    <n v="207.63042742196092"/>
    <n v="0"/>
    <n v="40672.738600000004"/>
    <n v="28025.275900000001"/>
    <n v="0"/>
    <n v="47049.28908045352"/>
    <n v="20727.74556953436"/>
  </r>
  <r>
    <s v="Sistema de Compensação"/>
    <x v="3"/>
    <x v="3"/>
    <x v="0"/>
    <x v="0"/>
    <x v="1"/>
    <x v="0"/>
    <x v="1"/>
    <x v="6"/>
    <n v="0"/>
    <n v="0"/>
    <n v="1.284"/>
    <n v="1.284"/>
    <n v="1.284"/>
    <n v="1.284"/>
    <n v="8"/>
    <x v="1"/>
    <n v="0"/>
    <n v="0"/>
    <n v="65"/>
    <n v="25"/>
    <n v="0"/>
    <n v="407.42"/>
    <n v="280.73"/>
    <m/>
    <n v="471.29409075882518"/>
    <n v="207.63042742196092"/>
    <n v="0"/>
    <n v="523.12728000000004"/>
    <n v="360.45732000000004"/>
    <n v="0"/>
    <n v="605.14161253433156"/>
    <n v="266.59746880979782"/>
  </r>
  <r>
    <s v="Regular"/>
    <x v="3"/>
    <x v="3"/>
    <x v="0"/>
    <x v="0"/>
    <x v="1"/>
    <x v="0"/>
    <x v="1"/>
    <x v="7"/>
    <n v="0"/>
    <n v="0"/>
    <n v="92.855000000000004"/>
    <n v="92.855000000000004"/>
    <n v="92.855000000000004"/>
    <n v="92.855000000000004"/>
    <n v="219"/>
    <x v="1"/>
    <n v="0"/>
    <n v="0"/>
    <n v="65"/>
    <n v="25"/>
    <n v="0"/>
    <n v="407.42"/>
    <n v="280.73"/>
    <m/>
    <n v="471.29409075882518"/>
    <n v="207.63042742196092"/>
    <n v="0"/>
    <n v="37830.984100000001"/>
    <n v="26067.184150000005"/>
    <n v="0"/>
    <n v="43762.012797410716"/>
    <n v="19279.523338266183"/>
  </r>
  <r>
    <s v="Sistema de Compensação"/>
    <x v="3"/>
    <x v="3"/>
    <x v="0"/>
    <x v="0"/>
    <x v="1"/>
    <x v="0"/>
    <x v="1"/>
    <x v="7"/>
    <n v="0"/>
    <n v="0"/>
    <n v="6.6959999999999997"/>
    <n v="6.6959999999999997"/>
    <n v="6.6959999999999997"/>
    <n v="6.6959999999999997"/>
    <n v="10"/>
    <x v="1"/>
    <n v="0"/>
    <n v="0"/>
    <n v="65"/>
    <n v="25"/>
    <n v="0"/>
    <n v="407.42"/>
    <n v="280.73"/>
    <m/>
    <n v="471.29409075882518"/>
    <n v="207.63042742196092"/>
    <n v="0"/>
    <n v="2728.0843199999999"/>
    <n v="1879.7680800000001"/>
    <n v="0"/>
    <n v="3155.7852317210932"/>
    <n v="1390.2933420174502"/>
  </r>
  <r>
    <s v="Regular"/>
    <x v="3"/>
    <x v="3"/>
    <x v="0"/>
    <x v="0"/>
    <x v="1"/>
    <x v="0"/>
    <x v="1"/>
    <x v="8"/>
    <n v="0"/>
    <n v="0"/>
    <n v="79.927000000000007"/>
    <n v="79.927000000000007"/>
    <n v="79.927000000000007"/>
    <n v="79.927000000000007"/>
    <n v="221"/>
    <x v="1"/>
    <n v="0"/>
    <n v="0"/>
    <n v="65"/>
    <n v="25"/>
    <n v="0"/>
    <n v="407.42"/>
    <n v="280.73"/>
    <m/>
    <n v="471.29409075882518"/>
    <n v="207.63042742196092"/>
    <n v="0"/>
    <n v="32563.858340000002"/>
    <n v="22437.906710000003"/>
    <n v="0"/>
    <n v="37669.12279208062"/>
    <n v="16595.27717255507"/>
  </r>
  <r>
    <s v="Sistema de Compensação"/>
    <x v="3"/>
    <x v="3"/>
    <x v="0"/>
    <x v="0"/>
    <x v="1"/>
    <x v="0"/>
    <x v="1"/>
    <x v="8"/>
    <n v="0"/>
    <n v="0"/>
    <n v="8.5050000000000008"/>
    <n v="8.5050000000000008"/>
    <n v="8.5050000000000008"/>
    <n v="8.5050000000000008"/>
    <n v="11"/>
    <x v="1"/>
    <n v="0"/>
    <n v="0"/>
    <n v="65"/>
    <n v="25"/>
    <n v="0"/>
    <n v="407.42"/>
    <n v="280.73"/>
    <m/>
    <n v="471.29409075882518"/>
    <n v="207.63042742196092"/>
    <n v="0"/>
    <n v="3465.1071000000006"/>
    <n v="2387.6086500000006"/>
    <n v="0"/>
    <n v="4008.3562419038085"/>
    <n v="1765.8967852237777"/>
  </r>
  <r>
    <s v="Regular"/>
    <x v="3"/>
    <x v="3"/>
    <x v="0"/>
    <x v="0"/>
    <x v="1"/>
    <x v="0"/>
    <x v="1"/>
    <x v="9"/>
    <n v="0"/>
    <n v="0"/>
    <n v="83.653999999999996"/>
    <n v="83.653999999999996"/>
    <n v="83.653999999999996"/>
    <n v="83.653999999999996"/>
    <n v="222"/>
    <x v="1"/>
    <n v="0"/>
    <n v="0"/>
    <n v="65"/>
    <n v="25"/>
    <n v="0"/>
    <n v="407.42"/>
    <n v="280.73"/>
    <m/>
    <n v="471.29409075882518"/>
    <n v="207.63042742196092"/>
    <n v="0"/>
    <n v="34082.312680000003"/>
    <n v="23484.187420000002"/>
    <n v="0"/>
    <n v="39425.635868338759"/>
    <n v="17369.115775556718"/>
  </r>
  <r>
    <s v="Sistema de Compensação"/>
    <x v="3"/>
    <x v="3"/>
    <x v="0"/>
    <x v="0"/>
    <x v="1"/>
    <x v="0"/>
    <x v="1"/>
    <x v="9"/>
    <n v="0"/>
    <n v="0"/>
    <n v="8.6859999999999999"/>
    <n v="8.6859999999999999"/>
    <n v="8.6859999999999999"/>
    <n v="8.6859999999999999"/>
    <n v="11"/>
    <x v="1"/>
    <n v="0"/>
    <n v="0"/>
    <n v="65"/>
    <n v="25"/>
    <n v="0"/>
    <n v="407.42"/>
    <n v="280.73"/>
    <m/>
    <n v="471.29409075882518"/>
    <n v="207.63042742196092"/>
    <n v="0"/>
    <n v="3538.8501200000001"/>
    <n v="2438.4207799999999"/>
    <n v="0"/>
    <n v="4093.6604723311557"/>
    <n v="1803.4778925871526"/>
  </r>
  <r>
    <s v="Regular"/>
    <x v="3"/>
    <x v="3"/>
    <x v="0"/>
    <x v="0"/>
    <x v="1"/>
    <x v="0"/>
    <x v="1"/>
    <x v="10"/>
    <n v="0"/>
    <n v="0"/>
    <n v="82.186999999999998"/>
    <n v="82.186999999999998"/>
    <n v="82.186999999999998"/>
    <n v="82.186999999999998"/>
    <n v="223"/>
    <x v="1"/>
    <n v="0"/>
    <n v="0"/>
    <n v="65"/>
    <n v="25"/>
    <n v="0"/>
    <n v="407.42"/>
    <n v="280.73"/>
    <m/>
    <n v="471.29409075882518"/>
    <n v="207.63042742196092"/>
    <n v="0"/>
    <n v="33484.627540000001"/>
    <n v="23072.356510000001"/>
    <n v="0"/>
    <n v="38734.247437195561"/>
    <n v="17064.521938528702"/>
  </r>
  <r>
    <s v="Sistema de Compensação"/>
    <x v="3"/>
    <x v="3"/>
    <x v="0"/>
    <x v="0"/>
    <x v="1"/>
    <x v="0"/>
    <x v="1"/>
    <x v="10"/>
    <n v="0"/>
    <n v="0"/>
    <n v="10.351000000000001"/>
    <n v="10.351000000000001"/>
    <n v="10.351000000000001"/>
    <n v="10.351000000000001"/>
    <n v="11"/>
    <x v="1"/>
    <n v="0"/>
    <n v="0"/>
    <n v="65"/>
    <n v="25"/>
    <n v="0"/>
    <n v="407.42"/>
    <n v="280.73"/>
    <m/>
    <n v="471.29409075882518"/>
    <n v="207.63042742196092"/>
    <n v="0"/>
    <n v="4217.2044200000009"/>
    <n v="2905.8362300000003"/>
    <n v="0"/>
    <n v="4878.3651334445995"/>
    <n v="2149.1825542447177"/>
  </r>
  <r>
    <s v="PROJETADO"/>
    <x v="3"/>
    <x v="3"/>
    <x v="0"/>
    <x v="0"/>
    <x v="1"/>
    <x v="0"/>
    <x v="1"/>
    <x v="11"/>
    <n v="0"/>
    <n v="0"/>
    <n v="82.186999999999998"/>
    <n v="82.186999999999998"/>
    <n v="82.186999999999998"/>
    <n v="82.186999999999998"/>
    <n v="223"/>
    <x v="1"/>
    <n v="0"/>
    <n v="0"/>
    <n v="65"/>
    <n v="25"/>
    <n v="0"/>
    <n v="407.42"/>
    <n v="280.73"/>
    <m/>
    <n v="471.29409075882518"/>
    <n v="207.63042742196092"/>
    <n v="0"/>
    <n v="33484.627540000001"/>
    <n v="23072.356510000001"/>
    <n v="0"/>
    <n v="38734.247437195561"/>
    <n v="17064.521938528702"/>
  </r>
  <r>
    <s v="PROJETADO"/>
    <x v="3"/>
    <x v="3"/>
    <x v="0"/>
    <x v="0"/>
    <x v="1"/>
    <x v="0"/>
    <x v="1"/>
    <x v="11"/>
    <n v="0"/>
    <n v="0"/>
    <n v="10.351000000000001"/>
    <n v="10.351000000000001"/>
    <n v="10.351000000000001"/>
    <n v="10.351000000000001"/>
    <n v="11"/>
    <x v="1"/>
    <n v="0"/>
    <n v="0"/>
    <n v="65"/>
    <n v="25"/>
    <n v="0"/>
    <n v="407.42"/>
    <n v="280.73"/>
    <m/>
    <n v="471.29409075882518"/>
    <n v="207.63042742196092"/>
    <n v="0"/>
    <n v="4217.2044200000009"/>
    <n v="2905.8362300000003"/>
    <n v="0"/>
    <n v="4878.3651334445995"/>
    <n v="2149.1825542447177"/>
  </r>
  <r>
    <s v="Regular"/>
    <x v="3"/>
    <x v="3"/>
    <x v="2"/>
    <x v="0"/>
    <x v="1"/>
    <x v="0"/>
    <x v="1"/>
    <x v="0"/>
    <n v="0"/>
    <n v="0"/>
    <n v="76.701999999999998"/>
    <n v="76.701999999999998"/>
    <n v="76.701999999999998"/>
    <n v="76.701999999999998"/>
    <n v="95"/>
    <x v="1"/>
    <n v="0"/>
    <n v="0"/>
    <n v="65"/>
    <n v="25"/>
    <n v="0"/>
    <n v="407.42"/>
    <n v="280.73"/>
    <m/>
    <n v="471.29409075882518"/>
    <n v="207.63042742196092"/>
    <n v="0"/>
    <n v="31249.92884"/>
    <n v="21532.552460000003"/>
    <n v="0"/>
    <n v="36149.199349383409"/>
    <n v="15925.669044119246"/>
  </r>
  <r>
    <s v="Regular"/>
    <x v="3"/>
    <x v="3"/>
    <x v="2"/>
    <x v="0"/>
    <x v="1"/>
    <x v="0"/>
    <x v="1"/>
    <x v="1"/>
    <n v="0"/>
    <n v="0"/>
    <n v="76.453999999999994"/>
    <n v="76.453999999999994"/>
    <n v="76.453999999999994"/>
    <n v="76.453999999999994"/>
    <n v="95"/>
    <x v="1"/>
    <n v="0"/>
    <n v="0"/>
    <n v="65"/>
    <n v="25"/>
    <n v="0"/>
    <n v="407.42"/>
    <n v="280.73"/>
    <m/>
    <n v="471.29409075882518"/>
    <n v="207.63042742196092"/>
    <n v="0"/>
    <n v="31148.88868"/>
    <n v="21462.931420000001"/>
    <n v="0"/>
    <n v="36032.318414875219"/>
    <n v="15874.176698118599"/>
  </r>
  <r>
    <s v="Regular"/>
    <x v="3"/>
    <x v="3"/>
    <x v="2"/>
    <x v="0"/>
    <x v="1"/>
    <x v="0"/>
    <x v="1"/>
    <x v="2"/>
    <n v="0"/>
    <n v="0"/>
    <n v="69.247"/>
    <n v="69.247"/>
    <n v="69.247"/>
    <n v="69.247"/>
    <n v="95"/>
    <x v="1"/>
    <n v="0"/>
    <n v="0"/>
    <n v="65"/>
    <n v="25"/>
    <n v="0"/>
    <n v="407.42"/>
    <n v="280.73"/>
    <m/>
    <n v="471.29409075882518"/>
    <n v="207.63042742196092"/>
    <n v="0"/>
    <n v="28212.61274"/>
    <n v="19439.710310000002"/>
    <n v="0"/>
    <n v="32635.701902776367"/>
    <n v="14377.784207688528"/>
  </r>
  <r>
    <s v="Regular"/>
    <x v="3"/>
    <x v="3"/>
    <x v="2"/>
    <x v="0"/>
    <x v="1"/>
    <x v="0"/>
    <x v="1"/>
    <x v="3"/>
    <n v="0"/>
    <n v="0"/>
    <n v="90.073999999999998"/>
    <n v="90.073999999999998"/>
    <n v="90.073999999999998"/>
    <n v="90.073999999999998"/>
    <n v="96"/>
    <x v="1"/>
    <n v="0"/>
    <n v="0"/>
    <n v="65"/>
    <n v="25"/>
    <n v="0"/>
    <n v="407.42"/>
    <n v="280.73"/>
    <m/>
    <n v="471.29409075882518"/>
    <n v="207.63042742196092"/>
    <n v="0"/>
    <n v="36697.949079999999"/>
    <n v="25286.474020000001"/>
    <n v="0"/>
    <n v="42451.343931010415"/>
    <n v="18702.103119605708"/>
  </r>
  <r>
    <s v="Regular"/>
    <x v="3"/>
    <x v="3"/>
    <x v="2"/>
    <x v="0"/>
    <x v="1"/>
    <x v="0"/>
    <x v="1"/>
    <x v="4"/>
    <n v="0"/>
    <n v="0"/>
    <n v="100.26300000000001"/>
    <n v="100.26300000000001"/>
    <n v="100.26300000000001"/>
    <n v="100.26300000000001"/>
    <n v="96"/>
    <x v="1"/>
    <n v="0"/>
    <n v="0"/>
    <n v="65"/>
    <n v="25"/>
    <n v="0"/>
    <n v="407.42"/>
    <n v="280.73"/>
    <m/>
    <n v="471.29409075882518"/>
    <n v="207.63042742196092"/>
    <n v="0"/>
    <n v="40849.151460000001"/>
    <n v="28146.831990000002"/>
    <n v="0"/>
    <n v="47253.359421752088"/>
    <n v="20817.64954460807"/>
  </r>
  <r>
    <s v="Regular"/>
    <x v="3"/>
    <x v="3"/>
    <x v="2"/>
    <x v="0"/>
    <x v="1"/>
    <x v="0"/>
    <x v="1"/>
    <x v="5"/>
    <n v="0"/>
    <n v="0"/>
    <n v="87.025000000000006"/>
    <n v="87.025000000000006"/>
    <n v="87.025000000000006"/>
    <n v="87.025000000000006"/>
    <n v="96"/>
    <x v="1"/>
    <n v="0"/>
    <n v="0"/>
    <n v="65"/>
    <n v="25"/>
    <n v="0"/>
    <n v="407.42"/>
    <n v="280.73"/>
    <m/>
    <n v="471.29409075882518"/>
    <n v="207.63042742196092"/>
    <n v="0"/>
    <n v="35455.7255"/>
    <n v="24430.528250000003"/>
    <n v="0"/>
    <n v="41014.368248286766"/>
    <n v="18069.037946396151"/>
  </r>
  <r>
    <s v="Regular"/>
    <x v="3"/>
    <x v="3"/>
    <x v="2"/>
    <x v="0"/>
    <x v="1"/>
    <x v="0"/>
    <x v="1"/>
    <x v="6"/>
    <n v="0"/>
    <n v="0"/>
    <n v="94.317999999999998"/>
    <n v="94.317999999999998"/>
    <n v="94.317999999999998"/>
    <n v="94.317999999999998"/>
    <n v="96"/>
    <x v="1"/>
    <n v="0"/>
    <n v="0"/>
    <n v="65"/>
    <n v="25"/>
    <n v="0"/>
    <n v="407.42"/>
    <n v="280.73"/>
    <m/>
    <n v="471.29409075882518"/>
    <n v="207.63042742196092"/>
    <n v="0"/>
    <n v="38427.039559999997"/>
    <n v="26477.89214"/>
    <n v="0"/>
    <n v="44451.516052190869"/>
    <n v="19583.28665358451"/>
  </r>
  <r>
    <s v="Regular"/>
    <x v="3"/>
    <x v="3"/>
    <x v="2"/>
    <x v="0"/>
    <x v="1"/>
    <x v="0"/>
    <x v="1"/>
    <x v="7"/>
    <n v="0"/>
    <n v="0"/>
    <n v="102.974"/>
    <n v="102.974"/>
    <n v="102.974"/>
    <n v="102.974"/>
    <n v="96"/>
    <x v="1"/>
    <n v="0"/>
    <n v="0"/>
    <n v="65"/>
    <n v="25"/>
    <n v="0"/>
    <n v="407.42"/>
    <n v="280.73"/>
    <m/>
    <n v="471.29409075882518"/>
    <n v="207.63042742196092"/>
    <n v="0"/>
    <n v="41953.667080000007"/>
    <n v="28907.891020000003"/>
    <n v="0"/>
    <n v="48531.037701799265"/>
    <n v="21380.535633349005"/>
  </r>
  <r>
    <s v="Regular"/>
    <x v="3"/>
    <x v="3"/>
    <x v="2"/>
    <x v="0"/>
    <x v="1"/>
    <x v="0"/>
    <x v="1"/>
    <x v="8"/>
    <n v="0"/>
    <n v="0"/>
    <n v="86.786000000000001"/>
    <n v="86.786000000000001"/>
    <n v="86.786000000000001"/>
    <n v="86.786000000000001"/>
    <n v="96"/>
    <x v="1"/>
    <n v="0"/>
    <n v="0"/>
    <n v="65"/>
    <n v="25"/>
    <n v="0"/>
    <n v="407.42"/>
    <n v="280.73"/>
    <m/>
    <n v="471.29409075882518"/>
    <n v="207.63042742196092"/>
    <n v="0"/>
    <n v="35358.352120000003"/>
    <n v="24363.433780000003"/>
    <n v="0"/>
    <n v="40901.728960595399"/>
    <n v="18019.414274242299"/>
  </r>
  <r>
    <s v="Regular"/>
    <x v="3"/>
    <x v="3"/>
    <x v="2"/>
    <x v="0"/>
    <x v="1"/>
    <x v="0"/>
    <x v="1"/>
    <x v="9"/>
    <n v="0"/>
    <n v="0"/>
    <n v="92.078000000000003"/>
    <n v="92.078000000000003"/>
    <n v="92.078000000000003"/>
    <n v="92.078000000000003"/>
    <n v="96"/>
    <x v="1"/>
    <n v="0"/>
    <n v="0"/>
    <n v="65"/>
    <n v="25"/>
    <n v="0"/>
    <n v="407.42"/>
    <n v="280.73"/>
    <m/>
    <n v="471.29409075882518"/>
    <n v="207.63042742196092"/>
    <n v="0"/>
    <n v="37514.41876"/>
    <n v="25849.056940000002"/>
    <n v="0"/>
    <n v="43395.817288891107"/>
    <n v="19118.194496159318"/>
  </r>
  <r>
    <s v="Regular"/>
    <x v="3"/>
    <x v="3"/>
    <x v="2"/>
    <x v="0"/>
    <x v="1"/>
    <x v="0"/>
    <x v="1"/>
    <x v="10"/>
    <n v="0"/>
    <n v="0"/>
    <n v="85.515000000000001"/>
    <n v="85.515000000000001"/>
    <n v="85.515000000000001"/>
    <n v="85.515000000000001"/>
    <n v="96"/>
    <x v="1"/>
    <n v="0"/>
    <n v="0"/>
    <n v="65"/>
    <n v="25"/>
    <n v="0"/>
    <n v="407.42"/>
    <n v="280.73"/>
    <m/>
    <n v="471.29409075882518"/>
    <n v="207.63042742196092"/>
    <n v="0"/>
    <n v="34840.5213"/>
    <n v="24006.625950000001"/>
    <n v="0"/>
    <n v="40302.714171240936"/>
    <n v="17755.516000988988"/>
  </r>
  <r>
    <s v="PROJETADO"/>
    <x v="3"/>
    <x v="3"/>
    <x v="2"/>
    <x v="0"/>
    <x v="1"/>
    <x v="0"/>
    <x v="1"/>
    <x v="11"/>
    <n v="0"/>
    <n v="0"/>
    <n v="85.515000000000001"/>
    <n v="85.515000000000001"/>
    <n v="85.515000000000001"/>
    <n v="85.515000000000001"/>
    <n v="96"/>
    <x v="1"/>
    <n v="0"/>
    <n v="0"/>
    <n v="65"/>
    <n v="25"/>
    <n v="0"/>
    <n v="407.42"/>
    <n v="280.73"/>
    <m/>
    <n v="471.29409075882518"/>
    <n v="207.63042742196092"/>
    <n v="0"/>
    <n v="34840.5213"/>
    <n v="24006.625950000001"/>
    <n v="0"/>
    <n v="40302.714171240936"/>
    <n v="17755.516000988988"/>
  </r>
  <r>
    <s v="Regular"/>
    <x v="3"/>
    <x v="3"/>
    <x v="3"/>
    <x v="1"/>
    <x v="1"/>
    <x v="0"/>
    <x v="1"/>
    <x v="0"/>
    <n v="0"/>
    <n v="0"/>
    <n v="19.503"/>
    <n v="18.332819999999998"/>
    <n v="19.503"/>
    <n v="18.332819999999998"/>
    <n v="8"/>
    <x v="1"/>
    <n v="0"/>
    <n v="0"/>
    <n v="65"/>
    <n v="25"/>
    <n v="0"/>
    <n v="407.42"/>
    <n v="280.73"/>
    <m/>
    <n v="471.29409075882518"/>
    <n v="207.63042742196092"/>
    <n v="0"/>
    <n v="7469.1575243999996"/>
    <n v="5146.5725585999999"/>
    <n v="0"/>
    <n v="8640.149732945205"/>
    <n v="3806.4512524498732"/>
  </r>
  <r>
    <s v="Regular"/>
    <x v="3"/>
    <x v="3"/>
    <x v="3"/>
    <x v="1"/>
    <x v="1"/>
    <x v="0"/>
    <x v="1"/>
    <x v="1"/>
    <n v="0"/>
    <n v="0"/>
    <n v="21.786999999999999"/>
    <n v="20.396989399999999"/>
    <n v="21.786999999999999"/>
    <n v="20.396989399999999"/>
    <n v="8"/>
    <x v="1"/>
    <n v="0"/>
    <n v="0"/>
    <n v="65"/>
    <n v="25"/>
    <n v="0"/>
    <n v="407.42"/>
    <n v="280.73"/>
    <m/>
    <n v="471.29409075882518"/>
    <n v="207.63042742196092"/>
    <n v="0"/>
    <n v="8310.1414213480002"/>
    <n v="5726.0468342619997"/>
    <n v="0"/>
    <n v="9612.9805734903948"/>
    <n v="4235.0356272432064"/>
  </r>
  <r>
    <s v="Regular"/>
    <x v="3"/>
    <x v="3"/>
    <x v="3"/>
    <x v="1"/>
    <x v="1"/>
    <x v="0"/>
    <x v="1"/>
    <x v="2"/>
    <n v="0"/>
    <n v="0"/>
    <n v="19.158000000000001"/>
    <n v="18.008520000000001"/>
    <n v="19.158000000000001"/>
    <n v="18.008520000000001"/>
    <n v="8"/>
    <x v="1"/>
    <n v="0"/>
    <n v="0"/>
    <n v="65"/>
    <n v="25"/>
    <n v="0"/>
    <n v="407.42"/>
    <n v="280.73"/>
    <m/>
    <n v="471.29409075882518"/>
    <n v="207.63042742196092"/>
    <n v="0"/>
    <n v="7337.0312184000004"/>
    <n v="5055.5318196000007"/>
    <n v="0"/>
    <n v="8487.3090593121196"/>
    <n v="3739.1167048369316"/>
  </r>
  <r>
    <s v="Regular"/>
    <x v="3"/>
    <x v="3"/>
    <x v="3"/>
    <x v="1"/>
    <x v="1"/>
    <x v="0"/>
    <x v="1"/>
    <x v="3"/>
    <n v="0"/>
    <n v="0"/>
    <n v="20.58"/>
    <n v="19.345199999999998"/>
    <n v="20.58"/>
    <n v="19.345199999999998"/>
    <n v="8"/>
    <x v="1"/>
    <n v="0"/>
    <n v="0"/>
    <n v="65"/>
    <n v="25"/>
    <n v="0"/>
    <n v="407.42"/>
    <n v="280.73"/>
    <m/>
    <n v="471.29409075882518"/>
    <n v="207.63042742196092"/>
    <n v="0"/>
    <n v="7881.621384"/>
    <n v="5430.7779959999998"/>
    <n v="0"/>
    <n v="9117.2784445476245"/>
    <n v="4016.652144563318"/>
  </r>
  <r>
    <s v="Regular"/>
    <x v="3"/>
    <x v="3"/>
    <x v="3"/>
    <x v="1"/>
    <x v="1"/>
    <x v="0"/>
    <x v="1"/>
    <x v="4"/>
    <n v="0"/>
    <n v="0"/>
    <n v="22.370999999999999"/>
    <n v="21.028739999999999"/>
    <n v="22.370999999999999"/>
    <n v="21.028739999999999"/>
    <n v="8"/>
    <x v="1"/>
    <n v="0"/>
    <n v="0"/>
    <n v="65"/>
    <n v="25"/>
    <n v="0"/>
    <n v="407.42"/>
    <n v="280.73"/>
    <m/>
    <n v="471.29409075882518"/>
    <n v="207.63042742196092"/>
    <n v="0"/>
    <n v="8567.5292508000002"/>
    <n v="5903.3981801999998"/>
    <n v="0"/>
    <n v="9910.7208981037365"/>
    <n v="4366.2062743452861"/>
  </r>
  <r>
    <s v="Regular"/>
    <x v="3"/>
    <x v="3"/>
    <x v="3"/>
    <x v="1"/>
    <x v="1"/>
    <x v="0"/>
    <x v="1"/>
    <x v="5"/>
    <n v="0"/>
    <n v="0"/>
    <n v="19.013000000000002"/>
    <n v="17.872219999999999"/>
    <n v="19.013000000000002"/>
    <n v="17.872219999999999"/>
    <n v="8"/>
    <x v="1"/>
    <n v="0"/>
    <n v="0"/>
    <n v="65"/>
    <n v="25"/>
    <n v="0"/>
    <n v="407.42"/>
    <n v="280.73"/>
    <m/>
    <n v="471.29409075882518"/>
    <n v="207.63042742196092"/>
    <n v="0"/>
    <n v="7281.4998723999997"/>
    <n v="5017.2683206000002"/>
    <n v="0"/>
    <n v="8423.07167474169"/>
    <n v="3710.8166775793179"/>
  </r>
  <r>
    <s v="Regular"/>
    <x v="3"/>
    <x v="3"/>
    <x v="3"/>
    <x v="1"/>
    <x v="1"/>
    <x v="0"/>
    <x v="1"/>
    <x v="6"/>
    <n v="0"/>
    <n v="0"/>
    <n v="17.38"/>
    <n v="16.337199999999999"/>
    <n v="17.38"/>
    <n v="16.337199999999999"/>
    <n v="8"/>
    <x v="1"/>
    <n v="0"/>
    <n v="0"/>
    <n v="65"/>
    <n v="25"/>
    <n v="0"/>
    <n v="407.42"/>
    <n v="280.73"/>
    <m/>
    <n v="471.29409075882518"/>
    <n v="207.63042742196092"/>
    <n v="0"/>
    <n v="6656.1020239999998"/>
    <n v="4586.3421559999997"/>
    <n v="0"/>
    <n v="7699.6258195450782"/>
    <n v="3392.0998188780595"/>
  </r>
  <r>
    <s v="Regular"/>
    <x v="3"/>
    <x v="3"/>
    <x v="3"/>
    <x v="1"/>
    <x v="1"/>
    <x v="0"/>
    <x v="1"/>
    <x v="7"/>
    <n v="0"/>
    <n v="0"/>
    <n v="19.004999999999999"/>
    <n v="17.864699999999999"/>
    <n v="19.004999999999999"/>
    <n v="17.864699999999999"/>
    <n v="8"/>
    <x v="1"/>
    <n v="0"/>
    <n v="0"/>
    <n v="65"/>
    <n v="25"/>
    <n v="0"/>
    <n v="407.42"/>
    <n v="280.73"/>
    <m/>
    <n v="471.29409075882518"/>
    <n v="207.63042742196092"/>
    <n v="0"/>
    <n v="7278.4360740000002"/>
    <n v="5015.1572310000001"/>
    <n v="0"/>
    <n v="8419.5275431791833"/>
    <n v="3709.255296765105"/>
  </r>
  <r>
    <s v="Regular"/>
    <x v="3"/>
    <x v="3"/>
    <x v="3"/>
    <x v="1"/>
    <x v="1"/>
    <x v="0"/>
    <x v="1"/>
    <x v="8"/>
    <n v="0"/>
    <n v="0"/>
    <n v="17.613"/>
    <n v="16.55622"/>
    <n v="17.613"/>
    <n v="16.55622"/>
    <n v="8"/>
    <x v="1"/>
    <n v="0"/>
    <n v="0"/>
    <n v="65"/>
    <n v="25"/>
    <n v="0"/>
    <n v="407.42"/>
    <n v="280.73"/>
    <m/>
    <n v="471.29409075882518"/>
    <n v="207.63042742196092"/>
    <n v="0"/>
    <n v="6745.3351524"/>
    <n v="4647.8276406000004"/>
    <n v="0"/>
    <n v="7802.8486513030766"/>
    <n v="3437.5750350920175"/>
  </r>
  <r>
    <s v="Regular"/>
    <x v="3"/>
    <x v="3"/>
    <x v="3"/>
    <x v="1"/>
    <x v="1"/>
    <x v="0"/>
    <x v="1"/>
    <x v="9"/>
    <n v="0"/>
    <n v="0"/>
    <n v="15.208"/>
    <n v="14.29552"/>
    <n v="15.208"/>
    <n v="14.29552"/>
    <n v="8"/>
    <x v="1"/>
    <n v="0"/>
    <n v="0"/>
    <n v="65"/>
    <n v="25"/>
    <n v="0"/>
    <n v="407.42"/>
    <n v="280.73"/>
    <m/>
    <n v="471.29409075882518"/>
    <n v="207.63042742196092"/>
    <n v="0"/>
    <n v="5824.2807584000002"/>
    <n v="4013.1813296"/>
    <n v="0"/>
    <n v="6737.3941003246"/>
    <n v="2968.1849278191908"/>
  </r>
  <r>
    <s v="Regular"/>
    <x v="3"/>
    <x v="3"/>
    <x v="3"/>
    <x v="1"/>
    <x v="1"/>
    <x v="0"/>
    <x v="1"/>
    <x v="10"/>
    <n v="0"/>
    <n v="0"/>
    <n v="15.242000000000001"/>
    <n v="14.32748"/>
    <n v="15.242000000000001"/>
    <n v="14.32748"/>
    <n v="8"/>
    <x v="1"/>
    <n v="0"/>
    <n v="0"/>
    <n v="65"/>
    <n v="25"/>
    <n v="0"/>
    <n v="407.42"/>
    <n v="280.73"/>
    <m/>
    <n v="471.29409075882518"/>
    <n v="207.63042742196092"/>
    <n v="0"/>
    <n v="5837.3019015999998"/>
    <n v="4022.1534604000003"/>
    <n v="0"/>
    <n v="6752.4566594652524"/>
    <n v="2974.8207962795964"/>
  </r>
  <r>
    <s v="PROJETADO"/>
    <x v="3"/>
    <x v="3"/>
    <x v="3"/>
    <x v="1"/>
    <x v="1"/>
    <x v="0"/>
    <x v="1"/>
    <x v="11"/>
    <n v="0"/>
    <n v="0"/>
    <n v="15.242000000000001"/>
    <n v="14.32748"/>
    <n v="15.242000000000001"/>
    <n v="14.32748"/>
    <n v="8"/>
    <x v="1"/>
    <n v="0"/>
    <n v="0"/>
    <n v="65"/>
    <n v="25"/>
    <n v="0"/>
    <n v="407.42"/>
    <n v="280.73"/>
    <m/>
    <n v="471.29409075882518"/>
    <n v="207.63042742196092"/>
    <n v="0"/>
    <n v="5837.3019015999998"/>
    <n v="4022.1534604000003"/>
    <n v="0"/>
    <n v="6752.4566594652524"/>
    <n v="2974.8207962795964"/>
  </r>
  <r>
    <s v="Regular"/>
    <x v="4"/>
    <x v="3"/>
    <x v="7"/>
    <x v="9"/>
    <x v="1"/>
    <x v="0"/>
    <x v="1"/>
    <x v="0"/>
    <n v="0"/>
    <n v="0"/>
    <n v="137.149"/>
    <n v="137.149"/>
    <n v="137.149"/>
    <n v="137.149"/>
    <n v="1"/>
    <x v="1"/>
    <n v="0"/>
    <n v="0"/>
    <n v="68"/>
    <n v="29"/>
    <n v="0"/>
    <n v="244.45"/>
    <n v="168.44"/>
    <m/>
    <n v="282.77645445529504"/>
    <n v="124.57825645317655"/>
    <n v="0"/>
    <n v="33526.073049999999"/>
    <n v="23101.377560000001"/>
    <n v="0"/>
    <n v="38782.507952089261"/>
    <n v="17085.783294296711"/>
  </r>
  <r>
    <s v="Regular"/>
    <x v="4"/>
    <x v="3"/>
    <x v="7"/>
    <x v="9"/>
    <x v="1"/>
    <x v="0"/>
    <x v="1"/>
    <x v="1"/>
    <n v="0"/>
    <n v="0"/>
    <n v="137.149"/>
    <n v="137.149"/>
    <n v="137.149"/>
    <n v="137.149"/>
    <n v="1"/>
    <x v="1"/>
    <n v="0"/>
    <n v="0"/>
    <n v="68"/>
    <n v="29"/>
    <n v="0"/>
    <n v="244.45"/>
    <n v="168.44"/>
    <m/>
    <n v="282.77645445529504"/>
    <n v="124.57825645317655"/>
    <n v="0"/>
    <n v="33526.073049999999"/>
    <n v="23101.377560000001"/>
    <n v="0"/>
    <n v="38782.507952089261"/>
    <n v="17085.783294296711"/>
  </r>
  <r>
    <s v="Regular"/>
    <x v="4"/>
    <x v="3"/>
    <x v="7"/>
    <x v="9"/>
    <x v="1"/>
    <x v="0"/>
    <x v="1"/>
    <x v="2"/>
    <n v="0"/>
    <n v="0"/>
    <n v="137.149"/>
    <n v="137.149"/>
    <n v="137.149"/>
    <n v="137.149"/>
    <n v="1"/>
    <x v="1"/>
    <n v="0"/>
    <n v="0"/>
    <n v="68"/>
    <n v="29"/>
    <n v="0"/>
    <n v="244.45"/>
    <n v="168.44"/>
    <m/>
    <n v="282.77645445529504"/>
    <n v="124.57825645317655"/>
    <n v="0"/>
    <n v="33526.073049999999"/>
    <n v="23101.377560000001"/>
    <n v="0"/>
    <n v="38782.507952089261"/>
    <n v="17085.783294296711"/>
  </r>
  <r>
    <s v="Regular"/>
    <x v="4"/>
    <x v="3"/>
    <x v="7"/>
    <x v="9"/>
    <x v="1"/>
    <x v="0"/>
    <x v="1"/>
    <x v="3"/>
    <n v="0"/>
    <n v="0"/>
    <n v="137.52600000000001"/>
    <n v="137.52600000000001"/>
    <n v="137.52600000000001"/>
    <n v="137.52600000000001"/>
    <n v="1"/>
    <x v="1"/>
    <n v="0"/>
    <n v="0"/>
    <n v="68"/>
    <n v="29"/>
    <n v="0"/>
    <n v="244.45"/>
    <n v="168.44"/>
    <m/>
    <n v="282.77645445529504"/>
    <n v="124.57825645317655"/>
    <n v="0"/>
    <n v="33618.2307"/>
    <n v="23164.879440000001"/>
    <n v="0"/>
    <n v="38889.11467541891"/>
    <n v="17132.74929697956"/>
  </r>
  <r>
    <s v="Regular"/>
    <x v="4"/>
    <x v="3"/>
    <x v="7"/>
    <x v="9"/>
    <x v="1"/>
    <x v="0"/>
    <x v="1"/>
    <x v="4"/>
    <n v="0"/>
    <n v="0"/>
    <n v="137.52600000000001"/>
    <n v="137.52600000000001"/>
    <n v="137.52600000000001"/>
    <n v="137.52600000000001"/>
    <n v="1"/>
    <x v="1"/>
    <n v="0"/>
    <n v="0"/>
    <n v="68"/>
    <n v="29"/>
    <n v="0"/>
    <n v="244.45"/>
    <n v="168.44"/>
    <m/>
    <n v="282.77645445529504"/>
    <n v="124.57825645317655"/>
    <n v="0"/>
    <n v="33618.2307"/>
    <n v="23164.879440000001"/>
    <n v="0"/>
    <n v="38889.11467541891"/>
    <n v="17132.74929697956"/>
  </r>
  <r>
    <s v="Regular"/>
    <x v="4"/>
    <x v="3"/>
    <x v="7"/>
    <x v="9"/>
    <x v="1"/>
    <x v="0"/>
    <x v="1"/>
    <x v="5"/>
    <n v="0"/>
    <n v="0"/>
    <n v="138.613"/>
    <n v="138.613"/>
    <n v="138.613"/>
    <n v="138.613"/>
    <n v="1"/>
    <x v="1"/>
    <n v="0"/>
    <n v="0"/>
    <n v="68"/>
    <n v="29"/>
    <n v="0"/>
    <n v="244.45"/>
    <n v="168.44"/>
    <m/>
    <n v="282.77645445529504"/>
    <n v="124.57825645317655"/>
    <n v="0"/>
    <n v="33883.947849999997"/>
    <n v="23347.973719999998"/>
    <n v="0"/>
    <n v="39196.492681411808"/>
    <n v="17268.165861744161"/>
  </r>
  <r>
    <s v="Regular"/>
    <x v="4"/>
    <x v="3"/>
    <x v="7"/>
    <x v="9"/>
    <x v="1"/>
    <x v="0"/>
    <x v="1"/>
    <x v="6"/>
    <n v="0"/>
    <n v="0"/>
    <n v="138.547"/>
    <n v="138.547"/>
    <n v="138.547"/>
    <n v="138.547"/>
    <n v="1"/>
    <x v="1"/>
    <n v="0"/>
    <n v="0"/>
    <n v="68"/>
    <n v="29"/>
    <n v="0"/>
    <n v="244.45"/>
    <n v="168.44"/>
    <m/>
    <n v="282.77645445529504"/>
    <n v="124.57825645317655"/>
    <n v="0"/>
    <n v="33867.814149999998"/>
    <n v="23336.856680000001"/>
    <n v="0"/>
    <n v="39177.829435417763"/>
    <n v="17259.943696818253"/>
  </r>
  <r>
    <s v="Regular"/>
    <x v="4"/>
    <x v="3"/>
    <x v="7"/>
    <x v="9"/>
    <x v="1"/>
    <x v="0"/>
    <x v="1"/>
    <x v="7"/>
    <n v="0"/>
    <n v="0"/>
    <n v="138.04"/>
    <n v="138.04"/>
    <n v="138.04"/>
    <n v="138.04"/>
    <n v="1"/>
    <x v="1"/>
    <n v="0"/>
    <n v="0"/>
    <n v="68"/>
    <n v="29"/>
    <n v="0"/>
    <n v="244.45"/>
    <n v="168.44"/>
    <m/>
    <n v="282.77645445529504"/>
    <n v="124.57825645317655"/>
    <n v="0"/>
    <n v="33743.877999999997"/>
    <n v="23251.457599999998"/>
    <n v="0"/>
    <n v="39034.461773008923"/>
    <n v="17196.782520796489"/>
  </r>
  <r>
    <s v="Regular"/>
    <x v="4"/>
    <x v="3"/>
    <x v="7"/>
    <x v="9"/>
    <x v="1"/>
    <x v="0"/>
    <x v="1"/>
    <x v="8"/>
    <n v="0"/>
    <n v="0"/>
    <n v="138.06899999999999"/>
    <n v="138.06899999999999"/>
    <n v="138.06899999999999"/>
    <n v="138.06899999999999"/>
    <n v="1"/>
    <x v="1"/>
    <n v="0"/>
    <n v="0"/>
    <n v="68"/>
    <n v="29"/>
    <n v="0"/>
    <n v="244.45"/>
    <n v="168.44"/>
    <m/>
    <n v="282.77645445529504"/>
    <n v="124.57825645317655"/>
    <n v="0"/>
    <n v="33750.967049999992"/>
    <n v="23256.342359999999"/>
    <n v="0"/>
    <n v="39042.662290188127"/>
    <n v="17200.395290233631"/>
  </r>
  <r>
    <s v="Regular"/>
    <x v="4"/>
    <x v="3"/>
    <x v="7"/>
    <x v="9"/>
    <x v="1"/>
    <x v="0"/>
    <x v="1"/>
    <x v="9"/>
    <n v="0"/>
    <n v="0"/>
    <n v="138.06899999999999"/>
    <n v="138.06899999999999"/>
    <n v="138.06899999999999"/>
    <n v="138.06899999999999"/>
    <n v="1"/>
    <x v="1"/>
    <n v="0"/>
    <n v="0"/>
    <n v="68"/>
    <n v="29"/>
    <n v="0"/>
    <n v="244.45"/>
    <n v="168.44"/>
    <m/>
    <n v="282.77645445529504"/>
    <n v="124.57825645317655"/>
    <n v="0"/>
    <n v="33750.967049999992"/>
    <n v="23256.342359999999"/>
    <n v="0"/>
    <n v="39042.662290188127"/>
    <n v="17200.395290233631"/>
  </r>
  <r>
    <s v="Regular"/>
    <x v="4"/>
    <x v="3"/>
    <x v="7"/>
    <x v="9"/>
    <x v="1"/>
    <x v="0"/>
    <x v="1"/>
    <x v="10"/>
    <n v="0"/>
    <n v="0"/>
    <n v="139.01400000000001"/>
    <n v="139.01400000000001"/>
    <n v="139.01400000000001"/>
    <n v="139.01400000000001"/>
    <n v="1"/>
    <x v="1"/>
    <n v="0"/>
    <n v="0"/>
    <n v="68"/>
    <n v="29"/>
    <n v="0"/>
    <n v="244.45"/>
    <n v="168.44"/>
    <m/>
    <n v="282.77645445529504"/>
    <n v="124.57825645317655"/>
    <n v="0"/>
    <n v="33981.972300000001"/>
    <n v="23415.51816"/>
    <n v="0"/>
    <n v="39309.886039648387"/>
    <n v="17318.121742581887"/>
  </r>
  <r>
    <s v="PROJETADO"/>
    <x v="4"/>
    <x v="3"/>
    <x v="7"/>
    <x v="9"/>
    <x v="1"/>
    <x v="0"/>
    <x v="1"/>
    <x v="11"/>
    <n v="0"/>
    <n v="0"/>
    <n v="139.01400000000001"/>
    <n v="139.01400000000001"/>
    <n v="139.01400000000001"/>
    <n v="139.01400000000001"/>
    <n v="1"/>
    <x v="1"/>
    <n v="0"/>
    <n v="0"/>
    <n v="68"/>
    <n v="29"/>
    <n v="0"/>
    <n v="244.45"/>
    <n v="168.44"/>
    <m/>
    <n v="282.77645445529504"/>
    <n v="124.57825645317655"/>
    <n v="0"/>
    <n v="33981.972300000001"/>
    <n v="23415.51816"/>
    <n v="0"/>
    <n v="39309.886039648387"/>
    <n v="17318.1217425818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s v="Regular"/>
    <x v="0"/>
    <x v="0"/>
    <x v="0"/>
    <x v="0"/>
    <x v="0"/>
    <x v="0"/>
    <x v="0"/>
    <x v="0"/>
    <n v="7152"/>
    <n v="3576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1471.44"/>
    <n v="0"/>
    <n v="67353.430909771618"/>
    <n v="0"/>
    <x v="0"/>
  </r>
  <r>
    <s v="Regular"/>
    <x v="0"/>
    <x v="0"/>
    <x v="0"/>
    <x v="0"/>
    <x v="0"/>
    <x v="0"/>
    <x v="0"/>
    <x v="1"/>
    <n v="7212"/>
    <n v="3606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1987.140000000007"/>
    <n v="0"/>
    <n v="67918.4764710952"/>
    <n v="0"/>
    <x v="0"/>
  </r>
  <r>
    <s v="Regular"/>
    <x v="0"/>
    <x v="0"/>
    <x v="0"/>
    <x v="0"/>
    <x v="0"/>
    <x v="0"/>
    <x v="0"/>
    <x v="2"/>
    <n v="7403"/>
    <n v="3701.5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3628.785000000003"/>
    <n v="0"/>
    <n v="69717.204841308616"/>
    <n v="0"/>
    <x v="0"/>
  </r>
  <r>
    <s v="Regular"/>
    <x v="0"/>
    <x v="0"/>
    <x v="0"/>
    <x v="0"/>
    <x v="0"/>
    <x v="0"/>
    <x v="0"/>
    <x v="3"/>
    <n v="7236"/>
    <n v="3618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2193.420000000006"/>
    <n v="0"/>
    <n v="68144.494695624642"/>
    <n v="0"/>
    <x v="0"/>
  </r>
  <r>
    <s v="Regular"/>
    <x v="0"/>
    <x v="0"/>
    <x v="0"/>
    <x v="0"/>
    <x v="0"/>
    <x v="0"/>
    <x v="0"/>
    <x v="4"/>
    <n v="7075"/>
    <n v="3537.5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0809.625000000007"/>
    <n v="0"/>
    <n v="66628.289106073003"/>
    <n v="0"/>
    <x v="0"/>
  </r>
  <r>
    <s v="Regular"/>
    <x v="0"/>
    <x v="0"/>
    <x v="0"/>
    <x v="0"/>
    <x v="0"/>
    <x v="0"/>
    <x v="0"/>
    <x v="5"/>
    <n v="7194"/>
    <n v="3597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1832.430000000008"/>
    <n v="0"/>
    <n v="67748.962802698123"/>
    <n v="0"/>
    <x v="0"/>
  </r>
  <r>
    <s v="Regular"/>
    <x v="0"/>
    <x v="0"/>
    <x v="0"/>
    <x v="0"/>
    <x v="0"/>
    <x v="0"/>
    <x v="0"/>
    <x v="6"/>
    <n v="7408"/>
    <n v="3704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3671.76"/>
    <n v="0"/>
    <n v="69764.291971418919"/>
    <n v="0"/>
    <x v="0"/>
  </r>
  <r>
    <s v="Regular"/>
    <x v="0"/>
    <x v="0"/>
    <x v="0"/>
    <x v="0"/>
    <x v="0"/>
    <x v="0"/>
    <x v="0"/>
    <x v="7"/>
    <n v="7588"/>
    <n v="3794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5218.860000000008"/>
    <n v="0"/>
    <n v="71459.428655389682"/>
    <n v="0"/>
    <x v="0"/>
  </r>
  <r>
    <s v="Regular"/>
    <x v="0"/>
    <x v="0"/>
    <x v="0"/>
    <x v="0"/>
    <x v="0"/>
    <x v="0"/>
    <x v="0"/>
    <x v="8"/>
    <n v="7439"/>
    <n v="3719.5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3938.205000000002"/>
    <n v="0"/>
    <n v="70056.232178102771"/>
    <n v="0"/>
    <x v="0"/>
  </r>
  <r>
    <s v="Regular"/>
    <x v="0"/>
    <x v="0"/>
    <x v="0"/>
    <x v="0"/>
    <x v="0"/>
    <x v="0"/>
    <x v="0"/>
    <x v="9"/>
    <n v="7134"/>
    <n v="3567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1316.73"/>
    <n v="0"/>
    <n v="67183.91724137454"/>
    <n v="0"/>
    <x v="0"/>
  </r>
  <r>
    <s v="Regular"/>
    <x v="0"/>
    <x v="0"/>
    <x v="0"/>
    <x v="0"/>
    <x v="0"/>
    <x v="0"/>
    <x v="0"/>
    <x v="10"/>
    <n v="7229"/>
    <n v="3614.5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2133.255000000005"/>
    <n v="0"/>
    <n v="68078.572713470217"/>
    <n v="0"/>
    <x v="0"/>
  </r>
  <r>
    <s v="PROJETADO"/>
    <x v="0"/>
    <x v="0"/>
    <x v="0"/>
    <x v="0"/>
    <x v="0"/>
    <x v="0"/>
    <x v="0"/>
    <x v="11"/>
    <n v="7229"/>
    <n v="3614.5"/>
    <n v="0"/>
    <n v="0"/>
    <n v="0"/>
    <n v="0"/>
    <n v="0"/>
    <s v="LIVRE"/>
    <n v="0"/>
    <n v="5"/>
    <n v="0"/>
    <n v="0"/>
    <n v="17.190000000000001"/>
    <n v="0"/>
    <n v="0"/>
    <n v="18.834852044119579"/>
    <n v="107.04184246109106"/>
    <m/>
    <n v="62133.255000000005"/>
    <n v="0"/>
    <n v="68078.572713470217"/>
    <n v="0"/>
    <x v="0"/>
  </r>
  <r>
    <s v="Regular"/>
    <x v="0"/>
    <x v="0"/>
    <x v="0"/>
    <x v="0"/>
    <x v="0"/>
    <x v="0"/>
    <x v="1"/>
    <x v="0"/>
    <n v="0"/>
    <n v="0"/>
    <n v="3408.886"/>
    <n v="1704.443"/>
    <n v="0"/>
    <n v="0"/>
    <n v="6"/>
    <s v="LIVRE"/>
    <n v="0"/>
    <n v="0"/>
    <n v="8"/>
    <n v="0"/>
    <n v="0"/>
    <n v="73.790000000000006"/>
    <n v="0"/>
    <m/>
    <n v="107.04184246109106"/>
    <m/>
    <n v="0"/>
    <n v="125770.84897000001"/>
    <n v="0"/>
    <n v="182446.71908990943"/>
    <x v="0"/>
  </r>
  <r>
    <s v="Regular"/>
    <x v="0"/>
    <x v="0"/>
    <x v="0"/>
    <x v="0"/>
    <x v="0"/>
    <x v="0"/>
    <x v="1"/>
    <x v="1"/>
    <n v="0"/>
    <n v="0"/>
    <n v="3332.1570000000002"/>
    <n v="1666.0785000000001"/>
    <n v="0"/>
    <n v="0"/>
    <n v="6"/>
    <s v="LIVRE"/>
    <n v="0"/>
    <n v="0"/>
    <n v="8"/>
    <n v="0"/>
    <n v="0"/>
    <n v="73.790000000000006"/>
    <n v="0"/>
    <m/>
    <n v="107.04184246109106"/>
    <m/>
    <n v="0"/>
    <n v="122939.93251500002"/>
    <n v="0"/>
    <n v="178340.11232481091"/>
    <x v="0"/>
  </r>
  <r>
    <s v="Regular"/>
    <x v="0"/>
    <x v="0"/>
    <x v="0"/>
    <x v="0"/>
    <x v="0"/>
    <x v="0"/>
    <x v="1"/>
    <x v="2"/>
    <n v="0"/>
    <n v="0"/>
    <n v="3444.0309999999999"/>
    <n v="1722.0155"/>
    <n v="0"/>
    <n v="0"/>
    <n v="6"/>
    <s v="LIVRE"/>
    <n v="0"/>
    <n v="0"/>
    <n v="8"/>
    <n v="0"/>
    <n v="0"/>
    <n v="73.790000000000006"/>
    <n v="0"/>
    <m/>
    <n v="107.04184246109106"/>
    <m/>
    <n v="0"/>
    <n v="127067.52374500001"/>
    <n v="0"/>
    <n v="184327.71186655696"/>
    <x v="0"/>
  </r>
  <r>
    <s v="Regular"/>
    <x v="0"/>
    <x v="0"/>
    <x v="0"/>
    <x v="0"/>
    <x v="0"/>
    <x v="0"/>
    <x v="1"/>
    <x v="3"/>
    <n v="0"/>
    <n v="0"/>
    <n v="3415.11"/>
    <n v="1707.5550000000001"/>
    <n v="0"/>
    <n v="0"/>
    <n v="6"/>
    <s v="LIVRE"/>
    <n v="0"/>
    <n v="0"/>
    <n v="8"/>
    <n v="0"/>
    <n v="0"/>
    <n v="73.790000000000006"/>
    <n v="0"/>
    <m/>
    <n v="107.04184246109106"/>
    <m/>
    <n v="0"/>
    <n v="126000.48345000001"/>
    <n v="0"/>
    <n v="182779.83330364837"/>
    <x v="0"/>
  </r>
  <r>
    <s v="Regular"/>
    <x v="0"/>
    <x v="0"/>
    <x v="0"/>
    <x v="0"/>
    <x v="0"/>
    <x v="0"/>
    <x v="1"/>
    <x v="4"/>
    <n v="0"/>
    <n v="0"/>
    <n v="3030.1959999999999"/>
    <n v="1515.098"/>
    <n v="0"/>
    <n v="0"/>
    <n v="6"/>
    <s v="LIVRE"/>
    <n v="0"/>
    <n v="0"/>
    <n v="8"/>
    <n v="0"/>
    <n v="0"/>
    <n v="73.790000000000006"/>
    <n v="0"/>
    <m/>
    <n v="107.04184246109106"/>
    <m/>
    <n v="0"/>
    <n v="111799.08142"/>
    <n v="0"/>
    <n v="162178.88142911415"/>
    <x v="0"/>
  </r>
  <r>
    <s v="Regular"/>
    <x v="0"/>
    <x v="0"/>
    <x v="0"/>
    <x v="0"/>
    <x v="0"/>
    <x v="0"/>
    <x v="1"/>
    <x v="5"/>
    <n v="0"/>
    <n v="0"/>
    <n v="3510.837"/>
    <n v="1755.4185"/>
    <n v="0"/>
    <n v="0"/>
    <n v="6"/>
    <s v="LIVRE"/>
    <n v="0"/>
    <n v="0"/>
    <n v="8"/>
    <n v="0"/>
    <n v="0"/>
    <n v="73.790000000000006"/>
    <n v="0"/>
    <m/>
    <n v="107.04184246109106"/>
    <m/>
    <n v="0"/>
    <n v="129532.33111500001"/>
    <n v="0"/>
    <n v="187903.23053028478"/>
    <x v="0"/>
  </r>
  <r>
    <s v="Regular"/>
    <x v="0"/>
    <x v="0"/>
    <x v="0"/>
    <x v="0"/>
    <x v="0"/>
    <x v="0"/>
    <x v="1"/>
    <x v="6"/>
    <n v="0"/>
    <n v="0"/>
    <n v="3237.096"/>
    <n v="1618.548"/>
    <n v="0"/>
    <n v="0"/>
    <n v="6"/>
    <s v="LIVRE"/>
    <n v="0"/>
    <n v="0"/>
    <n v="8"/>
    <n v="0"/>
    <n v="0"/>
    <n v="73.790000000000006"/>
    <n v="0"/>
    <m/>
    <n v="107.04184246109106"/>
    <m/>
    <n v="0"/>
    <n v="119432.65692000001"/>
    <n v="0"/>
    <n v="173252.36003171402"/>
    <x v="0"/>
  </r>
  <r>
    <s v="Regular"/>
    <x v="0"/>
    <x v="0"/>
    <x v="0"/>
    <x v="0"/>
    <x v="0"/>
    <x v="0"/>
    <x v="1"/>
    <x v="7"/>
    <n v="0"/>
    <n v="0"/>
    <n v="3688.7570000000001"/>
    <n v="1844.3785"/>
    <n v="0"/>
    <n v="0"/>
    <n v="6"/>
    <s v="LIVRE"/>
    <n v="0"/>
    <n v="0"/>
    <n v="8"/>
    <n v="0"/>
    <n v="0"/>
    <n v="73.790000000000006"/>
    <n v="0"/>
    <m/>
    <n v="107.04184246109106"/>
    <m/>
    <n v="0"/>
    <n v="136096.68951500001"/>
    <n v="0"/>
    <n v="197425.67283562344"/>
    <x v="0"/>
  </r>
  <r>
    <s v="Regular"/>
    <x v="0"/>
    <x v="0"/>
    <x v="0"/>
    <x v="0"/>
    <x v="0"/>
    <x v="0"/>
    <x v="1"/>
    <x v="8"/>
    <n v="0"/>
    <n v="0"/>
    <n v="3372.8220000000001"/>
    <n v="1686.4110000000001"/>
    <n v="0"/>
    <n v="0"/>
    <n v="6"/>
    <s v="LIVRE"/>
    <n v="0"/>
    <n v="0"/>
    <n v="8"/>
    <n v="0"/>
    <n v="0"/>
    <n v="73.790000000000006"/>
    <n v="0"/>
    <m/>
    <n v="107.04184246109106"/>
    <m/>
    <n v="0"/>
    <n v="124440.26769000001"/>
    <n v="0"/>
    <n v="180516.54058665104"/>
    <x v="0"/>
  </r>
  <r>
    <s v="Regular"/>
    <x v="0"/>
    <x v="0"/>
    <x v="0"/>
    <x v="0"/>
    <x v="0"/>
    <x v="0"/>
    <x v="1"/>
    <x v="9"/>
    <n v="0"/>
    <n v="0"/>
    <n v="3390.308"/>
    <n v="1695.154"/>
    <n v="0"/>
    <n v="0"/>
    <n v="6"/>
    <s v="LIVRE"/>
    <n v="0"/>
    <n v="0"/>
    <n v="8"/>
    <n v="0"/>
    <n v="0"/>
    <n v="73.790000000000006"/>
    <n v="0"/>
    <m/>
    <n v="107.04184246109106"/>
    <m/>
    <n v="0"/>
    <n v="125085.41366000001"/>
    <n v="0"/>
    <n v="181452.40741528835"/>
    <x v="0"/>
  </r>
  <r>
    <s v="Regular"/>
    <x v="0"/>
    <x v="0"/>
    <x v="0"/>
    <x v="0"/>
    <x v="0"/>
    <x v="0"/>
    <x v="1"/>
    <x v="10"/>
    <n v="0"/>
    <n v="0"/>
    <n v="3363.3820000000001"/>
    <n v="1681.691"/>
    <n v="0"/>
    <n v="0"/>
    <n v="6"/>
    <s v="LIVRE"/>
    <n v="0"/>
    <n v="0"/>
    <n v="8"/>
    <n v="0"/>
    <n v="0"/>
    <n v="73.790000000000006"/>
    <n v="0"/>
    <m/>
    <n v="107.04184246109106"/>
    <m/>
    <n v="0"/>
    <n v="124091.97889000001"/>
    <n v="0"/>
    <n v="180011.30309023469"/>
    <x v="0"/>
  </r>
  <r>
    <s v="PROJETADO"/>
    <x v="0"/>
    <x v="0"/>
    <x v="0"/>
    <x v="0"/>
    <x v="0"/>
    <x v="0"/>
    <x v="1"/>
    <x v="11"/>
    <n v="0"/>
    <n v="0"/>
    <n v="3363.3820000000001"/>
    <n v="1681.691"/>
    <n v="0"/>
    <n v="0"/>
    <n v="6"/>
    <s v="LIVRE"/>
    <n v="0"/>
    <n v="0"/>
    <n v="8"/>
    <n v="0"/>
    <n v="0"/>
    <n v="73.790000000000006"/>
    <n v="0"/>
    <m/>
    <n v="107.04184246109106"/>
    <m/>
    <n v="0"/>
    <n v="124091.97889000001"/>
    <n v="0"/>
    <n v="180011.30309023469"/>
    <x v="0"/>
  </r>
  <r>
    <s v="Regular"/>
    <x v="0"/>
    <x v="0"/>
    <x v="0"/>
    <x v="0"/>
    <x v="0"/>
    <x v="0"/>
    <x v="2"/>
    <x v="0"/>
    <n v="3350"/>
    <n v="1675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3833.75"/>
    <n v="0"/>
    <n v="91904.801381345082"/>
    <n v="0"/>
    <x v="0"/>
  </r>
  <r>
    <s v="Regular"/>
    <x v="0"/>
    <x v="0"/>
    <x v="0"/>
    <x v="0"/>
    <x v="0"/>
    <x v="0"/>
    <x v="2"/>
    <x v="1"/>
    <n v="3350"/>
    <n v="1675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3833.75"/>
    <n v="0"/>
    <n v="91904.801381345082"/>
    <n v="0"/>
    <x v="0"/>
  </r>
  <r>
    <s v="Regular"/>
    <x v="0"/>
    <x v="0"/>
    <x v="0"/>
    <x v="0"/>
    <x v="0"/>
    <x v="0"/>
    <x v="2"/>
    <x v="2"/>
    <n v="3350"/>
    <n v="1675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3833.75"/>
    <n v="0"/>
    <n v="91904.801381345082"/>
    <n v="0"/>
    <x v="0"/>
  </r>
  <r>
    <s v="Regular"/>
    <x v="0"/>
    <x v="0"/>
    <x v="0"/>
    <x v="0"/>
    <x v="0"/>
    <x v="0"/>
    <x v="2"/>
    <x v="3"/>
    <n v="3350"/>
    <n v="1675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3833.75"/>
    <n v="0"/>
    <n v="91904.801381345082"/>
    <n v="0"/>
    <x v="0"/>
  </r>
  <r>
    <s v="Regular"/>
    <x v="0"/>
    <x v="0"/>
    <x v="0"/>
    <x v="0"/>
    <x v="0"/>
    <x v="0"/>
    <x v="2"/>
    <x v="4"/>
    <n v="3350"/>
    <n v="1675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3833.75"/>
    <n v="0"/>
    <n v="91904.801381345082"/>
    <n v="0"/>
    <x v="0"/>
  </r>
  <r>
    <s v="Regular"/>
    <x v="0"/>
    <x v="0"/>
    <x v="0"/>
    <x v="0"/>
    <x v="0"/>
    <x v="0"/>
    <x v="2"/>
    <x v="5"/>
    <n v="3364"/>
    <n v="1682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4184.099999999991"/>
    <n v="0"/>
    <n v="92288.881148311892"/>
    <n v="0"/>
    <x v="0"/>
  </r>
  <r>
    <s v="Regular"/>
    <x v="0"/>
    <x v="0"/>
    <x v="0"/>
    <x v="0"/>
    <x v="0"/>
    <x v="0"/>
    <x v="2"/>
    <x v="6"/>
    <n v="3350"/>
    <n v="1675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3833.75"/>
    <n v="0"/>
    <n v="91904.801381345082"/>
    <n v="0"/>
    <x v="0"/>
  </r>
  <r>
    <s v="Regular"/>
    <x v="0"/>
    <x v="0"/>
    <x v="0"/>
    <x v="0"/>
    <x v="0"/>
    <x v="0"/>
    <x v="2"/>
    <x v="7"/>
    <n v="3350"/>
    <n v="1675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3833.75"/>
    <n v="0"/>
    <n v="91904.801381345082"/>
    <n v="0"/>
    <x v="0"/>
  </r>
  <r>
    <s v="Regular"/>
    <x v="0"/>
    <x v="0"/>
    <x v="0"/>
    <x v="0"/>
    <x v="0"/>
    <x v="0"/>
    <x v="2"/>
    <x v="8"/>
    <n v="3398"/>
    <n v="1699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5034.95"/>
    <n v="0"/>
    <n v="93221.646296659877"/>
    <n v="0"/>
    <x v="0"/>
  </r>
  <r>
    <s v="Regular"/>
    <x v="0"/>
    <x v="0"/>
    <x v="0"/>
    <x v="0"/>
    <x v="0"/>
    <x v="0"/>
    <x v="2"/>
    <x v="9"/>
    <n v="3237"/>
    <n v="1618.5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1005.924999999988"/>
    <n v="0"/>
    <n v="88804.72897654149"/>
    <n v="0"/>
    <x v="0"/>
  </r>
  <r>
    <s v="Regular"/>
    <x v="0"/>
    <x v="0"/>
    <x v="0"/>
    <x v="0"/>
    <x v="0"/>
    <x v="0"/>
    <x v="2"/>
    <x v="10"/>
    <n v="3283"/>
    <n v="1641.5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2157.074999999997"/>
    <n v="0"/>
    <n v="90066.705353718178"/>
    <n v="0"/>
    <x v="0"/>
  </r>
  <r>
    <s v="PROJETADO"/>
    <x v="0"/>
    <x v="0"/>
    <x v="0"/>
    <x v="0"/>
    <x v="0"/>
    <x v="0"/>
    <x v="2"/>
    <x v="11"/>
    <n v="3283"/>
    <n v="1641.5"/>
    <n v="0"/>
    <n v="0"/>
    <n v="0"/>
    <n v="0"/>
    <n v="0"/>
    <s v="LIVRE"/>
    <n v="0"/>
    <n v="2"/>
    <n v="0"/>
    <n v="0"/>
    <n v="50.05"/>
    <n v="0"/>
    <n v="0"/>
    <n v="54.868538138116463"/>
    <n v="107.04184246109106"/>
    <m/>
    <n v="82157.074999999997"/>
    <n v="0"/>
    <n v="90066.705353718178"/>
    <n v="0"/>
    <x v="0"/>
  </r>
  <r>
    <s v="Regular"/>
    <x v="0"/>
    <x v="1"/>
    <x v="1"/>
    <x v="1"/>
    <x v="1"/>
    <x v="0"/>
    <x v="0"/>
    <x v="0"/>
    <n v="0"/>
    <n v="0"/>
    <n v="91.888999999999996"/>
    <n v="86.375659999999996"/>
    <n v="91.888999999999996"/>
    <n v="86.375659999999996"/>
    <n v="0"/>
    <s v="CATIVO"/>
    <n v="0"/>
    <n v="0"/>
    <n v="21"/>
    <n v="70"/>
    <n v="0"/>
    <n v="73.790000000000006"/>
    <n v="266.70999999999998"/>
    <m/>
    <n v="107.04184246109106"/>
    <n v="197.6895725142987"/>
    <n v="0"/>
    <n v="1877.2922699999997"/>
    <n v="0"/>
    <n v="1680.0878994404154"/>
    <x v="1"/>
  </r>
  <r>
    <s v="Regular"/>
    <x v="0"/>
    <x v="1"/>
    <x v="1"/>
    <x v="1"/>
    <x v="1"/>
    <x v="0"/>
    <x v="0"/>
    <x v="1"/>
    <n v="0"/>
    <n v="0"/>
    <n v="105.346"/>
    <n v="99.025239999999997"/>
    <n v="105.346"/>
    <n v="99.025239999999997"/>
    <n v="0"/>
    <s v="CATIVO"/>
    <n v="0"/>
    <n v="0"/>
    <n v="21"/>
    <n v="70"/>
    <n v="0"/>
    <n v="73.790000000000006"/>
    <n v="266.70999999999998"/>
    <m/>
    <n v="107.04184246109106"/>
    <n v="197.6895725142987"/>
    <n v="0"/>
    <n v="2152.2187800000024"/>
    <n v="0"/>
    <n v="1926.1341385198466"/>
    <x v="1"/>
  </r>
  <r>
    <s v="Regular"/>
    <x v="0"/>
    <x v="1"/>
    <x v="1"/>
    <x v="1"/>
    <x v="1"/>
    <x v="0"/>
    <x v="0"/>
    <x v="2"/>
    <n v="0"/>
    <n v="0"/>
    <n v="91.350999999999999"/>
    <n v="85.86994"/>
    <n v="91.350999999999999"/>
    <n v="85.86994"/>
    <n v="0"/>
    <s v="CATIVO"/>
    <n v="0"/>
    <n v="0"/>
    <n v="21"/>
    <n v="70"/>
    <n v="0"/>
    <n v="73.790000000000006"/>
    <n v="266.70999999999998"/>
    <m/>
    <n v="107.04184246109106"/>
    <n v="197.6895725142987"/>
    <n v="0"/>
    <n v="1866.3009299999997"/>
    <n v="0"/>
    <n v="1670.2511693650097"/>
    <x v="1"/>
  </r>
  <r>
    <s v="Regular"/>
    <x v="0"/>
    <x v="1"/>
    <x v="1"/>
    <x v="1"/>
    <x v="1"/>
    <x v="0"/>
    <x v="0"/>
    <x v="3"/>
    <n v="0"/>
    <n v="0"/>
    <n v="104.70699999999999"/>
    <n v="98.424580000000006"/>
    <n v="104.70699999999999"/>
    <n v="98.424580000000006"/>
    <n v="0"/>
    <s v="CATIVO"/>
    <n v="0"/>
    <n v="0"/>
    <n v="21"/>
    <n v="70"/>
    <n v="0"/>
    <n v="73.790000000000006"/>
    <n v="266.70999999999998"/>
    <m/>
    <n v="107.04184246109106"/>
    <n v="197.6895725142987"/>
    <n v="0"/>
    <n v="2139.1640099999959"/>
    <n v="0"/>
    <n v="1914.4507360696844"/>
    <x v="1"/>
  </r>
  <r>
    <s v="Regular"/>
    <x v="0"/>
    <x v="1"/>
    <x v="1"/>
    <x v="1"/>
    <x v="1"/>
    <x v="0"/>
    <x v="0"/>
    <x v="4"/>
    <n v="0"/>
    <n v="0"/>
    <n v="120.598"/>
    <n v="113.36212"/>
    <n v="120.598"/>
    <n v="113.36212"/>
    <n v="0"/>
    <s v="CATIVO"/>
    <n v="0"/>
    <n v="0"/>
    <n v="21"/>
    <n v="70"/>
    <n v="0"/>
    <n v="73.790000000000006"/>
    <n v="266.70999999999998"/>
    <m/>
    <n v="107.04184246109106"/>
    <n v="197.6895725142987"/>
    <n v="0"/>
    <n v="2463.8171399999983"/>
    <n v="0"/>
    <n v="2204.9999509921217"/>
    <x v="1"/>
  </r>
  <r>
    <s v="Regular"/>
    <x v="0"/>
    <x v="1"/>
    <x v="1"/>
    <x v="1"/>
    <x v="1"/>
    <x v="0"/>
    <x v="0"/>
    <x v="5"/>
    <n v="0"/>
    <n v="0"/>
    <n v="111.91200000000001"/>
    <n v="105.19728000000001"/>
    <n v="111.91200000000001"/>
    <n v="105.19728000000001"/>
    <n v="0"/>
    <s v="CATIVO"/>
    <n v="0"/>
    <n v="0"/>
    <n v="21"/>
    <n v="70"/>
    <n v="0"/>
    <n v="73.790000000000006"/>
    <n v="266.70999999999998"/>
    <m/>
    <n v="107.04184246109106"/>
    <n v="197.6895725142987"/>
    <n v="0"/>
    <n v="2286.3621599999997"/>
    <n v="0"/>
    <n v="2046.1861267635491"/>
    <x v="1"/>
  </r>
  <r>
    <s v="Regular"/>
    <x v="0"/>
    <x v="1"/>
    <x v="1"/>
    <x v="1"/>
    <x v="1"/>
    <x v="0"/>
    <x v="0"/>
    <x v="6"/>
    <n v="0"/>
    <n v="0"/>
    <n v="101.56"/>
    <n v="95.466399999999993"/>
    <n v="101.56"/>
    <n v="95.466399999999993"/>
    <n v="0"/>
    <s v="CATIVO"/>
    <n v="0"/>
    <n v="0"/>
    <n v="21"/>
    <n v="70"/>
    <n v="0"/>
    <n v="73.790000000000006"/>
    <n v="266.70999999999998"/>
    <m/>
    <n v="107.04184246109106"/>
    <n v="197.6895725142987"/>
    <n v="0"/>
    <n v="2074.8708000000029"/>
    <n v="0"/>
    <n v="1856.9113502940379"/>
    <x v="1"/>
  </r>
  <r>
    <s v="Regular"/>
    <x v="0"/>
    <x v="1"/>
    <x v="1"/>
    <x v="1"/>
    <x v="1"/>
    <x v="0"/>
    <x v="0"/>
    <x v="7"/>
    <n v="0"/>
    <n v="0"/>
    <n v="116.85"/>
    <n v="109.839"/>
    <n v="116.85"/>
    <n v="109.839"/>
    <n v="0"/>
    <s v="CATIVO"/>
    <n v="0"/>
    <n v="0"/>
    <n v="21"/>
    <n v="70"/>
    <n v="0"/>
    <n v="73.790000000000006"/>
    <n v="266.70999999999998"/>
    <m/>
    <n v="107.04184246109106"/>
    <n v="197.6895725142987"/>
    <n v="0"/>
    <n v="2387.2454999999982"/>
    <n v="0"/>
    <n v="2136.4719503924562"/>
    <x v="1"/>
  </r>
  <r>
    <s v="Regular"/>
    <x v="0"/>
    <x v="1"/>
    <x v="1"/>
    <x v="1"/>
    <x v="1"/>
    <x v="0"/>
    <x v="0"/>
    <x v="8"/>
    <n v="0"/>
    <n v="0"/>
    <n v="105.839"/>
    <n v="99.488659999999996"/>
    <n v="105.839"/>
    <n v="99.488659999999996"/>
    <n v="0"/>
    <s v="CATIVO"/>
    <n v="0"/>
    <n v="0"/>
    <n v="21"/>
    <n v="70"/>
    <n v="0"/>
    <n v="73.790000000000006"/>
    <n v="266.70999999999998"/>
    <m/>
    <n v="107.04184246109106"/>
    <n v="197.6895725142987"/>
    <n v="0"/>
    <n v="2162.2907700000005"/>
    <n v="0"/>
    <n v="1935.1480937748174"/>
    <x v="1"/>
  </r>
  <r>
    <s v="Regular"/>
    <x v="0"/>
    <x v="1"/>
    <x v="1"/>
    <x v="1"/>
    <x v="1"/>
    <x v="0"/>
    <x v="0"/>
    <x v="9"/>
    <n v="0"/>
    <n v="0"/>
    <n v="110.95099999999999"/>
    <n v="104.29394000000001"/>
    <n v="110.95099999999999"/>
    <n v="104.29394000000001"/>
    <n v="0"/>
    <s v="CATIVO"/>
    <n v="0"/>
    <n v="0"/>
    <n v="21"/>
    <n v="70"/>
    <n v="0"/>
    <n v="73.790000000000006"/>
    <n v="266.70999999999998"/>
    <m/>
    <n v="107.04184246109106"/>
    <n v="197.6895725142987"/>
    <n v="0"/>
    <n v="2266.7289299999957"/>
    <n v="0"/>
    <n v="2028.615313376064"/>
    <x v="1"/>
  </r>
  <r>
    <s v="Regular"/>
    <x v="0"/>
    <x v="1"/>
    <x v="1"/>
    <x v="1"/>
    <x v="1"/>
    <x v="0"/>
    <x v="0"/>
    <x v="10"/>
    <n v="0"/>
    <n v="0"/>
    <n v="106.52"/>
    <n v="100.1288"/>
    <n v="106.52"/>
    <n v="100.1288"/>
    <n v="0"/>
    <s v="CATIVO"/>
    <n v="0"/>
    <n v="0"/>
    <n v="21"/>
    <n v="70"/>
    <n v="0"/>
    <n v="73.790000000000006"/>
    <n v="266.70999999999998"/>
    <m/>
    <n v="107.04184246109106"/>
    <n v="197.6895725142987"/>
    <n v="0"/>
    <n v="2176.2035999999989"/>
    <n v="0"/>
    <n v="1947.5994193907104"/>
    <x v="1"/>
  </r>
  <r>
    <s v="PROJETADO"/>
    <x v="0"/>
    <x v="1"/>
    <x v="1"/>
    <x v="1"/>
    <x v="1"/>
    <x v="0"/>
    <x v="0"/>
    <x v="11"/>
    <n v="0"/>
    <n v="0"/>
    <n v="106.52"/>
    <n v="100.1288"/>
    <n v="106.52"/>
    <n v="100.1288"/>
    <n v="0"/>
    <s v="CATIVO"/>
    <n v="0"/>
    <n v="0"/>
    <n v="21"/>
    <n v="70"/>
    <n v="0"/>
    <n v="73.790000000000006"/>
    <n v="266.70999999999998"/>
    <m/>
    <n v="107.04184246109106"/>
    <n v="197.6895725142987"/>
    <n v="0"/>
    <n v="2176.2035999999989"/>
    <n v="0"/>
    <n v="1947.5994193907104"/>
    <x v="1"/>
  </r>
  <r>
    <s v="Regular"/>
    <x v="0"/>
    <x v="1"/>
    <x v="1"/>
    <x v="1"/>
    <x v="1"/>
    <x v="0"/>
    <x v="1"/>
    <x v="0"/>
    <n v="244"/>
    <n v="207.4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29.154"/>
    <n v="0"/>
    <n v="689.35558481477642"/>
    <n v="0"/>
    <x v="1"/>
  </r>
  <r>
    <s v="Regular"/>
    <x v="0"/>
    <x v="1"/>
    <x v="1"/>
    <x v="1"/>
    <x v="1"/>
    <x v="0"/>
    <x v="1"/>
    <x v="1"/>
    <n v="244"/>
    <n v="207.4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29.154"/>
    <n v="0"/>
    <n v="689.35558481477642"/>
    <n v="0"/>
    <x v="1"/>
  </r>
  <r>
    <s v="Regular"/>
    <x v="0"/>
    <x v="1"/>
    <x v="1"/>
    <x v="1"/>
    <x v="1"/>
    <x v="0"/>
    <x v="1"/>
    <x v="2"/>
    <n v="245"/>
    <n v="208.25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31.73250000000007"/>
    <n v="0"/>
    <n v="692.18081262139447"/>
    <n v="0"/>
    <x v="1"/>
  </r>
  <r>
    <s v="Regular"/>
    <x v="0"/>
    <x v="1"/>
    <x v="1"/>
    <x v="1"/>
    <x v="1"/>
    <x v="0"/>
    <x v="1"/>
    <x v="3"/>
    <n v="245"/>
    <n v="208.25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31.73250000000007"/>
    <n v="0"/>
    <n v="692.18081262139447"/>
    <n v="0"/>
    <x v="1"/>
  </r>
  <r>
    <s v="Regular"/>
    <x v="0"/>
    <x v="1"/>
    <x v="1"/>
    <x v="1"/>
    <x v="1"/>
    <x v="0"/>
    <x v="1"/>
    <x v="4"/>
    <n v="254"/>
    <n v="215.9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54.93899999999996"/>
    <n v="0"/>
    <n v="717.60786288095585"/>
    <n v="0"/>
    <x v="1"/>
  </r>
  <r>
    <s v="Regular"/>
    <x v="0"/>
    <x v="1"/>
    <x v="1"/>
    <x v="1"/>
    <x v="1"/>
    <x v="0"/>
    <x v="1"/>
    <x v="5"/>
    <n v="265"/>
    <n v="225.25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83.30250000000001"/>
    <n v="0"/>
    <n v="748.68536875375321"/>
    <n v="0"/>
    <x v="1"/>
  </r>
  <r>
    <s v="Regular"/>
    <x v="0"/>
    <x v="1"/>
    <x v="1"/>
    <x v="1"/>
    <x v="1"/>
    <x v="0"/>
    <x v="1"/>
    <x v="6"/>
    <n v="256"/>
    <n v="217.6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60.09600000000012"/>
    <n v="0"/>
    <n v="723.25831849419194"/>
    <n v="0"/>
    <x v="1"/>
  </r>
  <r>
    <s v="Regular"/>
    <x v="0"/>
    <x v="1"/>
    <x v="1"/>
    <x v="1"/>
    <x v="1"/>
    <x v="0"/>
    <x v="1"/>
    <x v="7"/>
    <n v="246"/>
    <n v="209.1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34.31100000000015"/>
    <n v="0"/>
    <n v="695.00604042801251"/>
    <n v="0"/>
    <x v="1"/>
  </r>
  <r>
    <s v="Regular"/>
    <x v="0"/>
    <x v="1"/>
    <x v="1"/>
    <x v="1"/>
    <x v="1"/>
    <x v="0"/>
    <x v="1"/>
    <x v="8"/>
    <n v="247"/>
    <n v="209.95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36.88950000000023"/>
    <n v="0"/>
    <n v="697.83126823463056"/>
    <n v="0"/>
    <x v="1"/>
  </r>
  <r>
    <s v="Regular"/>
    <x v="0"/>
    <x v="1"/>
    <x v="1"/>
    <x v="1"/>
    <x v="1"/>
    <x v="0"/>
    <x v="1"/>
    <x v="9"/>
    <n v="243"/>
    <n v="206.54999999999998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26.57550000000037"/>
    <n v="0"/>
    <n v="686.53035700815894"/>
    <n v="0"/>
    <x v="1"/>
  </r>
  <r>
    <s v="Regular"/>
    <x v="0"/>
    <x v="1"/>
    <x v="1"/>
    <x v="1"/>
    <x v="1"/>
    <x v="0"/>
    <x v="1"/>
    <x v="10"/>
    <n v="244"/>
    <n v="207.4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29.154"/>
    <n v="0"/>
    <n v="689.35558481477642"/>
    <n v="0"/>
    <x v="1"/>
  </r>
  <r>
    <s v="PROJETADO"/>
    <x v="0"/>
    <x v="1"/>
    <x v="1"/>
    <x v="1"/>
    <x v="1"/>
    <x v="0"/>
    <x v="1"/>
    <x v="11"/>
    <n v="244"/>
    <n v="207.4"/>
    <n v="0"/>
    <n v="0"/>
    <n v="0"/>
    <n v="0"/>
    <n v="2"/>
    <s v="CATIVO"/>
    <n v="0"/>
    <n v="15"/>
    <n v="0"/>
    <n v="0"/>
    <n v="17.190000000000001"/>
    <n v="0"/>
    <n v="0"/>
    <n v="18.834852044119579"/>
    <m/>
    <m/>
    <n v="629.154"/>
    <n v="0"/>
    <n v="689.35558481477642"/>
    <n v="0"/>
    <x v="1"/>
  </r>
  <r>
    <s v="Regular"/>
    <x v="0"/>
    <x v="1"/>
    <x v="1"/>
    <x v="1"/>
    <x v="1"/>
    <x v="0"/>
    <x v="2"/>
    <x v="0"/>
    <n v="0"/>
    <n v="0"/>
    <n v="0.41399999999999998"/>
    <n v="0.38915999999999995"/>
    <n v="0.41399999999999998"/>
    <n v="0.38915999999999995"/>
    <n v="0"/>
    <s v="CATIVO"/>
    <n v="0"/>
    <n v="0"/>
    <n v="18"/>
    <n v="69"/>
    <n v="0"/>
    <n v="1295.8499999999999"/>
    <n v="434.95"/>
    <m/>
    <n v="1438.8138130482339"/>
    <n v="316.97983140624547"/>
    <n v="0"/>
    <n v="42.993072000000041"/>
    <n v="0"/>
    <n v="43.613914128249313"/>
    <x v="1"/>
  </r>
  <r>
    <s v="Regular"/>
    <x v="0"/>
    <x v="1"/>
    <x v="1"/>
    <x v="1"/>
    <x v="1"/>
    <x v="0"/>
    <x v="2"/>
    <x v="1"/>
    <n v="0"/>
    <n v="0"/>
    <n v="1.6830000000000001"/>
    <n v="1.58202"/>
    <n v="1.6830000000000001"/>
    <n v="1.58202"/>
    <n v="0"/>
    <s v="CATIVO"/>
    <n v="0"/>
    <n v="0"/>
    <n v="18"/>
    <n v="69"/>
    <n v="0"/>
    <n v="1295.8499999999999"/>
    <n v="434.95"/>
    <m/>
    <n v="1438.8138130482339"/>
    <n v="316.97983140624547"/>
    <n v="0"/>
    <n v="174.77618400000011"/>
    <n v="0"/>
    <n v="177.30004221701344"/>
    <x v="1"/>
  </r>
  <r>
    <s v="Regular"/>
    <x v="0"/>
    <x v="1"/>
    <x v="1"/>
    <x v="1"/>
    <x v="1"/>
    <x v="0"/>
    <x v="2"/>
    <x v="2"/>
    <n v="0"/>
    <n v="0"/>
    <n v="1.395"/>
    <n v="1.3112999999999999"/>
    <n v="1.395"/>
    <n v="1.3112999999999999"/>
    <n v="0"/>
    <s v="CATIVO"/>
    <n v="0"/>
    <n v="0"/>
    <n v="18"/>
    <n v="69"/>
    <n v="0"/>
    <n v="1295.8499999999999"/>
    <n v="434.95"/>
    <m/>
    <n v="1438.8138130482339"/>
    <n v="316.97983140624547"/>
    <n v="0"/>
    <n v="144.86796000000018"/>
    <n v="0"/>
    <n v="146.95992804084011"/>
    <x v="1"/>
  </r>
  <r>
    <s v="Regular"/>
    <x v="0"/>
    <x v="1"/>
    <x v="1"/>
    <x v="1"/>
    <x v="1"/>
    <x v="0"/>
    <x v="2"/>
    <x v="3"/>
    <n v="0"/>
    <n v="0"/>
    <n v="1.407"/>
    <n v="1.3225800000000001"/>
    <n v="1.407"/>
    <n v="1.3225800000000001"/>
    <n v="0"/>
    <s v="CATIVO"/>
    <n v="0"/>
    <n v="0"/>
    <n v="18"/>
    <n v="69"/>
    <n v="0"/>
    <n v="1295.8499999999999"/>
    <n v="434.95"/>
    <m/>
    <n v="1438.8138130482339"/>
    <n v="316.97983140624547"/>
    <n v="0"/>
    <n v="146.11413599999989"/>
    <n v="0"/>
    <n v="148.22409946484703"/>
    <x v="1"/>
  </r>
  <r>
    <s v="Regular"/>
    <x v="0"/>
    <x v="1"/>
    <x v="1"/>
    <x v="1"/>
    <x v="1"/>
    <x v="0"/>
    <x v="2"/>
    <x v="4"/>
    <n v="0"/>
    <n v="0"/>
    <n v="1.752"/>
    <n v="1.6468799999999999"/>
    <n v="1.752"/>
    <n v="1.6468799999999999"/>
    <n v="0"/>
    <s v="CATIVO"/>
    <n v="0"/>
    <n v="0"/>
    <n v="18"/>
    <n v="69"/>
    <n v="0"/>
    <n v="1295.8499999999999"/>
    <n v="434.95"/>
    <m/>
    <n v="1438.8138130482339"/>
    <n v="316.97983140624547"/>
    <n v="0"/>
    <n v="181.94169600000015"/>
    <n v="0"/>
    <n v="184.56902790505507"/>
    <x v="1"/>
  </r>
  <r>
    <s v="Regular"/>
    <x v="0"/>
    <x v="1"/>
    <x v="1"/>
    <x v="1"/>
    <x v="1"/>
    <x v="0"/>
    <x v="2"/>
    <x v="5"/>
    <n v="0"/>
    <n v="0"/>
    <n v="0.41399999999999998"/>
    <n v="0.38916000000000001"/>
    <n v="0.41399999999999998"/>
    <n v="0.38916000000000001"/>
    <n v="0"/>
    <s v="CATIVO"/>
    <n v="0"/>
    <n v="0"/>
    <n v="18"/>
    <n v="69"/>
    <n v="0"/>
    <n v="1295.8499999999999"/>
    <n v="434.95"/>
    <m/>
    <n v="1438.8138130482339"/>
    <n v="316.97983140624547"/>
    <n v="0"/>
    <n v="42.993071999999948"/>
    <n v="0"/>
    <n v="43.61391412824922"/>
    <x v="1"/>
  </r>
  <r>
    <s v="Regular"/>
    <x v="0"/>
    <x v="1"/>
    <x v="1"/>
    <x v="1"/>
    <x v="1"/>
    <x v="0"/>
    <x v="2"/>
    <x v="6"/>
    <n v="0"/>
    <n v="0"/>
    <n v="0.432"/>
    <n v="0.40608"/>
    <n v="0.432"/>
    <n v="0.40608"/>
    <n v="0"/>
    <s v="CATIVO"/>
    <n v="0"/>
    <n v="0"/>
    <n v="18"/>
    <n v="69"/>
    <n v="0"/>
    <n v="1295.8499999999999"/>
    <n v="434.95"/>
    <m/>
    <n v="1438.8138130482339"/>
    <n v="316.97983140624547"/>
    <n v="0"/>
    <n v="44.862335999999999"/>
    <n v="0"/>
    <n v="45.510171264260102"/>
    <x v="1"/>
  </r>
  <r>
    <s v="Regular"/>
    <x v="0"/>
    <x v="1"/>
    <x v="1"/>
    <x v="1"/>
    <x v="1"/>
    <x v="0"/>
    <x v="2"/>
    <x v="7"/>
    <n v="0"/>
    <n v="0"/>
    <n v="1.669"/>
    <n v="1.5688599999999999"/>
    <n v="1.669"/>
    <n v="1.5688599999999999"/>
    <n v="0"/>
    <s v="CATIVO"/>
    <n v="0"/>
    <n v="0"/>
    <n v="18"/>
    <n v="69"/>
    <n v="0"/>
    <n v="1295.8499999999999"/>
    <n v="434.95"/>
    <m/>
    <n v="1438.8138130482339"/>
    <n v="316.97983140624547"/>
    <n v="0"/>
    <n v="173.32231200000021"/>
    <n v="0"/>
    <n v="175.82517555567176"/>
    <x v="1"/>
  </r>
  <r>
    <s v="Regular"/>
    <x v="0"/>
    <x v="1"/>
    <x v="1"/>
    <x v="1"/>
    <x v="1"/>
    <x v="0"/>
    <x v="2"/>
    <x v="8"/>
    <n v="0"/>
    <n v="0"/>
    <n v="1.6120000000000001"/>
    <n v="1.51528"/>
    <n v="1.6120000000000001"/>
    <n v="1.51528"/>
    <n v="0"/>
    <s v="CATIVO"/>
    <n v="0"/>
    <n v="0"/>
    <n v="18"/>
    <n v="69"/>
    <n v="0"/>
    <n v="1295.8499999999999"/>
    <n v="434.95"/>
    <m/>
    <n v="1438.8138130482339"/>
    <n v="316.97983140624547"/>
    <n v="0"/>
    <n v="167.40297600000025"/>
    <n v="0"/>
    <n v="169.82036129163751"/>
    <x v="1"/>
  </r>
  <r>
    <s v="Regular"/>
    <x v="0"/>
    <x v="1"/>
    <x v="1"/>
    <x v="1"/>
    <x v="1"/>
    <x v="0"/>
    <x v="2"/>
    <x v="9"/>
    <n v="0"/>
    <n v="0"/>
    <n v="1.198"/>
    <n v="1.12612"/>
    <n v="1.198"/>
    <n v="1.12612"/>
    <n v="0"/>
    <s v="CATIVO"/>
    <n v="0"/>
    <n v="0"/>
    <n v="18"/>
    <n v="69"/>
    <n v="0"/>
    <n v="1295.8499999999999"/>
    <n v="434.95"/>
    <m/>
    <n v="1438.8138130482339"/>
    <n v="316.97983140624547"/>
    <n v="0"/>
    <n v="124.4099039999999"/>
    <n v="0"/>
    <n v="126.20644716338788"/>
    <x v="1"/>
  </r>
  <r>
    <s v="Regular"/>
    <x v="0"/>
    <x v="1"/>
    <x v="1"/>
    <x v="1"/>
    <x v="1"/>
    <x v="0"/>
    <x v="2"/>
    <x v="10"/>
    <n v="0"/>
    <n v="0"/>
    <n v="1.851"/>
    <n v="1.73994"/>
    <n v="1.851"/>
    <n v="1.73994"/>
    <n v="0"/>
    <s v="CATIVO"/>
    <n v="0"/>
    <n v="0"/>
    <n v="18"/>
    <n v="69"/>
    <n v="0"/>
    <n v="1295.8499999999999"/>
    <n v="434.95"/>
    <m/>
    <n v="1438.8138130482339"/>
    <n v="316.97983140624547"/>
    <n v="0"/>
    <n v="192.22264799999988"/>
    <n v="0"/>
    <n v="194.99844215311435"/>
    <x v="1"/>
  </r>
  <r>
    <s v="PROJETADO"/>
    <x v="0"/>
    <x v="1"/>
    <x v="1"/>
    <x v="1"/>
    <x v="1"/>
    <x v="0"/>
    <x v="2"/>
    <x v="11"/>
    <n v="0"/>
    <n v="0"/>
    <n v="1.851"/>
    <n v="1.73994"/>
    <n v="1.851"/>
    <n v="1.73994"/>
    <n v="0"/>
    <s v="CATIVO"/>
    <n v="0"/>
    <n v="0"/>
    <n v="18"/>
    <n v="69"/>
    <n v="0"/>
    <n v="1295.8499999999999"/>
    <n v="434.95"/>
    <m/>
    <n v="1438.8138130482339"/>
    <n v="316.97983140624547"/>
    <n v="0"/>
    <n v="192.22264799999988"/>
    <n v="0"/>
    <n v="194.99844215311435"/>
    <x v="1"/>
  </r>
  <r>
    <s v="Regular"/>
    <x v="1"/>
    <x v="2"/>
    <x v="2"/>
    <x v="2"/>
    <x v="1"/>
    <x v="0"/>
    <x v="1"/>
    <x v="0"/>
    <n v="0"/>
    <n v="0"/>
    <n v="846.42"/>
    <n v="846.42"/>
    <n v="846.42"/>
    <n v="846.42"/>
    <n v="5673"/>
    <s v="CATIVO"/>
    <n v="0"/>
    <n v="0"/>
    <n v="37"/>
    <n v="75"/>
    <n v="0"/>
    <n v="407.42"/>
    <n v="280.73"/>
    <m/>
    <n v="471.29409075882518"/>
    <n v="207.63042742196092"/>
    <n v="0"/>
    <n v="0"/>
    <n v="0"/>
    <n v="0"/>
    <x v="2"/>
  </r>
  <r>
    <s v="Regular"/>
    <x v="1"/>
    <x v="2"/>
    <x v="2"/>
    <x v="3"/>
    <x v="1"/>
    <x v="0"/>
    <x v="1"/>
    <x v="0"/>
    <n v="0"/>
    <n v="0"/>
    <n v="17.309999999999999"/>
    <n v="17.309999999999999"/>
    <n v="17.309999999999999"/>
    <n v="17.309999999999999"/>
    <n v="21"/>
    <s v="CATIVO"/>
    <n v="0"/>
    <n v="0"/>
    <n v="38"/>
    <n v="76"/>
    <n v="0"/>
    <n v="115.69"/>
    <n v="98.26"/>
    <m/>
    <n v="122.8690453266418"/>
    <n v="72.670649597686321"/>
    <n v="0"/>
    <n v="6877.609199999999"/>
    <n v="0"/>
    <n v="6286.0425069745079"/>
    <x v="3"/>
  </r>
  <r>
    <s v="Regular"/>
    <x v="1"/>
    <x v="2"/>
    <x v="2"/>
    <x v="3"/>
    <x v="1"/>
    <x v="0"/>
    <x v="1"/>
    <x v="1"/>
    <n v="0"/>
    <n v="0"/>
    <n v="16.2"/>
    <n v="16.2"/>
    <n v="16.2"/>
    <n v="16.2"/>
    <n v="21"/>
    <s v="CATIVO"/>
    <n v="0"/>
    <n v="0"/>
    <n v="38"/>
    <n v="76"/>
    <n v="0"/>
    <n v="115.69"/>
    <n v="98.26"/>
    <m/>
    <n v="122.8690453266418"/>
    <n v="72.670649597686321"/>
    <n v="0"/>
    <n v="6436.5839999999998"/>
    <n v="0"/>
    <n v="5882.9513930090716"/>
    <x v="3"/>
  </r>
  <r>
    <s v="Regular"/>
    <x v="1"/>
    <x v="2"/>
    <x v="2"/>
    <x v="3"/>
    <x v="1"/>
    <x v="0"/>
    <x v="1"/>
    <x v="2"/>
    <n v="0"/>
    <n v="0"/>
    <n v="15.93"/>
    <n v="15.93"/>
    <n v="15.93"/>
    <n v="15.93"/>
    <n v="22"/>
    <s v="CATIVO"/>
    <n v="0"/>
    <n v="0"/>
    <n v="38"/>
    <n v="76"/>
    <n v="0"/>
    <n v="115.69"/>
    <n v="98.26"/>
    <m/>
    <n v="122.8690453266418"/>
    <n v="72.670649597686321"/>
    <n v="0"/>
    <n v="6329.3076000000001"/>
    <n v="0"/>
    <n v="5784.9022031255872"/>
    <x v="3"/>
  </r>
  <r>
    <s v="Regular"/>
    <x v="1"/>
    <x v="2"/>
    <x v="2"/>
    <x v="3"/>
    <x v="1"/>
    <x v="0"/>
    <x v="1"/>
    <x v="3"/>
    <n v="0"/>
    <n v="0"/>
    <n v="16.260000000000002"/>
    <n v="16.260000000000002"/>
    <n v="16.260000000000002"/>
    <n v="16.260000000000002"/>
    <n v="21"/>
    <s v="CATIVO"/>
    <n v="0"/>
    <n v="0"/>
    <n v="38"/>
    <n v="76"/>
    <n v="0"/>
    <n v="115.69"/>
    <n v="98.26"/>
    <m/>
    <n v="122.8690453266418"/>
    <n v="72.670649597686321"/>
    <n v="0"/>
    <n v="6460.4232000000002"/>
    <n v="0"/>
    <n v="5904.7401018720684"/>
    <x v="3"/>
  </r>
  <r>
    <s v="Regular"/>
    <x v="1"/>
    <x v="2"/>
    <x v="2"/>
    <x v="3"/>
    <x v="1"/>
    <x v="0"/>
    <x v="1"/>
    <x v="4"/>
    <n v="0"/>
    <n v="0"/>
    <n v="16.62"/>
    <n v="16.62"/>
    <n v="16.62"/>
    <n v="16.62"/>
    <n v="20"/>
    <s v="CATIVO"/>
    <n v="0"/>
    <n v="0"/>
    <n v="38"/>
    <n v="76"/>
    <n v="0"/>
    <n v="115.69"/>
    <n v="98.26"/>
    <m/>
    <n v="122.8690453266418"/>
    <n v="72.670649597686321"/>
    <n v="0"/>
    <n v="6603.4584000000004"/>
    <n v="0"/>
    <n v="6035.4723550500476"/>
    <x v="3"/>
  </r>
  <r>
    <s v="Regular"/>
    <x v="1"/>
    <x v="2"/>
    <x v="2"/>
    <x v="3"/>
    <x v="1"/>
    <x v="0"/>
    <x v="1"/>
    <x v="5"/>
    <n v="0"/>
    <n v="0"/>
    <n v="16.739999999999998"/>
    <n v="16.739999999999998"/>
    <n v="16.739999999999998"/>
    <n v="16.739999999999998"/>
    <n v="18"/>
    <s v="CATIVO"/>
    <n v="0"/>
    <n v="0"/>
    <n v="38"/>
    <n v="76"/>
    <n v="0"/>
    <n v="115.69"/>
    <n v="98.26"/>
    <m/>
    <n v="122.8690453266418"/>
    <n v="72.670649597686321"/>
    <n v="0"/>
    <n v="6651.1367999999993"/>
    <n v="0"/>
    <n v="6079.0497727760403"/>
    <x v="3"/>
  </r>
  <r>
    <s v="Regular"/>
    <x v="1"/>
    <x v="2"/>
    <x v="2"/>
    <x v="3"/>
    <x v="1"/>
    <x v="0"/>
    <x v="1"/>
    <x v="6"/>
    <n v="0"/>
    <n v="0"/>
    <n v="16.940000000000001"/>
    <n v="16.940000000000001"/>
    <n v="16.940000000000001"/>
    <n v="16.940000000000001"/>
    <n v="17"/>
    <s v="CATIVO"/>
    <n v="0"/>
    <n v="0"/>
    <n v="38"/>
    <n v="76"/>
    <n v="0"/>
    <n v="115.69"/>
    <n v="98.26"/>
    <m/>
    <n v="122.8690453266418"/>
    <n v="72.670649597686321"/>
    <n v="0"/>
    <n v="6730.6008000000002"/>
    <n v="0"/>
    <n v="6151.6788023193631"/>
    <x v="3"/>
  </r>
  <r>
    <s v="Regular"/>
    <x v="1"/>
    <x v="2"/>
    <x v="2"/>
    <x v="3"/>
    <x v="1"/>
    <x v="0"/>
    <x v="1"/>
    <x v="7"/>
    <n v="0"/>
    <n v="0"/>
    <n v="17.22"/>
    <n v="17.22"/>
    <n v="17.22"/>
    <n v="17.22"/>
    <n v="13"/>
    <s v="CATIVO"/>
    <n v="0"/>
    <n v="0"/>
    <n v="38"/>
    <n v="76"/>
    <n v="0"/>
    <n v="115.69"/>
    <n v="98.26"/>
    <m/>
    <n v="122.8690453266418"/>
    <n v="72.670649597686321"/>
    <n v="0"/>
    <n v="6841.8503999999994"/>
    <n v="0"/>
    <n v="6253.3594436800131"/>
    <x v="3"/>
  </r>
  <r>
    <s v="Regular"/>
    <x v="1"/>
    <x v="2"/>
    <x v="2"/>
    <x v="3"/>
    <x v="1"/>
    <x v="0"/>
    <x v="1"/>
    <x v="8"/>
    <n v="0"/>
    <n v="0"/>
    <n v="17.399999999999999"/>
    <n v="17.399999999999999"/>
    <n v="17.399999999999999"/>
    <n v="17.399999999999999"/>
    <n v="24"/>
    <s v="CATIVO"/>
    <n v="0"/>
    <n v="0"/>
    <n v="38"/>
    <n v="76"/>
    <n v="0"/>
    <n v="115.69"/>
    <n v="98.26"/>
    <m/>
    <n v="122.8690453266418"/>
    <n v="72.670649597686321"/>
    <n v="0"/>
    <n v="6913.3679999999995"/>
    <n v="0"/>
    <n v="6318.7255702690027"/>
    <x v="3"/>
  </r>
  <r>
    <s v="Regular"/>
    <x v="1"/>
    <x v="2"/>
    <x v="2"/>
    <x v="3"/>
    <x v="1"/>
    <x v="0"/>
    <x v="1"/>
    <x v="9"/>
    <n v="0"/>
    <n v="0"/>
    <n v="17.7"/>
    <n v="17.7"/>
    <n v="17.7"/>
    <n v="17.7"/>
    <n v="23"/>
    <s v="CATIVO"/>
    <n v="0"/>
    <n v="0"/>
    <n v="38"/>
    <n v="76"/>
    <n v="0"/>
    <n v="115.69"/>
    <n v="98.26"/>
    <m/>
    <n v="122.8690453266418"/>
    <n v="72.670649597686321"/>
    <n v="0"/>
    <n v="7032.5639999999994"/>
    <n v="0"/>
    <n v="6427.669114583985"/>
    <x v="3"/>
  </r>
  <r>
    <s v="Regular"/>
    <x v="1"/>
    <x v="2"/>
    <x v="2"/>
    <x v="3"/>
    <x v="1"/>
    <x v="0"/>
    <x v="1"/>
    <x v="10"/>
    <n v="0"/>
    <n v="0"/>
    <n v="18.149999999999999"/>
    <n v="18.149999999999999"/>
    <n v="18.149999999999999"/>
    <n v="18.149999999999999"/>
    <n v="29"/>
    <s v="CATIVO"/>
    <n v="0"/>
    <n v="0"/>
    <n v="38"/>
    <n v="76"/>
    <n v="0"/>
    <n v="115.69"/>
    <n v="98.26"/>
    <m/>
    <n v="122.8690453266418"/>
    <n v="72.670649597686321"/>
    <n v="0"/>
    <n v="7211.3579999999993"/>
    <n v="0"/>
    <n v="6591.0844310564589"/>
    <x v="3"/>
  </r>
  <r>
    <s v="PROJETADO"/>
    <x v="1"/>
    <x v="2"/>
    <x v="2"/>
    <x v="3"/>
    <x v="1"/>
    <x v="0"/>
    <x v="1"/>
    <x v="11"/>
    <n v="0"/>
    <n v="0"/>
    <n v="18.149999999999999"/>
    <n v="18.149999999999999"/>
    <n v="18.149999999999999"/>
    <n v="18.149999999999999"/>
    <n v="29"/>
    <s v="CATIVO"/>
    <n v="0"/>
    <n v="0"/>
    <n v="38"/>
    <n v="76"/>
    <n v="0"/>
    <n v="115.69"/>
    <n v="98.26"/>
    <m/>
    <n v="122.8690453266418"/>
    <n v="72.670649597686321"/>
    <n v="0"/>
    <n v="7211.3579999999993"/>
    <n v="0"/>
    <n v="6591.0844310564589"/>
    <x v="3"/>
  </r>
  <r>
    <s v="Regular"/>
    <x v="1"/>
    <x v="2"/>
    <x v="2"/>
    <x v="4"/>
    <x v="1"/>
    <x v="0"/>
    <x v="1"/>
    <x v="0"/>
    <n v="0"/>
    <n v="0"/>
    <n v="30.582999999999998"/>
    <n v="30.582999999999998"/>
    <n v="30.582999999999998"/>
    <n v="30.582999999999998"/>
    <n v="273"/>
    <s v="CATIVO"/>
    <n v="0"/>
    <n v="0"/>
    <n v="39"/>
    <n v="77"/>
    <n v="0"/>
    <n v="198.33"/>
    <n v="168.44"/>
    <m/>
    <n v="210.63264913138596"/>
    <n v="124.57825645317655"/>
    <n v="0"/>
    <n v="7477.5434999999979"/>
    <n v="0"/>
    <n v="6834.5034169951168"/>
    <x v="3"/>
  </r>
  <r>
    <s v="Regular"/>
    <x v="1"/>
    <x v="2"/>
    <x v="2"/>
    <x v="4"/>
    <x v="1"/>
    <x v="0"/>
    <x v="1"/>
    <x v="1"/>
    <n v="0"/>
    <n v="0"/>
    <n v="30.933"/>
    <n v="30.933"/>
    <n v="30.933"/>
    <n v="30.933"/>
    <n v="205"/>
    <s v="CATIVO"/>
    <n v="0"/>
    <n v="0"/>
    <n v="39"/>
    <n v="77"/>
    <n v="0"/>
    <n v="198.33"/>
    <n v="168.44"/>
    <m/>
    <n v="210.63264913138596"/>
    <n v="124.57825645317655"/>
    <n v="0"/>
    <n v="7563.1184999999978"/>
    <n v="0"/>
    <n v="6912.7192949648479"/>
    <x v="3"/>
  </r>
  <r>
    <s v="Regular"/>
    <x v="1"/>
    <x v="2"/>
    <x v="2"/>
    <x v="4"/>
    <x v="1"/>
    <x v="0"/>
    <x v="1"/>
    <x v="2"/>
    <n v="0"/>
    <n v="0"/>
    <n v="28.279"/>
    <n v="28.279"/>
    <n v="28.279"/>
    <n v="28.279"/>
    <n v="263"/>
    <s v="CATIVO"/>
    <n v="0"/>
    <n v="0"/>
    <n v="39"/>
    <n v="77"/>
    <n v="0"/>
    <n v="198.33"/>
    <n v="168.44"/>
    <m/>
    <n v="210.63264913138596"/>
    <n v="124.57825645317655"/>
    <n v="0"/>
    <n v="6914.2154999999984"/>
    <n v="0"/>
    <n v="6319.6194660172287"/>
    <x v="3"/>
  </r>
  <r>
    <s v="Regular"/>
    <x v="1"/>
    <x v="2"/>
    <x v="2"/>
    <x v="4"/>
    <x v="1"/>
    <x v="0"/>
    <x v="1"/>
    <x v="3"/>
    <n v="0"/>
    <n v="0"/>
    <n v="31.254000000000001"/>
    <n v="31.254000000000001"/>
    <n v="31.254000000000001"/>
    <n v="31.254000000000001"/>
    <n v="221"/>
    <s v="CATIVO"/>
    <n v="0"/>
    <n v="0"/>
    <n v="39"/>
    <n v="77"/>
    <n v="0"/>
    <n v="198.33"/>
    <n v="168.44"/>
    <m/>
    <n v="210.63264913138596"/>
    <n v="124.57825645317655"/>
    <n v="0"/>
    <n v="7641.6029999999982"/>
    <n v="0"/>
    <n v="6984.4544287599447"/>
    <x v="3"/>
  </r>
  <r>
    <s v="Regular"/>
    <x v="1"/>
    <x v="2"/>
    <x v="2"/>
    <x v="4"/>
    <x v="1"/>
    <x v="0"/>
    <x v="1"/>
    <x v="4"/>
    <n v="0"/>
    <n v="0"/>
    <n v="32.868000000000002"/>
    <n v="32.868000000000002"/>
    <n v="32.868000000000002"/>
    <n v="32.868000000000002"/>
    <n v="183"/>
    <s v="CATIVO"/>
    <n v="0"/>
    <n v="0"/>
    <n v="39"/>
    <n v="77"/>
    <n v="0"/>
    <n v="198.33"/>
    <n v="168.44"/>
    <m/>
    <n v="210.63264913138596"/>
    <n v="124.57825645317655"/>
    <n v="0"/>
    <n v="8036.2259999999987"/>
    <n v="0"/>
    <n v="7345.1413631689338"/>
    <x v="3"/>
  </r>
  <r>
    <s v="Regular"/>
    <x v="1"/>
    <x v="2"/>
    <x v="2"/>
    <x v="4"/>
    <x v="1"/>
    <x v="0"/>
    <x v="1"/>
    <x v="5"/>
    <n v="0"/>
    <n v="0"/>
    <n v="32.591999999999999"/>
    <n v="32.591999999999999"/>
    <n v="32.591999999999999"/>
    <n v="32.591999999999999"/>
    <n v="199"/>
    <s v="CATIVO"/>
    <n v="0"/>
    <n v="0"/>
    <n v="39"/>
    <n v="77"/>
    <n v="0"/>
    <n v="198.33"/>
    <n v="168.44"/>
    <m/>
    <n v="210.63264913138596"/>
    <n v="124.57825645317655"/>
    <n v="0"/>
    <n v="7968.7439999999979"/>
    <n v="0"/>
    <n v="7283.4625565413744"/>
    <x v="3"/>
  </r>
  <r>
    <s v="Regular"/>
    <x v="1"/>
    <x v="2"/>
    <x v="2"/>
    <x v="4"/>
    <x v="1"/>
    <x v="0"/>
    <x v="1"/>
    <x v="6"/>
    <n v="0"/>
    <n v="0"/>
    <n v="31.766999999999999"/>
    <n v="31.766999999999999"/>
    <n v="31.766999999999999"/>
    <n v="31.766999999999999"/>
    <n v="252"/>
    <s v="CATIVO"/>
    <n v="0"/>
    <n v="0"/>
    <n v="39"/>
    <n v="77"/>
    <n v="0"/>
    <n v="198.33"/>
    <n v="168.44"/>
    <m/>
    <n v="210.63264913138596"/>
    <n v="124.57825645317655"/>
    <n v="0"/>
    <n v="7767.0314999999982"/>
    <n v="0"/>
    <n v="7099.0965584698652"/>
    <x v="3"/>
  </r>
  <r>
    <s v="Regular"/>
    <x v="1"/>
    <x v="2"/>
    <x v="2"/>
    <x v="4"/>
    <x v="1"/>
    <x v="0"/>
    <x v="1"/>
    <x v="7"/>
    <n v="0"/>
    <n v="0"/>
    <n v="33.64"/>
    <n v="33.64"/>
    <n v="33.64"/>
    <n v="33.64"/>
    <n v="222"/>
    <s v="CATIVO"/>
    <n v="0"/>
    <n v="0"/>
    <n v="39"/>
    <n v="77"/>
    <n v="0"/>
    <n v="198.33"/>
    <n v="168.44"/>
    <m/>
    <n v="210.63264913138596"/>
    <n v="124.57825645317655"/>
    <n v="0"/>
    <n v="8224.9799999999977"/>
    <n v="0"/>
    <n v="7517.6632425764556"/>
    <x v="3"/>
  </r>
  <r>
    <s v="Regular"/>
    <x v="1"/>
    <x v="2"/>
    <x v="2"/>
    <x v="4"/>
    <x v="1"/>
    <x v="0"/>
    <x v="1"/>
    <x v="8"/>
    <n v="0"/>
    <n v="0"/>
    <n v="31.475999999999999"/>
    <n v="31.475999999999999"/>
    <n v="31.475999999999999"/>
    <n v="31.475999999999999"/>
    <n v="266"/>
    <s v="CATIVO"/>
    <n v="0"/>
    <n v="0"/>
    <n v="39"/>
    <n v="77"/>
    <n v="0"/>
    <n v="198.33"/>
    <n v="168.44"/>
    <m/>
    <n v="210.63264913138596"/>
    <n v="124.57825645317655"/>
    <n v="0"/>
    <n v="7695.8819999999978"/>
    <n v="0"/>
    <n v="7034.0656427864596"/>
    <x v="3"/>
  </r>
  <r>
    <s v="Regular"/>
    <x v="1"/>
    <x v="2"/>
    <x v="2"/>
    <x v="4"/>
    <x v="1"/>
    <x v="0"/>
    <x v="1"/>
    <x v="9"/>
    <n v="0"/>
    <n v="0"/>
    <n v="30.445"/>
    <n v="30.445"/>
    <n v="30.445"/>
    <n v="30.445"/>
    <n v="324"/>
    <s v="CATIVO"/>
    <n v="0"/>
    <n v="0"/>
    <n v="39"/>
    <n v="77"/>
    <n v="0"/>
    <n v="198.33"/>
    <n v="168.44"/>
    <m/>
    <n v="210.63264913138596"/>
    <n v="124.57825645317655"/>
    <n v="0"/>
    <n v="7443.802499999998"/>
    <n v="0"/>
    <n v="6803.6640136813376"/>
    <x v="3"/>
  </r>
  <r>
    <s v="Regular"/>
    <x v="1"/>
    <x v="2"/>
    <x v="2"/>
    <x v="4"/>
    <x v="1"/>
    <x v="0"/>
    <x v="1"/>
    <x v="10"/>
    <n v="0"/>
    <n v="0"/>
    <n v="31.358000000000001"/>
    <n v="31.358000000000001"/>
    <n v="31.358000000000001"/>
    <n v="31.358000000000001"/>
    <n v="291"/>
    <s v="CATIVO"/>
    <n v="0"/>
    <n v="0"/>
    <n v="39"/>
    <n v="77"/>
    <n v="0"/>
    <n v="198.33"/>
    <n v="168.44"/>
    <m/>
    <n v="210.63264913138596"/>
    <n v="124.57825645317655"/>
    <n v="0"/>
    <n v="7667.0309999999981"/>
    <n v="0"/>
    <n v="7007.6957182138076"/>
    <x v="3"/>
  </r>
  <r>
    <s v="PROJETADO"/>
    <x v="1"/>
    <x v="2"/>
    <x v="2"/>
    <x v="4"/>
    <x v="1"/>
    <x v="0"/>
    <x v="1"/>
    <x v="11"/>
    <n v="0"/>
    <n v="0"/>
    <n v="31.358000000000001"/>
    <n v="31.358000000000001"/>
    <n v="31.358000000000001"/>
    <n v="31.358000000000001"/>
    <n v="291"/>
    <s v="CATIVO"/>
    <n v="0"/>
    <n v="0"/>
    <n v="39"/>
    <n v="77"/>
    <n v="0"/>
    <n v="198.33"/>
    <n v="168.44"/>
    <m/>
    <n v="210.63264913138596"/>
    <n v="124.57825645317655"/>
    <n v="0"/>
    <n v="7667.0309999999981"/>
    <n v="0"/>
    <n v="7007.6957182138076"/>
    <x v="3"/>
  </r>
  <r>
    <s v="Regular"/>
    <x v="1"/>
    <x v="2"/>
    <x v="2"/>
    <x v="5"/>
    <x v="1"/>
    <x v="0"/>
    <x v="1"/>
    <x v="0"/>
    <n v="0"/>
    <n v="0"/>
    <n v="13.061"/>
    <n v="13.061"/>
    <n v="13.061"/>
    <n v="13.061"/>
    <n v="261"/>
    <s v="CATIVO"/>
    <n v="0"/>
    <n v="0"/>
    <n v="40"/>
    <n v="78"/>
    <n v="0"/>
    <n v="297.49"/>
    <n v="252.66"/>
    <m/>
    <n v="315.94897369707894"/>
    <n v="186.86738467976483"/>
    <n v="0"/>
    <n v="798.28831999999966"/>
    <n v="0"/>
    <n v="729.69827297332847"/>
    <x v="3"/>
  </r>
  <r>
    <s v="Regular"/>
    <x v="1"/>
    <x v="2"/>
    <x v="2"/>
    <x v="5"/>
    <x v="1"/>
    <x v="0"/>
    <x v="1"/>
    <x v="1"/>
    <n v="0"/>
    <n v="0"/>
    <n v="15.353999999999999"/>
    <n v="15.353999999999999"/>
    <n v="15.353999999999999"/>
    <n v="15.353999999999999"/>
    <n v="286"/>
    <s v="CATIVO"/>
    <n v="0"/>
    <n v="0"/>
    <n v="40"/>
    <n v="78"/>
    <n v="0"/>
    <n v="297.49"/>
    <n v="252.66"/>
    <m/>
    <n v="315.94897369707894"/>
    <n v="186.86738467976483"/>
    <n v="0"/>
    <n v="938.43647999999962"/>
    <n v="0"/>
    <n v="857.80470739089537"/>
    <x v="3"/>
  </r>
  <r>
    <s v="Regular"/>
    <x v="1"/>
    <x v="2"/>
    <x v="2"/>
    <x v="5"/>
    <x v="1"/>
    <x v="0"/>
    <x v="1"/>
    <x v="2"/>
    <n v="0"/>
    <n v="0"/>
    <n v="10.358000000000001"/>
    <n v="10.358000000000001"/>
    <n v="10.358000000000001"/>
    <n v="10.358000000000001"/>
    <n v="232"/>
    <s v="CATIVO"/>
    <n v="0"/>
    <n v="0"/>
    <n v="40"/>
    <n v="78"/>
    <n v="0"/>
    <n v="297.49"/>
    <n v="252.66"/>
    <m/>
    <n v="315.94897369707894"/>
    <n v="186.86738467976483"/>
    <n v="0"/>
    <n v="633.08095999999978"/>
    <n v="0"/>
    <n v="578.68576000748317"/>
    <x v="3"/>
  </r>
  <r>
    <s v="Regular"/>
    <x v="1"/>
    <x v="2"/>
    <x v="2"/>
    <x v="5"/>
    <x v="1"/>
    <x v="0"/>
    <x v="1"/>
    <x v="3"/>
    <n v="0"/>
    <n v="0"/>
    <n v="14.414"/>
    <n v="14.414"/>
    <n v="14.414"/>
    <n v="14.414"/>
    <n v="268"/>
    <s v="CATIVO"/>
    <n v="0"/>
    <n v="0"/>
    <n v="40"/>
    <n v="78"/>
    <n v="0"/>
    <n v="297.49"/>
    <n v="252.66"/>
    <m/>
    <n v="315.94897369707894"/>
    <n v="186.86738467976483"/>
    <n v="0"/>
    <n v="880.98367999999959"/>
    <n v="0"/>
    <n v="805.28833218264731"/>
    <x v="3"/>
  </r>
  <r>
    <s v="Regular"/>
    <x v="1"/>
    <x v="2"/>
    <x v="2"/>
    <x v="5"/>
    <x v="1"/>
    <x v="0"/>
    <x v="1"/>
    <x v="4"/>
    <n v="0"/>
    <n v="0"/>
    <n v="18.116"/>
    <n v="18.116"/>
    <n v="18.116"/>
    <n v="18.116"/>
    <n v="312"/>
    <s v="CATIVO"/>
    <n v="0"/>
    <n v="0"/>
    <n v="40"/>
    <n v="78"/>
    <n v="0"/>
    <n v="297.49"/>
    <n v="252.66"/>
    <m/>
    <n v="315.94897369707894"/>
    <n v="186.86738467976483"/>
    <n v="0"/>
    <n v="1107.2499199999995"/>
    <n v="0"/>
    <n v="1012.1134609283224"/>
    <x v="3"/>
  </r>
  <r>
    <s v="Regular"/>
    <x v="1"/>
    <x v="2"/>
    <x v="2"/>
    <x v="5"/>
    <x v="1"/>
    <x v="0"/>
    <x v="1"/>
    <x v="5"/>
    <n v="0"/>
    <n v="0"/>
    <n v="16.149999999999999"/>
    <n v="16.149999999999999"/>
    <n v="16.149999999999999"/>
    <n v="16.149999999999999"/>
    <n v="307"/>
    <s v="CATIVO"/>
    <n v="0"/>
    <n v="0"/>
    <n v="40"/>
    <n v="78"/>
    <n v="0"/>
    <n v="297.49"/>
    <n v="252.66"/>
    <m/>
    <n v="315.94897369707894"/>
    <n v="186.86738467976483"/>
    <n v="0"/>
    <n v="987.08799999999951"/>
    <n v="0"/>
    <n v="902.27602086511399"/>
    <x v="3"/>
  </r>
  <r>
    <s v="Regular"/>
    <x v="1"/>
    <x v="2"/>
    <x v="2"/>
    <x v="5"/>
    <x v="1"/>
    <x v="0"/>
    <x v="1"/>
    <x v="6"/>
    <n v="0"/>
    <n v="0"/>
    <n v="13.394"/>
    <n v="13.394"/>
    <n v="13.394"/>
    <n v="13.394"/>
    <n v="273"/>
    <s v="CATIVO"/>
    <n v="0"/>
    <n v="0"/>
    <n v="40"/>
    <n v="78"/>
    <n v="0"/>
    <n v="297.49"/>
    <n v="252.66"/>
    <m/>
    <n v="315.94897369707894"/>
    <n v="186.86738467976483"/>
    <n v="0"/>
    <n v="818.64127999999971"/>
    <n v="0"/>
    <n v="748.3024782332717"/>
    <x v="3"/>
  </r>
  <r>
    <s v="Regular"/>
    <x v="1"/>
    <x v="2"/>
    <x v="2"/>
    <x v="5"/>
    <x v="1"/>
    <x v="0"/>
    <x v="1"/>
    <x v="7"/>
    <n v="0"/>
    <n v="0"/>
    <n v="16.189"/>
    <n v="16.189"/>
    <n v="16.189"/>
    <n v="16.189"/>
    <n v="309"/>
    <s v="CATIVO"/>
    <n v="0"/>
    <n v="0"/>
    <n v="40"/>
    <n v="78"/>
    <n v="0"/>
    <n v="297.49"/>
    <n v="252.66"/>
    <m/>
    <n v="315.94897369707894"/>
    <n v="186.86738467976483"/>
    <n v="0"/>
    <n v="989.47167999999965"/>
    <n v="0"/>
    <n v="904.4548917514137"/>
    <x v="3"/>
  </r>
  <r>
    <s v="Regular"/>
    <x v="1"/>
    <x v="2"/>
    <x v="2"/>
    <x v="5"/>
    <x v="1"/>
    <x v="0"/>
    <x v="1"/>
    <x v="8"/>
    <n v="0"/>
    <n v="0"/>
    <n v="12.414999999999999"/>
    <n v="12.414999999999999"/>
    <n v="12.414999999999999"/>
    <n v="12.414999999999999"/>
    <n v="268"/>
    <s v="CATIVO"/>
    <n v="0"/>
    <n v="0"/>
    <n v="40"/>
    <n v="78"/>
    <n v="0"/>
    <n v="297.49"/>
    <n v="252.66"/>
    <m/>
    <n v="315.94897369707894"/>
    <n v="186.86738467976483"/>
    <n v="0"/>
    <n v="758.80479999999966"/>
    <n v="0"/>
    <n v="693.60723213872393"/>
    <x v="3"/>
  </r>
  <r>
    <s v="Regular"/>
    <x v="1"/>
    <x v="2"/>
    <x v="2"/>
    <x v="5"/>
    <x v="1"/>
    <x v="0"/>
    <x v="1"/>
    <x v="9"/>
    <n v="0"/>
    <n v="0"/>
    <n v="10.862"/>
    <n v="10.862"/>
    <n v="10.862"/>
    <n v="10.862"/>
    <n v="228"/>
    <s v="CATIVO"/>
    <n v="0"/>
    <n v="0"/>
    <n v="40"/>
    <n v="78"/>
    <n v="0"/>
    <n v="297.49"/>
    <n v="252.66"/>
    <m/>
    <n v="315.94897369707894"/>
    <n v="186.86738467976483"/>
    <n v="0"/>
    <n v="663.88543999999979"/>
    <n v="0"/>
    <n v="606.84347607658628"/>
    <x v="3"/>
  </r>
  <r>
    <s v="Regular"/>
    <x v="1"/>
    <x v="2"/>
    <x v="2"/>
    <x v="5"/>
    <x v="1"/>
    <x v="0"/>
    <x v="1"/>
    <x v="10"/>
    <n v="0"/>
    <n v="0"/>
    <n v="12.992000000000001"/>
    <n v="12.992000000000001"/>
    <n v="12.992000000000001"/>
    <n v="12.992000000000001"/>
    <n v="259"/>
    <s v="CATIVO"/>
    <n v="0"/>
    <n v="0"/>
    <n v="40"/>
    <n v="78"/>
    <n v="0"/>
    <n v="297.49"/>
    <n v="252.66"/>
    <m/>
    <n v="315.94897369707894"/>
    <n v="186.86738467976483"/>
    <n v="0"/>
    <n v="794.0710399999997"/>
    <n v="0"/>
    <n v="725.84334755910606"/>
    <x v="3"/>
  </r>
  <r>
    <s v="PROJETADO"/>
    <x v="1"/>
    <x v="2"/>
    <x v="2"/>
    <x v="5"/>
    <x v="1"/>
    <x v="0"/>
    <x v="1"/>
    <x v="11"/>
    <n v="0"/>
    <n v="0"/>
    <n v="12.992000000000001"/>
    <n v="12.992000000000001"/>
    <n v="12.992000000000001"/>
    <n v="12.992000000000001"/>
    <n v="259"/>
    <s v="CATIVO"/>
    <n v="0"/>
    <n v="0"/>
    <n v="40"/>
    <n v="78"/>
    <n v="0"/>
    <n v="297.49"/>
    <n v="252.66"/>
    <m/>
    <n v="315.94897369707894"/>
    <n v="186.86738467976483"/>
    <n v="0"/>
    <n v="794.0710399999997"/>
    <n v="0"/>
    <n v="725.84334755910606"/>
    <x v="3"/>
  </r>
  <r>
    <s v="Regular"/>
    <x v="1"/>
    <x v="2"/>
    <x v="2"/>
    <x v="6"/>
    <x v="1"/>
    <x v="0"/>
    <x v="1"/>
    <x v="0"/>
    <n v="0"/>
    <n v="0"/>
    <n v="0.874"/>
    <n v="0.874"/>
    <n v="0.874"/>
    <n v="0.874"/>
    <n v="22"/>
    <s v="CATIVO"/>
    <n v="0"/>
    <n v="0"/>
    <n v="41"/>
    <n v="79"/>
    <n v="0"/>
    <n v="330.54"/>
    <n v="280.73"/>
    <m/>
    <n v="351.0544152189766"/>
    <n v="207.63042742196092"/>
    <n v="0"/>
    <n v="-4.9681148084346205E-14"/>
    <n v="0"/>
    <n v="0"/>
    <x v="3"/>
  </r>
  <r>
    <s v="Regular"/>
    <x v="1"/>
    <x v="2"/>
    <x v="2"/>
    <x v="6"/>
    <x v="1"/>
    <x v="0"/>
    <x v="1"/>
    <x v="1"/>
    <n v="0"/>
    <n v="0"/>
    <n v="1.5940000000000001"/>
    <n v="1.5940000000000001"/>
    <n v="1.5940000000000001"/>
    <n v="1.5940000000000001"/>
    <n v="28"/>
    <s v="CATIVO"/>
    <n v="0"/>
    <n v="0"/>
    <n v="41"/>
    <n v="79"/>
    <n v="0"/>
    <n v="330.54"/>
    <n v="280.73"/>
    <m/>
    <n v="351.0544152189766"/>
    <n v="207.63042742196092"/>
    <n v="0"/>
    <n v="-9.060840966412798E-14"/>
    <n v="0"/>
    <n v="0"/>
    <x v="3"/>
  </r>
  <r>
    <s v="Regular"/>
    <x v="1"/>
    <x v="2"/>
    <x v="2"/>
    <x v="6"/>
    <x v="1"/>
    <x v="0"/>
    <x v="1"/>
    <x v="2"/>
    <n v="0"/>
    <n v="0"/>
    <n v="0.61299999999999999"/>
    <n v="0.61299999999999999"/>
    <n v="0.61299999999999999"/>
    <n v="0.61299999999999999"/>
    <n v="14"/>
    <s v="CATIVO"/>
    <n v="0"/>
    <n v="0"/>
    <n v="41"/>
    <n v="79"/>
    <n v="0"/>
    <n v="330.54"/>
    <n v="280.73"/>
    <m/>
    <n v="351.0544152189766"/>
    <n v="207.63042742196092"/>
    <n v="0"/>
    <n v="-3.4845015761675313E-14"/>
    <n v="0"/>
    <n v="0"/>
    <x v="3"/>
  </r>
  <r>
    <s v="Regular"/>
    <x v="1"/>
    <x v="2"/>
    <x v="2"/>
    <x v="6"/>
    <x v="1"/>
    <x v="0"/>
    <x v="1"/>
    <x v="3"/>
    <n v="0"/>
    <n v="0"/>
    <n v="1.5680000000000001"/>
    <n v="1.5680000000000001"/>
    <n v="1.5680000000000001"/>
    <n v="1.5680000000000001"/>
    <n v="32"/>
    <s v="CATIVO"/>
    <n v="0"/>
    <n v="0"/>
    <n v="41"/>
    <n v="79"/>
    <n v="0"/>
    <n v="330.54"/>
    <n v="280.73"/>
    <m/>
    <n v="351.0544152189766"/>
    <n v="207.63042742196092"/>
    <n v="0"/>
    <n v="-8.9130480773746971E-14"/>
    <n v="0"/>
    <n v="0"/>
    <x v="3"/>
  </r>
  <r>
    <s v="Regular"/>
    <x v="1"/>
    <x v="2"/>
    <x v="2"/>
    <x v="6"/>
    <x v="1"/>
    <x v="0"/>
    <x v="1"/>
    <x v="4"/>
    <n v="0"/>
    <n v="0"/>
    <n v="2.3109999999999999"/>
    <n v="2.3109999999999999"/>
    <n v="2.3109999999999999"/>
    <n v="2.3109999999999999"/>
    <n v="39"/>
    <s v="CATIVO"/>
    <n v="0"/>
    <n v="0"/>
    <n v="41"/>
    <n v="79"/>
    <n v="0"/>
    <n v="330.54"/>
    <n v="280.73"/>
    <m/>
    <n v="351.0544152189766"/>
    <n v="207.63042742196092"/>
    <n v="0"/>
    <n v="-1.3136514098732732E-13"/>
    <n v="0"/>
    <n v="0"/>
    <x v="3"/>
  </r>
  <r>
    <s v="Regular"/>
    <x v="1"/>
    <x v="2"/>
    <x v="2"/>
    <x v="6"/>
    <x v="1"/>
    <x v="0"/>
    <x v="1"/>
    <x v="5"/>
    <n v="0"/>
    <n v="0"/>
    <n v="1.925"/>
    <n v="1.925"/>
    <n v="1.925"/>
    <n v="1.925"/>
    <n v="34"/>
    <s v="CATIVO"/>
    <n v="0"/>
    <n v="0"/>
    <n v="41"/>
    <n v="79"/>
    <n v="0"/>
    <n v="330.54"/>
    <n v="280.73"/>
    <m/>
    <n v="351.0544152189766"/>
    <n v="207.63042742196092"/>
    <n v="0"/>
    <n v="-1.0942358130705543E-13"/>
    <n v="0"/>
    <n v="0"/>
    <x v="3"/>
  </r>
  <r>
    <s v="Regular"/>
    <x v="1"/>
    <x v="2"/>
    <x v="2"/>
    <x v="6"/>
    <x v="1"/>
    <x v="0"/>
    <x v="1"/>
    <x v="6"/>
    <n v="0"/>
    <n v="0"/>
    <n v="1.6319999999999999"/>
    <n v="1.6319999999999999"/>
    <n v="1.6319999999999999"/>
    <n v="1.6319999999999999"/>
    <n v="23"/>
    <s v="CATIVO"/>
    <n v="0"/>
    <n v="0"/>
    <n v="41"/>
    <n v="79"/>
    <n v="0"/>
    <n v="330.54"/>
    <n v="280.73"/>
    <m/>
    <n v="351.0544152189766"/>
    <n v="207.63042742196092"/>
    <n v="0"/>
    <n v="-9.2768459580838674E-14"/>
    <n v="0"/>
    <n v="0"/>
    <x v="3"/>
  </r>
  <r>
    <s v="Regular"/>
    <x v="1"/>
    <x v="2"/>
    <x v="2"/>
    <x v="6"/>
    <x v="1"/>
    <x v="0"/>
    <x v="1"/>
    <x v="7"/>
    <n v="0"/>
    <n v="0"/>
    <n v="2.0339999999999998"/>
    <n v="2.0339999999999998"/>
    <n v="2.0339999999999998"/>
    <n v="2.0339999999999998"/>
    <n v="30"/>
    <s v="CATIVO"/>
    <n v="0"/>
    <n v="0"/>
    <n v="41"/>
    <n v="79"/>
    <n v="0"/>
    <n v="330.54"/>
    <n v="280.73"/>
    <m/>
    <n v="351.0544152189766"/>
    <n v="207.63042742196092"/>
    <n v="0"/>
    <n v="-1.1561951396288349E-13"/>
    <n v="0"/>
    <n v="0"/>
    <x v="3"/>
  </r>
  <r>
    <s v="Regular"/>
    <x v="1"/>
    <x v="2"/>
    <x v="2"/>
    <x v="6"/>
    <x v="1"/>
    <x v="0"/>
    <x v="1"/>
    <x v="8"/>
    <n v="0"/>
    <n v="0"/>
    <n v="0.96599999999999997"/>
    <n v="0.96599999999999997"/>
    <n v="0.96599999999999997"/>
    <n v="0.96599999999999997"/>
    <n v="22"/>
    <s v="CATIVO"/>
    <n v="0"/>
    <n v="0"/>
    <n v="41"/>
    <n v="79"/>
    <n v="0"/>
    <n v="330.54"/>
    <n v="280.73"/>
    <m/>
    <n v="351.0544152189766"/>
    <n v="207.63042742196092"/>
    <n v="0"/>
    <n v="-5.4910742619540541E-14"/>
    <n v="0"/>
    <n v="0"/>
    <x v="3"/>
  </r>
  <r>
    <s v="Regular"/>
    <x v="1"/>
    <x v="2"/>
    <x v="2"/>
    <x v="6"/>
    <x v="1"/>
    <x v="0"/>
    <x v="1"/>
    <x v="9"/>
    <n v="0"/>
    <n v="0"/>
    <n v="1.1439999999999999"/>
    <n v="1.1439999999999999"/>
    <n v="1.1439999999999999"/>
    <n v="1.1439999999999999"/>
    <n v="15"/>
    <s v="CATIVO"/>
    <n v="0"/>
    <n v="0"/>
    <n v="41"/>
    <n v="79"/>
    <n v="0"/>
    <n v="330.54"/>
    <n v="280.73"/>
    <m/>
    <n v="351.0544152189766"/>
    <n v="207.63042742196092"/>
    <n v="0"/>
    <n v="-6.5028871176764364E-14"/>
    <n v="0"/>
    <n v="0"/>
    <x v="3"/>
  </r>
  <r>
    <s v="Regular"/>
    <x v="1"/>
    <x v="2"/>
    <x v="2"/>
    <x v="6"/>
    <x v="1"/>
    <x v="0"/>
    <x v="1"/>
    <x v="10"/>
    <n v="0"/>
    <n v="0"/>
    <n v="1.573"/>
    <n v="1.573"/>
    <n v="1.573"/>
    <n v="1.573"/>
    <n v="26"/>
    <s v="CATIVO"/>
    <n v="0"/>
    <n v="0"/>
    <n v="41"/>
    <n v="79"/>
    <n v="0"/>
    <n v="330.54"/>
    <n v="280.73"/>
    <m/>
    <n v="351.0544152189766"/>
    <n v="207.63042742196092"/>
    <n v="0"/>
    <n v="-8.9414697868051005E-14"/>
    <n v="0"/>
    <n v="0"/>
    <x v="3"/>
  </r>
  <r>
    <s v="PROJETADO"/>
    <x v="1"/>
    <x v="2"/>
    <x v="2"/>
    <x v="6"/>
    <x v="1"/>
    <x v="0"/>
    <x v="1"/>
    <x v="11"/>
    <n v="0"/>
    <n v="0"/>
    <n v="1.573"/>
    <n v="1.573"/>
    <n v="1.573"/>
    <n v="1.573"/>
    <n v="26"/>
    <s v="CATIVO"/>
    <n v="0"/>
    <n v="0"/>
    <n v="41"/>
    <n v="79"/>
    <n v="0"/>
    <n v="330.54"/>
    <n v="280.73"/>
    <m/>
    <n v="351.0544152189766"/>
    <n v="207.63042742196092"/>
    <n v="0"/>
    <n v="-8.9414697868051005E-14"/>
    <n v="0"/>
    <n v="0"/>
    <x v="3"/>
  </r>
  <r>
    <s v="Regular"/>
    <x v="2"/>
    <x v="2"/>
    <x v="3"/>
    <x v="7"/>
    <x v="2"/>
    <x v="0"/>
    <x v="1"/>
    <x v="0"/>
    <n v="0"/>
    <n v="0"/>
    <n v="0.25800000000000001"/>
    <n v="0.25800000000000001"/>
    <n v="0.25800000000000001"/>
    <n v="0.25800000000000001"/>
    <n v="0"/>
    <s v="CATIVO"/>
    <n v="0"/>
    <n v="0"/>
    <n v="50"/>
    <n v="1"/>
    <n v="0"/>
    <n v="358.53"/>
    <n v="247.04"/>
    <m/>
    <n v="443.01644531329566"/>
    <n v="195.17260177664326"/>
    <n v="0"/>
    <n v="21.305640000000032"/>
    <n v="0"/>
    <n v="10.50975154143857"/>
    <x v="4"/>
  </r>
  <r>
    <s v="Regular"/>
    <x v="2"/>
    <x v="2"/>
    <x v="3"/>
    <x v="7"/>
    <x v="2"/>
    <x v="0"/>
    <x v="1"/>
    <x v="1"/>
    <n v="0"/>
    <n v="0"/>
    <n v="0.254"/>
    <n v="0.254"/>
    <n v="0.254"/>
    <n v="0.254"/>
    <n v="0"/>
    <s v="CATIVO"/>
    <n v="0"/>
    <n v="0"/>
    <n v="50"/>
    <n v="1"/>
    <n v="0"/>
    <n v="358.53"/>
    <n v="247.04"/>
    <m/>
    <n v="443.01644531329566"/>
    <n v="195.17260177664326"/>
    <n v="0"/>
    <n v="20.975320000000032"/>
    <n v="0"/>
    <n v="10.346809657075182"/>
    <x v="4"/>
  </r>
  <r>
    <s v="Regular"/>
    <x v="2"/>
    <x v="2"/>
    <x v="3"/>
    <x v="7"/>
    <x v="2"/>
    <x v="0"/>
    <x v="1"/>
    <x v="2"/>
    <n v="0"/>
    <n v="0"/>
    <n v="0.224"/>
    <n v="0.224"/>
    <n v="0.224"/>
    <n v="0.224"/>
    <n v="0"/>
    <s v="CATIVO"/>
    <n v="0"/>
    <n v="0"/>
    <n v="50"/>
    <n v="1"/>
    <n v="0"/>
    <n v="358.53"/>
    <n v="247.04"/>
    <m/>
    <n v="443.01644531329566"/>
    <n v="195.17260177664326"/>
    <n v="0"/>
    <n v="18.497920000000029"/>
    <n v="0"/>
    <n v="9.1247455243497662"/>
    <x v="4"/>
  </r>
  <r>
    <s v="Regular"/>
    <x v="2"/>
    <x v="2"/>
    <x v="3"/>
    <x v="7"/>
    <x v="2"/>
    <x v="0"/>
    <x v="1"/>
    <x v="3"/>
    <n v="0"/>
    <n v="0"/>
    <n v="0.25800000000000001"/>
    <n v="0.25800000000000001"/>
    <n v="0.25800000000000001"/>
    <n v="0.25800000000000001"/>
    <n v="0"/>
    <s v="CATIVO"/>
    <n v="0"/>
    <n v="0"/>
    <n v="50"/>
    <n v="1"/>
    <n v="0"/>
    <n v="358.53"/>
    <n v="247.04"/>
    <m/>
    <n v="443.01644531329566"/>
    <n v="195.17260177664326"/>
    <n v="0"/>
    <n v="21.305640000000032"/>
    <n v="0"/>
    <n v="10.50975154143857"/>
    <x v="4"/>
  </r>
  <r>
    <s v="Regular"/>
    <x v="2"/>
    <x v="2"/>
    <x v="3"/>
    <x v="7"/>
    <x v="2"/>
    <x v="0"/>
    <x v="1"/>
    <x v="4"/>
    <n v="0"/>
    <n v="0"/>
    <n v="0.377"/>
    <n v="0.377"/>
    <n v="0.377"/>
    <n v="0.377"/>
    <n v="0"/>
    <s v="CATIVO"/>
    <n v="0"/>
    <n v="0"/>
    <n v="50"/>
    <n v="1"/>
    <n v="0"/>
    <n v="358.53"/>
    <n v="247.04"/>
    <m/>
    <n v="443.01644531329566"/>
    <n v="195.17260177664326"/>
    <n v="0"/>
    <n v="31.132660000000048"/>
    <n v="0"/>
    <n v="15.357272601249383"/>
    <x v="4"/>
  </r>
  <r>
    <s v="Regular"/>
    <x v="2"/>
    <x v="2"/>
    <x v="3"/>
    <x v="7"/>
    <x v="2"/>
    <x v="0"/>
    <x v="1"/>
    <x v="5"/>
    <n v="0"/>
    <n v="0"/>
    <n v="0.316"/>
    <n v="0.316"/>
    <n v="0.316"/>
    <n v="0.316"/>
    <n v="0"/>
    <s v="CATIVO"/>
    <n v="0"/>
    <n v="0"/>
    <n v="50"/>
    <n v="1"/>
    <n v="0"/>
    <n v="358.53"/>
    <n v="247.04"/>
    <m/>
    <n v="443.01644531329566"/>
    <n v="195.17260177664326"/>
    <n v="0"/>
    <n v="26.095280000000042"/>
    <n v="0"/>
    <n v="12.872408864707706"/>
    <x v="4"/>
  </r>
  <r>
    <s v="Regular"/>
    <x v="2"/>
    <x v="2"/>
    <x v="3"/>
    <x v="7"/>
    <x v="2"/>
    <x v="0"/>
    <x v="1"/>
    <x v="6"/>
    <n v="0"/>
    <n v="0"/>
    <n v="0.61"/>
    <n v="0.61"/>
    <n v="0.61"/>
    <n v="0.61"/>
    <n v="0"/>
    <s v="CATIVO"/>
    <n v="0"/>
    <n v="0"/>
    <n v="50"/>
    <n v="1"/>
    <n v="0"/>
    <n v="358.53"/>
    <n v="247.04"/>
    <m/>
    <n v="443.01644531329566"/>
    <n v="195.17260177664326"/>
    <n v="0"/>
    <n v="50.373800000000074"/>
    <n v="0"/>
    <n v="24.848637365416774"/>
    <x v="4"/>
  </r>
  <r>
    <s v="Regular"/>
    <x v="2"/>
    <x v="2"/>
    <x v="3"/>
    <x v="7"/>
    <x v="2"/>
    <x v="0"/>
    <x v="1"/>
    <x v="7"/>
    <n v="0"/>
    <n v="0"/>
    <n v="0.22900000000000001"/>
    <n v="0.22900000000000001"/>
    <n v="0.22900000000000001"/>
    <n v="0.22900000000000001"/>
    <n v="0"/>
    <s v="CATIVO"/>
    <n v="0"/>
    <n v="0"/>
    <n v="50"/>
    <n v="1"/>
    <n v="0"/>
    <n v="358.53"/>
    <n v="247.04"/>
    <m/>
    <n v="443.01644531329566"/>
    <n v="195.17260177664326"/>
    <n v="0"/>
    <n v="18.910820000000029"/>
    <n v="0"/>
    <n v="9.3284228798040019"/>
    <x v="4"/>
  </r>
  <r>
    <s v="Regular"/>
    <x v="2"/>
    <x v="2"/>
    <x v="3"/>
    <x v="7"/>
    <x v="2"/>
    <x v="0"/>
    <x v="1"/>
    <x v="8"/>
    <n v="0"/>
    <n v="0"/>
    <n v="0.29899999999999999"/>
    <n v="0.29899999999999999"/>
    <n v="0.29899999999999999"/>
    <n v="0.29899999999999999"/>
    <n v="0"/>
    <s v="CATIVO"/>
    <n v="0"/>
    <n v="0"/>
    <n v="50"/>
    <n v="1"/>
    <n v="0"/>
    <n v="358.53"/>
    <n v="247.04"/>
    <m/>
    <n v="443.01644531329566"/>
    <n v="195.17260177664326"/>
    <n v="0"/>
    <n v="24.691420000000036"/>
    <n v="0"/>
    <n v="12.179905856163304"/>
    <x v="4"/>
  </r>
  <r>
    <s v="Regular"/>
    <x v="2"/>
    <x v="2"/>
    <x v="3"/>
    <x v="7"/>
    <x v="2"/>
    <x v="0"/>
    <x v="1"/>
    <x v="9"/>
    <n v="0"/>
    <n v="0"/>
    <n v="0.2"/>
    <n v="0.2"/>
    <n v="0.2"/>
    <n v="0.2"/>
    <n v="0"/>
    <s v="CATIVO"/>
    <n v="0"/>
    <n v="0"/>
    <n v="50"/>
    <n v="1"/>
    <n v="0"/>
    <n v="358.53"/>
    <n v="247.04"/>
    <m/>
    <n v="443.01644531329566"/>
    <n v="195.17260177664326"/>
    <n v="0"/>
    <n v="16.516000000000027"/>
    <n v="0"/>
    <n v="8.1470942181694337"/>
    <x v="4"/>
  </r>
  <r>
    <s v="Regular"/>
    <x v="2"/>
    <x v="2"/>
    <x v="3"/>
    <x v="7"/>
    <x v="2"/>
    <x v="0"/>
    <x v="1"/>
    <x v="10"/>
    <n v="0"/>
    <n v="0"/>
    <n v="0.51900000000000002"/>
    <n v="0.51900000000000002"/>
    <n v="0.51900000000000002"/>
    <n v="0.51900000000000002"/>
    <n v="0"/>
    <s v="CATIVO"/>
    <n v="0"/>
    <n v="0"/>
    <n v="50"/>
    <n v="1"/>
    <n v="0"/>
    <n v="358.53"/>
    <n v="247.04"/>
    <m/>
    <n v="443.01644531329566"/>
    <n v="195.17260177664326"/>
    <n v="0"/>
    <n v="42.859020000000065"/>
    <n v="0"/>
    <n v="21.141709496149684"/>
    <x v="4"/>
  </r>
  <r>
    <s v="PROJETADO"/>
    <x v="2"/>
    <x v="2"/>
    <x v="3"/>
    <x v="7"/>
    <x v="2"/>
    <x v="0"/>
    <x v="1"/>
    <x v="11"/>
    <n v="0"/>
    <n v="0"/>
    <n v="0.51900000000000002"/>
    <n v="0.51900000000000002"/>
    <n v="0.51900000000000002"/>
    <n v="0.51900000000000002"/>
    <n v="0"/>
    <s v="CATIVO"/>
    <n v="0"/>
    <n v="0"/>
    <n v="50"/>
    <n v="1"/>
    <n v="0"/>
    <n v="358.53"/>
    <n v="247.04"/>
    <m/>
    <n v="443.01644531329566"/>
    <n v="195.17260177664326"/>
    <n v="0"/>
    <n v="42.859020000000065"/>
    <n v="0"/>
    <n v="21.141709496149684"/>
    <x v="4"/>
  </r>
  <r>
    <s v="Regular"/>
    <x v="2"/>
    <x v="2"/>
    <x v="3"/>
    <x v="7"/>
    <x v="3"/>
    <x v="0"/>
    <x v="1"/>
    <x v="0"/>
    <n v="0"/>
    <n v="0"/>
    <n v="0.374"/>
    <n v="0.14960000000000001"/>
    <n v="0.374"/>
    <n v="0.14960000000000001"/>
    <n v="0"/>
    <s v="CATIVO"/>
    <n v="0"/>
    <n v="0"/>
    <n v="50"/>
    <n v="1"/>
    <n v="0"/>
    <n v="358.53"/>
    <n v="247.04"/>
    <m/>
    <n v="443.01644531329566"/>
    <n v="195.17260177664326"/>
    <n v="0"/>
    <n v="166.77482800000004"/>
    <n v="0"/>
    <n v="158.44468835495911"/>
    <x v="5"/>
  </r>
  <r>
    <s v="Regular"/>
    <x v="2"/>
    <x v="2"/>
    <x v="3"/>
    <x v="7"/>
    <x v="3"/>
    <x v="0"/>
    <x v="1"/>
    <x v="1"/>
    <n v="0"/>
    <n v="0"/>
    <n v="0.47699999999999998"/>
    <n v="0.1908"/>
    <n v="0.47699999999999998"/>
    <n v="0.1908"/>
    <n v="0"/>
    <s v="CATIVO"/>
    <n v="0"/>
    <n v="0"/>
    <n v="50"/>
    <n v="1"/>
    <n v="0"/>
    <n v="358.53"/>
    <n v="247.04"/>
    <m/>
    <n v="443.01644531329566"/>
    <n v="195.17260177664326"/>
    <n v="0"/>
    <n v="212.70479400000005"/>
    <n v="0"/>
    <n v="202.0805249874746"/>
    <x v="5"/>
  </r>
  <r>
    <s v="Regular"/>
    <x v="2"/>
    <x v="2"/>
    <x v="3"/>
    <x v="7"/>
    <x v="3"/>
    <x v="0"/>
    <x v="1"/>
    <x v="2"/>
    <n v="0"/>
    <n v="0"/>
    <n v="0.41799999999999998"/>
    <n v="0.16719999999999999"/>
    <n v="0.41799999999999998"/>
    <n v="0.16719999999999999"/>
    <n v="0"/>
    <s v="CATIVO"/>
    <n v="0"/>
    <n v="0"/>
    <n v="50"/>
    <n v="1"/>
    <n v="0"/>
    <n v="358.53"/>
    <n v="247.04"/>
    <m/>
    <n v="443.01644531329566"/>
    <n v="195.17260177664326"/>
    <n v="0"/>
    <n v="186.39539600000006"/>
    <n v="0"/>
    <n v="177.08523992613078"/>
    <x v="5"/>
  </r>
  <r>
    <s v="Regular"/>
    <x v="2"/>
    <x v="2"/>
    <x v="3"/>
    <x v="7"/>
    <x v="3"/>
    <x v="0"/>
    <x v="1"/>
    <x v="3"/>
    <n v="0"/>
    <n v="0"/>
    <n v="1.002"/>
    <n v="0.40079999999999999"/>
    <n v="1.002"/>
    <n v="0.40079999999999999"/>
    <n v="0"/>
    <s v="CATIVO"/>
    <n v="0"/>
    <n v="0"/>
    <n v="50"/>
    <n v="1"/>
    <n v="0"/>
    <n v="358.53"/>
    <n v="247.04"/>
    <m/>
    <n v="443.01644531329566"/>
    <n v="195.17260177664326"/>
    <n v="0"/>
    <n v="446.81384400000007"/>
    <n v="0"/>
    <n v="424.49619714350007"/>
    <x v="5"/>
  </r>
  <r>
    <s v="Regular"/>
    <x v="2"/>
    <x v="2"/>
    <x v="3"/>
    <x v="7"/>
    <x v="3"/>
    <x v="0"/>
    <x v="1"/>
    <x v="4"/>
    <n v="0"/>
    <n v="0"/>
    <n v="3.3149999999999999"/>
    <n v="1.3260000000000001"/>
    <n v="3.3149999999999999"/>
    <n v="1.3260000000000001"/>
    <n v="0"/>
    <s v="CATIVO"/>
    <n v="0"/>
    <n v="0"/>
    <n v="50"/>
    <n v="1"/>
    <n v="0"/>
    <n v="358.53"/>
    <n v="247.04"/>
    <m/>
    <n v="443.01644531329566"/>
    <n v="195.17260177664326"/>
    <n v="0"/>
    <n v="1478.2314300000003"/>
    <n v="0"/>
    <n v="1404.3961013280466"/>
    <x v="5"/>
  </r>
  <r>
    <s v="Regular"/>
    <x v="2"/>
    <x v="2"/>
    <x v="3"/>
    <x v="7"/>
    <x v="3"/>
    <x v="0"/>
    <x v="1"/>
    <x v="5"/>
    <n v="0"/>
    <n v="0"/>
    <n v="1.873"/>
    <n v="0.74919999999999998"/>
    <n v="1.873"/>
    <n v="0.74919999999999998"/>
    <n v="0"/>
    <s v="CATIVO"/>
    <n v="0"/>
    <n v="0"/>
    <n v="50"/>
    <n v="1"/>
    <n v="0"/>
    <n v="358.53"/>
    <n v="247.04"/>
    <m/>
    <n v="443.01644531329566"/>
    <n v="195.17260177664326"/>
    <n v="0"/>
    <n v="835.21190600000023"/>
    <n v="0"/>
    <n v="793.49438847283011"/>
    <x v="5"/>
  </r>
  <r>
    <s v="Regular"/>
    <x v="2"/>
    <x v="2"/>
    <x v="3"/>
    <x v="7"/>
    <x v="3"/>
    <x v="0"/>
    <x v="1"/>
    <x v="6"/>
    <n v="0"/>
    <n v="0"/>
    <n v="0.86899999999999999"/>
    <n v="0.34760000000000002"/>
    <n v="0.86899999999999999"/>
    <n v="0.34760000000000002"/>
    <n v="0"/>
    <s v="CATIVO"/>
    <n v="0"/>
    <n v="0"/>
    <n v="50"/>
    <n v="1"/>
    <n v="0"/>
    <n v="358.53"/>
    <n v="247.04"/>
    <m/>
    <n v="443.01644531329566"/>
    <n v="195.17260177664326"/>
    <n v="0"/>
    <n v="387.50621800000005"/>
    <n v="0"/>
    <n v="368.1508935306403"/>
    <x v="5"/>
  </r>
  <r>
    <s v="Regular"/>
    <x v="2"/>
    <x v="2"/>
    <x v="3"/>
    <x v="7"/>
    <x v="3"/>
    <x v="0"/>
    <x v="1"/>
    <x v="7"/>
    <n v="0"/>
    <n v="0"/>
    <n v="0.53500000000000003"/>
    <n v="0.214"/>
    <n v="0.53500000000000003"/>
    <n v="0.214"/>
    <n v="0"/>
    <s v="CATIVO"/>
    <n v="0"/>
    <n v="0"/>
    <n v="50"/>
    <n v="1"/>
    <n v="0"/>
    <n v="358.53"/>
    <n v="247.04"/>
    <m/>
    <n v="443.01644531329566"/>
    <n v="195.17260177664326"/>
    <n v="0"/>
    <n v="238.5682700000001"/>
    <n v="0"/>
    <n v="226.65216114947364"/>
    <x v="5"/>
  </r>
  <r>
    <s v="Regular"/>
    <x v="2"/>
    <x v="2"/>
    <x v="3"/>
    <x v="7"/>
    <x v="3"/>
    <x v="0"/>
    <x v="1"/>
    <x v="8"/>
    <n v="0"/>
    <n v="0"/>
    <n v="0.30099999999999999"/>
    <n v="0.12039999999999999"/>
    <n v="0.30099999999999999"/>
    <n v="0.12039999999999999"/>
    <n v="0"/>
    <s v="CATIVO"/>
    <n v="0"/>
    <n v="0"/>
    <n v="50"/>
    <n v="1"/>
    <n v="0"/>
    <n v="358.53"/>
    <n v="247.04"/>
    <m/>
    <n v="443.01644531329566"/>
    <n v="195.17260177664326"/>
    <n v="0"/>
    <n v="134.22252200000003"/>
    <n v="0"/>
    <n v="127.51831870278795"/>
    <x v="5"/>
  </r>
  <r>
    <s v="Regular"/>
    <x v="2"/>
    <x v="2"/>
    <x v="3"/>
    <x v="7"/>
    <x v="3"/>
    <x v="0"/>
    <x v="1"/>
    <x v="9"/>
    <n v="0"/>
    <n v="0"/>
    <n v="0.2"/>
    <n v="0.08"/>
    <n v="0.2"/>
    <n v="0.08"/>
    <n v="0"/>
    <s v="CATIVO"/>
    <n v="0"/>
    <n v="0"/>
    <n v="50"/>
    <n v="1"/>
    <n v="0"/>
    <n v="358.53"/>
    <n v="247.04"/>
    <m/>
    <n v="443.01644531329566"/>
    <n v="195.17260177664326"/>
    <n v="0"/>
    <n v="89.184400000000011"/>
    <n v="0"/>
    <n v="84.729779868962098"/>
    <x v="5"/>
  </r>
  <r>
    <s v="Regular"/>
    <x v="2"/>
    <x v="2"/>
    <x v="3"/>
    <x v="7"/>
    <x v="3"/>
    <x v="0"/>
    <x v="1"/>
    <x v="10"/>
    <n v="0"/>
    <n v="0"/>
    <n v="0.54"/>
    <n v="0.216"/>
    <n v="0.54"/>
    <n v="0.216"/>
    <n v="0"/>
    <s v="CATIVO"/>
    <n v="0"/>
    <n v="0"/>
    <n v="50"/>
    <n v="1"/>
    <n v="0"/>
    <n v="358.53"/>
    <n v="247.04"/>
    <m/>
    <n v="443.01644531329566"/>
    <n v="195.17260177664326"/>
    <n v="0"/>
    <n v="240.79788000000011"/>
    <n v="0"/>
    <n v="228.7704056461977"/>
    <x v="5"/>
  </r>
  <r>
    <s v="PROJETADO"/>
    <x v="2"/>
    <x v="2"/>
    <x v="3"/>
    <x v="7"/>
    <x v="3"/>
    <x v="0"/>
    <x v="1"/>
    <x v="11"/>
    <n v="0"/>
    <n v="0"/>
    <n v="0.54"/>
    <n v="0.216"/>
    <n v="0.54"/>
    <n v="0.216"/>
    <n v="0"/>
    <s v="CATIVO"/>
    <n v="0"/>
    <n v="0"/>
    <n v="50"/>
    <n v="1"/>
    <n v="0"/>
    <n v="358.53"/>
    <n v="247.04"/>
    <m/>
    <n v="443.01644531329566"/>
    <n v="195.17260177664326"/>
    <n v="0"/>
    <n v="240.79788000000011"/>
    <n v="0"/>
    <n v="228.7704056461977"/>
    <x v="5"/>
  </r>
  <r>
    <s v="Regular"/>
    <x v="2"/>
    <x v="2"/>
    <x v="3"/>
    <x v="8"/>
    <x v="2"/>
    <x v="0"/>
    <x v="1"/>
    <x v="0"/>
    <n v="0"/>
    <n v="0"/>
    <n v="0.496"/>
    <n v="0.496"/>
    <n v="0.496"/>
    <n v="0.496"/>
    <n v="0"/>
    <s v="CATIVO"/>
    <n v="0"/>
    <n v="0"/>
    <n v="50"/>
    <n v="1"/>
    <n v="0"/>
    <n v="358.53"/>
    <n v="247.04"/>
    <m/>
    <n v="443.01644531329566"/>
    <n v="195.17260177664326"/>
    <n v="0"/>
    <n v="40.959680000000063"/>
    <n v="0"/>
    <n v="20.204793661060197"/>
    <x v="4"/>
  </r>
  <r>
    <s v="Regular"/>
    <x v="2"/>
    <x v="2"/>
    <x v="3"/>
    <x v="8"/>
    <x v="2"/>
    <x v="0"/>
    <x v="1"/>
    <x v="1"/>
    <n v="0"/>
    <n v="0"/>
    <n v="9.2999999999999999E-2"/>
    <n v="9.2999999999999999E-2"/>
    <n v="9.2999999999999999E-2"/>
    <n v="9.2999999999999999E-2"/>
    <n v="0"/>
    <s v="CATIVO"/>
    <n v="0"/>
    <n v="0"/>
    <n v="50"/>
    <n v="1"/>
    <n v="0"/>
    <n v="358.53"/>
    <n v="247.04"/>
    <m/>
    <n v="443.01644531329566"/>
    <n v="195.17260177664326"/>
    <n v="0"/>
    <n v="7.6799400000000118"/>
    <n v="0"/>
    <n v="3.7883988114487868"/>
    <x v="4"/>
  </r>
  <r>
    <s v="Regular"/>
    <x v="2"/>
    <x v="2"/>
    <x v="3"/>
    <x v="8"/>
    <x v="3"/>
    <x v="0"/>
    <x v="1"/>
    <x v="0"/>
    <n v="0"/>
    <n v="0"/>
    <n v="1.4019999999999999"/>
    <n v="0.56079999999999997"/>
    <n v="1.4019999999999999"/>
    <n v="0.56079999999999997"/>
    <n v="0"/>
    <s v="CATIVO"/>
    <n v="0"/>
    <n v="0"/>
    <n v="50"/>
    <n v="1"/>
    <n v="0"/>
    <n v="358.53"/>
    <n v="247.04"/>
    <m/>
    <n v="443.01644531329566"/>
    <n v="195.17260177664326"/>
    <n v="0"/>
    <n v="625.1826440000001"/>
    <n v="0"/>
    <n v="593.95575688142424"/>
    <x v="5"/>
  </r>
  <r>
    <s v="Regular"/>
    <x v="2"/>
    <x v="2"/>
    <x v="3"/>
    <x v="8"/>
    <x v="3"/>
    <x v="0"/>
    <x v="1"/>
    <x v="1"/>
    <n v="0"/>
    <n v="0"/>
    <n v="7.0000000000000001E-3"/>
    <n v="2.8E-3"/>
    <n v="7.0000000000000001E-3"/>
    <n v="2.8E-3"/>
    <n v="0"/>
    <s v="CATIVO"/>
    <n v="0"/>
    <n v="0"/>
    <n v="50"/>
    <n v="1"/>
    <n v="0"/>
    <n v="358.53"/>
    <n v="247.04"/>
    <m/>
    <n v="443.01644531329566"/>
    <n v="195.17260177664326"/>
    <n v="0"/>
    <n v="3.1214540000000008"/>
    <n v="0"/>
    <n v="2.9655422954136736"/>
    <x v="5"/>
  </r>
  <r>
    <s v="Regular"/>
    <x v="2"/>
    <x v="2"/>
    <x v="3"/>
    <x v="0"/>
    <x v="1"/>
    <x v="0"/>
    <x v="1"/>
    <x v="0"/>
    <n v="0"/>
    <n v="0"/>
    <n v="274.19200000000001"/>
    <n v="274.19200000000001"/>
    <n v="274.19200000000001"/>
    <n v="274.19200000000001"/>
    <n v="711"/>
    <s v="CATIVO"/>
    <n v="0"/>
    <n v="0"/>
    <n v="50"/>
    <n v="1"/>
    <n v="0"/>
    <n v="358.53"/>
    <n v="247.04"/>
    <m/>
    <n v="443.01644531329566"/>
    <n v="195.17260177664326"/>
    <n v="0"/>
    <n v="22642.775360000036"/>
    <n v="0"/>
    <n v="11169.340289341568"/>
    <x v="4"/>
  </r>
  <r>
    <s v="Sistema de Compensação"/>
    <x v="2"/>
    <x v="2"/>
    <x v="3"/>
    <x v="0"/>
    <x v="1"/>
    <x v="0"/>
    <x v="1"/>
    <x v="0"/>
    <n v="0"/>
    <n v="0"/>
    <n v="2.69"/>
    <n v="2.69"/>
    <n v="2.69"/>
    <n v="2.69"/>
    <n v="17"/>
    <s v="CATIVO"/>
    <n v="0"/>
    <n v="0"/>
    <n v="50"/>
    <n v="1"/>
    <n v="0"/>
    <n v="358.53"/>
    <n v="247.04"/>
    <m/>
    <n v="443.01644531329566"/>
    <n v="195.17260177664326"/>
    <n v="0"/>
    <n v="222.14020000000033"/>
    <n v="0"/>
    <n v="109.57841723437889"/>
    <x v="4"/>
  </r>
  <r>
    <s v="Regular"/>
    <x v="2"/>
    <x v="2"/>
    <x v="3"/>
    <x v="0"/>
    <x v="1"/>
    <x v="0"/>
    <x v="1"/>
    <x v="1"/>
    <n v="0"/>
    <n v="0"/>
    <n v="270.55799999999999"/>
    <n v="270.55799999999999"/>
    <n v="270.55799999999999"/>
    <n v="270.55799999999999"/>
    <n v="712"/>
    <s v="CATIVO"/>
    <n v="0"/>
    <n v="0"/>
    <n v="50"/>
    <n v="1"/>
    <n v="0"/>
    <n v="358.53"/>
    <n v="247.04"/>
    <m/>
    <n v="443.01644531329566"/>
    <n v="195.17260177664326"/>
    <n v="0"/>
    <n v="22342.679640000035"/>
    <n v="0"/>
    <n v="11021.307587397429"/>
    <x v="4"/>
  </r>
  <r>
    <s v="Sistema de Compensação"/>
    <x v="2"/>
    <x v="2"/>
    <x v="3"/>
    <x v="0"/>
    <x v="1"/>
    <x v="0"/>
    <x v="1"/>
    <x v="1"/>
    <n v="0"/>
    <n v="0"/>
    <n v="6.202"/>
    <n v="6.202"/>
    <n v="6.202"/>
    <n v="6.202"/>
    <n v="19"/>
    <s v="CATIVO"/>
    <n v="0"/>
    <n v="0"/>
    <n v="50"/>
    <n v="1"/>
    <n v="0"/>
    <n v="358.53"/>
    <n v="247.04"/>
    <m/>
    <n v="443.01644531329566"/>
    <n v="195.17260177664326"/>
    <n v="0"/>
    <n v="512.16116000000079"/>
    <n v="0"/>
    <n v="252.64139170543416"/>
    <x v="4"/>
  </r>
  <r>
    <s v="Regular"/>
    <x v="2"/>
    <x v="2"/>
    <x v="3"/>
    <x v="0"/>
    <x v="1"/>
    <x v="0"/>
    <x v="1"/>
    <x v="2"/>
    <n v="0"/>
    <n v="0"/>
    <n v="266.101"/>
    <n v="266.101"/>
    <n v="266.101"/>
    <n v="266.101"/>
    <n v="712"/>
    <s v="CATIVO"/>
    <n v="0"/>
    <n v="0"/>
    <n v="50"/>
    <n v="1"/>
    <n v="0"/>
    <n v="358.53"/>
    <n v="247.04"/>
    <m/>
    <n v="443.01644531329566"/>
    <n v="195.17260177664326"/>
    <n v="0"/>
    <n v="21974.620580000035"/>
    <n v="0"/>
    <n v="10839.749592745522"/>
    <x v="4"/>
  </r>
  <r>
    <s v="Sistema de Compensação"/>
    <x v="2"/>
    <x v="2"/>
    <x v="3"/>
    <x v="0"/>
    <x v="1"/>
    <x v="0"/>
    <x v="1"/>
    <x v="2"/>
    <n v="0"/>
    <n v="0"/>
    <n v="4.1890000000000001"/>
    <n v="4.1890000000000001"/>
    <n v="4.1890000000000001"/>
    <n v="4.1890000000000001"/>
    <n v="20"/>
    <s v="CATIVO"/>
    <n v="0"/>
    <n v="0"/>
    <n v="50"/>
    <n v="1"/>
    <n v="0"/>
    <n v="358.53"/>
    <n v="247.04"/>
    <m/>
    <n v="443.01644531329566"/>
    <n v="195.17260177664326"/>
    <n v="0"/>
    <n v="345.92762000000056"/>
    <n v="0"/>
    <n v="170.6408883995588"/>
    <x v="4"/>
  </r>
  <r>
    <s v="Regular"/>
    <x v="2"/>
    <x v="2"/>
    <x v="3"/>
    <x v="0"/>
    <x v="1"/>
    <x v="0"/>
    <x v="1"/>
    <x v="3"/>
    <n v="0"/>
    <n v="0"/>
    <n v="276.16699999999997"/>
    <n v="276.16699999999997"/>
    <n v="276.16699999999997"/>
    <n v="276.16699999999997"/>
    <n v="711"/>
    <s v="CATIVO"/>
    <n v="0"/>
    <n v="0"/>
    <n v="50"/>
    <n v="1"/>
    <n v="0"/>
    <n v="358.53"/>
    <n v="247.04"/>
    <m/>
    <n v="443.01644531329566"/>
    <n v="195.17260177664326"/>
    <n v="0"/>
    <n v="22805.870860000032"/>
    <n v="0"/>
    <n v="11249.792844745989"/>
    <x v="4"/>
  </r>
  <r>
    <s v="Sistema de Compensação"/>
    <x v="2"/>
    <x v="2"/>
    <x v="3"/>
    <x v="0"/>
    <x v="1"/>
    <x v="0"/>
    <x v="1"/>
    <x v="3"/>
    <n v="0"/>
    <n v="0"/>
    <n v="8.4710000000000001"/>
    <n v="8.4710000000000001"/>
    <n v="8.4710000000000001"/>
    <n v="8.4710000000000001"/>
    <n v="23"/>
    <s v="CATIVO"/>
    <n v="0"/>
    <n v="0"/>
    <n v="50"/>
    <n v="1"/>
    <n v="0"/>
    <n v="358.53"/>
    <n v="247.04"/>
    <m/>
    <n v="443.01644531329566"/>
    <n v="195.17260177664326"/>
    <n v="0"/>
    <n v="699.53518000000111"/>
    <n v="0"/>
    <n v="345.07017561056637"/>
    <x v="4"/>
  </r>
  <r>
    <s v="Regular"/>
    <x v="2"/>
    <x v="2"/>
    <x v="3"/>
    <x v="0"/>
    <x v="1"/>
    <x v="0"/>
    <x v="1"/>
    <x v="4"/>
    <n v="0"/>
    <n v="0"/>
    <n v="279.435"/>
    <n v="279.435"/>
    <n v="279.435"/>
    <n v="279.435"/>
    <n v="707"/>
    <s v="CATIVO"/>
    <n v="0"/>
    <n v="0"/>
    <n v="50"/>
    <n v="1"/>
    <n v="0"/>
    <n v="358.53"/>
    <n v="247.04"/>
    <m/>
    <n v="443.01644531329566"/>
    <n v="195.17260177664326"/>
    <n v="0"/>
    <n v="23075.742300000034"/>
    <n v="0"/>
    <n v="11382.916364270879"/>
    <x v="4"/>
  </r>
  <r>
    <s v="Sistema de Compensação"/>
    <x v="2"/>
    <x v="2"/>
    <x v="3"/>
    <x v="0"/>
    <x v="1"/>
    <x v="0"/>
    <x v="1"/>
    <x v="4"/>
    <n v="0"/>
    <n v="0"/>
    <n v="9.2650000000000006"/>
    <n v="9.2650000000000006"/>
    <n v="9.2650000000000006"/>
    <n v="9.2650000000000006"/>
    <n v="26"/>
    <s v="CATIVO"/>
    <n v="0"/>
    <n v="0"/>
    <n v="50"/>
    <n v="1"/>
    <n v="0"/>
    <n v="358.53"/>
    <n v="247.04"/>
    <m/>
    <n v="443.01644531329566"/>
    <n v="195.17260177664326"/>
    <n v="0"/>
    <n v="765.10370000000125"/>
    <n v="0"/>
    <n v="377.41413965669904"/>
    <x v="4"/>
  </r>
  <r>
    <s v="Regular"/>
    <x v="2"/>
    <x v="2"/>
    <x v="3"/>
    <x v="0"/>
    <x v="1"/>
    <x v="0"/>
    <x v="1"/>
    <x v="5"/>
    <n v="0"/>
    <n v="0"/>
    <n v="277.08"/>
    <n v="277.08"/>
    <n v="277.08"/>
    <n v="277.08"/>
    <n v="707"/>
    <s v="CATIVO"/>
    <n v="0"/>
    <n v="0"/>
    <n v="50"/>
    <n v="1"/>
    <n v="0"/>
    <n v="358.53"/>
    <n v="247.04"/>
    <m/>
    <n v="443.01644531329566"/>
    <n v="195.17260177664326"/>
    <n v="0"/>
    <n v="22881.266400000033"/>
    <n v="0"/>
    <n v="11286.984329851934"/>
    <x v="4"/>
  </r>
  <r>
    <s v="Sistema de Compensação"/>
    <x v="2"/>
    <x v="2"/>
    <x v="3"/>
    <x v="0"/>
    <x v="1"/>
    <x v="0"/>
    <x v="1"/>
    <x v="5"/>
    <n v="0"/>
    <n v="0"/>
    <n v="11.061999999999999"/>
    <n v="11.061999999999999"/>
    <n v="11.061999999999999"/>
    <n v="11.061999999999999"/>
    <n v="27"/>
    <s v="CATIVO"/>
    <n v="0"/>
    <n v="0"/>
    <n v="50"/>
    <n v="1"/>
    <n v="0"/>
    <n v="358.53"/>
    <n v="247.04"/>
    <m/>
    <n v="443.01644531329566"/>
    <n v="195.17260177664326"/>
    <n v="0"/>
    <n v="913.49996000000135"/>
    <n v="0"/>
    <n v="450.6157812069514"/>
    <x v="4"/>
  </r>
  <r>
    <s v="Regular"/>
    <x v="2"/>
    <x v="2"/>
    <x v="3"/>
    <x v="0"/>
    <x v="1"/>
    <x v="0"/>
    <x v="1"/>
    <x v="6"/>
    <n v="0"/>
    <n v="0"/>
    <n v="264.673"/>
    <n v="264.673"/>
    <n v="264.673"/>
    <n v="264.673"/>
    <n v="700"/>
    <s v="CATIVO"/>
    <n v="0"/>
    <n v="0"/>
    <n v="50"/>
    <n v="1"/>
    <n v="0"/>
    <n v="358.53"/>
    <n v="247.04"/>
    <m/>
    <n v="443.01644531329566"/>
    <n v="195.17260177664326"/>
    <n v="0"/>
    <n v="21856.696340000035"/>
    <n v="0"/>
    <n v="10781.579340027793"/>
    <x v="4"/>
  </r>
  <r>
    <s v="Sistema de Compensação"/>
    <x v="2"/>
    <x v="2"/>
    <x v="3"/>
    <x v="0"/>
    <x v="1"/>
    <x v="0"/>
    <x v="1"/>
    <x v="6"/>
    <n v="0"/>
    <n v="0"/>
    <n v="10.478999999999999"/>
    <n v="10.478999999999999"/>
    <n v="10.478999999999999"/>
    <n v="10.478999999999999"/>
    <n v="33"/>
    <s v="CATIVO"/>
    <n v="0"/>
    <n v="0"/>
    <n v="50"/>
    <n v="1"/>
    <n v="0"/>
    <n v="358.53"/>
    <n v="247.04"/>
    <m/>
    <n v="443.01644531329566"/>
    <n v="195.17260177664326"/>
    <n v="0"/>
    <n v="865.35582000000124"/>
    <n v="0"/>
    <n v="426.86700156098749"/>
    <x v="4"/>
  </r>
  <r>
    <s v="Regular"/>
    <x v="2"/>
    <x v="2"/>
    <x v="3"/>
    <x v="0"/>
    <x v="1"/>
    <x v="0"/>
    <x v="1"/>
    <x v="7"/>
    <n v="0"/>
    <n v="0"/>
    <n v="263.85599999999999"/>
    <n v="263.85599999999999"/>
    <n v="263.85599999999999"/>
    <n v="263.85599999999999"/>
    <n v="697"/>
    <s v="CATIVO"/>
    <n v="0"/>
    <n v="0"/>
    <n v="50"/>
    <n v="1"/>
    <n v="0"/>
    <n v="358.53"/>
    <n v="247.04"/>
    <m/>
    <n v="443.01644531329566"/>
    <n v="195.17260177664326"/>
    <n v="0"/>
    <n v="21789.228480000034"/>
    <n v="0"/>
    <n v="10748.298460146571"/>
    <x v="4"/>
  </r>
  <r>
    <s v="Sistema de Compensação"/>
    <x v="2"/>
    <x v="2"/>
    <x v="3"/>
    <x v="0"/>
    <x v="1"/>
    <x v="0"/>
    <x v="1"/>
    <x v="7"/>
    <n v="0"/>
    <n v="0"/>
    <n v="14.637"/>
    <n v="14.637"/>
    <n v="14.637"/>
    <n v="14.637"/>
    <n v="35"/>
    <s v="CATIVO"/>
    <n v="0"/>
    <n v="0"/>
    <n v="50"/>
    <n v="1"/>
    <n v="0"/>
    <n v="358.53"/>
    <n v="247.04"/>
    <m/>
    <n v="443.01644531329566"/>
    <n v="195.17260177664326"/>
    <n v="0"/>
    <n v="1208.723460000002"/>
    <n v="0"/>
    <n v="596.24509035673009"/>
    <x v="4"/>
  </r>
  <r>
    <s v="Regular"/>
    <x v="2"/>
    <x v="2"/>
    <x v="3"/>
    <x v="0"/>
    <x v="1"/>
    <x v="0"/>
    <x v="1"/>
    <x v="8"/>
    <n v="0"/>
    <n v="0"/>
    <n v="253.28200000000001"/>
    <n v="253.28200000000001"/>
    <n v="253.28200000000001"/>
    <n v="253.28200000000001"/>
    <n v="695"/>
    <s v="CATIVO"/>
    <n v="0"/>
    <n v="0"/>
    <n v="50"/>
    <n v="1"/>
    <n v="0"/>
    <n v="358.53"/>
    <n v="247.04"/>
    <m/>
    <n v="443.01644531329566"/>
    <n v="195.17260177664326"/>
    <n v="0"/>
    <n v="20916.027560000031"/>
    <n v="0"/>
    <n v="10317.561588831953"/>
    <x v="4"/>
  </r>
  <r>
    <s v="Sistema de Compensação"/>
    <x v="2"/>
    <x v="2"/>
    <x v="3"/>
    <x v="0"/>
    <x v="1"/>
    <x v="0"/>
    <x v="1"/>
    <x v="8"/>
    <n v="0"/>
    <n v="0"/>
    <n v="13.574999999999999"/>
    <n v="13.574999999999999"/>
    <n v="13.574999999999999"/>
    <n v="13.574999999999999"/>
    <n v="40"/>
    <s v="CATIVO"/>
    <n v="0"/>
    <n v="0"/>
    <n v="50"/>
    <n v="1"/>
    <n v="0"/>
    <n v="358.53"/>
    <n v="247.04"/>
    <m/>
    <n v="443.01644531329566"/>
    <n v="195.17260177664326"/>
    <n v="0"/>
    <n v="1121.0235000000016"/>
    <n v="0"/>
    <n v="552.98402005825028"/>
    <x v="4"/>
  </r>
  <r>
    <s v="Regular"/>
    <x v="2"/>
    <x v="2"/>
    <x v="3"/>
    <x v="0"/>
    <x v="1"/>
    <x v="0"/>
    <x v="1"/>
    <x v="9"/>
    <n v="0"/>
    <n v="0"/>
    <n v="275.17200000000003"/>
    <n v="275.17200000000003"/>
    <n v="275.17200000000003"/>
    <n v="275.17200000000003"/>
    <n v="689"/>
    <s v="CATIVO"/>
    <n v="0"/>
    <n v="0"/>
    <n v="50"/>
    <n v="1"/>
    <n v="0"/>
    <n v="358.53"/>
    <n v="247.04"/>
    <m/>
    <n v="443.01644531329566"/>
    <n v="195.17260177664326"/>
    <n v="0"/>
    <n v="22723.703760000037"/>
    <n v="0"/>
    <n v="11209.261051010599"/>
    <x v="4"/>
  </r>
  <r>
    <s v="Sistema de Compensação"/>
    <x v="2"/>
    <x v="2"/>
    <x v="3"/>
    <x v="0"/>
    <x v="1"/>
    <x v="0"/>
    <x v="1"/>
    <x v="9"/>
    <n v="0"/>
    <n v="0"/>
    <n v="9.4760000000000009"/>
    <n v="9.4760000000000009"/>
    <n v="9.4760000000000009"/>
    <n v="9.4760000000000009"/>
    <n v="42"/>
    <s v="CATIVO"/>
    <n v="0"/>
    <n v="0"/>
    <n v="50"/>
    <n v="1"/>
    <n v="0"/>
    <n v="358.53"/>
    <n v="247.04"/>
    <m/>
    <n v="443.01644531329566"/>
    <n v="195.17260177664326"/>
    <n v="0"/>
    <n v="782.5280800000013"/>
    <n v="0"/>
    <n v="386.0093240568678"/>
    <x v="4"/>
  </r>
  <r>
    <s v="Regular"/>
    <x v="2"/>
    <x v="2"/>
    <x v="3"/>
    <x v="0"/>
    <x v="1"/>
    <x v="0"/>
    <x v="1"/>
    <x v="10"/>
    <n v="0"/>
    <n v="0"/>
    <n v="252.16800000000001"/>
    <n v="252.16800000000001"/>
    <n v="252.16800000000001"/>
    <n v="252.16800000000001"/>
    <n v="709"/>
    <s v="CATIVO"/>
    <n v="0"/>
    <n v="0"/>
    <n v="50"/>
    <n v="1"/>
    <n v="0"/>
    <n v="358.53"/>
    <n v="247.04"/>
    <m/>
    <n v="443.01644531329566"/>
    <n v="195.17260177664326"/>
    <n v="0"/>
    <n v="20824.033440000032"/>
    <n v="0"/>
    <n v="10272.18227403675"/>
    <x v="4"/>
  </r>
  <r>
    <s v="Sistema de Compensação"/>
    <x v="2"/>
    <x v="2"/>
    <x v="3"/>
    <x v="0"/>
    <x v="1"/>
    <x v="0"/>
    <x v="1"/>
    <x v="10"/>
    <n v="0"/>
    <n v="0"/>
    <n v="12.196999999999999"/>
    <n v="12.196999999999999"/>
    <n v="12.196999999999999"/>
    <n v="12.196999999999999"/>
    <n v="44"/>
    <s v="CATIVO"/>
    <n v="0"/>
    <n v="0"/>
    <n v="50"/>
    <n v="1"/>
    <n v="0"/>
    <n v="358.53"/>
    <n v="247.04"/>
    <m/>
    <n v="443.01644531329566"/>
    <n v="195.17260177664326"/>
    <n v="0"/>
    <n v="1007.2282600000015"/>
    <n v="0"/>
    <n v="496.85054089506292"/>
    <x v="4"/>
  </r>
  <r>
    <s v="PROJETADO"/>
    <x v="2"/>
    <x v="2"/>
    <x v="3"/>
    <x v="0"/>
    <x v="1"/>
    <x v="0"/>
    <x v="1"/>
    <x v="11"/>
    <n v="0"/>
    <n v="0"/>
    <n v="252.16800000000001"/>
    <n v="252.16800000000001"/>
    <n v="252.16800000000001"/>
    <n v="252.16800000000001"/>
    <n v="709"/>
    <s v="CATIVO"/>
    <n v="0"/>
    <n v="0"/>
    <n v="50"/>
    <n v="1"/>
    <n v="0"/>
    <n v="358.53"/>
    <n v="247.04"/>
    <m/>
    <n v="443.01644531329566"/>
    <n v="195.17260177664326"/>
    <n v="0"/>
    <n v="20824.033440000032"/>
    <n v="0"/>
    <n v="10272.18227403675"/>
    <x v="4"/>
  </r>
  <r>
    <s v="PROJETADO"/>
    <x v="2"/>
    <x v="2"/>
    <x v="3"/>
    <x v="0"/>
    <x v="1"/>
    <x v="0"/>
    <x v="1"/>
    <x v="11"/>
    <n v="0"/>
    <n v="0"/>
    <n v="12.196999999999999"/>
    <n v="12.196999999999999"/>
    <n v="12.196999999999999"/>
    <n v="12.196999999999999"/>
    <n v="44"/>
    <s v="CATIVO"/>
    <n v="0"/>
    <n v="0"/>
    <n v="50"/>
    <n v="1"/>
    <n v="0"/>
    <n v="358.53"/>
    <n v="247.04"/>
    <m/>
    <n v="443.01644531329566"/>
    <n v="195.17260177664326"/>
    <n v="0"/>
    <n v="1007.2282600000015"/>
    <n v="0"/>
    <n v="496.85054089506292"/>
    <x v="4"/>
  </r>
  <r>
    <s v="Regular"/>
    <x v="3"/>
    <x v="2"/>
    <x v="1"/>
    <x v="1"/>
    <x v="1"/>
    <x v="0"/>
    <x v="1"/>
    <x v="0"/>
    <n v="0"/>
    <n v="0"/>
    <n v="19.503"/>
    <n v="18.332819999999998"/>
    <n v="19.503"/>
    <n v="18.332819999999998"/>
    <n v="8"/>
    <s v="CATIVO"/>
    <n v="0"/>
    <n v="0"/>
    <n v="65"/>
    <n v="25"/>
    <n v="0"/>
    <n v="407.42"/>
    <n v="280.73"/>
    <m/>
    <n v="471.29409075882518"/>
    <n v="207.63042742196092"/>
    <n v="0"/>
    <n v="805.25936700000148"/>
    <n v="0"/>
    <n v="794.46389268479356"/>
    <x v="1"/>
  </r>
  <r>
    <s v="Regular"/>
    <x v="3"/>
    <x v="2"/>
    <x v="1"/>
    <x v="1"/>
    <x v="1"/>
    <x v="0"/>
    <x v="1"/>
    <x v="1"/>
    <n v="0"/>
    <n v="0"/>
    <n v="21.786999999999999"/>
    <n v="20.396989399999999"/>
    <n v="21.786999999999999"/>
    <n v="20.396989399999999"/>
    <n v="8"/>
    <s v="CATIVO"/>
    <n v="0"/>
    <n v="0"/>
    <n v="65"/>
    <n v="25"/>
    <n v="0"/>
    <n v="407.42"/>
    <n v="280.73"/>
    <m/>
    <n v="471.29409075882518"/>
    <n v="207.63042742196092"/>
    <n v="0"/>
    <n v="956.53579439000009"/>
    <n v="0"/>
    <n v="943.7122768711854"/>
    <x v="1"/>
  </r>
  <r>
    <s v="Regular"/>
    <x v="3"/>
    <x v="2"/>
    <x v="1"/>
    <x v="1"/>
    <x v="1"/>
    <x v="0"/>
    <x v="1"/>
    <x v="2"/>
    <n v="0"/>
    <n v="0"/>
    <n v="19.158000000000001"/>
    <n v="18.008520000000001"/>
    <n v="19.158000000000001"/>
    <n v="18.008520000000001"/>
    <n v="8"/>
    <s v="CATIVO"/>
    <n v="0"/>
    <n v="0"/>
    <n v="65"/>
    <n v="25"/>
    <n v="0"/>
    <n v="407.42"/>
    <n v="280.73"/>
    <m/>
    <n v="471.29409075882518"/>
    <n v="207.63042742196092"/>
    <n v="0"/>
    <n v="791.01466200000038"/>
    <n v="0"/>
    <n v="780.41015515845038"/>
    <x v="1"/>
  </r>
  <r>
    <s v="Regular"/>
    <x v="3"/>
    <x v="2"/>
    <x v="1"/>
    <x v="1"/>
    <x v="1"/>
    <x v="0"/>
    <x v="1"/>
    <x v="3"/>
    <n v="0"/>
    <n v="0"/>
    <n v="20.58"/>
    <n v="19.345199999999998"/>
    <n v="20.58"/>
    <n v="19.345199999999998"/>
    <n v="8"/>
    <s v="CATIVO"/>
    <n v="0"/>
    <n v="0"/>
    <n v="65"/>
    <n v="25"/>
    <n v="0"/>
    <n v="407.42"/>
    <n v="280.73"/>
    <m/>
    <n v="471.29409075882518"/>
    <n v="207.63042742196092"/>
    <n v="0"/>
    <n v="849.72761999999989"/>
    <n v="0"/>
    <n v="838.33599504963456"/>
    <x v="1"/>
  </r>
  <r>
    <s v="Regular"/>
    <x v="3"/>
    <x v="2"/>
    <x v="1"/>
    <x v="1"/>
    <x v="1"/>
    <x v="0"/>
    <x v="1"/>
    <x v="4"/>
    <n v="0"/>
    <n v="0"/>
    <n v="22.370999999999999"/>
    <n v="21.028739999999999"/>
    <n v="22.370999999999999"/>
    <n v="21.028739999999999"/>
    <n v="8"/>
    <s v="CATIVO"/>
    <n v="0"/>
    <n v="0"/>
    <n v="65"/>
    <n v="25"/>
    <n v="0"/>
    <n v="407.42"/>
    <n v="280.73"/>
    <m/>
    <n v="471.29409075882518"/>
    <n v="207.63042742196092"/>
    <n v="0"/>
    <n v="923.67621899999972"/>
    <n v="0"/>
    <n v="911.29322377334165"/>
    <x v="1"/>
  </r>
  <r>
    <s v="Regular"/>
    <x v="3"/>
    <x v="2"/>
    <x v="1"/>
    <x v="1"/>
    <x v="1"/>
    <x v="0"/>
    <x v="1"/>
    <x v="5"/>
    <n v="0"/>
    <n v="0"/>
    <n v="19.013000000000002"/>
    <n v="17.872219999999999"/>
    <n v="19.013000000000002"/>
    <n v="17.872219999999999"/>
    <n v="8"/>
    <s v="CATIVO"/>
    <n v="0"/>
    <n v="0"/>
    <n v="65"/>
    <n v="25"/>
    <n v="0"/>
    <n v="407.42"/>
    <n v="280.73"/>
    <m/>
    <n v="471.29409075882518"/>
    <n v="207.63042742196092"/>
    <n v="0"/>
    <n v="785.02775700000211"/>
    <n v="0"/>
    <n v="774.50351185027921"/>
    <x v="1"/>
  </r>
  <r>
    <s v="Regular"/>
    <x v="3"/>
    <x v="2"/>
    <x v="1"/>
    <x v="1"/>
    <x v="1"/>
    <x v="0"/>
    <x v="1"/>
    <x v="6"/>
    <n v="0"/>
    <n v="0"/>
    <n v="17.38"/>
    <n v="16.337199999999999"/>
    <n v="17.38"/>
    <n v="16.337199999999999"/>
    <n v="8"/>
    <s v="CATIVO"/>
    <n v="0"/>
    <n v="0"/>
    <n v="65"/>
    <n v="25"/>
    <n v="0"/>
    <n v="407.42"/>
    <n v="280.73"/>
    <m/>
    <n v="471.29409075882518"/>
    <n v="207.63042742196092"/>
    <n v="0"/>
    <n v="717.60281999999984"/>
    <n v="0"/>
    <n v="707.98248755892359"/>
    <x v="1"/>
  </r>
  <r>
    <s v="Regular"/>
    <x v="3"/>
    <x v="2"/>
    <x v="1"/>
    <x v="1"/>
    <x v="1"/>
    <x v="0"/>
    <x v="1"/>
    <x v="7"/>
    <n v="0"/>
    <n v="0"/>
    <n v="19.004999999999999"/>
    <n v="17.864699999999999"/>
    <n v="19.004999999999999"/>
    <n v="17.864699999999999"/>
    <n v="8"/>
    <s v="CATIVO"/>
    <n v="0"/>
    <n v="0"/>
    <n v="65"/>
    <n v="25"/>
    <n v="0"/>
    <n v="407.42"/>
    <n v="280.73"/>
    <m/>
    <n v="471.29409075882518"/>
    <n v="207.63042742196092"/>
    <n v="0"/>
    <n v="784.69744500000002"/>
    <n v="0"/>
    <n v="774.17762808155021"/>
    <x v="1"/>
  </r>
  <r>
    <s v="Regular"/>
    <x v="3"/>
    <x v="2"/>
    <x v="1"/>
    <x v="1"/>
    <x v="1"/>
    <x v="0"/>
    <x v="1"/>
    <x v="8"/>
    <n v="0"/>
    <n v="0"/>
    <n v="17.613"/>
    <n v="16.55622"/>
    <n v="17.613"/>
    <n v="16.55622"/>
    <n v="8"/>
    <s v="CATIVO"/>
    <n v="0"/>
    <n v="0"/>
    <n v="65"/>
    <n v="25"/>
    <n v="0"/>
    <n v="407.42"/>
    <n v="280.73"/>
    <m/>
    <n v="471.29409075882518"/>
    <n v="207.63042742196092"/>
    <n v="0"/>
    <n v="727.2231569999999"/>
    <n v="0"/>
    <n v="717.47385232309102"/>
    <x v="1"/>
  </r>
  <r>
    <s v="Regular"/>
    <x v="3"/>
    <x v="2"/>
    <x v="1"/>
    <x v="1"/>
    <x v="1"/>
    <x v="0"/>
    <x v="1"/>
    <x v="9"/>
    <n v="0"/>
    <n v="0"/>
    <n v="15.208"/>
    <n v="14.29552"/>
    <n v="15.208"/>
    <n v="14.29552"/>
    <n v="8"/>
    <s v="CATIVO"/>
    <n v="0"/>
    <n v="0"/>
    <n v="65"/>
    <n v="25"/>
    <n v="0"/>
    <n v="407.42"/>
    <n v="280.73"/>
    <m/>
    <n v="471.29409075882518"/>
    <n v="207.63042742196092"/>
    <n v="0"/>
    <n v="627.92311200000029"/>
    <n v="0"/>
    <n v="619.50504434960396"/>
    <x v="1"/>
  </r>
  <r>
    <s v="Regular"/>
    <x v="3"/>
    <x v="2"/>
    <x v="1"/>
    <x v="1"/>
    <x v="1"/>
    <x v="0"/>
    <x v="1"/>
    <x v="10"/>
    <n v="0"/>
    <n v="0"/>
    <n v="15.242000000000001"/>
    <n v="14.32748"/>
    <n v="15.242000000000001"/>
    <n v="14.32748"/>
    <n v="8"/>
    <s v="CATIVO"/>
    <n v="0"/>
    <n v="0"/>
    <n v="65"/>
    <n v="25"/>
    <n v="0"/>
    <n v="407.42"/>
    <n v="280.73"/>
    <m/>
    <n v="471.29409075882518"/>
    <n v="207.63042742196092"/>
    <n v="0"/>
    <n v="629.32693800000095"/>
    <n v="0"/>
    <n v="620.89005036669346"/>
    <x v="1"/>
  </r>
  <r>
    <s v="PROJETADO"/>
    <x v="3"/>
    <x v="2"/>
    <x v="1"/>
    <x v="1"/>
    <x v="1"/>
    <x v="0"/>
    <x v="1"/>
    <x v="11"/>
    <n v="0"/>
    <n v="0"/>
    <n v="15.242000000000001"/>
    <n v="14.32748"/>
    <n v="15.242000000000001"/>
    <n v="14.32748"/>
    <n v="8"/>
    <s v="CATIVO"/>
    <n v="0"/>
    <n v="0"/>
    <n v="65"/>
    <n v="25"/>
    <n v="0"/>
    <n v="407.42"/>
    <n v="280.73"/>
    <m/>
    <n v="471.29409075882518"/>
    <n v="207.63042742196092"/>
    <n v="0"/>
    <n v="629.32693800000095"/>
    <n v="0"/>
    <n v="620.89005036669346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">
  <r>
    <s v="Regular"/>
    <x v="0"/>
    <x v="0"/>
    <x v="0"/>
    <x v="0"/>
    <x v="0"/>
    <x v="0"/>
    <x v="0"/>
    <x v="0"/>
    <n v="7152"/>
    <n v="3576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1471.44"/>
    <n v="0"/>
    <n v="0"/>
    <n v="67353.430909771618"/>
    <n v="0"/>
    <n v="0"/>
  </r>
  <r>
    <s v="Regular"/>
    <x v="0"/>
    <x v="0"/>
    <x v="0"/>
    <x v="0"/>
    <x v="0"/>
    <x v="0"/>
    <x v="0"/>
    <x v="1"/>
    <n v="7212"/>
    <n v="3606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1987.140000000007"/>
    <n v="0"/>
    <n v="0"/>
    <n v="67918.4764710952"/>
    <n v="0"/>
    <n v="0"/>
  </r>
  <r>
    <s v="Regular"/>
    <x v="0"/>
    <x v="0"/>
    <x v="0"/>
    <x v="0"/>
    <x v="0"/>
    <x v="0"/>
    <x v="0"/>
    <x v="2"/>
    <n v="7403"/>
    <n v="3701.5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3628.785000000003"/>
    <n v="0"/>
    <n v="0"/>
    <n v="69717.204841308616"/>
    <n v="0"/>
    <n v="0"/>
  </r>
  <r>
    <s v="Regular"/>
    <x v="0"/>
    <x v="0"/>
    <x v="0"/>
    <x v="0"/>
    <x v="0"/>
    <x v="0"/>
    <x v="0"/>
    <x v="3"/>
    <n v="7236"/>
    <n v="3618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2193.420000000006"/>
    <n v="0"/>
    <n v="0"/>
    <n v="68144.494695624642"/>
    <n v="0"/>
    <n v="0"/>
  </r>
  <r>
    <s v="Regular"/>
    <x v="0"/>
    <x v="0"/>
    <x v="0"/>
    <x v="0"/>
    <x v="0"/>
    <x v="0"/>
    <x v="0"/>
    <x v="4"/>
    <n v="7075"/>
    <n v="3537.5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0809.625000000007"/>
    <n v="0"/>
    <n v="0"/>
    <n v="66628.289106073003"/>
    <n v="0"/>
    <n v="0"/>
  </r>
  <r>
    <s v="Regular"/>
    <x v="0"/>
    <x v="0"/>
    <x v="0"/>
    <x v="0"/>
    <x v="0"/>
    <x v="0"/>
    <x v="0"/>
    <x v="5"/>
    <n v="7194"/>
    <n v="3597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1832.430000000008"/>
    <n v="0"/>
    <n v="0"/>
    <n v="67748.962802698123"/>
    <n v="0"/>
    <n v="0"/>
  </r>
  <r>
    <s v="Regular"/>
    <x v="0"/>
    <x v="0"/>
    <x v="0"/>
    <x v="0"/>
    <x v="0"/>
    <x v="0"/>
    <x v="0"/>
    <x v="6"/>
    <n v="7408"/>
    <n v="3704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3671.76"/>
    <n v="0"/>
    <n v="0"/>
    <n v="69764.291971418919"/>
    <n v="0"/>
    <n v="0"/>
  </r>
  <r>
    <s v="Regular"/>
    <x v="0"/>
    <x v="0"/>
    <x v="0"/>
    <x v="0"/>
    <x v="0"/>
    <x v="0"/>
    <x v="0"/>
    <x v="7"/>
    <n v="7588"/>
    <n v="3794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5218.860000000008"/>
    <n v="0"/>
    <n v="0"/>
    <n v="71459.428655389682"/>
    <n v="0"/>
    <n v="0"/>
  </r>
  <r>
    <s v="Regular"/>
    <x v="0"/>
    <x v="0"/>
    <x v="0"/>
    <x v="0"/>
    <x v="0"/>
    <x v="0"/>
    <x v="0"/>
    <x v="8"/>
    <n v="7439"/>
    <n v="3719.5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3938.205000000002"/>
    <n v="0"/>
    <n v="0"/>
    <n v="70056.232178102771"/>
    <n v="0"/>
    <n v="0"/>
  </r>
  <r>
    <s v="Regular"/>
    <x v="0"/>
    <x v="0"/>
    <x v="0"/>
    <x v="0"/>
    <x v="0"/>
    <x v="0"/>
    <x v="0"/>
    <x v="9"/>
    <n v="7134"/>
    <n v="3567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1316.73"/>
    <n v="0"/>
    <n v="0"/>
    <n v="67183.91724137454"/>
    <n v="0"/>
    <n v="0"/>
  </r>
  <r>
    <s v="Regular"/>
    <x v="0"/>
    <x v="0"/>
    <x v="0"/>
    <x v="0"/>
    <x v="0"/>
    <x v="0"/>
    <x v="0"/>
    <x v="10"/>
    <n v="7229"/>
    <n v="3614.5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2133.255000000005"/>
    <n v="0"/>
    <n v="0"/>
    <n v="68078.572713470217"/>
    <n v="0"/>
    <n v="0"/>
  </r>
  <r>
    <s v="PROJETADO"/>
    <x v="0"/>
    <x v="0"/>
    <x v="0"/>
    <x v="0"/>
    <x v="0"/>
    <x v="0"/>
    <x v="0"/>
    <x v="11"/>
    <n v="7229"/>
    <n v="3614.5"/>
    <n v="0"/>
    <n v="0"/>
    <n v="0"/>
    <n v="0"/>
    <n v="0"/>
    <x v="0"/>
    <n v="0"/>
    <n v="5"/>
    <n v="0"/>
    <n v="0"/>
    <n v="17.190000000000001"/>
    <n v="0"/>
    <n v="0"/>
    <n v="18.834852044119579"/>
    <n v="107.04184246109106"/>
    <m/>
    <n v="62133.255000000005"/>
    <n v="0"/>
    <n v="0"/>
    <n v="68078.572713470217"/>
    <n v="0"/>
    <n v="0"/>
  </r>
  <r>
    <s v="Regular"/>
    <x v="0"/>
    <x v="0"/>
    <x v="0"/>
    <x v="0"/>
    <x v="0"/>
    <x v="0"/>
    <x v="1"/>
    <x v="0"/>
    <n v="0"/>
    <n v="0"/>
    <n v="3408.886"/>
    <n v="1704.443"/>
    <n v="0"/>
    <n v="0"/>
    <n v="6"/>
    <x v="0"/>
    <n v="0"/>
    <n v="0"/>
    <n v="8"/>
    <n v="0"/>
    <n v="0"/>
    <n v="73.790000000000006"/>
    <n v="0"/>
    <m/>
    <n v="107.04184246109106"/>
    <m/>
    <n v="0"/>
    <n v="125770.84897000001"/>
    <n v="0"/>
    <n v="0"/>
    <n v="182446.71908990943"/>
    <n v="0"/>
  </r>
  <r>
    <s v="Regular"/>
    <x v="0"/>
    <x v="0"/>
    <x v="0"/>
    <x v="0"/>
    <x v="0"/>
    <x v="0"/>
    <x v="1"/>
    <x v="1"/>
    <n v="0"/>
    <n v="0"/>
    <n v="3332.1570000000002"/>
    <n v="1666.0785000000001"/>
    <n v="0"/>
    <n v="0"/>
    <n v="6"/>
    <x v="0"/>
    <n v="0"/>
    <n v="0"/>
    <n v="8"/>
    <n v="0"/>
    <n v="0"/>
    <n v="73.790000000000006"/>
    <n v="0"/>
    <m/>
    <n v="107.04184246109106"/>
    <m/>
    <n v="0"/>
    <n v="122939.93251500002"/>
    <n v="0"/>
    <n v="0"/>
    <n v="178340.11232481091"/>
    <n v="0"/>
  </r>
  <r>
    <s v="Regular"/>
    <x v="0"/>
    <x v="0"/>
    <x v="0"/>
    <x v="0"/>
    <x v="0"/>
    <x v="0"/>
    <x v="1"/>
    <x v="2"/>
    <n v="0"/>
    <n v="0"/>
    <n v="3444.0309999999999"/>
    <n v="1722.0155"/>
    <n v="0"/>
    <n v="0"/>
    <n v="6"/>
    <x v="0"/>
    <n v="0"/>
    <n v="0"/>
    <n v="8"/>
    <n v="0"/>
    <n v="0"/>
    <n v="73.790000000000006"/>
    <n v="0"/>
    <m/>
    <n v="107.04184246109106"/>
    <m/>
    <n v="0"/>
    <n v="127067.52374500001"/>
    <n v="0"/>
    <n v="0"/>
    <n v="184327.71186655696"/>
    <n v="0"/>
  </r>
  <r>
    <s v="Regular"/>
    <x v="0"/>
    <x v="0"/>
    <x v="0"/>
    <x v="0"/>
    <x v="0"/>
    <x v="0"/>
    <x v="1"/>
    <x v="3"/>
    <n v="0"/>
    <n v="0"/>
    <n v="3415.11"/>
    <n v="1707.5550000000001"/>
    <n v="0"/>
    <n v="0"/>
    <n v="6"/>
    <x v="0"/>
    <n v="0"/>
    <n v="0"/>
    <n v="8"/>
    <n v="0"/>
    <n v="0"/>
    <n v="73.790000000000006"/>
    <n v="0"/>
    <m/>
    <n v="107.04184246109106"/>
    <m/>
    <n v="0"/>
    <n v="126000.48345000001"/>
    <n v="0"/>
    <n v="0"/>
    <n v="182779.83330364837"/>
    <n v="0"/>
  </r>
  <r>
    <s v="Regular"/>
    <x v="0"/>
    <x v="0"/>
    <x v="0"/>
    <x v="0"/>
    <x v="0"/>
    <x v="0"/>
    <x v="1"/>
    <x v="4"/>
    <n v="0"/>
    <n v="0"/>
    <n v="3030.1959999999999"/>
    <n v="1515.098"/>
    <n v="0"/>
    <n v="0"/>
    <n v="6"/>
    <x v="0"/>
    <n v="0"/>
    <n v="0"/>
    <n v="8"/>
    <n v="0"/>
    <n v="0"/>
    <n v="73.790000000000006"/>
    <n v="0"/>
    <m/>
    <n v="107.04184246109106"/>
    <m/>
    <n v="0"/>
    <n v="111799.08142"/>
    <n v="0"/>
    <n v="0"/>
    <n v="162178.88142911415"/>
    <n v="0"/>
  </r>
  <r>
    <s v="Regular"/>
    <x v="0"/>
    <x v="0"/>
    <x v="0"/>
    <x v="0"/>
    <x v="0"/>
    <x v="0"/>
    <x v="1"/>
    <x v="5"/>
    <n v="0"/>
    <n v="0"/>
    <n v="3510.837"/>
    <n v="1755.4185"/>
    <n v="0"/>
    <n v="0"/>
    <n v="6"/>
    <x v="0"/>
    <n v="0"/>
    <n v="0"/>
    <n v="8"/>
    <n v="0"/>
    <n v="0"/>
    <n v="73.790000000000006"/>
    <n v="0"/>
    <m/>
    <n v="107.04184246109106"/>
    <m/>
    <n v="0"/>
    <n v="129532.33111500001"/>
    <n v="0"/>
    <n v="0"/>
    <n v="187903.23053028478"/>
    <n v="0"/>
  </r>
  <r>
    <s v="Regular"/>
    <x v="0"/>
    <x v="0"/>
    <x v="0"/>
    <x v="0"/>
    <x v="0"/>
    <x v="0"/>
    <x v="1"/>
    <x v="6"/>
    <n v="0"/>
    <n v="0"/>
    <n v="3237.096"/>
    <n v="1618.548"/>
    <n v="0"/>
    <n v="0"/>
    <n v="6"/>
    <x v="0"/>
    <n v="0"/>
    <n v="0"/>
    <n v="8"/>
    <n v="0"/>
    <n v="0"/>
    <n v="73.790000000000006"/>
    <n v="0"/>
    <m/>
    <n v="107.04184246109106"/>
    <m/>
    <n v="0"/>
    <n v="119432.65692000001"/>
    <n v="0"/>
    <n v="0"/>
    <n v="173252.36003171402"/>
    <n v="0"/>
  </r>
  <r>
    <s v="Regular"/>
    <x v="0"/>
    <x v="0"/>
    <x v="0"/>
    <x v="0"/>
    <x v="0"/>
    <x v="0"/>
    <x v="1"/>
    <x v="7"/>
    <n v="0"/>
    <n v="0"/>
    <n v="3688.7570000000001"/>
    <n v="1844.3785"/>
    <n v="0"/>
    <n v="0"/>
    <n v="6"/>
    <x v="0"/>
    <n v="0"/>
    <n v="0"/>
    <n v="8"/>
    <n v="0"/>
    <n v="0"/>
    <n v="73.790000000000006"/>
    <n v="0"/>
    <m/>
    <n v="107.04184246109106"/>
    <m/>
    <n v="0"/>
    <n v="136096.68951500001"/>
    <n v="0"/>
    <n v="0"/>
    <n v="197425.67283562344"/>
    <n v="0"/>
  </r>
  <r>
    <s v="Regular"/>
    <x v="0"/>
    <x v="0"/>
    <x v="0"/>
    <x v="0"/>
    <x v="0"/>
    <x v="0"/>
    <x v="1"/>
    <x v="8"/>
    <n v="0"/>
    <n v="0"/>
    <n v="3372.8220000000001"/>
    <n v="1686.4110000000001"/>
    <n v="0"/>
    <n v="0"/>
    <n v="6"/>
    <x v="0"/>
    <n v="0"/>
    <n v="0"/>
    <n v="8"/>
    <n v="0"/>
    <n v="0"/>
    <n v="73.790000000000006"/>
    <n v="0"/>
    <m/>
    <n v="107.04184246109106"/>
    <m/>
    <n v="0"/>
    <n v="124440.26769000001"/>
    <n v="0"/>
    <n v="0"/>
    <n v="180516.54058665104"/>
    <n v="0"/>
  </r>
  <r>
    <s v="Regular"/>
    <x v="0"/>
    <x v="0"/>
    <x v="0"/>
    <x v="0"/>
    <x v="0"/>
    <x v="0"/>
    <x v="1"/>
    <x v="9"/>
    <n v="0"/>
    <n v="0"/>
    <n v="3390.308"/>
    <n v="1695.154"/>
    <n v="0"/>
    <n v="0"/>
    <n v="6"/>
    <x v="0"/>
    <n v="0"/>
    <n v="0"/>
    <n v="8"/>
    <n v="0"/>
    <n v="0"/>
    <n v="73.790000000000006"/>
    <n v="0"/>
    <m/>
    <n v="107.04184246109106"/>
    <m/>
    <n v="0"/>
    <n v="125085.41366000001"/>
    <n v="0"/>
    <n v="0"/>
    <n v="181452.40741528835"/>
    <n v="0"/>
  </r>
  <r>
    <s v="Regular"/>
    <x v="0"/>
    <x v="0"/>
    <x v="0"/>
    <x v="0"/>
    <x v="0"/>
    <x v="0"/>
    <x v="1"/>
    <x v="10"/>
    <n v="0"/>
    <n v="0"/>
    <n v="3363.3820000000001"/>
    <n v="1681.691"/>
    <n v="0"/>
    <n v="0"/>
    <n v="6"/>
    <x v="0"/>
    <n v="0"/>
    <n v="0"/>
    <n v="8"/>
    <n v="0"/>
    <n v="0"/>
    <n v="73.790000000000006"/>
    <n v="0"/>
    <m/>
    <n v="107.04184246109106"/>
    <m/>
    <n v="0"/>
    <n v="124091.97889000001"/>
    <n v="0"/>
    <n v="0"/>
    <n v="180011.30309023469"/>
    <n v="0"/>
  </r>
  <r>
    <s v="PROJETADO"/>
    <x v="0"/>
    <x v="0"/>
    <x v="0"/>
    <x v="0"/>
    <x v="0"/>
    <x v="0"/>
    <x v="1"/>
    <x v="11"/>
    <n v="0"/>
    <n v="0"/>
    <n v="3363.3820000000001"/>
    <n v="1681.691"/>
    <n v="0"/>
    <n v="0"/>
    <n v="6"/>
    <x v="0"/>
    <n v="0"/>
    <n v="0"/>
    <n v="8"/>
    <n v="0"/>
    <n v="0"/>
    <n v="73.790000000000006"/>
    <n v="0"/>
    <m/>
    <n v="107.04184246109106"/>
    <m/>
    <n v="0"/>
    <n v="124091.97889000001"/>
    <n v="0"/>
    <n v="0"/>
    <n v="180011.30309023469"/>
    <n v="0"/>
  </r>
  <r>
    <s v="Regular"/>
    <x v="0"/>
    <x v="0"/>
    <x v="0"/>
    <x v="0"/>
    <x v="0"/>
    <x v="0"/>
    <x v="2"/>
    <x v="0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1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2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3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4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5"/>
    <n v="3364"/>
    <n v="1682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4184.099999999991"/>
    <n v="0"/>
    <n v="0"/>
    <n v="92288.881148311892"/>
    <n v="0"/>
    <n v="0"/>
  </r>
  <r>
    <s v="Regular"/>
    <x v="0"/>
    <x v="0"/>
    <x v="0"/>
    <x v="0"/>
    <x v="0"/>
    <x v="0"/>
    <x v="2"/>
    <x v="6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7"/>
    <n v="3350"/>
    <n v="167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3833.75"/>
    <n v="0"/>
    <n v="0"/>
    <n v="91904.801381345082"/>
    <n v="0"/>
    <n v="0"/>
  </r>
  <r>
    <s v="Regular"/>
    <x v="0"/>
    <x v="0"/>
    <x v="0"/>
    <x v="0"/>
    <x v="0"/>
    <x v="0"/>
    <x v="2"/>
    <x v="8"/>
    <n v="3398"/>
    <n v="1699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5034.95"/>
    <n v="0"/>
    <n v="0"/>
    <n v="93221.646296659877"/>
    <n v="0"/>
    <n v="0"/>
  </r>
  <r>
    <s v="Regular"/>
    <x v="0"/>
    <x v="0"/>
    <x v="0"/>
    <x v="0"/>
    <x v="0"/>
    <x v="0"/>
    <x v="2"/>
    <x v="9"/>
    <n v="3237"/>
    <n v="1618.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1005.924999999988"/>
    <n v="0"/>
    <n v="0"/>
    <n v="88804.72897654149"/>
    <n v="0"/>
    <n v="0"/>
  </r>
  <r>
    <s v="Regular"/>
    <x v="0"/>
    <x v="0"/>
    <x v="0"/>
    <x v="0"/>
    <x v="0"/>
    <x v="0"/>
    <x v="2"/>
    <x v="10"/>
    <n v="3283"/>
    <n v="1641.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2157.074999999997"/>
    <n v="0"/>
    <n v="0"/>
    <n v="90066.705353718178"/>
    <n v="0"/>
    <n v="0"/>
  </r>
  <r>
    <s v="PROJETADO"/>
    <x v="0"/>
    <x v="0"/>
    <x v="0"/>
    <x v="0"/>
    <x v="0"/>
    <x v="0"/>
    <x v="2"/>
    <x v="11"/>
    <n v="3283"/>
    <n v="1641.5"/>
    <n v="0"/>
    <n v="0"/>
    <n v="0"/>
    <n v="0"/>
    <n v="0"/>
    <x v="0"/>
    <n v="0"/>
    <n v="2"/>
    <n v="0"/>
    <n v="0"/>
    <n v="50.05"/>
    <n v="0"/>
    <n v="0"/>
    <n v="54.868538138116463"/>
    <n v="107.04184246109106"/>
    <m/>
    <n v="82157.074999999997"/>
    <n v="0"/>
    <n v="0"/>
    <n v="90066.705353718178"/>
    <n v="0"/>
    <n v="0"/>
  </r>
  <r>
    <s v="Regular"/>
    <x v="0"/>
    <x v="1"/>
    <x v="1"/>
    <x v="0"/>
    <x v="1"/>
    <x v="0"/>
    <x v="0"/>
    <x v="0"/>
    <n v="0"/>
    <n v="0"/>
    <n v="214.33199999999999"/>
    <n v="214.33199999999999"/>
    <n v="214.33199999999999"/>
    <n v="214.331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5815.558280000001"/>
    <n v="57164.487719999997"/>
    <n v="0"/>
    <n v="22942.492178370569"/>
    <n v="42371.201456134666"/>
  </r>
  <r>
    <s v="Regular"/>
    <x v="0"/>
    <x v="1"/>
    <x v="1"/>
    <x v="0"/>
    <x v="1"/>
    <x v="0"/>
    <x v="0"/>
    <x v="1"/>
    <n v="0"/>
    <n v="0"/>
    <n v="189.839"/>
    <n v="189.839"/>
    <n v="189.839"/>
    <n v="189.839"/>
    <n v="0"/>
    <x v="1"/>
    <n v="0"/>
    <n v="0"/>
    <n v="21"/>
    <n v="70"/>
    <n v="0"/>
    <n v="73.790000000000006"/>
    <n v="266.70999999999998"/>
    <m/>
    <n v="107.04184246109106"/>
    <n v="197.6895725142987"/>
    <n v="0"/>
    <n v="14008.219810000001"/>
    <n v="50631.959689999996"/>
    <n v="0"/>
    <n v="20320.716330971067"/>
    <n v="37529.190756541953"/>
  </r>
  <r>
    <s v="Regular"/>
    <x v="0"/>
    <x v="1"/>
    <x v="1"/>
    <x v="0"/>
    <x v="1"/>
    <x v="0"/>
    <x v="0"/>
    <x v="2"/>
    <n v="0"/>
    <n v="0"/>
    <n v="270.11"/>
    <n v="270.11"/>
    <n v="270.11"/>
    <n v="270.11"/>
    <n v="0"/>
    <x v="1"/>
    <n v="0"/>
    <n v="0"/>
    <n v="21"/>
    <n v="70"/>
    <n v="0"/>
    <n v="73.790000000000006"/>
    <n v="266.70999999999998"/>
    <m/>
    <n v="107.04184246109106"/>
    <n v="197.6895725142987"/>
    <n v="0"/>
    <n v="19931.416900000004"/>
    <n v="72041.038100000005"/>
    <n v="0"/>
    <n v="28913.072067165311"/>
    <n v="53397.930431837223"/>
  </r>
  <r>
    <s v="Regular"/>
    <x v="0"/>
    <x v="1"/>
    <x v="1"/>
    <x v="0"/>
    <x v="1"/>
    <x v="0"/>
    <x v="0"/>
    <x v="3"/>
    <n v="0"/>
    <n v="0"/>
    <n v="267.45999999999998"/>
    <n v="267.45999999999998"/>
    <n v="267.45999999999998"/>
    <n v="267.45999999999998"/>
    <n v="0"/>
    <x v="1"/>
    <n v="0"/>
    <n v="0"/>
    <n v="21"/>
    <n v="70"/>
    <n v="0"/>
    <n v="73.790000000000006"/>
    <n v="266.70999999999998"/>
    <m/>
    <n v="107.04184246109106"/>
    <n v="197.6895725142987"/>
    <n v="0"/>
    <n v="19735.8734"/>
    <n v="71334.256599999993"/>
    <n v="0"/>
    <n v="28629.411184643413"/>
    <n v="52874.053064674328"/>
  </r>
  <r>
    <s v="Regular"/>
    <x v="0"/>
    <x v="1"/>
    <x v="1"/>
    <x v="0"/>
    <x v="1"/>
    <x v="0"/>
    <x v="0"/>
    <x v="4"/>
    <n v="0"/>
    <n v="0"/>
    <n v="240.125"/>
    <n v="240.125"/>
    <n v="240.125"/>
    <n v="240.125"/>
    <n v="0"/>
    <x v="1"/>
    <n v="0"/>
    <n v="0"/>
    <n v="21"/>
    <n v="70"/>
    <n v="0"/>
    <n v="73.790000000000006"/>
    <n v="266.70999999999998"/>
    <m/>
    <n v="107.04184246109106"/>
    <n v="197.6895725142987"/>
    <n v="0"/>
    <n v="17718.823750000003"/>
    <n v="64043.738749999997"/>
    <n v="0"/>
    <n v="25703.422420969491"/>
    <n v="47470.208599995975"/>
  </r>
  <r>
    <s v="Regular"/>
    <x v="0"/>
    <x v="1"/>
    <x v="1"/>
    <x v="0"/>
    <x v="1"/>
    <x v="0"/>
    <x v="0"/>
    <x v="5"/>
    <n v="0"/>
    <n v="0"/>
    <n v="232.13399999999999"/>
    <n v="232.13399999999999"/>
    <n v="232.13399999999999"/>
    <n v="232.133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7129.167860000001"/>
    <n v="61912.459139999992"/>
    <n v="0"/>
    <n v="24848.051057862911"/>
    <n v="45890.471226034213"/>
  </r>
  <r>
    <s v="Regular"/>
    <x v="0"/>
    <x v="1"/>
    <x v="1"/>
    <x v="0"/>
    <x v="1"/>
    <x v="0"/>
    <x v="0"/>
    <x v="6"/>
    <n v="0"/>
    <n v="0"/>
    <n v="262.23099999999999"/>
    <n v="262.23099999999999"/>
    <n v="262.23099999999999"/>
    <n v="262.230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9350.02549"/>
    <n v="69939.630009999993"/>
    <n v="0"/>
    <n v="28069.689390414369"/>
    <n v="51840.334289997059"/>
  </r>
  <r>
    <s v="Regular"/>
    <x v="0"/>
    <x v="1"/>
    <x v="1"/>
    <x v="0"/>
    <x v="1"/>
    <x v="0"/>
    <x v="0"/>
    <x v="7"/>
    <n v="0"/>
    <n v="0"/>
    <n v="293.43700000000001"/>
    <n v="293.43700000000001"/>
    <n v="293.43700000000001"/>
    <n v="293.43700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21652.716230000002"/>
    <n v="78262.582269999999"/>
    <n v="0"/>
    <n v="31410.037126255182"/>
    <n v="58009.435089878272"/>
  </r>
  <r>
    <s v="Regular"/>
    <x v="0"/>
    <x v="1"/>
    <x v="1"/>
    <x v="0"/>
    <x v="1"/>
    <x v="0"/>
    <x v="0"/>
    <x v="8"/>
    <n v="0"/>
    <n v="0"/>
    <n v="227.185"/>
    <n v="227.185"/>
    <n v="227.185"/>
    <n v="227.185"/>
    <n v="0"/>
    <x v="1"/>
    <n v="0"/>
    <n v="0"/>
    <n v="21"/>
    <n v="70"/>
    <n v="0"/>
    <n v="73.790000000000006"/>
    <n v="266.70999999999998"/>
    <m/>
    <n v="107.04184246109106"/>
    <n v="197.6895725142987"/>
    <n v="0"/>
    <n v="16763.981150000003"/>
    <n v="60592.511349999993"/>
    <n v="0"/>
    <n v="24318.300979522974"/>
    <n v="44912.105531660949"/>
  </r>
  <r>
    <s v="Regular"/>
    <x v="0"/>
    <x v="1"/>
    <x v="1"/>
    <x v="0"/>
    <x v="1"/>
    <x v="0"/>
    <x v="0"/>
    <x v="9"/>
    <n v="0"/>
    <n v="0"/>
    <n v="200.93700000000001"/>
    <n v="200.93700000000001"/>
    <n v="200.93700000000001"/>
    <n v="200.93700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14827.141230000003"/>
    <n v="53591.907269999996"/>
    <n v="0"/>
    <n v="21508.666698604258"/>
    <n v="39723.149632305642"/>
  </r>
  <r>
    <s v="Regular"/>
    <x v="0"/>
    <x v="1"/>
    <x v="1"/>
    <x v="0"/>
    <x v="1"/>
    <x v="0"/>
    <x v="0"/>
    <x v="10"/>
    <n v="0"/>
    <n v="0"/>
    <n v="181.31399999999999"/>
    <n v="181.31399999999999"/>
    <n v="181.31399999999999"/>
    <n v="181.313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3379.16006"/>
    <n v="48358.256939999992"/>
    <n v="0"/>
    <n v="19408.184623990266"/>
    <n v="35843.887150857554"/>
  </r>
  <r>
    <s v="PROJETADO"/>
    <x v="0"/>
    <x v="1"/>
    <x v="1"/>
    <x v="0"/>
    <x v="1"/>
    <x v="0"/>
    <x v="0"/>
    <x v="11"/>
    <n v="0"/>
    <n v="0"/>
    <n v="181.31399999999999"/>
    <n v="181.31399999999999"/>
    <n v="181.31399999999999"/>
    <n v="181.313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3379.16006"/>
    <n v="48358.256939999992"/>
    <n v="0"/>
    <n v="19408.184623990266"/>
    <n v="35843.887150857554"/>
  </r>
  <r>
    <s v="Regular"/>
    <x v="0"/>
    <x v="1"/>
    <x v="1"/>
    <x v="0"/>
    <x v="1"/>
    <x v="0"/>
    <x v="1"/>
    <x v="0"/>
    <n v="957"/>
    <n v="957"/>
    <n v="0"/>
    <n v="0"/>
    <n v="0"/>
    <n v="0"/>
    <n v="9"/>
    <x v="1"/>
    <n v="0"/>
    <n v="15"/>
    <n v="0"/>
    <n v="0"/>
    <n v="17.190000000000001"/>
    <n v="0"/>
    <n v="0"/>
    <n v="18.834852044119579"/>
    <m/>
    <m/>
    <n v="16450.830000000002"/>
    <n v="0"/>
    <n v="0"/>
    <n v="18024.953406222437"/>
    <n v="0"/>
    <n v="0"/>
  </r>
  <r>
    <s v="Regular"/>
    <x v="0"/>
    <x v="1"/>
    <x v="1"/>
    <x v="0"/>
    <x v="1"/>
    <x v="0"/>
    <x v="1"/>
    <x v="1"/>
    <n v="955"/>
    <n v="955"/>
    <n v="0"/>
    <n v="0"/>
    <n v="0"/>
    <n v="0"/>
    <n v="9"/>
    <x v="1"/>
    <n v="0"/>
    <n v="15"/>
    <n v="0"/>
    <n v="0"/>
    <n v="17.190000000000001"/>
    <n v="0"/>
    <n v="0"/>
    <n v="18.834852044119579"/>
    <m/>
    <m/>
    <n v="16416.45"/>
    <n v="0"/>
    <n v="0"/>
    <n v="17987.283702134198"/>
    <n v="0"/>
    <n v="0"/>
  </r>
  <r>
    <s v="Regular"/>
    <x v="0"/>
    <x v="1"/>
    <x v="1"/>
    <x v="0"/>
    <x v="1"/>
    <x v="0"/>
    <x v="1"/>
    <x v="2"/>
    <n v="1196"/>
    <n v="1196"/>
    <n v="0"/>
    <n v="0"/>
    <n v="0"/>
    <n v="0"/>
    <n v="9"/>
    <x v="1"/>
    <n v="0"/>
    <n v="15"/>
    <n v="0"/>
    <n v="0"/>
    <n v="17.190000000000001"/>
    <n v="0"/>
    <n v="0"/>
    <n v="18.834852044119579"/>
    <m/>
    <m/>
    <n v="20559.240000000002"/>
    <n v="0"/>
    <n v="0"/>
    <n v="22526.483044767017"/>
    <n v="0"/>
    <n v="0"/>
  </r>
  <r>
    <s v="Regular"/>
    <x v="0"/>
    <x v="1"/>
    <x v="1"/>
    <x v="0"/>
    <x v="1"/>
    <x v="0"/>
    <x v="1"/>
    <x v="3"/>
    <n v="1105"/>
    <n v="1105"/>
    <n v="0"/>
    <n v="0"/>
    <n v="0"/>
    <n v="0"/>
    <n v="9"/>
    <x v="1"/>
    <n v="0"/>
    <n v="15"/>
    <n v="0"/>
    <n v="0"/>
    <n v="17.190000000000001"/>
    <n v="0"/>
    <n v="0"/>
    <n v="18.834852044119579"/>
    <m/>
    <m/>
    <n v="18994.95"/>
    <n v="0"/>
    <n v="0"/>
    <n v="20812.511508752134"/>
    <n v="0"/>
    <n v="0"/>
  </r>
  <r>
    <s v="Regular"/>
    <x v="0"/>
    <x v="1"/>
    <x v="1"/>
    <x v="0"/>
    <x v="1"/>
    <x v="0"/>
    <x v="1"/>
    <x v="4"/>
    <n v="1006"/>
    <n v="1006"/>
    <n v="0"/>
    <n v="0"/>
    <n v="0"/>
    <n v="0"/>
    <n v="9"/>
    <x v="1"/>
    <n v="0"/>
    <n v="15"/>
    <n v="0"/>
    <n v="0"/>
    <n v="17.190000000000001"/>
    <n v="0"/>
    <n v="0"/>
    <n v="18.834852044119579"/>
    <m/>
    <m/>
    <n v="17293.140000000003"/>
    <n v="0"/>
    <n v="0"/>
    <n v="18947.861156384297"/>
    <n v="0"/>
    <n v="0"/>
  </r>
  <r>
    <s v="Regular"/>
    <x v="0"/>
    <x v="1"/>
    <x v="1"/>
    <x v="0"/>
    <x v="1"/>
    <x v="0"/>
    <x v="1"/>
    <x v="5"/>
    <n v="1017"/>
    <n v="1017"/>
    <n v="0"/>
    <n v="0"/>
    <n v="0"/>
    <n v="0"/>
    <n v="9"/>
    <x v="1"/>
    <n v="0"/>
    <n v="15"/>
    <n v="0"/>
    <n v="0"/>
    <n v="17.190000000000001"/>
    <n v="0"/>
    <n v="0"/>
    <n v="18.834852044119579"/>
    <m/>
    <m/>
    <n v="17482.23"/>
    <n v="0"/>
    <n v="0"/>
    <n v="19155.04452886961"/>
    <n v="0"/>
    <n v="0"/>
  </r>
  <r>
    <s v="Regular"/>
    <x v="0"/>
    <x v="1"/>
    <x v="1"/>
    <x v="0"/>
    <x v="1"/>
    <x v="0"/>
    <x v="1"/>
    <x v="6"/>
    <n v="1181"/>
    <n v="1181"/>
    <n v="0"/>
    <n v="0"/>
    <n v="0"/>
    <n v="0"/>
    <n v="9"/>
    <x v="1"/>
    <n v="0"/>
    <n v="15"/>
    <n v="0"/>
    <n v="0"/>
    <n v="17.190000000000001"/>
    <n v="0"/>
    <n v="0"/>
    <n v="18.834852044119579"/>
    <m/>
    <m/>
    <n v="20301.390000000003"/>
    <n v="0"/>
    <n v="0"/>
    <n v="22243.960264105222"/>
    <n v="0"/>
    <n v="0"/>
  </r>
  <r>
    <s v="Regular"/>
    <x v="0"/>
    <x v="1"/>
    <x v="1"/>
    <x v="0"/>
    <x v="1"/>
    <x v="0"/>
    <x v="1"/>
    <x v="7"/>
    <n v="1171"/>
    <n v="1171"/>
    <n v="0"/>
    <n v="0"/>
    <n v="0"/>
    <n v="0"/>
    <n v="8"/>
    <x v="1"/>
    <n v="0"/>
    <n v="15"/>
    <n v="0"/>
    <n v="0"/>
    <n v="17.190000000000001"/>
    <n v="0"/>
    <n v="0"/>
    <n v="18.834852044119579"/>
    <m/>
    <m/>
    <n v="20129.490000000002"/>
    <n v="0"/>
    <n v="0"/>
    <n v="22055.611743664027"/>
    <n v="0"/>
    <n v="0"/>
  </r>
  <r>
    <s v="Regular"/>
    <x v="0"/>
    <x v="1"/>
    <x v="1"/>
    <x v="0"/>
    <x v="1"/>
    <x v="0"/>
    <x v="1"/>
    <x v="8"/>
    <n v="1188"/>
    <n v="1188"/>
    <n v="0"/>
    <n v="0"/>
    <n v="0"/>
    <n v="0"/>
    <n v="8"/>
    <x v="1"/>
    <n v="0"/>
    <n v="15"/>
    <n v="0"/>
    <n v="0"/>
    <n v="17.190000000000001"/>
    <n v="0"/>
    <n v="0"/>
    <n v="18.834852044119579"/>
    <m/>
    <m/>
    <n v="20421.72"/>
    <n v="0"/>
    <n v="0"/>
    <n v="22375.804228414061"/>
    <n v="0"/>
    <n v="0"/>
  </r>
  <r>
    <s v="Regular"/>
    <x v="0"/>
    <x v="1"/>
    <x v="1"/>
    <x v="0"/>
    <x v="1"/>
    <x v="0"/>
    <x v="1"/>
    <x v="9"/>
    <n v="952"/>
    <n v="952"/>
    <n v="0"/>
    <n v="0"/>
    <n v="0"/>
    <n v="0"/>
    <n v="8"/>
    <x v="1"/>
    <n v="0"/>
    <n v="15"/>
    <n v="0"/>
    <n v="0"/>
    <n v="17.190000000000001"/>
    <n v="0"/>
    <n v="0"/>
    <n v="18.834852044119579"/>
    <m/>
    <m/>
    <n v="16364.880000000001"/>
    <n v="0"/>
    <n v="0"/>
    <n v="17930.779146001838"/>
    <n v="0"/>
    <n v="0"/>
  </r>
  <r>
    <s v="Regular"/>
    <x v="0"/>
    <x v="1"/>
    <x v="1"/>
    <x v="0"/>
    <x v="1"/>
    <x v="0"/>
    <x v="1"/>
    <x v="10"/>
    <n v="882"/>
    <n v="882"/>
    <n v="0"/>
    <n v="0"/>
    <n v="0"/>
    <n v="0"/>
    <n v="8"/>
    <x v="1"/>
    <n v="0"/>
    <n v="15"/>
    <n v="0"/>
    <n v="0"/>
    <n v="17.190000000000001"/>
    <n v="0"/>
    <n v="0"/>
    <n v="18.834852044119579"/>
    <m/>
    <m/>
    <n v="15161.580000000002"/>
    <n v="0"/>
    <n v="0"/>
    <n v="16612.33950291347"/>
    <n v="0"/>
    <n v="0"/>
  </r>
  <r>
    <s v="PROJETADO"/>
    <x v="0"/>
    <x v="1"/>
    <x v="1"/>
    <x v="0"/>
    <x v="1"/>
    <x v="0"/>
    <x v="1"/>
    <x v="11"/>
    <n v="882"/>
    <n v="882"/>
    <n v="0"/>
    <n v="0"/>
    <n v="0"/>
    <n v="0"/>
    <n v="8"/>
    <x v="1"/>
    <n v="0"/>
    <n v="15"/>
    <n v="0"/>
    <n v="0"/>
    <n v="17.190000000000001"/>
    <n v="0"/>
    <n v="0"/>
    <n v="18.834852044119579"/>
    <m/>
    <m/>
    <n v="15161.580000000002"/>
    <n v="0"/>
    <n v="0"/>
    <n v="16612.33950291347"/>
    <n v="0"/>
    <n v="0"/>
  </r>
  <r>
    <s v="Regular"/>
    <x v="0"/>
    <x v="1"/>
    <x v="1"/>
    <x v="0"/>
    <x v="1"/>
    <x v="0"/>
    <x v="2"/>
    <x v="0"/>
    <n v="0"/>
    <n v="0"/>
    <n v="13.484999999999999"/>
    <n v="13.484999999999999"/>
    <n v="13.484999999999999"/>
    <n v="13.484999999999999"/>
    <n v="0"/>
    <x v="1"/>
    <n v="0"/>
    <n v="0"/>
    <n v="18"/>
    <n v="69"/>
    <n v="0"/>
    <n v="1295.8499999999999"/>
    <n v="434.95"/>
    <m/>
    <n v="1438.8138130482339"/>
    <n v="316.97983140624547"/>
    <n v="0"/>
    <n v="17474.537249999998"/>
    <n v="5865.3007499999994"/>
    <n v="0"/>
    <n v="19402.404268955434"/>
    <n v="4274.4730265132202"/>
  </r>
  <r>
    <s v="Regular"/>
    <x v="0"/>
    <x v="1"/>
    <x v="1"/>
    <x v="0"/>
    <x v="1"/>
    <x v="0"/>
    <x v="2"/>
    <x v="1"/>
    <n v="0"/>
    <n v="0"/>
    <n v="13.756"/>
    <n v="13.756"/>
    <n v="13.756"/>
    <n v="13.756"/>
    <n v="0"/>
    <x v="1"/>
    <n v="0"/>
    <n v="0"/>
    <n v="18"/>
    <n v="69"/>
    <n v="0"/>
    <n v="1295.8499999999999"/>
    <n v="434.95"/>
    <m/>
    <n v="1438.8138130482339"/>
    <n v="316.97983140624547"/>
    <n v="0"/>
    <n v="17825.712599999999"/>
    <n v="5983.1722"/>
    <n v="0"/>
    <n v="19792.322812291506"/>
    <n v="4360.3745608243125"/>
  </r>
  <r>
    <s v="Regular"/>
    <x v="0"/>
    <x v="1"/>
    <x v="1"/>
    <x v="0"/>
    <x v="1"/>
    <x v="0"/>
    <x v="2"/>
    <x v="2"/>
    <n v="0"/>
    <n v="0"/>
    <n v="20.298999999999999"/>
    <n v="20.298999999999999"/>
    <n v="20.298999999999999"/>
    <n v="20.298999999999999"/>
    <n v="0"/>
    <x v="1"/>
    <n v="0"/>
    <n v="0"/>
    <n v="18"/>
    <n v="69"/>
    <n v="0"/>
    <n v="1295.8499999999999"/>
    <n v="434.95"/>
    <m/>
    <n v="1438.8138130482339"/>
    <n v="316.97983140624547"/>
    <n v="0"/>
    <n v="26304.459149999999"/>
    <n v="8829.0500499999998"/>
    <n v="0"/>
    <n v="29206.481591066098"/>
    <n v="6434.3735977153765"/>
  </r>
  <r>
    <s v="Regular"/>
    <x v="0"/>
    <x v="1"/>
    <x v="1"/>
    <x v="0"/>
    <x v="1"/>
    <x v="0"/>
    <x v="2"/>
    <x v="3"/>
    <n v="0"/>
    <n v="0"/>
    <n v="13.86"/>
    <n v="13.86"/>
    <n v="13.86"/>
    <n v="13.86"/>
    <n v="0"/>
    <x v="1"/>
    <n v="0"/>
    <n v="0"/>
    <n v="18"/>
    <n v="69"/>
    <n v="0"/>
    <n v="1295.8499999999999"/>
    <n v="434.95"/>
    <m/>
    <n v="1438.8138130482339"/>
    <n v="316.97983140624547"/>
    <n v="0"/>
    <n v="17960.481"/>
    <n v="6028.4069999999992"/>
    <n v="0"/>
    <n v="19941.95944884852"/>
    <n v="4393.3404632905622"/>
  </r>
  <r>
    <s v="Regular"/>
    <x v="0"/>
    <x v="1"/>
    <x v="1"/>
    <x v="0"/>
    <x v="1"/>
    <x v="0"/>
    <x v="2"/>
    <x v="4"/>
    <n v="0"/>
    <n v="0"/>
    <n v="18.306999999999999"/>
    <n v="18.306999999999999"/>
    <n v="18.306999999999999"/>
    <n v="18.306999999999999"/>
    <n v="0"/>
    <x v="1"/>
    <n v="0"/>
    <n v="0"/>
    <n v="18"/>
    <n v="69"/>
    <n v="0"/>
    <n v="1295.8499999999999"/>
    <n v="434.95"/>
    <m/>
    <n v="1438.8138130482339"/>
    <n v="316.97983140624547"/>
    <n v="0"/>
    <n v="23723.125949999998"/>
    <n v="7962.6296499999989"/>
    <n v="0"/>
    <n v="26340.364475474016"/>
    <n v="5802.9497735541354"/>
  </r>
  <r>
    <s v="Regular"/>
    <x v="0"/>
    <x v="1"/>
    <x v="1"/>
    <x v="0"/>
    <x v="1"/>
    <x v="0"/>
    <x v="2"/>
    <x v="5"/>
    <n v="0"/>
    <n v="0"/>
    <n v="16.87"/>
    <n v="16.87"/>
    <n v="16.87"/>
    <n v="16.87"/>
    <n v="0"/>
    <x v="1"/>
    <n v="0"/>
    <n v="0"/>
    <n v="18"/>
    <n v="69"/>
    <n v="0"/>
    <n v="1295.8499999999999"/>
    <n v="434.95"/>
    <m/>
    <n v="1438.8138130482339"/>
    <n v="316.97983140624547"/>
    <n v="0"/>
    <n v="21860.9895"/>
    <n v="7337.6064999999999"/>
    <n v="0"/>
    <n v="24272.789026123708"/>
    <n v="5347.4497558233616"/>
  </r>
  <r>
    <s v="Regular"/>
    <x v="0"/>
    <x v="1"/>
    <x v="1"/>
    <x v="0"/>
    <x v="1"/>
    <x v="0"/>
    <x v="2"/>
    <x v="6"/>
    <n v="0"/>
    <n v="0"/>
    <n v="16.728000000000002"/>
    <n v="16.728000000000002"/>
    <n v="16.728000000000002"/>
    <n v="16.728000000000002"/>
    <n v="0"/>
    <x v="1"/>
    <n v="0"/>
    <n v="0"/>
    <n v="18"/>
    <n v="69"/>
    <n v="0"/>
    <n v="1295.8499999999999"/>
    <n v="434.95"/>
    <m/>
    <n v="1438.8138130482339"/>
    <n v="316.97983140624547"/>
    <n v="0"/>
    <n v="21676.978800000001"/>
    <n v="7275.8436000000002"/>
    <n v="0"/>
    <n v="24068.477464670857"/>
    <n v="5302.438619763675"/>
  </r>
  <r>
    <s v="Regular"/>
    <x v="0"/>
    <x v="1"/>
    <x v="1"/>
    <x v="0"/>
    <x v="1"/>
    <x v="0"/>
    <x v="2"/>
    <x v="7"/>
    <n v="0"/>
    <n v="0"/>
    <n v="19.248999999999999"/>
    <n v="19.248999999999999"/>
    <n v="19.248999999999999"/>
    <n v="19.248999999999999"/>
    <n v="0"/>
    <x v="1"/>
    <n v="0"/>
    <n v="0"/>
    <n v="18"/>
    <n v="69"/>
    <n v="0"/>
    <n v="1295.8499999999999"/>
    <n v="434.95"/>
    <m/>
    <n v="1438.8138130482339"/>
    <n v="316.97983140624547"/>
    <n v="0"/>
    <n v="24943.816649999997"/>
    <n v="8372.3525499999996"/>
    <n v="0"/>
    <n v="27695.727087365452"/>
    <n v="6101.5447747388189"/>
  </r>
  <r>
    <s v="Regular"/>
    <x v="0"/>
    <x v="1"/>
    <x v="1"/>
    <x v="0"/>
    <x v="1"/>
    <x v="0"/>
    <x v="2"/>
    <x v="8"/>
    <n v="0"/>
    <n v="0"/>
    <n v="12.563000000000001"/>
    <n v="12.563000000000001"/>
    <n v="12.563000000000001"/>
    <n v="12.563000000000001"/>
    <n v="0"/>
    <x v="1"/>
    <n v="0"/>
    <n v="0"/>
    <n v="18"/>
    <n v="69"/>
    <n v="0"/>
    <n v="1295.8499999999999"/>
    <n v="434.95"/>
    <m/>
    <n v="1438.8138130482339"/>
    <n v="316.97983140624547"/>
    <n v="0"/>
    <n v="16279.76355"/>
    <n v="5464.2768500000002"/>
    <n v="0"/>
    <n v="18075.817933324965"/>
    <n v="3982.2176219566618"/>
  </r>
  <r>
    <s v="Regular"/>
    <x v="0"/>
    <x v="1"/>
    <x v="1"/>
    <x v="0"/>
    <x v="1"/>
    <x v="0"/>
    <x v="2"/>
    <x v="9"/>
    <n v="0"/>
    <n v="0"/>
    <n v="13.327999999999999"/>
    <n v="13.327999999999999"/>
    <n v="13.327999999999999"/>
    <n v="13.327999999999999"/>
    <n v="0"/>
    <x v="1"/>
    <n v="0"/>
    <n v="0"/>
    <n v="18"/>
    <n v="69"/>
    <n v="0"/>
    <n v="1295.8499999999999"/>
    <n v="434.95"/>
    <m/>
    <n v="1438.8138130482339"/>
    <n v="316.97983140624547"/>
    <n v="0"/>
    <n v="17271.088799999998"/>
    <n v="5797.0135999999993"/>
    <n v="0"/>
    <n v="19176.51050030686"/>
    <n v="4224.7071929824397"/>
  </r>
  <r>
    <s v="Regular"/>
    <x v="0"/>
    <x v="1"/>
    <x v="1"/>
    <x v="0"/>
    <x v="1"/>
    <x v="0"/>
    <x v="2"/>
    <x v="10"/>
    <n v="0"/>
    <n v="0"/>
    <n v="12.855"/>
    <n v="12.855"/>
    <n v="12.855"/>
    <n v="12.855"/>
    <n v="0"/>
    <x v="1"/>
    <n v="0"/>
    <n v="0"/>
    <n v="18"/>
    <n v="69"/>
    <n v="0"/>
    <n v="1295.8499999999999"/>
    <n v="434.95"/>
    <m/>
    <n v="1438.8138130482339"/>
    <n v="316.97983140624547"/>
    <n v="0"/>
    <n v="16658.151750000001"/>
    <n v="5591.2822500000002"/>
    <n v="0"/>
    <n v="18495.951566735046"/>
    <n v="4074.7757327272857"/>
  </r>
  <r>
    <s v="PROJETADO"/>
    <x v="0"/>
    <x v="1"/>
    <x v="1"/>
    <x v="0"/>
    <x v="1"/>
    <x v="0"/>
    <x v="2"/>
    <x v="11"/>
    <n v="0"/>
    <n v="0"/>
    <n v="12.855"/>
    <n v="12.855"/>
    <n v="12.855"/>
    <n v="12.855"/>
    <n v="0"/>
    <x v="1"/>
    <n v="0"/>
    <n v="0"/>
    <n v="18"/>
    <n v="69"/>
    <n v="0"/>
    <n v="1295.8499999999999"/>
    <n v="434.95"/>
    <m/>
    <n v="1438.8138130482339"/>
    <n v="316.97983140624547"/>
    <n v="0"/>
    <n v="16658.151750000001"/>
    <n v="5591.2822500000002"/>
    <n v="0"/>
    <n v="18495.951566735046"/>
    <n v="4074.7757327272857"/>
  </r>
  <r>
    <s v="Regular"/>
    <x v="0"/>
    <x v="1"/>
    <x v="0"/>
    <x v="0"/>
    <x v="1"/>
    <x v="0"/>
    <x v="0"/>
    <x v="0"/>
    <n v="0"/>
    <n v="0"/>
    <n v="303.74400000000003"/>
    <n v="303.74400000000003"/>
    <n v="303.74400000000003"/>
    <n v="303.74400000000003"/>
    <n v="0"/>
    <x v="1"/>
    <n v="0"/>
    <n v="0"/>
    <n v="21"/>
    <n v="70"/>
    <n v="0"/>
    <n v="73.790000000000006"/>
    <n v="266.70999999999998"/>
    <m/>
    <n v="107.04184246109106"/>
    <n v="197.6895725142987"/>
    <n v="0"/>
    <n v="22413.269760000003"/>
    <n v="81011.562239999999"/>
    <n v="0"/>
    <n v="32513.317396501647"/>
    <n v="60047.021513783147"/>
  </r>
  <r>
    <s v="Regular"/>
    <x v="0"/>
    <x v="1"/>
    <x v="0"/>
    <x v="0"/>
    <x v="1"/>
    <x v="0"/>
    <x v="0"/>
    <x v="1"/>
    <n v="0"/>
    <n v="0"/>
    <n v="289.48399999999998"/>
    <n v="289.48399999999998"/>
    <n v="289.48399999999998"/>
    <n v="289.48399999999998"/>
    <n v="0"/>
    <x v="1"/>
    <n v="0"/>
    <n v="0"/>
    <n v="21"/>
    <n v="70"/>
    <n v="0"/>
    <n v="73.790000000000006"/>
    <n v="266.70999999999998"/>
    <m/>
    <n v="107.04184246109106"/>
    <n v="197.6895725142987"/>
    <n v="0"/>
    <n v="21361.024359999999"/>
    <n v="77208.277639999986"/>
    <n v="0"/>
    <n v="30986.900723006485"/>
    <n v="57227.968209729239"/>
  </r>
  <r>
    <s v="Regular"/>
    <x v="0"/>
    <x v="1"/>
    <x v="0"/>
    <x v="0"/>
    <x v="1"/>
    <x v="0"/>
    <x v="0"/>
    <x v="2"/>
    <n v="0"/>
    <n v="0"/>
    <n v="272.87900000000002"/>
    <n v="272.87900000000002"/>
    <n v="272.87900000000002"/>
    <n v="272.87900000000002"/>
    <n v="0"/>
    <x v="1"/>
    <n v="0"/>
    <n v="0"/>
    <n v="21"/>
    <n v="70"/>
    <n v="0"/>
    <n v="73.790000000000006"/>
    <n v="266.70999999999998"/>
    <m/>
    <n v="107.04184246109106"/>
    <n v="197.6895725142987"/>
    <n v="0"/>
    <n v="20135.741410000002"/>
    <n v="72779.558090000006"/>
    <n v="0"/>
    <n v="29209.470928940071"/>
    <n v="53945.332858129317"/>
  </r>
  <r>
    <s v="Regular"/>
    <x v="0"/>
    <x v="1"/>
    <x v="0"/>
    <x v="0"/>
    <x v="1"/>
    <x v="0"/>
    <x v="0"/>
    <x v="3"/>
    <n v="0"/>
    <n v="0"/>
    <n v="281.43900000000002"/>
    <n v="281.43900000000002"/>
    <n v="281.43900000000002"/>
    <n v="281.43900000000002"/>
    <n v="0"/>
    <x v="1"/>
    <n v="0"/>
    <n v="0"/>
    <n v="21"/>
    <n v="70"/>
    <n v="0"/>
    <n v="73.790000000000006"/>
    <n v="266.70999999999998"/>
    <m/>
    <n v="107.04184246109106"/>
    <n v="197.6895725142987"/>
    <n v="0"/>
    <n v="20767.383810000003"/>
    <n v="75062.595690000002"/>
    <n v="0"/>
    <n v="30125.749100407011"/>
    <n v="55637.555598851715"/>
  </r>
  <r>
    <s v="Regular"/>
    <x v="0"/>
    <x v="1"/>
    <x v="0"/>
    <x v="0"/>
    <x v="1"/>
    <x v="0"/>
    <x v="0"/>
    <x v="4"/>
    <n v="0"/>
    <n v="0"/>
    <n v="267.35599999999999"/>
    <n v="267.35599999999999"/>
    <n v="267.35599999999999"/>
    <n v="267.355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19728.199240000002"/>
    <n v="71306.518759999992"/>
    <n v="0"/>
    <n v="28618.278833027463"/>
    <n v="52853.493349132841"/>
  </r>
  <r>
    <s v="Regular"/>
    <x v="0"/>
    <x v="1"/>
    <x v="0"/>
    <x v="0"/>
    <x v="1"/>
    <x v="0"/>
    <x v="0"/>
    <x v="5"/>
    <n v="0"/>
    <n v="0"/>
    <n v="243.958"/>
    <n v="243.958"/>
    <n v="243.958"/>
    <n v="243.958"/>
    <n v="0"/>
    <x v="1"/>
    <n v="0"/>
    <n v="0"/>
    <n v="21"/>
    <n v="70"/>
    <n v="0"/>
    <n v="73.790000000000006"/>
    <n v="266.70999999999998"/>
    <m/>
    <n v="107.04184246109106"/>
    <n v="197.6895725142987"/>
    <n v="0"/>
    <n v="18001.660820000001"/>
    <n v="65066.038179999996"/>
    <n v="0"/>
    <n v="26113.713803122853"/>
    <n v="48227.952731443285"/>
  </r>
  <r>
    <s v="Regular"/>
    <x v="0"/>
    <x v="1"/>
    <x v="0"/>
    <x v="0"/>
    <x v="1"/>
    <x v="0"/>
    <x v="0"/>
    <x v="6"/>
    <n v="0"/>
    <n v="0"/>
    <n v="279.60899999999998"/>
    <n v="279.60899999999998"/>
    <n v="279.60899999999998"/>
    <n v="279.60899999999998"/>
    <n v="0"/>
    <x v="1"/>
    <n v="0"/>
    <n v="0"/>
    <n v="21"/>
    <n v="70"/>
    <n v="0"/>
    <n v="73.790000000000006"/>
    <n v="266.70999999999998"/>
    <m/>
    <n v="107.04184246109106"/>
    <n v="197.6895725142987"/>
    <n v="0"/>
    <n v="20632.348109999999"/>
    <n v="74574.51638999999"/>
    <n v="0"/>
    <n v="29929.862528703208"/>
    <n v="55275.78368115054"/>
  </r>
  <r>
    <s v="Regular"/>
    <x v="0"/>
    <x v="1"/>
    <x v="0"/>
    <x v="0"/>
    <x v="1"/>
    <x v="0"/>
    <x v="0"/>
    <x v="7"/>
    <n v="0"/>
    <n v="0"/>
    <n v="312.495"/>
    <n v="312.495"/>
    <n v="312.495"/>
    <n v="312.495"/>
    <n v="0"/>
    <x v="1"/>
    <n v="0"/>
    <n v="0"/>
    <n v="21"/>
    <n v="70"/>
    <n v="0"/>
    <n v="73.790000000000006"/>
    <n v="266.70999999999998"/>
    <m/>
    <n v="107.04184246109106"/>
    <n v="197.6895725142987"/>
    <n v="0"/>
    <n v="23059.006050000004"/>
    <n v="83345.54144999999"/>
    <n v="0"/>
    <n v="33450.040559878653"/>
    <n v="61777.002962855775"/>
  </r>
  <r>
    <s v="Regular"/>
    <x v="0"/>
    <x v="1"/>
    <x v="0"/>
    <x v="0"/>
    <x v="1"/>
    <x v="0"/>
    <x v="0"/>
    <x v="8"/>
    <n v="0"/>
    <n v="0"/>
    <n v="284.56400000000002"/>
    <n v="284.56400000000002"/>
    <n v="284.56400000000002"/>
    <n v="284.56400000000002"/>
    <n v="0"/>
    <x v="1"/>
    <n v="0"/>
    <n v="0"/>
    <n v="21"/>
    <n v="70"/>
    <n v="0"/>
    <n v="73.790000000000006"/>
    <n v="266.70999999999998"/>
    <m/>
    <n v="107.04184246109106"/>
    <n v="197.6895725142987"/>
    <n v="0"/>
    <n v="20997.977560000003"/>
    <n v="75896.064440000002"/>
    <n v="0"/>
    <n v="30460.25485809792"/>
    <n v="56255.335512958904"/>
  </r>
  <r>
    <s v="Regular"/>
    <x v="0"/>
    <x v="1"/>
    <x v="0"/>
    <x v="0"/>
    <x v="1"/>
    <x v="0"/>
    <x v="0"/>
    <x v="9"/>
    <n v="0"/>
    <n v="0"/>
    <n v="324.16500000000002"/>
    <n v="324.16500000000002"/>
    <n v="324.16500000000002"/>
    <n v="324.16500000000002"/>
    <n v="0"/>
    <x v="1"/>
    <n v="0"/>
    <n v="0"/>
    <n v="21"/>
    <n v="70"/>
    <n v="0"/>
    <n v="73.790000000000006"/>
    <n v="266.70999999999998"/>
    <m/>
    <n v="107.04184246109106"/>
    <n v="197.6895725142987"/>
    <n v="0"/>
    <n v="23920.135350000004"/>
    <n v="86458.047149999999"/>
    <n v="0"/>
    <n v="34699.21886139959"/>
    <n v="64084.040274097642"/>
  </r>
  <r>
    <s v="Regular"/>
    <x v="0"/>
    <x v="1"/>
    <x v="0"/>
    <x v="0"/>
    <x v="1"/>
    <x v="0"/>
    <x v="0"/>
    <x v="10"/>
    <n v="0"/>
    <n v="0"/>
    <n v="287.36500000000001"/>
    <n v="287.36500000000001"/>
    <n v="287.36500000000001"/>
    <n v="287.36500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21204.663350000003"/>
    <n v="76643.119149999999"/>
    <n v="0"/>
    <n v="30760.079058831434"/>
    <n v="56809.064005571447"/>
  </r>
  <r>
    <s v="PROJETADO"/>
    <x v="0"/>
    <x v="1"/>
    <x v="0"/>
    <x v="0"/>
    <x v="1"/>
    <x v="0"/>
    <x v="0"/>
    <x v="11"/>
    <n v="0"/>
    <n v="0"/>
    <n v="287.36500000000001"/>
    <n v="287.36500000000001"/>
    <n v="287.36500000000001"/>
    <n v="287.36500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21204.663350000003"/>
    <n v="76643.119149999999"/>
    <n v="0"/>
    <n v="30760.079058831434"/>
    <n v="56809.064005571447"/>
  </r>
  <r>
    <s v="Regular"/>
    <x v="0"/>
    <x v="1"/>
    <x v="0"/>
    <x v="0"/>
    <x v="1"/>
    <x v="0"/>
    <x v="1"/>
    <x v="0"/>
    <n v="1735"/>
    <n v="1735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824.65"/>
    <n v="0"/>
    <n v="0"/>
    <n v="32678.468296547468"/>
    <n v="0"/>
    <n v="0"/>
  </r>
  <r>
    <s v="Regular"/>
    <x v="0"/>
    <x v="1"/>
    <x v="0"/>
    <x v="0"/>
    <x v="1"/>
    <x v="0"/>
    <x v="1"/>
    <x v="1"/>
    <n v="1718"/>
    <n v="1718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532.420000000002"/>
    <n v="0"/>
    <n v="0"/>
    <n v="32358.275811797437"/>
    <n v="0"/>
    <n v="0"/>
  </r>
  <r>
    <s v="Regular"/>
    <x v="0"/>
    <x v="1"/>
    <x v="0"/>
    <x v="0"/>
    <x v="1"/>
    <x v="0"/>
    <x v="1"/>
    <x v="2"/>
    <n v="1701"/>
    <n v="1701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240.190000000002"/>
    <n v="0"/>
    <n v="0"/>
    <n v="32038.083327047403"/>
    <n v="0"/>
    <n v="0"/>
  </r>
  <r>
    <s v="Regular"/>
    <x v="0"/>
    <x v="1"/>
    <x v="0"/>
    <x v="0"/>
    <x v="1"/>
    <x v="0"/>
    <x v="1"/>
    <x v="3"/>
    <n v="1707"/>
    <n v="1707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343.33"/>
    <n v="0"/>
    <n v="0"/>
    <n v="32151.09243931212"/>
    <n v="0"/>
    <n v="0"/>
  </r>
  <r>
    <s v="Regular"/>
    <x v="0"/>
    <x v="1"/>
    <x v="0"/>
    <x v="0"/>
    <x v="1"/>
    <x v="0"/>
    <x v="1"/>
    <x v="4"/>
    <n v="1732"/>
    <n v="1732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773.08"/>
    <n v="0"/>
    <n v="0"/>
    <n v="32621.963740415111"/>
    <n v="0"/>
    <n v="0"/>
  </r>
  <r>
    <s v="Regular"/>
    <x v="0"/>
    <x v="1"/>
    <x v="0"/>
    <x v="0"/>
    <x v="1"/>
    <x v="0"/>
    <x v="1"/>
    <x v="5"/>
    <n v="1740"/>
    <n v="1740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910.600000000002"/>
    <n v="0"/>
    <n v="0"/>
    <n v="32772.642556768064"/>
    <n v="0"/>
    <n v="0"/>
  </r>
  <r>
    <s v="Regular"/>
    <x v="0"/>
    <x v="1"/>
    <x v="0"/>
    <x v="0"/>
    <x v="1"/>
    <x v="0"/>
    <x v="1"/>
    <x v="6"/>
    <n v="1747"/>
    <n v="1747"/>
    <n v="0"/>
    <n v="0"/>
    <n v="0"/>
    <n v="0"/>
    <n v="10"/>
    <x v="1"/>
    <n v="0"/>
    <n v="15"/>
    <n v="0"/>
    <n v="0"/>
    <n v="17.190000000000001"/>
    <n v="0"/>
    <n v="0"/>
    <n v="18.834852044119579"/>
    <m/>
    <m/>
    <n v="30030.930000000004"/>
    <n v="0"/>
    <n v="0"/>
    <n v="32904.486521076906"/>
    <n v="0"/>
    <n v="0"/>
  </r>
  <r>
    <s v="Regular"/>
    <x v="0"/>
    <x v="1"/>
    <x v="0"/>
    <x v="0"/>
    <x v="1"/>
    <x v="0"/>
    <x v="1"/>
    <x v="7"/>
    <n v="1748"/>
    <n v="1748"/>
    <n v="0"/>
    <n v="0"/>
    <n v="0"/>
    <n v="0"/>
    <n v="10"/>
    <x v="1"/>
    <n v="0"/>
    <n v="15"/>
    <n v="0"/>
    <n v="0"/>
    <n v="17.190000000000001"/>
    <n v="0"/>
    <n v="0"/>
    <n v="18.834852044119579"/>
    <m/>
    <m/>
    <n v="30048.120000000003"/>
    <n v="0"/>
    <n v="0"/>
    <n v="32923.321373121027"/>
    <n v="0"/>
    <n v="0"/>
  </r>
  <r>
    <s v="Regular"/>
    <x v="0"/>
    <x v="1"/>
    <x v="0"/>
    <x v="0"/>
    <x v="1"/>
    <x v="0"/>
    <x v="1"/>
    <x v="8"/>
    <n v="1724"/>
    <n v="1724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635.56"/>
    <n v="0"/>
    <n v="0"/>
    <n v="32471.284924062154"/>
    <n v="0"/>
    <n v="0"/>
  </r>
  <r>
    <s v="Regular"/>
    <x v="0"/>
    <x v="1"/>
    <x v="0"/>
    <x v="0"/>
    <x v="1"/>
    <x v="0"/>
    <x v="1"/>
    <x v="9"/>
    <n v="1734"/>
    <n v="1734"/>
    <n v="0"/>
    <n v="0"/>
    <n v="0"/>
    <n v="0"/>
    <n v="10"/>
    <x v="1"/>
    <n v="0"/>
    <n v="15"/>
    <n v="0"/>
    <n v="0"/>
    <n v="17.190000000000001"/>
    <n v="0"/>
    <n v="0"/>
    <n v="18.834852044119579"/>
    <m/>
    <m/>
    <n v="29807.460000000003"/>
    <n v="0"/>
    <n v="0"/>
    <n v="32659.63344450335"/>
    <n v="0"/>
    <n v="0"/>
  </r>
  <r>
    <s v="Regular"/>
    <x v="0"/>
    <x v="1"/>
    <x v="0"/>
    <x v="0"/>
    <x v="1"/>
    <x v="0"/>
    <x v="1"/>
    <x v="10"/>
    <n v="1748"/>
    <n v="1748"/>
    <n v="0"/>
    <n v="0"/>
    <n v="0"/>
    <n v="0"/>
    <n v="10"/>
    <x v="1"/>
    <n v="0"/>
    <n v="15"/>
    <n v="0"/>
    <n v="0"/>
    <n v="17.190000000000001"/>
    <n v="0"/>
    <n v="0"/>
    <n v="18.834852044119579"/>
    <m/>
    <m/>
    <n v="30048.120000000003"/>
    <n v="0"/>
    <n v="0"/>
    <n v="32923.321373121027"/>
    <n v="0"/>
    <n v="0"/>
  </r>
  <r>
    <s v="PROJETADO"/>
    <x v="0"/>
    <x v="1"/>
    <x v="0"/>
    <x v="0"/>
    <x v="1"/>
    <x v="0"/>
    <x v="1"/>
    <x v="11"/>
    <n v="1748"/>
    <n v="1748"/>
    <n v="0"/>
    <n v="0"/>
    <n v="0"/>
    <n v="0"/>
    <n v="10"/>
    <x v="1"/>
    <n v="0"/>
    <n v="15"/>
    <n v="0"/>
    <n v="0"/>
    <n v="17.190000000000001"/>
    <n v="0"/>
    <n v="0"/>
    <n v="18.834852044119579"/>
    <m/>
    <m/>
    <n v="30048.120000000003"/>
    <n v="0"/>
    <n v="0"/>
    <n v="32923.321373121027"/>
    <n v="0"/>
    <n v="0"/>
  </r>
  <r>
    <s v="Regular"/>
    <x v="0"/>
    <x v="1"/>
    <x v="0"/>
    <x v="0"/>
    <x v="1"/>
    <x v="0"/>
    <x v="2"/>
    <x v="0"/>
    <n v="0"/>
    <n v="0"/>
    <n v="6.9489999999999998"/>
    <n v="6.9489999999999998"/>
    <n v="6.9489999999999998"/>
    <n v="6.9489999999999998"/>
    <n v="0"/>
    <x v="1"/>
    <n v="0"/>
    <n v="0"/>
    <n v="18"/>
    <n v="69"/>
    <n v="0"/>
    <n v="1295.8499999999999"/>
    <n v="434.95"/>
    <m/>
    <n v="1438.8138130482339"/>
    <n v="316.97983140624547"/>
    <n v="0"/>
    <n v="9004.8616499999989"/>
    <n v="3022.4675499999998"/>
    <n v="0"/>
    <n v="9998.3171868721765"/>
    <n v="2202.6928484419996"/>
  </r>
  <r>
    <s v="Regular"/>
    <x v="0"/>
    <x v="1"/>
    <x v="0"/>
    <x v="0"/>
    <x v="1"/>
    <x v="0"/>
    <x v="2"/>
    <x v="1"/>
    <n v="0"/>
    <n v="0"/>
    <n v="5.7329999999999997"/>
    <n v="5.7329999999999997"/>
    <n v="5.7329999999999997"/>
    <n v="5.7329999999999997"/>
    <n v="0"/>
    <x v="1"/>
    <n v="0"/>
    <n v="0"/>
    <n v="18"/>
    <n v="69"/>
    <n v="0"/>
    <n v="1295.8499999999999"/>
    <n v="434.95"/>
    <m/>
    <n v="1438.8138130482339"/>
    <n v="316.97983140624547"/>
    <n v="0"/>
    <n v="7429.1080499999989"/>
    <n v="2493.56835"/>
    <n v="0"/>
    <n v="8248.7195902055246"/>
    <n v="1817.2453734520052"/>
  </r>
  <r>
    <s v="Regular"/>
    <x v="0"/>
    <x v="1"/>
    <x v="0"/>
    <x v="0"/>
    <x v="1"/>
    <x v="0"/>
    <x v="2"/>
    <x v="2"/>
    <n v="0"/>
    <n v="0"/>
    <n v="5.7930000000000001"/>
    <n v="5.7930000000000001"/>
    <n v="5.7930000000000001"/>
    <n v="5.7930000000000001"/>
    <n v="0"/>
    <x v="1"/>
    <n v="0"/>
    <n v="0"/>
    <n v="18"/>
    <n v="69"/>
    <n v="0"/>
    <n v="1295.8499999999999"/>
    <n v="434.95"/>
    <m/>
    <n v="1438.8138130482339"/>
    <n v="316.97983140624547"/>
    <n v="0"/>
    <n v="7506.85905"/>
    <n v="2519.6653500000002"/>
    <n v="0"/>
    <n v="8335.0484189884191"/>
    <n v="1836.2641633363801"/>
  </r>
  <r>
    <s v="Regular"/>
    <x v="0"/>
    <x v="1"/>
    <x v="0"/>
    <x v="0"/>
    <x v="1"/>
    <x v="0"/>
    <x v="2"/>
    <x v="3"/>
    <n v="0"/>
    <n v="0"/>
    <n v="5.2130000000000001"/>
    <n v="5.2130000000000001"/>
    <n v="5.2130000000000001"/>
    <n v="5.2130000000000001"/>
    <n v="0"/>
    <x v="1"/>
    <n v="0"/>
    <n v="0"/>
    <n v="18"/>
    <n v="69"/>
    <n v="0"/>
    <n v="1295.8499999999999"/>
    <n v="434.95"/>
    <m/>
    <n v="1438.8138130482339"/>
    <n v="316.97983140624547"/>
    <n v="0"/>
    <n v="6755.2660499999993"/>
    <n v="2267.39435"/>
    <n v="0"/>
    <n v="7500.5364074204435"/>
    <n v="1652.4158611207577"/>
  </r>
  <r>
    <s v="Regular"/>
    <x v="0"/>
    <x v="1"/>
    <x v="0"/>
    <x v="0"/>
    <x v="1"/>
    <x v="0"/>
    <x v="2"/>
    <x v="4"/>
    <n v="0"/>
    <n v="0"/>
    <n v="6.1479999999999997"/>
    <n v="6.1479999999999997"/>
    <n v="6.1479999999999997"/>
    <n v="6.1479999999999997"/>
    <n v="0"/>
    <x v="1"/>
    <n v="0"/>
    <n v="0"/>
    <n v="18"/>
    <n v="69"/>
    <n v="0"/>
    <n v="1295.8499999999999"/>
    <n v="434.95"/>
    <m/>
    <n v="1438.8138130482339"/>
    <n v="316.97983140624547"/>
    <n v="0"/>
    <n v="7966.8857999999991"/>
    <n v="2674.0726"/>
    <n v="0"/>
    <n v="8845.827322620542"/>
    <n v="1948.792003485597"/>
  </r>
  <r>
    <s v="Regular"/>
    <x v="0"/>
    <x v="1"/>
    <x v="0"/>
    <x v="0"/>
    <x v="1"/>
    <x v="0"/>
    <x v="2"/>
    <x v="5"/>
    <n v="0"/>
    <n v="0"/>
    <n v="5.6349999999999998"/>
    <n v="5.6349999999999998"/>
    <n v="5.6349999999999998"/>
    <n v="5.6349999999999998"/>
    <n v="0"/>
    <x v="1"/>
    <n v="0"/>
    <n v="0"/>
    <n v="18"/>
    <n v="69"/>
    <n v="0"/>
    <n v="1295.8499999999999"/>
    <n v="434.95"/>
    <m/>
    <n v="1438.8138130482339"/>
    <n v="316.97983140624547"/>
    <n v="0"/>
    <n v="7302.1147499999988"/>
    <n v="2450.9432499999998"/>
    <n v="0"/>
    <n v="8107.7158365267978"/>
    <n v="1786.1813499741932"/>
  </r>
  <r>
    <s v="Regular"/>
    <x v="0"/>
    <x v="1"/>
    <x v="0"/>
    <x v="0"/>
    <x v="1"/>
    <x v="0"/>
    <x v="2"/>
    <x v="6"/>
    <n v="0"/>
    <n v="0"/>
    <n v="6.2969999999999997"/>
    <n v="6.2969999999999997"/>
    <n v="6.2969999999999997"/>
    <n v="6.2969999999999997"/>
    <n v="0"/>
    <x v="1"/>
    <n v="0"/>
    <n v="0"/>
    <n v="18"/>
    <n v="69"/>
    <n v="0"/>
    <n v="1295.8499999999999"/>
    <n v="434.95"/>
    <m/>
    <n v="1438.8138130482339"/>
    <n v="316.97983140624547"/>
    <n v="0"/>
    <n v="8159.9674499999992"/>
    <n v="2738.88015"/>
    <n v="0"/>
    <n v="9060.2105807647276"/>
    <n v="1996.0219983651275"/>
  </r>
  <r>
    <s v="Regular"/>
    <x v="0"/>
    <x v="1"/>
    <x v="0"/>
    <x v="0"/>
    <x v="1"/>
    <x v="0"/>
    <x v="2"/>
    <x v="7"/>
    <n v="0"/>
    <n v="0"/>
    <n v="6.0910000000000002"/>
    <n v="6.0910000000000002"/>
    <n v="6.0910000000000002"/>
    <n v="6.0910000000000002"/>
    <n v="0"/>
    <x v="1"/>
    <n v="0"/>
    <n v="0"/>
    <n v="18"/>
    <n v="69"/>
    <n v="0"/>
    <n v="1295.8499999999999"/>
    <n v="434.95"/>
    <m/>
    <n v="1438.8138130482339"/>
    <n v="316.97983140624547"/>
    <n v="0"/>
    <n v="7893.0223499999993"/>
    <n v="2649.2804500000002"/>
    <n v="0"/>
    <n v="8763.8149352767923"/>
    <n v="1930.7241530954411"/>
  </r>
  <r>
    <s v="Regular"/>
    <x v="0"/>
    <x v="1"/>
    <x v="0"/>
    <x v="0"/>
    <x v="1"/>
    <x v="0"/>
    <x v="2"/>
    <x v="8"/>
    <n v="0"/>
    <n v="0"/>
    <n v="4.9980000000000002"/>
    <n v="4.9980000000000002"/>
    <n v="4.9980000000000002"/>
    <n v="4.9980000000000002"/>
    <n v="0"/>
    <x v="1"/>
    <n v="0"/>
    <n v="0"/>
    <n v="18"/>
    <n v="69"/>
    <n v="0"/>
    <n v="1295.8499999999999"/>
    <n v="434.95"/>
    <m/>
    <n v="1438.8138130482339"/>
    <n v="316.97983140624547"/>
    <n v="0"/>
    <n v="6476.6583000000001"/>
    <n v="2173.8800999999999"/>
    <n v="0"/>
    <n v="7191.1914376150735"/>
    <n v="1584.2651973684149"/>
  </r>
  <r>
    <s v="Regular"/>
    <x v="0"/>
    <x v="1"/>
    <x v="0"/>
    <x v="0"/>
    <x v="1"/>
    <x v="0"/>
    <x v="2"/>
    <x v="9"/>
    <n v="0"/>
    <n v="0"/>
    <n v="5.8559999999999999"/>
    <n v="5.8559999999999999"/>
    <n v="5.8559999999999999"/>
    <n v="5.8559999999999999"/>
    <n v="0"/>
    <x v="1"/>
    <n v="0"/>
    <n v="0"/>
    <n v="18"/>
    <n v="69"/>
    <n v="0"/>
    <n v="1295.8499999999999"/>
    <n v="434.95"/>
    <m/>
    <n v="1438.8138130482339"/>
    <n v="316.97983140624547"/>
    <n v="0"/>
    <n v="7588.4975999999997"/>
    <n v="2547.0672"/>
    <n v="0"/>
    <n v="8425.6936892104568"/>
    <n v="1856.2338927149733"/>
  </r>
  <r>
    <s v="Regular"/>
    <x v="0"/>
    <x v="1"/>
    <x v="0"/>
    <x v="0"/>
    <x v="1"/>
    <x v="0"/>
    <x v="2"/>
    <x v="10"/>
    <n v="0"/>
    <n v="0"/>
    <n v="6.7539999999999996"/>
    <n v="6.7539999999999996"/>
    <n v="6.7539999999999996"/>
    <n v="6.7539999999999996"/>
    <n v="0"/>
    <x v="1"/>
    <n v="0"/>
    <n v="0"/>
    <n v="18"/>
    <n v="69"/>
    <n v="0"/>
    <n v="1295.8499999999999"/>
    <n v="434.95"/>
    <m/>
    <n v="1438.8138130482339"/>
    <n v="316.97983140624547"/>
    <n v="0"/>
    <n v="8752.1708999999992"/>
    <n v="2937.6522999999997"/>
    <n v="0"/>
    <n v="9717.7484933277719"/>
    <n v="2140.8817813177816"/>
  </r>
  <r>
    <s v="PROJETADO"/>
    <x v="0"/>
    <x v="1"/>
    <x v="0"/>
    <x v="0"/>
    <x v="1"/>
    <x v="0"/>
    <x v="2"/>
    <x v="11"/>
    <n v="0"/>
    <n v="0"/>
    <n v="6.7539999999999996"/>
    <n v="6.7539999999999996"/>
    <n v="6.7539999999999996"/>
    <n v="6.7539999999999996"/>
    <n v="0"/>
    <x v="1"/>
    <n v="0"/>
    <n v="0"/>
    <n v="18"/>
    <n v="69"/>
    <n v="0"/>
    <n v="1295.8499999999999"/>
    <n v="434.95"/>
    <m/>
    <n v="1438.8138130482339"/>
    <n v="316.97983140624547"/>
    <n v="0"/>
    <n v="8752.1708999999992"/>
    <n v="2937.6522999999997"/>
    <n v="0"/>
    <n v="9717.7484933277719"/>
    <n v="2140.8817813177816"/>
  </r>
  <r>
    <s v="Regular"/>
    <x v="0"/>
    <x v="1"/>
    <x v="2"/>
    <x v="0"/>
    <x v="1"/>
    <x v="0"/>
    <x v="0"/>
    <x v="0"/>
    <n v="0"/>
    <n v="0"/>
    <n v="7.9420000000000002"/>
    <n v="7.9420000000000002"/>
    <n v="7.9420000000000002"/>
    <n v="7.9420000000000002"/>
    <n v="0"/>
    <x v="1"/>
    <n v="0"/>
    <n v="0"/>
    <n v="21"/>
    <n v="70"/>
    <n v="0"/>
    <n v="73.790000000000006"/>
    <n v="266.70999999999998"/>
    <m/>
    <n v="107.04184246109106"/>
    <n v="197.6895725142987"/>
    <n v="0"/>
    <n v="586.04018000000008"/>
    <n v="2118.2108199999998"/>
    <n v="0"/>
    <n v="850.12631282598522"/>
    <n v="1570.0505849085603"/>
  </r>
  <r>
    <s v="Regular"/>
    <x v="0"/>
    <x v="1"/>
    <x v="2"/>
    <x v="0"/>
    <x v="1"/>
    <x v="0"/>
    <x v="0"/>
    <x v="1"/>
    <n v="0"/>
    <n v="0"/>
    <n v="6.1440000000000001"/>
    <n v="6.1440000000000001"/>
    <n v="6.1440000000000001"/>
    <n v="6.1440000000000001"/>
    <n v="0"/>
    <x v="1"/>
    <n v="0"/>
    <n v="0"/>
    <n v="21"/>
    <n v="70"/>
    <n v="0"/>
    <n v="73.790000000000006"/>
    <n v="266.70999999999998"/>
    <m/>
    <n v="107.04184246109106"/>
    <n v="197.6895725142987"/>
    <n v="0"/>
    <n v="453.36576000000002"/>
    <n v="1638.66624"/>
    <n v="0"/>
    <n v="657.66508008094354"/>
    <n v="1214.6047335278513"/>
  </r>
  <r>
    <s v="Regular"/>
    <x v="0"/>
    <x v="1"/>
    <x v="2"/>
    <x v="0"/>
    <x v="1"/>
    <x v="0"/>
    <x v="0"/>
    <x v="2"/>
    <n v="0"/>
    <n v="0"/>
    <n v="5.9240000000000004"/>
    <n v="5.9240000000000004"/>
    <n v="5.9240000000000004"/>
    <n v="5.9240000000000004"/>
    <n v="0"/>
    <x v="1"/>
    <n v="0"/>
    <n v="0"/>
    <n v="21"/>
    <n v="70"/>
    <n v="0"/>
    <n v="73.790000000000006"/>
    <n v="266.70999999999998"/>
    <m/>
    <n v="107.04184246109106"/>
    <n v="197.6895725142987"/>
    <n v="0"/>
    <n v="437.13196000000005"/>
    <n v="1579.9900399999999"/>
    <n v="0"/>
    <n v="634.11587473950351"/>
    <n v="1171.1130275747055"/>
  </r>
  <r>
    <s v="Regular"/>
    <x v="0"/>
    <x v="1"/>
    <x v="2"/>
    <x v="0"/>
    <x v="1"/>
    <x v="0"/>
    <x v="0"/>
    <x v="3"/>
    <n v="0"/>
    <n v="0"/>
    <n v="8.7520000000000007"/>
    <n v="8.7520000000000007"/>
    <n v="8.7520000000000007"/>
    <n v="8.7520000000000007"/>
    <n v="0"/>
    <x v="1"/>
    <n v="0"/>
    <n v="0"/>
    <n v="21"/>
    <n v="70"/>
    <n v="0"/>
    <n v="73.790000000000006"/>
    <n v="266.70999999999998"/>
    <m/>
    <n v="107.04184246109106"/>
    <n v="197.6895725142987"/>
    <n v="0"/>
    <n v="645.81008000000008"/>
    <n v="2334.2459199999998"/>
    <n v="0"/>
    <n v="936.83020521946912"/>
    <n v="1730.1791386451423"/>
  </r>
  <r>
    <s v="Regular"/>
    <x v="0"/>
    <x v="1"/>
    <x v="2"/>
    <x v="0"/>
    <x v="1"/>
    <x v="0"/>
    <x v="0"/>
    <x v="4"/>
    <n v="0"/>
    <n v="0"/>
    <n v="8.3049999999999997"/>
    <n v="8.3049999999999997"/>
    <n v="8.3049999999999997"/>
    <n v="8.3049999999999997"/>
    <n v="0"/>
    <x v="1"/>
    <n v="0"/>
    <n v="0"/>
    <n v="21"/>
    <n v="70"/>
    <n v="0"/>
    <n v="73.790000000000006"/>
    <n v="266.70999999999998"/>
    <m/>
    <n v="107.04184246109106"/>
    <n v="197.6895725142987"/>
    <n v="0"/>
    <n v="612.82595000000003"/>
    <n v="2215.0265499999996"/>
    <n v="0"/>
    <n v="888.98250163936132"/>
    <n v="1641.8118997312506"/>
  </r>
  <r>
    <s v="Regular"/>
    <x v="0"/>
    <x v="1"/>
    <x v="2"/>
    <x v="0"/>
    <x v="1"/>
    <x v="0"/>
    <x v="0"/>
    <x v="5"/>
    <n v="0"/>
    <n v="0"/>
    <n v="8.02"/>
    <n v="8.02"/>
    <n v="8.02"/>
    <n v="8.02"/>
    <n v="0"/>
    <x v="1"/>
    <n v="0"/>
    <n v="0"/>
    <n v="21"/>
    <n v="70"/>
    <n v="0"/>
    <n v="73.790000000000006"/>
    <n v="266.70999999999998"/>
    <m/>
    <n v="107.04184246109106"/>
    <n v="197.6895725142987"/>
    <n v="0"/>
    <n v="591.79579999999999"/>
    <n v="2139.0141999999996"/>
    <n v="0"/>
    <n v="858.47557653795025"/>
    <n v="1585.4703715646756"/>
  </r>
  <r>
    <s v="Regular"/>
    <x v="0"/>
    <x v="1"/>
    <x v="2"/>
    <x v="0"/>
    <x v="1"/>
    <x v="0"/>
    <x v="0"/>
    <x v="6"/>
    <n v="0"/>
    <n v="0"/>
    <n v="9.1739999999999995"/>
    <n v="9.1739999999999995"/>
    <n v="9.1739999999999995"/>
    <n v="9.1739999999999995"/>
    <n v="0"/>
    <x v="1"/>
    <n v="0"/>
    <n v="0"/>
    <n v="21"/>
    <n v="70"/>
    <n v="0"/>
    <n v="73.790000000000006"/>
    <n v="266.70999999999998"/>
    <m/>
    <n v="107.04184246109106"/>
    <n v="197.6895725142987"/>
    <n v="0"/>
    <n v="676.94946000000004"/>
    <n v="2446.7975399999996"/>
    <n v="0"/>
    <n v="982.00186273804934"/>
    <n v="1813.6041382461763"/>
  </r>
  <r>
    <s v="Regular"/>
    <x v="0"/>
    <x v="1"/>
    <x v="2"/>
    <x v="0"/>
    <x v="1"/>
    <x v="0"/>
    <x v="0"/>
    <x v="7"/>
    <n v="0"/>
    <n v="0"/>
    <n v="7.5529999999999999"/>
    <n v="7.5529999999999999"/>
    <n v="7.5529999999999999"/>
    <n v="7.55299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557.33587"/>
    <n v="2014.4606299999998"/>
    <n v="0"/>
    <n v="808.48703610862083"/>
    <n v="1493.1493412004982"/>
  </r>
  <r>
    <s v="Regular"/>
    <x v="0"/>
    <x v="1"/>
    <x v="2"/>
    <x v="0"/>
    <x v="1"/>
    <x v="0"/>
    <x v="0"/>
    <x v="8"/>
    <n v="0"/>
    <n v="0"/>
    <n v="5.3319999999999999"/>
    <n v="5.3319999999999999"/>
    <n v="5.3319999999999999"/>
    <n v="5.33199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393.44828000000001"/>
    <n v="1422.0977199999998"/>
    <n v="0"/>
    <n v="570.74710400253753"/>
    <n v="1054.0808006462407"/>
  </r>
  <r>
    <s v="Regular"/>
    <x v="0"/>
    <x v="1"/>
    <x v="2"/>
    <x v="0"/>
    <x v="1"/>
    <x v="0"/>
    <x v="0"/>
    <x v="9"/>
    <n v="0"/>
    <n v="0"/>
    <n v="7.4889999999999999"/>
    <n v="7.4889999999999999"/>
    <n v="7.4889999999999999"/>
    <n v="7.4889999999999999"/>
    <n v="0"/>
    <x v="1"/>
    <n v="0"/>
    <n v="0"/>
    <n v="21"/>
    <n v="70"/>
    <n v="0"/>
    <n v="73.790000000000006"/>
    <n v="266.70999999999998"/>
    <m/>
    <n v="107.04184246109106"/>
    <n v="197.6895725142987"/>
    <n v="0"/>
    <n v="552.61331000000007"/>
    <n v="1997.3911899999998"/>
    <n v="0"/>
    <n v="801.63635819111096"/>
    <n v="1480.497208559583"/>
  </r>
  <r>
    <s v="Regular"/>
    <x v="0"/>
    <x v="1"/>
    <x v="2"/>
    <x v="0"/>
    <x v="1"/>
    <x v="0"/>
    <x v="0"/>
    <x v="10"/>
    <n v="0"/>
    <n v="0"/>
    <n v="7.5709999999999997"/>
    <n v="7.5709999999999997"/>
    <n v="7.5709999999999997"/>
    <n v="7.5709999999999997"/>
    <n v="0"/>
    <x v="1"/>
    <n v="0"/>
    <n v="0"/>
    <n v="21"/>
    <n v="70"/>
    <n v="0"/>
    <n v="73.790000000000006"/>
    <n v="266.70999999999998"/>
    <m/>
    <n v="107.04184246109106"/>
    <n v="197.6895725142987"/>
    <n v="0"/>
    <n v="558.66408999999999"/>
    <n v="2019.2614099999998"/>
    <n v="0"/>
    <n v="810.41378927292044"/>
    <n v="1496.7077535057554"/>
  </r>
  <r>
    <s v="PROJETADO"/>
    <x v="0"/>
    <x v="1"/>
    <x v="2"/>
    <x v="0"/>
    <x v="1"/>
    <x v="0"/>
    <x v="0"/>
    <x v="11"/>
    <n v="0"/>
    <n v="0"/>
    <n v="7.5709999999999997"/>
    <n v="7.5709999999999997"/>
    <n v="7.5709999999999997"/>
    <n v="7.5709999999999997"/>
    <n v="0"/>
    <x v="1"/>
    <n v="0"/>
    <n v="0"/>
    <n v="21"/>
    <n v="70"/>
    <n v="0"/>
    <n v="73.790000000000006"/>
    <n v="266.70999999999998"/>
    <m/>
    <n v="107.04184246109106"/>
    <n v="197.6895725142987"/>
    <n v="0"/>
    <n v="558.66408999999999"/>
    <n v="2019.2614099999998"/>
    <n v="0"/>
    <n v="810.41378927292044"/>
    <n v="1496.7077535057554"/>
  </r>
  <r>
    <s v="Regular"/>
    <x v="0"/>
    <x v="1"/>
    <x v="2"/>
    <x v="0"/>
    <x v="1"/>
    <x v="0"/>
    <x v="1"/>
    <x v="0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1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2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3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4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5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6"/>
    <n v="100"/>
    <n v="100"/>
    <n v="0"/>
    <n v="0"/>
    <n v="0"/>
    <n v="0"/>
    <n v="1"/>
    <x v="1"/>
    <n v="0"/>
    <n v="15"/>
    <n v="0"/>
    <n v="0"/>
    <n v="17.190000000000001"/>
    <n v="0"/>
    <n v="0"/>
    <n v="18.834852044119579"/>
    <m/>
    <m/>
    <n v="1719.0000000000002"/>
    <n v="0"/>
    <n v="0"/>
    <n v="1883.485204411958"/>
    <n v="0"/>
    <n v="0"/>
  </r>
  <r>
    <s v="Regular"/>
    <x v="0"/>
    <x v="1"/>
    <x v="2"/>
    <x v="0"/>
    <x v="1"/>
    <x v="0"/>
    <x v="1"/>
    <x v="7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8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9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1"/>
    <x v="10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PROJETADO"/>
    <x v="0"/>
    <x v="1"/>
    <x v="2"/>
    <x v="0"/>
    <x v="1"/>
    <x v="0"/>
    <x v="1"/>
    <x v="11"/>
    <n v="70"/>
    <n v="70"/>
    <n v="0"/>
    <n v="0"/>
    <n v="0"/>
    <n v="0"/>
    <n v="1"/>
    <x v="1"/>
    <n v="0"/>
    <n v="15"/>
    <n v="0"/>
    <n v="0"/>
    <n v="17.190000000000001"/>
    <n v="0"/>
    <n v="0"/>
    <n v="18.834852044119579"/>
    <m/>
    <m/>
    <n v="1203.3000000000002"/>
    <n v="0"/>
    <n v="0"/>
    <n v="1318.4396430883705"/>
    <n v="0"/>
    <n v="0"/>
  </r>
  <r>
    <s v="Regular"/>
    <x v="0"/>
    <x v="1"/>
    <x v="2"/>
    <x v="0"/>
    <x v="1"/>
    <x v="0"/>
    <x v="2"/>
    <x v="0"/>
    <n v="0"/>
    <n v="0"/>
    <n v="0.80200000000000005"/>
    <n v="0.80200000000000005"/>
    <n v="0.80200000000000005"/>
    <n v="0.80200000000000005"/>
    <n v="0"/>
    <x v="1"/>
    <n v="0"/>
    <n v="0"/>
    <n v="18"/>
    <n v="69"/>
    <n v="0"/>
    <n v="1295.8499999999999"/>
    <n v="434.95"/>
    <m/>
    <n v="1438.8138130482339"/>
    <n v="316.97983140624547"/>
    <n v="0"/>
    <n v="1039.2717"/>
    <n v="348.82990000000001"/>
    <n v="0"/>
    <n v="1153.9286780646837"/>
    <n v="254.21782478780887"/>
  </r>
  <r>
    <s v="Regular"/>
    <x v="0"/>
    <x v="1"/>
    <x v="2"/>
    <x v="0"/>
    <x v="1"/>
    <x v="0"/>
    <x v="2"/>
    <x v="1"/>
    <n v="0"/>
    <n v="0"/>
    <n v="0.61099999999999999"/>
    <n v="0.61099999999999999"/>
    <n v="0.61099999999999999"/>
    <n v="0.61099999999999999"/>
    <n v="0"/>
    <x v="1"/>
    <n v="0"/>
    <n v="0"/>
    <n v="18"/>
    <n v="69"/>
    <n v="0"/>
    <n v="1295.8499999999999"/>
    <n v="434.95"/>
    <m/>
    <n v="1438.8138130482339"/>
    <n v="316.97983140624547"/>
    <n v="0"/>
    <n v="791.76434999999992"/>
    <n v="265.75444999999996"/>
    <n v="0"/>
    <n v="879.11523977247089"/>
    <n v="193.67467698921598"/>
  </r>
  <r>
    <s v="Regular"/>
    <x v="0"/>
    <x v="1"/>
    <x v="2"/>
    <x v="0"/>
    <x v="1"/>
    <x v="0"/>
    <x v="2"/>
    <x v="2"/>
    <n v="0"/>
    <n v="0"/>
    <n v="0.59399999999999997"/>
    <n v="0.59399999999999997"/>
    <n v="0.59399999999999997"/>
    <n v="0.59399999999999997"/>
    <n v="0"/>
    <x v="1"/>
    <n v="0"/>
    <n v="0"/>
    <n v="18"/>
    <n v="69"/>
    <n v="0"/>
    <n v="1295.8499999999999"/>
    <n v="434.95"/>
    <m/>
    <n v="1438.8138130482339"/>
    <n v="316.97983140624547"/>
    <n v="0"/>
    <n v="769.73489999999993"/>
    <n v="258.3603"/>
    <n v="0"/>
    <n v="854.6554049506509"/>
    <n v="188.2860198553098"/>
  </r>
  <r>
    <s v="Regular"/>
    <x v="0"/>
    <x v="1"/>
    <x v="2"/>
    <x v="0"/>
    <x v="1"/>
    <x v="0"/>
    <x v="2"/>
    <x v="3"/>
    <n v="0"/>
    <n v="0"/>
    <n v="0.72"/>
    <n v="0.72"/>
    <n v="0.72"/>
    <n v="0.72"/>
    <n v="0"/>
    <x v="1"/>
    <n v="0"/>
    <n v="0"/>
    <n v="18"/>
    <n v="69"/>
    <n v="0"/>
    <n v="1295.8499999999999"/>
    <n v="434.95"/>
    <m/>
    <n v="1438.8138130482339"/>
    <n v="316.97983140624547"/>
    <n v="0"/>
    <n v="933.01199999999994"/>
    <n v="313.16399999999999"/>
    <n v="0"/>
    <n v="1035.9459453947284"/>
    <n v="228.22547861249672"/>
  </r>
  <r>
    <s v="Regular"/>
    <x v="0"/>
    <x v="1"/>
    <x v="2"/>
    <x v="0"/>
    <x v="1"/>
    <x v="0"/>
    <x v="2"/>
    <x v="4"/>
    <n v="0"/>
    <n v="0"/>
    <n v="0.77300000000000002"/>
    <n v="0.77300000000000002"/>
    <n v="0.77300000000000002"/>
    <n v="0.77300000000000002"/>
    <n v="0"/>
    <x v="1"/>
    <n v="0"/>
    <n v="0"/>
    <n v="18"/>
    <n v="69"/>
    <n v="0"/>
    <n v="1295.8499999999999"/>
    <n v="434.95"/>
    <m/>
    <n v="1438.8138130482339"/>
    <n v="316.97983140624547"/>
    <n v="0"/>
    <n v="1001.69205"/>
    <n v="336.21634999999998"/>
    <n v="0"/>
    <n v="1112.2030774862849"/>
    <n v="245.02540967702774"/>
  </r>
  <r>
    <s v="Regular"/>
    <x v="0"/>
    <x v="1"/>
    <x v="2"/>
    <x v="0"/>
    <x v="1"/>
    <x v="0"/>
    <x v="2"/>
    <x v="5"/>
    <n v="0"/>
    <n v="0"/>
    <n v="0.74099999999999999"/>
    <n v="0.74099999999999999"/>
    <n v="0.74099999999999999"/>
    <n v="0.74099999999999999"/>
    <n v="0"/>
    <x v="1"/>
    <n v="0"/>
    <n v="0"/>
    <n v="18"/>
    <n v="69"/>
    <n v="0"/>
    <n v="1295.8499999999999"/>
    <n v="434.95"/>
    <m/>
    <n v="1438.8138130482339"/>
    <n v="316.97983140624547"/>
    <n v="0"/>
    <n v="960.22484999999995"/>
    <n v="322.29795000000001"/>
    <n v="0"/>
    <n v="1066.1610354687414"/>
    <n v="234.8820550720279"/>
  </r>
  <r>
    <s v="Regular"/>
    <x v="0"/>
    <x v="1"/>
    <x v="2"/>
    <x v="0"/>
    <x v="1"/>
    <x v="0"/>
    <x v="2"/>
    <x v="6"/>
    <n v="0"/>
    <n v="0"/>
    <n v="0.89"/>
    <n v="0.89"/>
    <n v="0.89"/>
    <n v="0.89"/>
    <n v="0"/>
    <x v="1"/>
    <n v="0"/>
    <n v="0"/>
    <n v="18"/>
    <n v="69"/>
    <n v="0"/>
    <n v="1295.8499999999999"/>
    <n v="434.95"/>
    <m/>
    <n v="1438.8138130482339"/>
    <n v="316.97983140624547"/>
    <n v="0"/>
    <n v="1153.3064999999999"/>
    <n v="387.10550000000001"/>
    <n v="0"/>
    <n v="1280.5442936129282"/>
    <n v="282.11204995155845"/>
  </r>
  <r>
    <s v="Regular"/>
    <x v="0"/>
    <x v="1"/>
    <x v="2"/>
    <x v="0"/>
    <x v="1"/>
    <x v="0"/>
    <x v="2"/>
    <x v="7"/>
    <n v="0"/>
    <n v="0"/>
    <n v="0.70899999999999996"/>
    <n v="0.70899999999999996"/>
    <n v="0.70899999999999996"/>
    <n v="0.70899999999999996"/>
    <n v="0"/>
    <x v="1"/>
    <n v="0"/>
    <n v="0"/>
    <n v="18"/>
    <n v="69"/>
    <n v="0"/>
    <n v="1295.8499999999999"/>
    <n v="434.95"/>
    <m/>
    <n v="1438.8138130482339"/>
    <n v="316.97983140624547"/>
    <n v="0"/>
    <n v="918.7576499999999"/>
    <n v="308.37954999999999"/>
    <n v="0"/>
    <n v="1020.1189934511978"/>
    <n v="224.73870046702802"/>
  </r>
  <r>
    <s v="Regular"/>
    <x v="0"/>
    <x v="1"/>
    <x v="2"/>
    <x v="0"/>
    <x v="1"/>
    <x v="0"/>
    <x v="2"/>
    <x v="8"/>
    <n v="0"/>
    <n v="0"/>
    <n v="0.49099999999999999"/>
    <n v="0.49099999999999999"/>
    <n v="0.49099999999999999"/>
    <n v="0.49099999999999999"/>
    <n v="0"/>
    <x v="1"/>
    <n v="0"/>
    <n v="0"/>
    <n v="18"/>
    <n v="69"/>
    <n v="0"/>
    <n v="1295.8499999999999"/>
    <n v="434.95"/>
    <m/>
    <n v="1438.8138130482339"/>
    <n v="316.97983140624547"/>
    <n v="0"/>
    <n v="636.26234999999997"/>
    <n v="213.56045"/>
    <n v="0"/>
    <n v="706.45758220668279"/>
    <n v="155.63709722046653"/>
  </r>
  <r>
    <s v="Regular"/>
    <x v="0"/>
    <x v="1"/>
    <x v="2"/>
    <x v="0"/>
    <x v="1"/>
    <x v="0"/>
    <x v="2"/>
    <x v="9"/>
    <n v="0"/>
    <n v="0"/>
    <n v="0.73699999999999999"/>
    <n v="0.73699999999999999"/>
    <n v="0.73699999999999999"/>
    <n v="0.73699999999999999"/>
    <n v="0"/>
    <x v="1"/>
    <n v="0"/>
    <n v="0"/>
    <n v="18"/>
    <n v="69"/>
    <n v="0"/>
    <n v="1295.8499999999999"/>
    <n v="434.95"/>
    <m/>
    <n v="1438.8138130482339"/>
    <n v="316.97983140624547"/>
    <n v="0"/>
    <n v="955.04144999999994"/>
    <n v="320.55815000000001"/>
    <n v="0"/>
    <n v="1060.4057802165485"/>
    <n v="233.61413574640289"/>
  </r>
  <r>
    <s v="Regular"/>
    <x v="0"/>
    <x v="1"/>
    <x v="2"/>
    <x v="0"/>
    <x v="1"/>
    <x v="0"/>
    <x v="2"/>
    <x v="10"/>
    <n v="0"/>
    <n v="0"/>
    <n v="0.69099999999999995"/>
    <n v="0.69099999999999995"/>
    <n v="0.69099999999999995"/>
    <n v="0.69099999999999995"/>
    <n v="0"/>
    <x v="1"/>
    <n v="0"/>
    <n v="0"/>
    <n v="18"/>
    <n v="69"/>
    <n v="0"/>
    <n v="1295.8499999999999"/>
    <n v="434.95"/>
    <m/>
    <n v="1438.8138130482339"/>
    <n v="316.97983140624547"/>
    <n v="0"/>
    <n v="895.43234999999981"/>
    <n v="300.55044999999996"/>
    <n v="0"/>
    <n v="994.22034481632954"/>
    <n v="219.03306350171559"/>
  </r>
  <r>
    <s v="PROJETADO"/>
    <x v="0"/>
    <x v="1"/>
    <x v="2"/>
    <x v="0"/>
    <x v="1"/>
    <x v="0"/>
    <x v="2"/>
    <x v="11"/>
    <n v="0"/>
    <n v="0"/>
    <n v="0.69099999999999995"/>
    <n v="0.69099999999999995"/>
    <n v="0.69099999999999995"/>
    <n v="0.69099999999999995"/>
    <n v="0"/>
    <x v="1"/>
    <n v="0"/>
    <n v="0"/>
    <n v="18"/>
    <n v="69"/>
    <n v="0"/>
    <n v="1295.8499999999999"/>
    <n v="434.95"/>
    <m/>
    <n v="1438.8138130482339"/>
    <n v="316.97983140624547"/>
    <n v="0"/>
    <n v="895.43234999999981"/>
    <n v="300.55044999999996"/>
    <n v="0"/>
    <n v="994.22034481632954"/>
    <n v="219.03306350171559"/>
  </r>
  <r>
    <s v="Regular"/>
    <x v="0"/>
    <x v="1"/>
    <x v="3"/>
    <x v="1"/>
    <x v="1"/>
    <x v="0"/>
    <x v="0"/>
    <x v="0"/>
    <n v="0"/>
    <n v="0"/>
    <n v="91.888999999999996"/>
    <n v="91.888999999999996"/>
    <n v="91.888999999999996"/>
    <n v="91.888999999999996"/>
    <n v="0"/>
    <x v="1"/>
    <n v="0"/>
    <n v="0"/>
    <n v="21"/>
    <n v="70"/>
    <n v="0"/>
    <n v="69.3626"/>
    <n v="250.70739999999998"/>
    <m/>
    <n v="103.83058718725833"/>
    <n v="191.75888533886973"/>
    <n v="0"/>
    <n v="6373.6599514"/>
    <n v="23037.252278599997"/>
    <n v="0"/>
    <n v="9245.8097901927649"/>
    <n v="17620.5322149034"/>
  </r>
  <r>
    <s v="Regular"/>
    <x v="0"/>
    <x v="1"/>
    <x v="3"/>
    <x v="1"/>
    <x v="1"/>
    <x v="0"/>
    <x v="0"/>
    <x v="1"/>
    <n v="0"/>
    <n v="0"/>
    <n v="105.346"/>
    <n v="105.346"/>
    <n v="105.346"/>
    <n v="105.346"/>
    <n v="0"/>
    <x v="1"/>
    <n v="0"/>
    <n v="0"/>
    <n v="21"/>
    <n v="70"/>
    <n v="0"/>
    <n v="69.3626"/>
    <n v="250.70739999999998"/>
    <m/>
    <n v="103.83058718725833"/>
    <n v="191.75888533886973"/>
    <n v="0"/>
    <n v="7307.0724596"/>
    <n v="26411.021760399999"/>
    <n v="0"/>
    <n v="10599.844139751733"/>
    <n v="20201.031534908572"/>
  </r>
  <r>
    <s v="Regular"/>
    <x v="0"/>
    <x v="1"/>
    <x v="3"/>
    <x v="1"/>
    <x v="1"/>
    <x v="0"/>
    <x v="0"/>
    <x v="2"/>
    <n v="0"/>
    <n v="0"/>
    <n v="91.350999999999999"/>
    <n v="91.350999999999999"/>
    <n v="91.350999999999999"/>
    <n v="91.350999999999999"/>
    <n v="0"/>
    <x v="1"/>
    <n v="0"/>
    <n v="0"/>
    <n v="21"/>
    <n v="70"/>
    <n v="0"/>
    <n v="69.3626"/>
    <n v="250.70739999999998"/>
    <m/>
    <n v="103.83058718725833"/>
    <n v="191.75888533886973"/>
    <n v="0"/>
    <n v="6336.3428726000002"/>
    <n v="22902.371697399998"/>
    <n v="0"/>
    <n v="9191.6765896233428"/>
    <n v="17517.365934591089"/>
  </r>
  <r>
    <s v="Regular"/>
    <x v="0"/>
    <x v="1"/>
    <x v="3"/>
    <x v="1"/>
    <x v="1"/>
    <x v="0"/>
    <x v="0"/>
    <x v="3"/>
    <n v="0"/>
    <n v="0"/>
    <n v="104.70699999999999"/>
    <n v="104.70699999999999"/>
    <n v="104.70699999999999"/>
    <n v="104.70699999999999"/>
    <n v="0"/>
    <x v="1"/>
    <n v="0"/>
    <n v="0"/>
    <n v="21"/>
    <n v="70"/>
    <n v="0"/>
    <n v="69.3626"/>
    <n v="250.70739999999998"/>
    <m/>
    <n v="103.83058718725833"/>
    <n v="191.75888533886973"/>
    <n v="0"/>
    <n v="7262.7497581999996"/>
    <n v="26250.819731799995"/>
    <n v="0"/>
    <n v="10535.548386659055"/>
    <n v="20078.497607177032"/>
  </r>
  <r>
    <s v="Regular"/>
    <x v="0"/>
    <x v="1"/>
    <x v="3"/>
    <x v="1"/>
    <x v="1"/>
    <x v="0"/>
    <x v="0"/>
    <x v="4"/>
    <n v="0"/>
    <n v="0"/>
    <n v="120.598"/>
    <n v="120.598"/>
    <n v="120.598"/>
    <n v="120.598"/>
    <n v="0"/>
    <x v="1"/>
    <n v="0"/>
    <n v="0"/>
    <n v="21"/>
    <n v="70"/>
    <n v="0"/>
    <n v="69.3626"/>
    <n v="250.70739999999998"/>
    <m/>
    <n v="103.83058718725833"/>
    <n v="191.75888533886973"/>
    <n v="0"/>
    <n v="8364.9908348000008"/>
    <n v="30234.811025199997"/>
    <n v="0"/>
    <n v="12134.490190095301"/>
    <n v="23125.738054097012"/>
  </r>
  <r>
    <s v="Regular"/>
    <x v="0"/>
    <x v="1"/>
    <x v="3"/>
    <x v="1"/>
    <x v="1"/>
    <x v="0"/>
    <x v="0"/>
    <x v="5"/>
    <n v="0"/>
    <n v="0"/>
    <n v="111.91200000000001"/>
    <n v="111.91200000000001"/>
    <n v="111.91200000000001"/>
    <n v="111.91200000000001"/>
    <n v="0"/>
    <x v="1"/>
    <n v="0"/>
    <n v="0"/>
    <n v="21"/>
    <n v="70"/>
    <n v="0"/>
    <n v="69.3626"/>
    <n v="250.70739999999998"/>
    <m/>
    <n v="103.83058718725833"/>
    <n v="191.75888533886973"/>
    <n v="0"/>
    <n v="7762.5072912000005"/>
    <n v="28057.1665488"/>
    <n v="0"/>
    <n v="11260.510673095287"/>
    <n v="21460.120376043589"/>
  </r>
  <r>
    <s v="Regular"/>
    <x v="0"/>
    <x v="1"/>
    <x v="3"/>
    <x v="1"/>
    <x v="1"/>
    <x v="0"/>
    <x v="0"/>
    <x v="6"/>
    <n v="0"/>
    <n v="0"/>
    <n v="101.56"/>
    <n v="101.56"/>
    <n v="101.56"/>
    <n v="101.56"/>
    <n v="0"/>
    <x v="1"/>
    <n v="0"/>
    <n v="0"/>
    <n v="21"/>
    <n v="70"/>
    <n v="0"/>
    <n v="69.3626"/>
    <n v="250.70739999999998"/>
    <m/>
    <n v="103.83058718725833"/>
    <n v="191.75888533886973"/>
    <n v="0"/>
    <n v="7044.4656560000003"/>
    <n v="25461.843543999999"/>
    <n v="0"/>
    <n v="10218.899349127503"/>
    <n v="19475.032395015609"/>
  </r>
  <r>
    <s v="Regular"/>
    <x v="0"/>
    <x v="1"/>
    <x v="3"/>
    <x v="1"/>
    <x v="1"/>
    <x v="0"/>
    <x v="0"/>
    <x v="7"/>
    <n v="0"/>
    <n v="0"/>
    <n v="116.85"/>
    <n v="116.85"/>
    <n v="116.85"/>
    <n v="116.85"/>
    <n v="0"/>
    <x v="1"/>
    <n v="0"/>
    <n v="0"/>
    <n v="21"/>
    <n v="70"/>
    <n v="0"/>
    <n v="69.3626"/>
    <n v="250.70739999999998"/>
    <m/>
    <n v="103.83058718725833"/>
    <n v="191.75888533886973"/>
    <n v="0"/>
    <n v="8105.0198099999998"/>
    <n v="29295.159689999997"/>
    <n v="0"/>
    <n v="11757.368934083781"/>
    <n v="22407.025751846926"/>
  </r>
  <r>
    <s v="Regular"/>
    <x v="0"/>
    <x v="1"/>
    <x v="3"/>
    <x v="1"/>
    <x v="1"/>
    <x v="0"/>
    <x v="0"/>
    <x v="8"/>
    <n v="0"/>
    <n v="0"/>
    <n v="105.839"/>
    <n v="105.839"/>
    <n v="105.839"/>
    <n v="105.839"/>
    <n v="0"/>
    <x v="1"/>
    <n v="0"/>
    <n v="0"/>
    <n v="21"/>
    <n v="70"/>
    <n v="0"/>
    <n v="69.3626"/>
    <n v="250.70739999999998"/>
    <m/>
    <n v="103.83058718725833"/>
    <n v="191.75888533886973"/>
    <n v="0"/>
    <n v="7341.2682213999997"/>
    <n v="26534.620508599997"/>
    <n v="0"/>
    <n v="10649.449470385052"/>
    <n v="20295.568665380633"/>
  </r>
  <r>
    <s v="Regular"/>
    <x v="0"/>
    <x v="1"/>
    <x v="3"/>
    <x v="1"/>
    <x v="1"/>
    <x v="0"/>
    <x v="0"/>
    <x v="9"/>
    <n v="0"/>
    <n v="0"/>
    <n v="110.95099999999999"/>
    <n v="110.95099999999999"/>
    <n v="110.95099999999999"/>
    <n v="110.95099999999999"/>
    <n v="0"/>
    <x v="1"/>
    <n v="0"/>
    <n v="0"/>
    <n v="21"/>
    <n v="70"/>
    <n v="0"/>
    <n v="69.3626"/>
    <n v="250.70739999999998"/>
    <m/>
    <n v="103.83058718725833"/>
    <n v="191.75888533886973"/>
    <n v="0"/>
    <n v="7695.8498325999999"/>
    <n v="27816.236737399995"/>
    <n v="0"/>
    <n v="11163.815495126484"/>
    <n v="21275.840087232933"/>
  </r>
  <r>
    <s v="Regular"/>
    <x v="0"/>
    <x v="1"/>
    <x v="3"/>
    <x v="1"/>
    <x v="1"/>
    <x v="0"/>
    <x v="0"/>
    <x v="10"/>
    <n v="0"/>
    <n v="0"/>
    <n v="106.52"/>
    <n v="106.52"/>
    <n v="106.52"/>
    <n v="106.52"/>
    <n v="0"/>
    <x v="1"/>
    <n v="0"/>
    <n v="0"/>
    <n v="21"/>
    <n v="70"/>
    <n v="0"/>
    <n v="69.3626"/>
    <n v="250.70739999999998"/>
    <m/>
    <n v="103.83058718725833"/>
    <n v="191.75888533886973"/>
    <n v="0"/>
    <n v="7388.5041519999995"/>
    <n v="26705.352247999996"/>
    <n v="0"/>
    <n v="10717.971235418096"/>
    <n v="20426.156466296405"/>
  </r>
  <r>
    <s v="PROJETADO"/>
    <x v="0"/>
    <x v="1"/>
    <x v="3"/>
    <x v="1"/>
    <x v="1"/>
    <x v="0"/>
    <x v="0"/>
    <x v="11"/>
    <n v="0"/>
    <n v="0"/>
    <n v="106.52"/>
    <n v="106.52"/>
    <n v="106.52"/>
    <n v="106.52"/>
    <n v="0"/>
    <x v="1"/>
    <n v="0"/>
    <n v="0"/>
    <n v="21"/>
    <n v="70"/>
    <n v="0"/>
    <n v="69.3626"/>
    <n v="250.70739999999998"/>
    <m/>
    <n v="103.83058718725833"/>
    <n v="191.75888533886973"/>
    <n v="0"/>
    <n v="7388.5041519999995"/>
    <n v="26705.352247999996"/>
    <n v="0"/>
    <n v="10717.971235418096"/>
    <n v="20426.156466296405"/>
  </r>
  <r>
    <s v="Regular"/>
    <x v="0"/>
    <x v="1"/>
    <x v="3"/>
    <x v="1"/>
    <x v="1"/>
    <x v="0"/>
    <x v="1"/>
    <x v="0"/>
    <n v="244"/>
    <n v="244"/>
    <n v="0"/>
    <n v="0"/>
    <n v="0"/>
    <n v="0"/>
    <n v="2"/>
    <x v="1"/>
    <n v="0"/>
    <n v="15"/>
    <n v="0"/>
    <n v="0"/>
    <n v="16.1586"/>
    <n v="0"/>
    <n v="0"/>
    <n v="18.269806482795993"/>
    <m/>
    <m/>
    <n v="3942.6983999999998"/>
    <n v="0"/>
    <n v="0"/>
    <n v="3906.3483139504006"/>
    <n v="0"/>
    <n v="0"/>
  </r>
  <r>
    <s v="Regular"/>
    <x v="0"/>
    <x v="1"/>
    <x v="3"/>
    <x v="1"/>
    <x v="1"/>
    <x v="0"/>
    <x v="1"/>
    <x v="1"/>
    <n v="244"/>
    <n v="244"/>
    <n v="0"/>
    <n v="0"/>
    <n v="0"/>
    <n v="0"/>
    <n v="2"/>
    <x v="1"/>
    <n v="0"/>
    <n v="15"/>
    <n v="0"/>
    <n v="0"/>
    <n v="16.1586"/>
    <n v="0"/>
    <n v="0"/>
    <n v="18.269806482795993"/>
    <m/>
    <m/>
    <n v="3942.6983999999998"/>
    <n v="0"/>
    <n v="0"/>
    <n v="3906.3483139504006"/>
    <n v="0"/>
    <n v="0"/>
  </r>
  <r>
    <s v="Regular"/>
    <x v="0"/>
    <x v="1"/>
    <x v="3"/>
    <x v="1"/>
    <x v="1"/>
    <x v="0"/>
    <x v="1"/>
    <x v="2"/>
    <n v="245"/>
    <n v="245"/>
    <n v="0"/>
    <n v="0"/>
    <n v="0"/>
    <n v="0"/>
    <n v="2"/>
    <x v="1"/>
    <n v="0"/>
    <n v="15"/>
    <n v="0"/>
    <n v="0"/>
    <n v="16.1586"/>
    <n v="0"/>
    <n v="0"/>
    <n v="18.269806482795993"/>
    <m/>
    <m/>
    <n v="3958.857"/>
    <n v="0"/>
    <n v="0"/>
    <n v="3922.3579381879022"/>
    <n v="0"/>
    <n v="0"/>
  </r>
  <r>
    <s v="Regular"/>
    <x v="0"/>
    <x v="1"/>
    <x v="3"/>
    <x v="1"/>
    <x v="1"/>
    <x v="0"/>
    <x v="1"/>
    <x v="3"/>
    <n v="245"/>
    <n v="245"/>
    <n v="0"/>
    <n v="0"/>
    <n v="0"/>
    <n v="0"/>
    <n v="2"/>
    <x v="1"/>
    <n v="0"/>
    <n v="15"/>
    <n v="0"/>
    <n v="0"/>
    <n v="16.1586"/>
    <n v="0"/>
    <n v="0"/>
    <n v="18.269806482795993"/>
    <m/>
    <m/>
    <n v="3958.857"/>
    <n v="0"/>
    <n v="0"/>
    <n v="3922.3579381879022"/>
    <n v="0"/>
    <n v="0"/>
  </r>
  <r>
    <s v="Regular"/>
    <x v="0"/>
    <x v="1"/>
    <x v="3"/>
    <x v="1"/>
    <x v="1"/>
    <x v="0"/>
    <x v="1"/>
    <x v="4"/>
    <n v="254"/>
    <n v="254"/>
    <n v="0"/>
    <n v="0"/>
    <n v="0"/>
    <n v="0"/>
    <n v="2"/>
    <x v="1"/>
    <n v="0"/>
    <n v="15"/>
    <n v="0"/>
    <n v="0"/>
    <n v="16.1586"/>
    <n v="0"/>
    <n v="0"/>
    <n v="18.269806482795993"/>
    <m/>
    <m/>
    <n v="4104.2843999999996"/>
    <n v="0"/>
    <n v="0"/>
    <n v="4066.4445563254171"/>
    <n v="0"/>
    <n v="0"/>
  </r>
  <r>
    <s v="Regular"/>
    <x v="0"/>
    <x v="1"/>
    <x v="3"/>
    <x v="1"/>
    <x v="1"/>
    <x v="0"/>
    <x v="1"/>
    <x v="5"/>
    <n v="265"/>
    <n v="265"/>
    <n v="0"/>
    <n v="0"/>
    <n v="0"/>
    <n v="0"/>
    <n v="2"/>
    <x v="1"/>
    <n v="0"/>
    <n v="15"/>
    <n v="0"/>
    <n v="0"/>
    <n v="16.1586"/>
    <n v="0"/>
    <n v="0"/>
    <n v="18.269806482795993"/>
    <m/>
    <m/>
    <n v="4282.0289999999995"/>
    <n v="0"/>
    <n v="0"/>
    <n v="4242.5504229379349"/>
    <n v="0"/>
    <n v="0"/>
  </r>
  <r>
    <s v="Regular"/>
    <x v="0"/>
    <x v="1"/>
    <x v="3"/>
    <x v="1"/>
    <x v="1"/>
    <x v="0"/>
    <x v="1"/>
    <x v="6"/>
    <n v="256"/>
    <n v="256"/>
    <n v="0"/>
    <n v="0"/>
    <n v="0"/>
    <n v="0"/>
    <n v="2"/>
    <x v="1"/>
    <n v="0"/>
    <n v="15"/>
    <n v="0"/>
    <n v="0"/>
    <n v="16.1586"/>
    <n v="0"/>
    <n v="0"/>
    <n v="18.269806482795993"/>
    <m/>
    <m/>
    <n v="4136.6016"/>
    <n v="0"/>
    <n v="0"/>
    <n v="4098.4638048004199"/>
    <n v="0"/>
    <n v="0"/>
  </r>
  <r>
    <s v="Regular"/>
    <x v="0"/>
    <x v="1"/>
    <x v="3"/>
    <x v="1"/>
    <x v="1"/>
    <x v="0"/>
    <x v="1"/>
    <x v="7"/>
    <n v="246"/>
    <n v="246"/>
    <n v="0"/>
    <n v="0"/>
    <n v="0"/>
    <n v="0"/>
    <n v="2"/>
    <x v="1"/>
    <n v="0"/>
    <n v="15"/>
    <n v="0"/>
    <n v="0"/>
    <n v="16.1586"/>
    <n v="0"/>
    <n v="0"/>
    <n v="18.269806482795993"/>
    <m/>
    <m/>
    <n v="3975.0156000000002"/>
    <n v="0"/>
    <n v="0"/>
    <n v="3938.3675624254038"/>
    <n v="0"/>
    <n v="0"/>
  </r>
  <r>
    <s v="Regular"/>
    <x v="0"/>
    <x v="1"/>
    <x v="3"/>
    <x v="1"/>
    <x v="1"/>
    <x v="0"/>
    <x v="1"/>
    <x v="8"/>
    <n v="247"/>
    <n v="247"/>
    <n v="0"/>
    <n v="0"/>
    <n v="0"/>
    <n v="0"/>
    <n v="2"/>
    <x v="1"/>
    <n v="0"/>
    <n v="15"/>
    <n v="0"/>
    <n v="0"/>
    <n v="16.1586"/>
    <n v="0"/>
    <n v="0"/>
    <n v="18.269806482795993"/>
    <m/>
    <m/>
    <n v="3991.1741999999999"/>
    <n v="0"/>
    <n v="0"/>
    <n v="3954.3771866629054"/>
    <n v="0"/>
    <n v="0"/>
  </r>
  <r>
    <s v="Regular"/>
    <x v="0"/>
    <x v="1"/>
    <x v="3"/>
    <x v="1"/>
    <x v="1"/>
    <x v="0"/>
    <x v="1"/>
    <x v="9"/>
    <n v="243"/>
    <n v="243"/>
    <n v="0"/>
    <n v="0"/>
    <n v="0"/>
    <n v="0"/>
    <n v="2"/>
    <x v="1"/>
    <n v="0"/>
    <n v="15"/>
    <n v="0"/>
    <n v="0"/>
    <n v="16.1586"/>
    <n v="0"/>
    <n v="0"/>
    <n v="18.269806482795993"/>
    <m/>
    <m/>
    <n v="3926.5398"/>
    <n v="0"/>
    <n v="0"/>
    <n v="3890.3386897128985"/>
    <n v="0"/>
    <n v="0"/>
  </r>
  <r>
    <s v="Regular"/>
    <x v="0"/>
    <x v="1"/>
    <x v="3"/>
    <x v="1"/>
    <x v="1"/>
    <x v="0"/>
    <x v="1"/>
    <x v="10"/>
    <n v="244"/>
    <n v="244"/>
    <n v="0"/>
    <n v="0"/>
    <n v="0"/>
    <n v="0"/>
    <n v="2"/>
    <x v="1"/>
    <n v="0"/>
    <n v="15"/>
    <n v="0"/>
    <n v="0"/>
    <n v="16.1586"/>
    <n v="0"/>
    <n v="0"/>
    <n v="18.269806482795993"/>
    <m/>
    <m/>
    <n v="3942.6983999999998"/>
    <n v="0"/>
    <n v="0"/>
    <n v="3906.3483139504006"/>
    <n v="0"/>
    <n v="0"/>
  </r>
  <r>
    <s v="PROJETADO"/>
    <x v="0"/>
    <x v="1"/>
    <x v="3"/>
    <x v="1"/>
    <x v="1"/>
    <x v="0"/>
    <x v="1"/>
    <x v="11"/>
    <n v="244"/>
    <n v="244"/>
    <n v="0"/>
    <n v="0"/>
    <n v="0"/>
    <n v="0"/>
    <n v="2"/>
    <x v="1"/>
    <n v="0"/>
    <n v="15"/>
    <n v="0"/>
    <n v="0"/>
    <n v="16.1586"/>
    <n v="0"/>
    <n v="0"/>
    <n v="18.269806482795993"/>
    <m/>
    <m/>
    <n v="3942.6983999999998"/>
    <n v="0"/>
    <n v="0"/>
    <n v="3906.3483139504006"/>
    <n v="0"/>
    <n v="0"/>
  </r>
  <r>
    <s v="Regular"/>
    <x v="0"/>
    <x v="1"/>
    <x v="3"/>
    <x v="1"/>
    <x v="1"/>
    <x v="0"/>
    <x v="2"/>
    <x v="0"/>
    <n v="0"/>
    <n v="0"/>
    <n v="0.41399999999999998"/>
    <n v="0.41399999999999998"/>
    <n v="0.41399999999999998"/>
    <n v="0.41399999999999998"/>
    <n v="0"/>
    <x v="1"/>
    <n v="0"/>
    <n v="0"/>
    <n v="18"/>
    <n v="69"/>
    <n v="0"/>
    <n v="1218.0989999999999"/>
    <n v="408.85299999999995"/>
    <m/>
    <n v="1395.6493986567868"/>
    <n v="307.47043646405808"/>
    <n v="0"/>
    <n v="504.29298599999993"/>
    <n v="169.26514199999997"/>
    <n v="0"/>
    <n v="559.92878348585066"/>
    <n v="127.29276069612004"/>
  </r>
  <r>
    <s v="Regular"/>
    <x v="0"/>
    <x v="1"/>
    <x v="3"/>
    <x v="1"/>
    <x v="1"/>
    <x v="0"/>
    <x v="2"/>
    <x v="1"/>
    <n v="0"/>
    <n v="0"/>
    <n v="1.6830000000000001"/>
    <n v="1.6830000000000001"/>
    <n v="1.6830000000000001"/>
    <n v="1.6830000000000001"/>
    <n v="0"/>
    <x v="1"/>
    <n v="0"/>
    <n v="0"/>
    <n v="18"/>
    <n v="69"/>
    <n v="0"/>
    <n v="1218.0989999999999"/>
    <n v="408.85299999999995"/>
    <m/>
    <n v="1395.6493986567868"/>
    <n v="307.47043646405808"/>
    <n v="0"/>
    <n v="2050.0606170000001"/>
    <n v="688.0995989999999"/>
    <n v="0"/>
    <n v="2276.2322285185669"/>
    <n v="517.47274456900982"/>
  </r>
  <r>
    <s v="Regular"/>
    <x v="0"/>
    <x v="1"/>
    <x v="3"/>
    <x v="1"/>
    <x v="1"/>
    <x v="0"/>
    <x v="2"/>
    <x v="2"/>
    <n v="0"/>
    <n v="0"/>
    <n v="1.395"/>
    <n v="1.395"/>
    <n v="1.395"/>
    <n v="1.395"/>
    <n v="0"/>
    <x v="1"/>
    <n v="0"/>
    <n v="0"/>
    <n v="18"/>
    <n v="69"/>
    <n v="0"/>
    <n v="1218.0989999999999"/>
    <n v="408.85299999999995"/>
    <m/>
    <n v="1395.6493986567868"/>
    <n v="307.47043646405808"/>
    <n v="0"/>
    <n v="1699.2481049999999"/>
    <n v="570.34993499999996"/>
    <n v="0"/>
    <n v="1886.7165530501491"/>
    <n v="428.92125886736102"/>
  </r>
  <r>
    <s v="Regular"/>
    <x v="0"/>
    <x v="1"/>
    <x v="3"/>
    <x v="1"/>
    <x v="1"/>
    <x v="0"/>
    <x v="2"/>
    <x v="3"/>
    <n v="0"/>
    <n v="0"/>
    <n v="1.407"/>
    <n v="1.407"/>
    <n v="1.407"/>
    <n v="1.407"/>
    <n v="0"/>
    <x v="1"/>
    <n v="0"/>
    <n v="0"/>
    <n v="18"/>
    <n v="69"/>
    <n v="0"/>
    <n v="1218.0989999999999"/>
    <n v="408.85299999999995"/>
    <m/>
    <n v="1395.6493986567868"/>
    <n v="307.47043646405808"/>
    <n v="0"/>
    <n v="1713.8652929999998"/>
    <n v="575.25617099999999"/>
    <n v="0"/>
    <n v="1902.9463728613332"/>
    <n v="432.61090410492972"/>
  </r>
  <r>
    <s v="Regular"/>
    <x v="0"/>
    <x v="1"/>
    <x v="3"/>
    <x v="1"/>
    <x v="1"/>
    <x v="0"/>
    <x v="2"/>
    <x v="4"/>
    <n v="0"/>
    <n v="0"/>
    <n v="1.752"/>
    <n v="1.752"/>
    <n v="1.752"/>
    <n v="1.752"/>
    <n v="0"/>
    <x v="1"/>
    <n v="0"/>
    <n v="0"/>
    <n v="18"/>
    <n v="69"/>
    <n v="0"/>
    <n v="1218.0989999999999"/>
    <n v="408.85299999999995"/>
    <m/>
    <n v="1395.6493986567868"/>
    <n v="307.47043646405808"/>
    <n v="0"/>
    <n v="2134.1094479999997"/>
    <n v="716.31045599999993"/>
    <n v="0"/>
    <n v="2369.5536924328753"/>
    <n v="538.68820468502975"/>
  </r>
  <r>
    <s v="Regular"/>
    <x v="0"/>
    <x v="1"/>
    <x v="3"/>
    <x v="1"/>
    <x v="1"/>
    <x v="0"/>
    <x v="2"/>
    <x v="5"/>
    <n v="0"/>
    <n v="0"/>
    <n v="0.41399999999999998"/>
    <n v="0.41399999999999998"/>
    <n v="0.41399999999999998"/>
    <n v="0.41399999999999998"/>
    <n v="0"/>
    <x v="1"/>
    <n v="0"/>
    <n v="0"/>
    <n v="18"/>
    <n v="69"/>
    <n v="0"/>
    <n v="1218.0989999999999"/>
    <n v="408.85299999999995"/>
    <m/>
    <n v="1395.6493986567868"/>
    <n v="307.47043646405808"/>
    <n v="0"/>
    <n v="504.29298599999993"/>
    <n v="169.26514199999997"/>
    <n v="0"/>
    <n v="559.92878348585066"/>
    <n v="127.29276069612004"/>
  </r>
  <r>
    <s v="Regular"/>
    <x v="0"/>
    <x v="1"/>
    <x v="3"/>
    <x v="1"/>
    <x v="1"/>
    <x v="0"/>
    <x v="2"/>
    <x v="6"/>
    <n v="0"/>
    <n v="0"/>
    <n v="0.432"/>
    <n v="0.432"/>
    <n v="0.432"/>
    <n v="0.432"/>
    <n v="0"/>
    <x v="1"/>
    <n v="0"/>
    <n v="0"/>
    <n v="18"/>
    <n v="69"/>
    <n v="0"/>
    <n v="1218.0989999999999"/>
    <n v="408.85299999999995"/>
    <m/>
    <n v="1395.6493986567868"/>
    <n v="307.47043646405808"/>
    <n v="0"/>
    <n v="526.21876799999995"/>
    <n v="176.62449599999997"/>
    <n v="0"/>
    <n v="584.27351320262676"/>
    <n v="132.82722855247309"/>
  </r>
  <r>
    <s v="Regular"/>
    <x v="0"/>
    <x v="1"/>
    <x v="3"/>
    <x v="1"/>
    <x v="1"/>
    <x v="0"/>
    <x v="2"/>
    <x v="7"/>
    <n v="0"/>
    <n v="0"/>
    <n v="1.669"/>
    <n v="1.669"/>
    <n v="1.669"/>
    <n v="1.669"/>
    <n v="0"/>
    <x v="1"/>
    <n v="0"/>
    <n v="0"/>
    <n v="18"/>
    <n v="69"/>
    <n v="0"/>
    <n v="1218.0989999999999"/>
    <n v="408.85299999999995"/>
    <m/>
    <n v="1395.6493986567868"/>
    <n v="307.47043646405808"/>
    <n v="0"/>
    <n v="2033.007231"/>
    <n v="682.37565699999993"/>
    <n v="0"/>
    <n v="2257.2974387388522"/>
    <n v="513.16815845851295"/>
  </r>
  <r>
    <s v="Regular"/>
    <x v="0"/>
    <x v="1"/>
    <x v="3"/>
    <x v="1"/>
    <x v="1"/>
    <x v="0"/>
    <x v="2"/>
    <x v="8"/>
    <n v="0"/>
    <n v="0"/>
    <n v="1.6120000000000001"/>
    <n v="1.6120000000000001"/>
    <n v="1.6120000000000001"/>
    <n v="1.6120000000000001"/>
    <n v="0"/>
    <x v="1"/>
    <n v="0"/>
    <n v="0"/>
    <n v="18"/>
    <n v="69"/>
    <n v="0"/>
    <n v="1218.0989999999999"/>
    <n v="408.85299999999995"/>
    <m/>
    <n v="1395.6493986567868"/>
    <n v="307.47043646405808"/>
    <n v="0"/>
    <n v="1963.5755879999999"/>
    <n v="659.07103599999994"/>
    <n v="0"/>
    <n v="2180.2057946357277"/>
    <n v="495.64234358006166"/>
  </r>
  <r>
    <s v="Regular"/>
    <x v="0"/>
    <x v="1"/>
    <x v="3"/>
    <x v="1"/>
    <x v="1"/>
    <x v="0"/>
    <x v="2"/>
    <x v="9"/>
    <n v="0"/>
    <n v="0"/>
    <n v="1.198"/>
    <n v="1.198"/>
    <n v="1.198"/>
    <n v="1.198"/>
    <n v="0"/>
    <x v="1"/>
    <n v="0"/>
    <n v="0"/>
    <n v="18"/>
    <n v="69"/>
    <n v="0"/>
    <n v="1218.0989999999999"/>
    <n v="408.85299999999995"/>
    <m/>
    <n v="1395.6493986567868"/>
    <n v="307.47043646405808"/>
    <n v="0"/>
    <n v="1459.2826019999998"/>
    <n v="489.80589399999991"/>
    <n v="0"/>
    <n v="1620.2770111498771"/>
    <n v="368.34958288394159"/>
  </r>
  <r>
    <s v="Regular"/>
    <x v="0"/>
    <x v="1"/>
    <x v="3"/>
    <x v="1"/>
    <x v="1"/>
    <x v="0"/>
    <x v="2"/>
    <x v="10"/>
    <n v="0"/>
    <n v="0"/>
    <n v="1.851"/>
    <n v="1.851"/>
    <n v="1.851"/>
    <n v="1.851"/>
    <n v="0"/>
    <x v="1"/>
    <n v="0"/>
    <n v="0"/>
    <n v="18"/>
    <n v="69"/>
    <n v="0"/>
    <n v="1218.0989999999999"/>
    <n v="408.85299999999995"/>
    <m/>
    <n v="1395.6493986567868"/>
    <n v="307.47043646405808"/>
    <n v="0"/>
    <n v="2254.7012489999997"/>
    <n v="756.78690299999994"/>
    <n v="0"/>
    <n v="2503.449705875144"/>
    <n v="569.12777789497147"/>
  </r>
  <r>
    <s v="PROJETADO"/>
    <x v="0"/>
    <x v="1"/>
    <x v="3"/>
    <x v="1"/>
    <x v="1"/>
    <x v="0"/>
    <x v="2"/>
    <x v="11"/>
    <n v="0"/>
    <n v="0"/>
    <n v="1.851"/>
    <n v="1.851"/>
    <n v="1.851"/>
    <n v="1.851"/>
    <n v="0"/>
    <x v="1"/>
    <n v="0"/>
    <n v="0"/>
    <n v="18"/>
    <n v="69"/>
    <n v="0"/>
    <n v="1218.0989999999999"/>
    <n v="408.85299999999995"/>
    <m/>
    <n v="1395.6493986567868"/>
    <n v="307.47043646405808"/>
    <n v="0"/>
    <n v="2254.7012489999997"/>
    <n v="756.78690299999994"/>
    <n v="0"/>
    <n v="2503.449705875144"/>
    <n v="569.12777789497147"/>
  </r>
  <r>
    <s v="Regular"/>
    <x v="1"/>
    <x v="2"/>
    <x v="4"/>
    <x v="2"/>
    <x v="1"/>
    <x v="0"/>
    <x v="0"/>
    <x v="0"/>
    <n v="0"/>
    <n v="0"/>
    <n v="0.20899999999999999"/>
    <n v="0.20899999999999999"/>
    <n v="0.20899999999999999"/>
    <n v="0.20899999999999999"/>
    <n v="0"/>
    <x v="1"/>
    <n v="0"/>
    <n v="0"/>
    <n v="36"/>
    <n v="74"/>
    <n v="0"/>
    <n v="275.68"/>
    <n v="266.70999999999998"/>
    <m/>
    <n v="327.59045518303162"/>
    <n v="197.6895725142987"/>
    <n v="0"/>
    <n v="57.61712"/>
    <n v="55.742389999999993"/>
    <n v="0"/>
    <n v="68.466405133253602"/>
    <n v="41.317120655488431"/>
  </r>
  <r>
    <s v="Regular"/>
    <x v="1"/>
    <x v="2"/>
    <x v="4"/>
    <x v="2"/>
    <x v="1"/>
    <x v="0"/>
    <x v="0"/>
    <x v="1"/>
    <n v="0"/>
    <n v="0"/>
    <n v="0.16200000000000001"/>
    <n v="0.16200000000000001"/>
    <n v="0.16200000000000001"/>
    <n v="0.16200000000000001"/>
    <n v="0"/>
    <x v="1"/>
    <n v="0"/>
    <n v="0"/>
    <n v="36"/>
    <n v="74"/>
    <n v="0"/>
    <n v="275.68"/>
    <n v="266.70999999999998"/>
    <m/>
    <n v="327.59045518303162"/>
    <n v="197.6895725142987"/>
    <n v="0"/>
    <n v="44.660160000000005"/>
    <n v="43.20702"/>
    <n v="0"/>
    <n v="53.069653739651123"/>
    <n v="32.025710747316388"/>
  </r>
  <r>
    <s v="Regular"/>
    <x v="1"/>
    <x v="2"/>
    <x v="4"/>
    <x v="2"/>
    <x v="1"/>
    <x v="0"/>
    <x v="0"/>
    <x v="2"/>
    <n v="0"/>
    <n v="0"/>
    <n v="0.20200000000000001"/>
    <n v="0.20200000000000001"/>
    <n v="0.20200000000000001"/>
    <n v="0.20200000000000001"/>
    <n v="0"/>
    <x v="1"/>
    <n v="0"/>
    <n v="0"/>
    <n v="36"/>
    <n v="74"/>
    <n v="0"/>
    <n v="275.68"/>
    <n v="266.70999999999998"/>
    <m/>
    <n v="327.59045518303162"/>
    <n v="197.6895725142987"/>
    <n v="0"/>
    <n v="55.687360000000005"/>
    <n v="53.875419999999998"/>
    <n v="0"/>
    <n v="66.173271946972392"/>
    <n v="39.933293647888341"/>
  </r>
  <r>
    <s v="Regular"/>
    <x v="1"/>
    <x v="2"/>
    <x v="4"/>
    <x v="2"/>
    <x v="1"/>
    <x v="0"/>
    <x v="0"/>
    <x v="3"/>
    <n v="0"/>
    <n v="0"/>
    <n v="0.182"/>
    <n v="0.182"/>
    <n v="0.182"/>
    <n v="0.182"/>
    <n v="0"/>
    <x v="1"/>
    <n v="0"/>
    <n v="0"/>
    <n v="36"/>
    <n v="74"/>
    <n v="0"/>
    <n v="275.68"/>
    <n v="266.70999999999998"/>
    <m/>
    <n v="327.59045518303162"/>
    <n v="197.6895725142987"/>
    <n v="0"/>
    <n v="50.173760000000001"/>
    <n v="48.541219999999996"/>
    <n v="0"/>
    <n v="59.621462843311754"/>
    <n v="35.979502197602365"/>
  </r>
  <r>
    <s v="Regular"/>
    <x v="1"/>
    <x v="2"/>
    <x v="4"/>
    <x v="2"/>
    <x v="1"/>
    <x v="0"/>
    <x v="0"/>
    <x v="4"/>
    <n v="0"/>
    <n v="0"/>
    <n v="0.28599999999999998"/>
    <n v="0.28599999999999998"/>
    <n v="0.28599999999999998"/>
    <n v="0.28599999999999998"/>
    <n v="0"/>
    <x v="1"/>
    <n v="0"/>
    <n v="0"/>
    <n v="36"/>
    <n v="74"/>
    <n v="0"/>
    <n v="275.68"/>
    <n v="266.70999999999998"/>
    <m/>
    <n v="327.59045518303162"/>
    <n v="197.6895725142987"/>
    <n v="0"/>
    <n v="78.84447999999999"/>
    <n v="76.279059999999987"/>
    <n v="0"/>
    <n v="93.690870182347041"/>
    <n v="56.539217739089423"/>
  </r>
  <r>
    <s v="Regular"/>
    <x v="1"/>
    <x v="2"/>
    <x v="4"/>
    <x v="2"/>
    <x v="1"/>
    <x v="0"/>
    <x v="0"/>
    <x v="5"/>
    <n v="0"/>
    <n v="0"/>
    <n v="0.47099999999999997"/>
    <n v="0.47099999999999997"/>
    <n v="0.47099999999999997"/>
    <n v="0.47099999999999997"/>
    <n v="0"/>
    <x v="1"/>
    <n v="0"/>
    <n v="0"/>
    <n v="36"/>
    <n v="74"/>
    <n v="0"/>
    <n v="275.68"/>
    <n v="266.70999999999998"/>
    <m/>
    <n v="327.59045518303162"/>
    <n v="197.6895725142987"/>
    <n v="0"/>
    <n v="129.84528"/>
    <n v="125.62040999999998"/>
    <n v="0"/>
    <n v="154.29510439120787"/>
    <n v="93.111788654234687"/>
  </r>
  <r>
    <s v="Regular"/>
    <x v="1"/>
    <x v="2"/>
    <x v="4"/>
    <x v="2"/>
    <x v="1"/>
    <x v="0"/>
    <x v="0"/>
    <x v="6"/>
    <n v="0"/>
    <n v="0"/>
    <n v="0.20799999999999999"/>
    <n v="0.20799999999999999"/>
    <n v="0.20799999999999999"/>
    <n v="0.20799999999999999"/>
    <n v="0"/>
    <x v="1"/>
    <n v="0"/>
    <n v="0"/>
    <n v="36"/>
    <n v="74"/>
    <n v="0"/>
    <n v="275.68"/>
    <n v="266.70999999999998"/>
    <m/>
    <n v="327.59045518303162"/>
    <n v="197.6895725142987"/>
    <n v="0"/>
    <n v="57.341439999999999"/>
    <n v="55.47567999999999"/>
    <n v="0"/>
    <n v="68.138814678070574"/>
    <n v="41.119431082974131"/>
  </r>
  <r>
    <s v="Regular"/>
    <x v="1"/>
    <x v="2"/>
    <x v="4"/>
    <x v="2"/>
    <x v="1"/>
    <x v="0"/>
    <x v="0"/>
    <x v="7"/>
    <n v="0"/>
    <n v="0"/>
    <n v="0.36099999999999999"/>
    <n v="0.36099999999999999"/>
    <n v="0.36099999999999999"/>
    <n v="0.36099999999999999"/>
    <n v="0"/>
    <x v="1"/>
    <n v="0"/>
    <n v="0"/>
    <n v="36"/>
    <n v="74"/>
    <n v="0"/>
    <n v="275.68"/>
    <n v="266.70999999999998"/>
    <m/>
    <n v="327.59045518303162"/>
    <n v="197.6895725142987"/>
    <n v="0"/>
    <n v="99.520479999999992"/>
    <n v="96.282309999999995"/>
    <n v="0"/>
    <n v="118.26015432107441"/>
    <n v="71.365935677661824"/>
  </r>
  <r>
    <s v="Regular"/>
    <x v="1"/>
    <x v="2"/>
    <x v="4"/>
    <x v="2"/>
    <x v="1"/>
    <x v="0"/>
    <x v="0"/>
    <x v="8"/>
    <n v="0"/>
    <n v="0"/>
    <n v="0.12"/>
    <n v="0.12"/>
    <n v="0.12"/>
    <n v="0.12"/>
    <n v="0"/>
    <x v="1"/>
    <n v="0"/>
    <n v="0"/>
    <n v="36"/>
    <n v="74"/>
    <n v="0"/>
    <n v="275.68"/>
    <n v="266.70999999999998"/>
    <m/>
    <n v="327.59045518303162"/>
    <n v="197.6895725142987"/>
    <n v="0"/>
    <n v="33.081600000000002"/>
    <n v="32.005199999999995"/>
    <n v="0"/>
    <n v="39.310854621963792"/>
    <n v="23.722748701715844"/>
  </r>
  <r>
    <s v="Regular"/>
    <x v="1"/>
    <x v="2"/>
    <x v="4"/>
    <x v="2"/>
    <x v="1"/>
    <x v="0"/>
    <x v="0"/>
    <x v="9"/>
    <n v="0"/>
    <n v="0"/>
    <n v="7.2999999999999995E-2"/>
    <n v="7.2999999999999995E-2"/>
    <n v="7.2999999999999995E-2"/>
    <n v="7.2999999999999995E-2"/>
    <n v="0"/>
    <x v="1"/>
    <n v="0"/>
    <n v="0"/>
    <n v="36"/>
    <n v="74"/>
    <n v="0"/>
    <n v="275.68"/>
    <n v="266.70999999999998"/>
    <m/>
    <n v="327.59045518303162"/>
    <n v="197.6895725142987"/>
    <n v="0"/>
    <n v="20.124639999999999"/>
    <n v="19.469829999999998"/>
    <n v="0"/>
    <n v="23.914103228361306"/>
    <n v="14.431338793543805"/>
  </r>
  <r>
    <s v="Regular"/>
    <x v="1"/>
    <x v="2"/>
    <x v="4"/>
    <x v="2"/>
    <x v="1"/>
    <x v="0"/>
    <x v="0"/>
    <x v="10"/>
    <n v="0"/>
    <n v="0"/>
    <n v="0.09"/>
    <n v="0.09"/>
    <n v="0.09"/>
    <n v="0.09"/>
    <n v="0"/>
    <x v="1"/>
    <n v="0"/>
    <n v="0"/>
    <n v="36"/>
    <n v="74"/>
    <n v="0"/>
    <n v="275.68"/>
    <n v="266.70999999999998"/>
    <m/>
    <n v="327.59045518303162"/>
    <n v="197.6895725142987"/>
    <n v="0"/>
    <n v="24.811199999999999"/>
    <n v="24.003899999999998"/>
    <n v="0"/>
    <n v="29.483140966472845"/>
    <n v="17.792061526286883"/>
  </r>
  <r>
    <s v="PROJETADO"/>
    <x v="1"/>
    <x v="2"/>
    <x v="4"/>
    <x v="2"/>
    <x v="1"/>
    <x v="0"/>
    <x v="0"/>
    <x v="11"/>
    <n v="0"/>
    <n v="0"/>
    <n v="0.09"/>
    <n v="0.09"/>
    <n v="0.09"/>
    <n v="0.09"/>
    <n v="0"/>
    <x v="1"/>
    <n v="0"/>
    <n v="0"/>
    <n v="36"/>
    <n v="74"/>
    <n v="0"/>
    <n v="275.68"/>
    <n v="266.70999999999998"/>
    <m/>
    <n v="327.59045518303162"/>
    <n v="197.6895725142987"/>
    <n v="0"/>
    <n v="24.811199999999999"/>
    <n v="24.003899999999998"/>
    <n v="0"/>
    <n v="29.483140966472845"/>
    <n v="17.792061526286883"/>
  </r>
  <r>
    <s v="Regular"/>
    <x v="1"/>
    <x v="2"/>
    <x v="4"/>
    <x v="2"/>
    <x v="1"/>
    <x v="0"/>
    <x v="3"/>
    <x v="0"/>
    <n v="0"/>
    <n v="0"/>
    <n v="1.0999999999999999E-2"/>
    <n v="1.0999999999999999E-2"/>
    <n v="1.0999999999999999E-2"/>
    <n v="1.0999999999999999E-2"/>
    <n v="0"/>
    <x v="1"/>
    <n v="0"/>
    <n v="0"/>
    <n v="35"/>
    <n v="73"/>
    <n v="0"/>
    <n v="611.01"/>
    <n v="266.70999999999998"/>
    <m/>
    <n v="693.38139934142191"/>
    <n v="197.6895725142987"/>
    <n v="0"/>
    <n v="6.7211099999999995"/>
    <n v="2.9338099999999998"/>
    <n v="0"/>
    <n v="7.6271953927556408"/>
    <n v="2.1745852976572855"/>
  </r>
  <r>
    <s v="Regular"/>
    <x v="1"/>
    <x v="2"/>
    <x v="4"/>
    <x v="2"/>
    <x v="1"/>
    <x v="0"/>
    <x v="3"/>
    <x v="1"/>
    <n v="0"/>
    <n v="0"/>
    <n v="8.9999999999999993E-3"/>
    <n v="8.9999999999999993E-3"/>
    <n v="8.9999999999999993E-3"/>
    <n v="8.9999999999999993E-3"/>
    <n v="0"/>
    <x v="1"/>
    <n v="0"/>
    <n v="0"/>
    <n v="35"/>
    <n v="73"/>
    <n v="0"/>
    <n v="611.01"/>
    <n v="266.70999999999998"/>
    <m/>
    <n v="693.38139934142191"/>
    <n v="197.6895725142987"/>
    <n v="0"/>
    <n v="5.4990899999999998"/>
    <n v="2.4003899999999998"/>
    <n v="0"/>
    <n v="6.2404325940727965"/>
    <n v="1.7792061526286882"/>
  </r>
  <r>
    <s v="Regular"/>
    <x v="1"/>
    <x v="2"/>
    <x v="4"/>
    <x v="2"/>
    <x v="1"/>
    <x v="0"/>
    <x v="3"/>
    <x v="2"/>
    <n v="0"/>
    <n v="0"/>
    <n v="1.6E-2"/>
    <n v="1.6E-2"/>
    <n v="1.6E-2"/>
    <n v="1.6E-2"/>
    <n v="0"/>
    <x v="1"/>
    <n v="0"/>
    <n v="0"/>
    <n v="35"/>
    <n v="73"/>
    <n v="0"/>
    <n v="611.01"/>
    <n v="266.70999999999998"/>
    <m/>
    <n v="693.38139934142191"/>
    <n v="197.6895725142987"/>
    <n v="0"/>
    <n v="9.7761600000000008"/>
    <n v="4.26736"/>
    <n v="0"/>
    <n v="11.094102389462751"/>
    <n v="3.1630331602287791"/>
  </r>
  <r>
    <s v="Regular"/>
    <x v="1"/>
    <x v="2"/>
    <x v="4"/>
    <x v="2"/>
    <x v="1"/>
    <x v="0"/>
    <x v="3"/>
    <x v="3"/>
    <n v="0"/>
    <n v="0"/>
    <n v="8.9999999999999993E-3"/>
    <n v="8.9999999999999993E-3"/>
    <n v="8.9999999999999993E-3"/>
    <n v="8.9999999999999993E-3"/>
    <n v="0"/>
    <x v="1"/>
    <n v="0"/>
    <n v="0"/>
    <n v="35"/>
    <n v="73"/>
    <n v="0"/>
    <n v="611.01"/>
    <n v="266.70999999999998"/>
    <m/>
    <n v="693.38139934142191"/>
    <n v="197.6895725142987"/>
    <n v="0"/>
    <n v="5.4990899999999998"/>
    <n v="2.4003899999999998"/>
    <n v="0"/>
    <n v="6.2404325940727965"/>
    <n v="1.7792061526286882"/>
  </r>
  <r>
    <s v="Regular"/>
    <x v="1"/>
    <x v="2"/>
    <x v="4"/>
    <x v="2"/>
    <x v="1"/>
    <x v="0"/>
    <x v="3"/>
    <x v="4"/>
    <n v="0"/>
    <n v="0"/>
    <n v="1.6E-2"/>
    <n v="1.6E-2"/>
    <n v="1.6E-2"/>
    <n v="1.6E-2"/>
    <n v="0"/>
    <x v="1"/>
    <n v="0"/>
    <n v="0"/>
    <n v="35"/>
    <n v="73"/>
    <n v="0"/>
    <n v="611.01"/>
    <n v="266.70999999999998"/>
    <m/>
    <n v="693.38139934142191"/>
    <n v="197.6895725142987"/>
    <n v="0"/>
    <n v="9.7761600000000008"/>
    <n v="4.26736"/>
    <n v="0"/>
    <n v="11.094102389462751"/>
    <n v="3.1630331602287791"/>
  </r>
  <r>
    <s v="Regular"/>
    <x v="1"/>
    <x v="2"/>
    <x v="4"/>
    <x v="2"/>
    <x v="1"/>
    <x v="0"/>
    <x v="3"/>
    <x v="5"/>
    <n v="0"/>
    <n v="0"/>
    <n v="0.02"/>
    <n v="0.02"/>
    <n v="0.02"/>
    <n v="0.02"/>
    <n v="0"/>
    <x v="1"/>
    <n v="0"/>
    <n v="0"/>
    <n v="35"/>
    <n v="73"/>
    <n v="0"/>
    <n v="611.01"/>
    <n v="266.70999999999998"/>
    <m/>
    <n v="693.38139934142191"/>
    <n v="197.6895725142987"/>
    <n v="0"/>
    <n v="12.2202"/>
    <n v="5.3342000000000001"/>
    <n v="0"/>
    <n v="13.867627986828438"/>
    <n v="3.9537914502859741"/>
  </r>
  <r>
    <s v="Regular"/>
    <x v="1"/>
    <x v="2"/>
    <x v="4"/>
    <x v="2"/>
    <x v="1"/>
    <x v="0"/>
    <x v="3"/>
    <x v="6"/>
    <n v="0"/>
    <n v="0"/>
    <n v="7.0000000000000001E-3"/>
    <n v="7.0000000000000001E-3"/>
    <n v="7.0000000000000001E-3"/>
    <n v="7.0000000000000001E-3"/>
    <n v="0"/>
    <x v="1"/>
    <n v="0"/>
    <n v="0"/>
    <n v="35"/>
    <n v="73"/>
    <n v="0"/>
    <n v="611.01"/>
    <n v="266.70999999999998"/>
    <m/>
    <n v="693.38139934142191"/>
    <n v="197.6895725142987"/>
    <n v="0"/>
    <n v="4.2770700000000001"/>
    <n v="1.8669699999999998"/>
    <n v="0"/>
    <n v="4.8536697953899539"/>
    <n v="1.3838270076000909"/>
  </r>
  <r>
    <s v="Regular"/>
    <x v="1"/>
    <x v="2"/>
    <x v="4"/>
    <x v="2"/>
    <x v="1"/>
    <x v="0"/>
    <x v="3"/>
    <x v="7"/>
    <n v="0"/>
    <n v="0"/>
    <n v="1.2999999999999999E-2"/>
    <n v="1.2999999999999999E-2"/>
    <n v="1.2999999999999999E-2"/>
    <n v="1.2999999999999999E-2"/>
    <n v="0"/>
    <x v="1"/>
    <n v="0"/>
    <n v="0"/>
    <n v="35"/>
    <n v="73"/>
    <n v="0"/>
    <n v="611.01"/>
    <n v="266.70999999999998"/>
    <m/>
    <n v="693.38139934142191"/>
    <n v="197.6895725142987"/>
    <n v="0"/>
    <n v="7.9431299999999991"/>
    <n v="3.4672299999999994"/>
    <n v="0"/>
    <n v="9.0139581914384852"/>
    <n v="2.5699644426858832"/>
  </r>
  <r>
    <s v="Regular"/>
    <x v="1"/>
    <x v="2"/>
    <x v="4"/>
    <x v="2"/>
    <x v="1"/>
    <x v="0"/>
    <x v="3"/>
    <x v="8"/>
    <n v="0"/>
    <n v="0"/>
    <n v="8.0000000000000002E-3"/>
    <n v="8.0000000000000002E-3"/>
    <n v="8.0000000000000002E-3"/>
    <n v="8.0000000000000002E-3"/>
    <n v="0"/>
    <x v="1"/>
    <n v="0"/>
    <n v="0"/>
    <n v="35"/>
    <n v="73"/>
    <n v="0"/>
    <n v="611.01"/>
    <n v="266.70999999999998"/>
    <m/>
    <n v="693.38139934142191"/>
    <n v="197.6895725142987"/>
    <n v="0"/>
    <n v="4.8880800000000004"/>
    <n v="2.13368"/>
    <n v="0"/>
    <n v="5.5470511947313756"/>
    <n v="1.5815165801143896"/>
  </r>
  <r>
    <s v="Regular"/>
    <x v="1"/>
    <x v="2"/>
    <x v="4"/>
    <x v="2"/>
    <x v="1"/>
    <x v="0"/>
    <x v="3"/>
    <x v="9"/>
    <n v="0"/>
    <n v="0"/>
    <n v="5.0000000000000001E-3"/>
    <n v="5.0000000000000001E-3"/>
    <n v="5.0000000000000001E-3"/>
    <n v="5.0000000000000001E-3"/>
    <n v="0"/>
    <x v="1"/>
    <n v="0"/>
    <n v="0"/>
    <n v="35"/>
    <n v="73"/>
    <n v="0"/>
    <n v="611.01"/>
    <n v="266.70999999999998"/>
    <m/>
    <n v="693.38139934142191"/>
    <n v="197.6895725142987"/>
    <n v="0"/>
    <n v="3.05505"/>
    <n v="1.33355"/>
    <n v="0"/>
    <n v="3.4669069967071096"/>
    <n v="0.98844786257149353"/>
  </r>
  <r>
    <s v="Regular"/>
    <x v="1"/>
    <x v="2"/>
    <x v="4"/>
    <x v="2"/>
    <x v="1"/>
    <x v="0"/>
    <x v="3"/>
    <x v="10"/>
    <n v="0"/>
    <n v="0"/>
    <n v="8.0000000000000002E-3"/>
    <n v="8.0000000000000002E-3"/>
    <n v="8.0000000000000002E-3"/>
    <n v="8.0000000000000002E-3"/>
    <n v="0"/>
    <x v="1"/>
    <n v="0"/>
    <n v="0"/>
    <n v="35"/>
    <n v="73"/>
    <n v="0"/>
    <n v="611.01"/>
    <n v="266.70999999999998"/>
    <m/>
    <n v="693.38139934142191"/>
    <n v="197.6895725142987"/>
    <n v="0"/>
    <n v="4.8880800000000004"/>
    <n v="2.13368"/>
    <n v="0"/>
    <n v="5.5470511947313756"/>
    <n v="1.5815165801143896"/>
  </r>
  <r>
    <s v="PROJETADO"/>
    <x v="1"/>
    <x v="2"/>
    <x v="4"/>
    <x v="2"/>
    <x v="1"/>
    <x v="0"/>
    <x v="3"/>
    <x v="11"/>
    <n v="0"/>
    <n v="0"/>
    <n v="8.0000000000000002E-3"/>
    <n v="8.0000000000000002E-3"/>
    <n v="8.0000000000000002E-3"/>
    <n v="8.0000000000000002E-3"/>
    <n v="0"/>
    <x v="1"/>
    <n v="0"/>
    <n v="0"/>
    <n v="35"/>
    <n v="73"/>
    <n v="0"/>
    <n v="611.01"/>
    <n v="266.70999999999998"/>
    <m/>
    <n v="693.38139934142191"/>
    <n v="197.6895725142987"/>
    <n v="0"/>
    <n v="4.8880800000000004"/>
    <n v="2.13368"/>
    <n v="0"/>
    <n v="5.5470511947313756"/>
    <n v="1.5815165801143896"/>
  </r>
  <r>
    <s v="Regular"/>
    <x v="1"/>
    <x v="2"/>
    <x v="4"/>
    <x v="2"/>
    <x v="1"/>
    <x v="0"/>
    <x v="2"/>
    <x v="0"/>
    <n v="0"/>
    <n v="0"/>
    <n v="1.7999999999999999E-2"/>
    <n v="1.7999999999999999E-2"/>
    <n v="1.7999999999999999E-2"/>
    <n v="1.7999999999999999E-2"/>
    <n v="0"/>
    <x v="1"/>
    <n v="0"/>
    <n v="0"/>
    <n v="34"/>
    <n v="72"/>
    <n v="0"/>
    <n v="946.35"/>
    <n v="434.95"/>
    <m/>
    <n v="1059.1724684837104"/>
    <n v="316.97983140624547"/>
    <n v="0"/>
    <n v="17.034299999999998"/>
    <n v="7.8290999999999995"/>
    <n v="0"/>
    <n v="19.065104432706786"/>
    <n v="5.7056369653124177"/>
  </r>
  <r>
    <s v="Regular"/>
    <x v="1"/>
    <x v="2"/>
    <x v="4"/>
    <x v="2"/>
    <x v="1"/>
    <x v="0"/>
    <x v="2"/>
    <x v="1"/>
    <n v="0"/>
    <n v="0"/>
    <n v="1.6E-2"/>
    <n v="1.6E-2"/>
    <n v="1.6E-2"/>
    <n v="1.6E-2"/>
    <n v="0"/>
    <x v="1"/>
    <n v="0"/>
    <n v="0"/>
    <n v="34"/>
    <n v="72"/>
    <n v="0"/>
    <n v="946.35"/>
    <n v="434.95"/>
    <m/>
    <n v="1059.1724684837104"/>
    <n v="316.97983140624547"/>
    <n v="0"/>
    <n v="15.1416"/>
    <n v="6.9592000000000001"/>
    <n v="0"/>
    <n v="16.946759495739368"/>
    <n v="5.0716773024999275"/>
  </r>
  <r>
    <s v="Regular"/>
    <x v="1"/>
    <x v="2"/>
    <x v="4"/>
    <x v="2"/>
    <x v="1"/>
    <x v="0"/>
    <x v="2"/>
    <x v="2"/>
    <n v="0"/>
    <n v="0"/>
    <n v="1.7999999999999999E-2"/>
    <n v="1.7999999999999999E-2"/>
    <n v="1.7999999999999999E-2"/>
    <n v="1.7999999999999999E-2"/>
    <n v="0"/>
    <x v="1"/>
    <n v="0"/>
    <n v="0"/>
    <n v="34"/>
    <n v="72"/>
    <n v="0"/>
    <n v="946.35"/>
    <n v="434.95"/>
    <m/>
    <n v="1059.1724684837104"/>
    <n v="316.97983140624547"/>
    <n v="0"/>
    <n v="17.034299999999998"/>
    <n v="7.8290999999999995"/>
    <n v="0"/>
    <n v="19.065104432706786"/>
    <n v="5.7056369653124177"/>
  </r>
  <r>
    <s v="Regular"/>
    <x v="1"/>
    <x v="2"/>
    <x v="4"/>
    <x v="2"/>
    <x v="1"/>
    <x v="0"/>
    <x v="2"/>
    <x v="3"/>
    <n v="0"/>
    <n v="0"/>
    <n v="1.4E-2"/>
    <n v="1.4E-2"/>
    <n v="1.4E-2"/>
    <n v="1.4E-2"/>
    <n v="0"/>
    <x v="1"/>
    <n v="0"/>
    <n v="0"/>
    <n v="34"/>
    <n v="72"/>
    <n v="0"/>
    <n v="946.35"/>
    <n v="434.95"/>
    <m/>
    <n v="1059.1724684837104"/>
    <n v="316.97983140624547"/>
    <n v="0"/>
    <n v="13.248900000000001"/>
    <n v="6.0892999999999997"/>
    <n v="0"/>
    <n v="14.828414558771946"/>
    <n v="4.4377176396874365"/>
  </r>
  <r>
    <s v="Regular"/>
    <x v="1"/>
    <x v="2"/>
    <x v="4"/>
    <x v="2"/>
    <x v="1"/>
    <x v="0"/>
    <x v="2"/>
    <x v="4"/>
    <n v="0"/>
    <n v="0"/>
    <n v="1.7000000000000001E-2"/>
    <n v="1.7000000000000001E-2"/>
    <n v="1.7000000000000001E-2"/>
    <n v="1.7000000000000001E-2"/>
    <n v="0"/>
    <x v="1"/>
    <n v="0"/>
    <n v="0"/>
    <n v="34"/>
    <n v="72"/>
    <n v="0"/>
    <n v="946.35"/>
    <n v="434.95"/>
    <m/>
    <n v="1059.1724684837104"/>
    <n v="316.97983140624547"/>
    <n v="0"/>
    <n v="16.087950000000003"/>
    <n v="7.3941500000000007"/>
    <n v="0"/>
    <n v="18.005931964223077"/>
    <n v="5.3886571339061735"/>
  </r>
  <r>
    <s v="Regular"/>
    <x v="1"/>
    <x v="2"/>
    <x v="4"/>
    <x v="2"/>
    <x v="1"/>
    <x v="0"/>
    <x v="2"/>
    <x v="5"/>
    <n v="0"/>
    <n v="0"/>
    <n v="2.5999999999999999E-2"/>
    <n v="2.5999999999999999E-2"/>
    <n v="2.5999999999999999E-2"/>
    <n v="2.5999999999999999E-2"/>
    <n v="0"/>
    <x v="1"/>
    <n v="0"/>
    <n v="0"/>
    <n v="34"/>
    <n v="72"/>
    <n v="0"/>
    <n v="946.35"/>
    <n v="434.95"/>
    <m/>
    <n v="1059.1724684837104"/>
    <n v="316.97983140624547"/>
    <n v="0"/>
    <n v="24.6051"/>
    <n v="11.3087"/>
    <n v="0"/>
    <n v="27.538484180576468"/>
    <n v="8.241475616562381"/>
  </r>
  <r>
    <s v="Regular"/>
    <x v="1"/>
    <x v="2"/>
    <x v="4"/>
    <x v="2"/>
    <x v="1"/>
    <x v="0"/>
    <x v="2"/>
    <x v="6"/>
    <n v="0"/>
    <n v="0"/>
    <n v="0.01"/>
    <n v="0.01"/>
    <n v="0.01"/>
    <n v="0.01"/>
    <n v="0"/>
    <x v="1"/>
    <n v="0"/>
    <n v="0"/>
    <n v="34"/>
    <n v="72"/>
    <n v="0"/>
    <n v="946.35"/>
    <n v="434.95"/>
    <m/>
    <n v="1059.1724684837104"/>
    <n v="316.97983140624547"/>
    <n v="0"/>
    <n v="9.4634999999999998"/>
    <n v="4.3494999999999999"/>
    <n v="0"/>
    <n v="10.591724684837104"/>
    <n v="3.1697983140624548"/>
  </r>
  <r>
    <s v="Regular"/>
    <x v="1"/>
    <x v="2"/>
    <x v="4"/>
    <x v="2"/>
    <x v="1"/>
    <x v="0"/>
    <x v="2"/>
    <x v="7"/>
    <n v="0"/>
    <n v="0"/>
    <n v="0.01"/>
    <n v="0.01"/>
    <n v="0.01"/>
    <n v="0.01"/>
    <n v="0"/>
    <x v="1"/>
    <n v="0"/>
    <n v="0"/>
    <n v="34"/>
    <n v="72"/>
    <n v="0"/>
    <n v="946.35"/>
    <n v="434.95"/>
    <m/>
    <n v="1059.1724684837104"/>
    <n v="316.97983140624547"/>
    <n v="0"/>
    <n v="9.4634999999999998"/>
    <n v="4.3494999999999999"/>
    <n v="0"/>
    <n v="10.591724684837104"/>
    <n v="3.1697983140624548"/>
  </r>
  <r>
    <s v="Regular"/>
    <x v="1"/>
    <x v="2"/>
    <x v="4"/>
    <x v="2"/>
    <x v="1"/>
    <x v="0"/>
    <x v="2"/>
    <x v="8"/>
    <n v="0"/>
    <n v="0"/>
    <n v="0.01"/>
    <n v="0.01"/>
    <n v="0.01"/>
    <n v="0.01"/>
    <n v="0"/>
    <x v="1"/>
    <n v="0"/>
    <n v="0"/>
    <n v="34"/>
    <n v="72"/>
    <n v="0"/>
    <n v="946.35"/>
    <n v="434.95"/>
    <m/>
    <n v="1059.1724684837104"/>
    <n v="316.97983140624547"/>
    <n v="0"/>
    <n v="9.4634999999999998"/>
    <n v="4.3494999999999999"/>
    <n v="0"/>
    <n v="10.591724684837104"/>
    <n v="3.1697983140624548"/>
  </r>
  <r>
    <s v="Regular"/>
    <x v="1"/>
    <x v="2"/>
    <x v="4"/>
    <x v="2"/>
    <x v="1"/>
    <x v="0"/>
    <x v="2"/>
    <x v="9"/>
    <n v="0"/>
    <n v="0"/>
    <n v="8.9999999999999993E-3"/>
    <n v="8.9999999999999993E-3"/>
    <n v="8.9999999999999993E-3"/>
    <n v="8.9999999999999993E-3"/>
    <n v="0"/>
    <x v="1"/>
    <n v="0"/>
    <n v="0"/>
    <n v="34"/>
    <n v="72"/>
    <n v="0"/>
    <n v="946.35"/>
    <n v="434.95"/>
    <m/>
    <n v="1059.1724684837104"/>
    <n v="316.97983140624547"/>
    <n v="0"/>
    <n v="8.5171499999999991"/>
    <n v="3.9145499999999998"/>
    <n v="0"/>
    <n v="9.5325522163533929"/>
    <n v="2.8528184826562089"/>
  </r>
  <r>
    <s v="Regular"/>
    <x v="1"/>
    <x v="2"/>
    <x v="4"/>
    <x v="2"/>
    <x v="1"/>
    <x v="0"/>
    <x v="2"/>
    <x v="10"/>
    <n v="0"/>
    <n v="0"/>
    <n v="1.0999999999999999E-2"/>
    <n v="1.0999999999999999E-2"/>
    <n v="1.0999999999999999E-2"/>
    <n v="1.0999999999999999E-2"/>
    <n v="0"/>
    <x v="1"/>
    <n v="0"/>
    <n v="0"/>
    <n v="34"/>
    <n v="72"/>
    <n v="0"/>
    <n v="946.35"/>
    <n v="434.95"/>
    <m/>
    <n v="1059.1724684837104"/>
    <n v="316.97983140624547"/>
    <n v="0"/>
    <n v="10.40985"/>
    <n v="4.7844499999999996"/>
    <n v="0"/>
    <n v="11.650897153320814"/>
    <n v="3.4867781454686999"/>
  </r>
  <r>
    <s v="PROJETADO"/>
    <x v="1"/>
    <x v="2"/>
    <x v="4"/>
    <x v="2"/>
    <x v="1"/>
    <x v="0"/>
    <x v="2"/>
    <x v="11"/>
    <n v="0"/>
    <n v="0"/>
    <n v="1.0999999999999999E-2"/>
    <n v="1.0999999999999999E-2"/>
    <n v="1.0999999999999999E-2"/>
    <n v="1.0999999999999999E-2"/>
    <n v="0"/>
    <x v="1"/>
    <n v="0"/>
    <n v="0"/>
    <n v="34"/>
    <n v="72"/>
    <n v="0"/>
    <n v="946.35"/>
    <n v="434.95"/>
    <m/>
    <n v="1059.1724684837104"/>
    <n v="316.97983140624547"/>
    <n v="0"/>
    <n v="10.40985"/>
    <n v="4.7844499999999996"/>
    <n v="0"/>
    <n v="11.650897153320814"/>
    <n v="3.4867781454686999"/>
  </r>
  <r>
    <s v="Regular"/>
    <x v="1"/>
    <x v="3"/>
    <x v="4"/>
    <x v="2"/>
    <x v="1"/>
    <x v="0"/>
    <x v="1"/>
    <x v="0"/>
    <n v="0"/>
    <n v="0"/>
    <n v="846.42"/>
    <n v="846.42"/>
    <n v="846.42"/>
    <n v="846.42"/>
    <n v="5673"/>
    <x v="1"/>
    <n v="0"/>
    <n v="0"/>
    <n v="37"/>
    <n v="75"/>
    <n v="0"/>
    <n v="407.42"/>
    <n v="280.73"/>
    <m/>
    <n v="471.29409075882518"/>
    <n v="207.63042742196092"/>
    <n v="0"/>
    <n v="344848.43640000001"/>
    <n v="237615.4866"/>
    <n v="0"/>
    <n v="398912.74430008477"/>
    <n v="175742.54637849616"/>
  </r>
  <r>
    <s v="Sistema de Compensação"/>
    <x v="1"/>
    <x v="3"/>
    <x v="4"/>
    <x v="2"/>
    <x v="1"/>
    <x v="0"/>
    <x v="1"/>
    <x v="0"/>
    <n v="0"/>
    <n v="0"/>
    <n v="17.163"/>
    <n v="17.163"/>
    <n v="17.163"/>
    <n v="17.163"/>
    <n v="160"/>
    <x v="1"/>
    <n v="0"/>
    <n v="0"/>
    <n v="37"/>
    <n v="75"/>
    <n v="0"/>
    <n v="407.42"/>
    <n v="280.73"/>
    <m/>
    <n v="471.29409075882518"/>
    <n v="207.63042742196092"/>
    <n v="0"/>
    <n v="6992.5494600000002"/>
    <n v="4818.1689900000001"/>
    <n v="0"/>
    <n v="8088.8204796937171"/>
    <n v="3563.5610258431152"/>
  </r>
  <r>
    <s v="Regular"/>
    <x v="1"/>
    <x v="3"/>
    <x v="4"/>
    <x v="2"/>
    <x v="1"/>
    <x v="0"/>
    <x v="1"/>
    <x v="1"/>
    <n v="0"/>
    <n v="0"/>
    <n v="898.92100000000005"/>
    <n v="898.92100000000005"/>
    <n v="898.92100000000005"/>
    <n v="898.92100000000005"/>
    <n v="5700"/>
    <x v="1"/>
    <n v="0"/>
    <n v="0"/>
    <n v="37"/>
    <n v="75"/>
    <n v="0"/>
    <n v="407.42"/>
    <n v="280.73"/>
    <m/>
    <n v="471.29409075882518"/>
    <n v="207.63042742196092"/>
    <n v="0"/>
    <n v="366238.39382000006"/>
    <n v="252354.09233000004"/>
    <n v="0"/>
    <n v="423656.15535901394"/>
    <n v="186643.35144857655"/>
  </r>
  <r>
    <s v="Sistema de Compensação"/>
    <x v="1"/>
    <x v="3"/>
    <x v="4"/>
    <x v="2"/>
    <x v="1"/>
    <x v="0"/>
    <x v="1"/>
    <x v="1"/>
    <n v="0"/>
    <n v="0"/>
    <n v="13.840999999999999"/>
    <n v="13.840999999999999"/>
    <n v="13.840999999999999"/>
    <n v="13.840999999999999"/>
    <n v="165"/>
    <x v="1"/>
    <n v="0"/>
    <n v="0"/>
    <n v="37"/>
    <n v="75"/>
    <n v="0"/>
    <n v="407.42"/>
    <n v="280.73"/>
    <m/>
    <n v="471.29409075882518"/>
    <n v="207.63042742196092"/>
    <n v="0"/>
    <n v="5639.1002200000003"/>
    <n v="3885.5839300000002"/>
    <n v="0"/>
    <n v="6523.1815101928987"/>
    <n v="2873.8127459473608"/>
  </r>
  <r>
    <s v="Regular"/>
    <x v="1"/>
    <x v="3"/>
    <x v="4"/>
    <x v="2"/>
    <x v="1"/>
    <x v="0"/>
    <x v="1"/>
    <x v="2"/>
    <n v="0"/>
    <n v="0"/>
    <n v="795.89800000000002"/>
    <n v="795.89800000000002"/>
    <n v="795.89800000000002"/>
    <n v="795.89800000000002"/>
    <n v="5685"/>
    <x v="1"/>
    <n v="0"/>
    <n v="0"/>
    <n v="37"/>
    <n v="75"/>
    <n v="0"/>
    <n v="407.42"/>
    <n v="280.73"/>
    <m/>
    <n v="471.29409075882518"/>
    <n v="207.63042742196092"/>
    <n v="0"/>
    <n v="324264.76316000003"/>
    <n v="223432.44554000002"/>
    <n v="0"/>
    <n v="375102.02424676745"/>
    <n v="165252.64192428385"/>
  </r>
  <r>
    <s v="Sistema de Compensação"/>
    <x v="1"/>
    <x v="3"/>
    <x v="4"/>
    <x v="2"/>
    <x v="1"/>
    <x v="0"/>
    <x v="1"/>
    <x v="2"/>
    <n v="0"/>
    <n v="0"/>
    <n v="18.109000000000002"/>
    <n v="18.109000000000002"/>
    <n v="18.109000000000002"/>
    <n v="18.109000000000002"/>
    <n v="187"/>
    <x v="1"/>
    <n v="0"/>
    <n v="0"/>
    <n v="37"/>
    <n v="75"/>
    <n v="0"/>
    <n v="407.42"/>
    <n v="280.73"/>
    <m/>
    <n v="471.29409075882518"/>
    <n v="207.63042742196092"/>
    <n v="0"/>
    <n v="7377.9687800000011"/>
    <n v="5083.7395700000006"/>
    <n v="0"/>
    <n v="8534.664689551566"/>
    <n v="3759.9794101842908"/>
  </r>
  <r>
    <s v="Regular"/>
    <x v="1"/>
    <x v="3"/>
    <x v="4"/>
    <x v="2"/>
    <x v="1"/>
    <x v="0"/>
    <x v="1"/>
    <x v="3"/>
    <n v="0"/>
    <n v="0"/>
    <n v="870.99800000000005"/>
    <n v="870.99800000000005"/>
    <n v="870.99800000000005"/>
    <n v="870.99800000000005"/>
    <n v="5654"/>
    <x v="1"/>
    <n v="0"/>
    <n v="0"/>
    <n v="37"/>
    <n v="75"/>
    <n v="0"/>
    <n v="407.42"/>
    <n v="280.73"/>
    <m/>
    <n v="471.29409075882518"/>
    <n v="207.63042742196092"/>
    <n v="0"/>
    <n v="354862.00516000006"/>
    <n v="244515.26854000002"/>
    <n v="0"/>
    <n v="410496.21046275523"/>
    <n v="180845.68702367312"/>
  </r>
  <r>
    <s v="Sistema de Compensação"/>
    <x v="1"/>
    <x v="3"/>
    <x v="4"/>
    <x v="2"/>
    <x v="1"/>
    <x v="0"/>
    <x v="1"/>
    <x v="3"/>
    <n v="0"/>
    <n v="0"/>
    <n v="16.065000000000001"/>
    <n v="16.065000000000001"/>
    <n v="16.065000000000001"/>
    <n v="16.065000000000001"/>
    <n v="205"/>
    <x v="1"/>
    <n v="0"/>
    <n v="0"/>
    <n v="37"/>
    <n v="75"/>
    <n v="0"/>
    <n v="407.42"/>
    <n v="280.73"/>
    <m/>
    <n v="471.29409075882518"/>
    <n v="207.63042742196092"/>
    <n v="0"/>
    <n v="6545.2023000000008"/>
    <n v="4509.927450000001"/>
    <n v="0"/>
    <n v="7571.3395680405274"/>
    <n v="3335.5828165338025"/>
  </r>
  <r>
    <s v="Regular"/>
    <x v="1"/>
    <x v="3"/>
    <x v="4"/>
    <x v="2"/>
    <x v="1"/>
    <x v="0"/>
    <x v="1"/>
    <x v="4"/>
    <n v="0"/>
    <n v="0"/>
    <n v="980.88699999999994"/>
    <n v="980.88699999999994"/>
    <n v="980.88699999999994"/>
    <n v="980.88699999999994"/>
    <n v="5635"/>
    <x v="1"/>
    <n v="0"/>
    <n v="0"/>
    <n v="37"/>
    <n v="75"/>
    <n v="0"/>
    <n v="407.42"/>
    <n v="280.73"/>
    <m/>
    <n v="471.29409075882518"/>
    <n v="207.63042742196092"/>
    <n v="0"/>
    <n v="399632.98154000001"/>
    <n v="275364.40750999999"/>
    <n v="0"/>
    <n v="462286.24680215173"/>
    <n v="203661.98706264497"/>
  </r>
  <r>
    <s v="Sistema de Compensação"/>
    <x v="1"/>
    <x v="3"/>
    <x v="4"/>
    <x v="2"/>
    <x v="1"/>
    <x v="0"/>
    <x v="1"/>
    <x v="4"/>
    <n v="0"/>
    <n v="0"/>
    <n v="19.164999999999999"/>
    <n v="19.164999999999999"/>
    <n v="19.164999999999999"/>
    <n v="19.164999999999999"/>
    <n v="223"/>
    <x v="1"/>
    <n v="0"/>
    <n v="0"/>
    <n v="37"/>
    <n v="75"/>
    <n v="0"/>
    <n v="407.42"/>
    <n v="280.73"/>
    <m/>
    <n v="471.29409075882518"/>
    <n v="207.63042742196092"/>
    <n v="0"/>
    <n v="7808.2043000000003"/>
    <n v="5380.1904500000001"/>
    <n v="0"/>
    <n v="9032.3512493928847"/>
    <n v="3979.2371415418806"/>
  </r>
  <r>
    <s v="Regular"/>
    <x v="1"/>
    <x v="3"/>
    <x v="4"/>
    <x v="2"/>
    <x v="1"/>
    <x v="0"/>
    <x v="1"/>
    <x v="5"/>
    <n v="0"/>
    <n v="0"/>
    <n v="952.029"/>
    <n v="952.029"/>
    <n v="952.029"/>
    <n v="952.029"/>
    <n v="5611"/>
    <x v="1"/>
    <n v="0"/>
    <n v="0"/>
    <n v="37"/>
    <n v="75"/>
    <n v="0"/>
    <n v="407.42"/>
    <n v="280.73"/>
    <m/>
    <n v="471.29409075882518"/>
    <n v="207.63042742196092"/>
    <n v="0"/>
    <n v="387875.65518"/>
    <n v="267263.10117000004"/>
    <n v="0"/>
    <n v="448685.64193103358"/>
    <n v="197670.18818810204"/>
  </r>
  <r>
    <s v="Sistema de Compensação"/>
    <x v="1"/>
    <x v="3"/>
    <x v="4"/>
    <x v="2"/>
    <x v="1"/>
    <x v="0"/>
    <x v="1"/>
    <x v="5"/>
    <n v="0"/>
    <n v="0"/>
    <n v="20.507000000000001"/>
    <n v="20.507000000000001"/>
    <n v="20.507000000000001"/>
    <n v="20.507000000000001"/>
    <n v="234"/>
    <x v="1"/>
    <n v="0"/>
    <n v="0"/>
    <n v="37"/>
    <n v="75"/>
    <n v="0"/>
    <n v="407.42"/>
    <n v="280.73"/>
    <m/>
    <n v="471.29409075882518"/>
    <n v="207.63042742196092"/>
    <n v="0"/>
    <n v="8354.9619400000011"/>
    <n v="5756.9301100000012"/>
    <n v="0"/>
    <n v="9664.8279191912279"/>
    <n v="4257.8771751421527"/>
  </r>
  <r>
    <s v="Regular"/>
    <x v="1"/>
    <x v="3"/>
    <x v="4"/>
    <x v="2"/>
    <x v="1"/>
    <x v="0"/>
    <x v="1"/>
    <x v="6"/>
    <n v="0"/>
    <n v="0"/>
    <n v="840.39200000000005"/>
    <n v="840.39200000000005"/>
    <n v="840.39200000000005"/>
    <n v="840.39200000000005"/>
    <n v="5585"/>
    <x v="1"/>
    <n v="0"/>
    <n v="0"/>
    <n v="37"/>
    <n v="75"/>
    <n v="0"/>
    <n v="407.42"/>
    <n v="280.73"/>
    <m/>
    <n v="471.29409075882518"/>
    <n v="207.63042742196092"/>
    <n v="0"/>
    <n v="342392.50864000001"/>
    <n v="235923.24616000004"/>
    <n v="0"/>
    <n v="396071.78352099063"/>
    <n v="174490.95016199659"/>
  </r>
  <r>
    <s v="Sistema de Compensação"/>
    <x v="1"/>
    <x v="3"/>
    <x v="4"/>
    <x v="2"/>
    <x v="1"/>
    <x v="0"/>
    <x v="1"/>
    <x v="6"/>
    <n v="0"/>
    <n v="0"/>
    <n v="20.370999999999999"/>
    <n v="20.370999999999999"/>
    <n v="20.370999999999999"/>
    <n v="20.370999999999999"/>
    <n v="247"/>
    <x v="1"/>
    <n v="0"/>
    <n v="0"/>
    <n v="37"/>
    <n v="75"/>
    <n v="0"/>
    <n v="407.42"/>
    <n v="280.73"/>
    <m/>
    <n v="471.29409075882518"/>
    <n v="207.63042742196092"/>
    <n v="0"/>
    <n v="8299.552819999999"/>
    <n v="5718.75083"/>
    <n v="0"/>
    <n v="9600.7319228480264"/>
    <n v="4229.6394370127655"/>
  </r>
  <r>
    <s v="Regular"/>
    <x v="1"/>
    <x v="3"/>
    <x v="4"/>
    <x v="2"/>
    <x v="1"/>
    <x v="0"/>
    <x v="1"/>
    <x v="7"/>
    <n v="0"/>
    <n v="0"/>
    <n v="915.86900000000003"/>
    <n v="915.86900000000003"/>
    <n v="915.86900000000003"/>
    <n v="915.86900000000003"/>
    <n v="5572"/>
    <x v="1"/>
    <n v="0"/>
    <n v="0"/>
    <n v="37"/>
    <n v="75"/>
    <n v="0"/>
    <n v="407.42"/>
    <n v="280.73"/>
    <m/>
    <n v="471.29409075882518"/>
    <n v="207.63042742196092"/>
    <n v="0"/>
    <n v="373143.34798000002"/>
    <n v="257111.90437000003"/>
    <n v="0"/>
    <n v="431643.64760919445"/>
    <n v="190162.27193252393"/>
  </r>
  <r>
    <s v="Sistema de Compensação"/>
    <x v="1"/>
    <x v="3"/>
    <x v="4"/>
    <x v="2"/>
    <x v="1"/>
    <x v="0"/>
    <x v="1"/>
    <x v="7"/>
    <n v="0"/>
    <n v="0"/>
    <n v="25.789000000000001"/>
    <n v="25.789000000000001"/>
    <n v="25.789000000000001"/>
    <n v="25.789000000000001"/>
    <n v="256"/>
    <x v="1"/>
    <n v="0"/>
    <n v="0"/>
    <n v="37"/>
    <n v="75"/>
    <n v="0"/>
    <n v="407.42"/>
    <n v="280.73"/>
    <m/>
    <n v="471.29409075882518"/>
    <n v="207.63042742196092"/>
    <n v="0"/>
    <n v="10506.954380000001"/>
    <n v="7239.7459700000009"/>
    <n v="0"/>
    <n v="12154.203306579344"/>
    <n v="5354.5810927849507"/>
  </r>
  <r>
    <s v="Regular"/>
    <x v="1"/>
    <x v="3"/>
    <x v="4"/>
    <x v="2"/>
    <x v="1"/>
    <x v="0"/>
    <x v="1"/>
    <x v="8"/>
    <n v="0"/>
    <n v="0"/>
    <n v="806.23099999999999"/>
    <n v="806.23099999999999"/>
    <n v="806.23099999999999"/>
    <n v="806.23099999999999"/>
    <n v="5559"/>
    <x v="1"/>
    <n v="0"/>
    <n v="0"/>
    <n v="37"/>
    <n v="75"/>
    <n v="0"/>
    <n v="407.42"/>
    <n v="280.73"/>
    <m/>
    <n v="471.29409075882518"/>
    <n v="207.63042742196092"/>
    <n v="0"/>
    <n v="328474.63402"/>
    <n v="226333.22863000003"/>
    <n v="0"/>
    <n v="379971.90608657838"/>
    <n v="167398.08713083496"/>
  </r>
  <r>
    <s v="Sistema de Compensação"/>
    <x v="1"/>
    <x v="3"/>
    <x v="4"/>
    <x v="2"/>
    <x v="1"/>
    <x v="0"/>
    <x v="1"/>
    <x v="8"/>
    <n v="0"/>
    <n v="0"/>
    <n v="23.277999999999999"/>
    <n v="23.277999999999999"/>
    <n v="23.277999999999999"/>
    <n v="23.277999999999999"/>
    <n v="269"/>
    <x v="1"/>
    <n v="0"/>
    <n v="0"/>
    <n v="37"/>
    <n v="75"/>
    <n v="0"/>
    <n v="407.42"/>
    <n v="280.73"/>
    <m/>
    <n v="471.29409075882518"/>
    <n v="207.63042742196092"/>
    <n v="0"/>
    <n v="9483.9227599999995"/>
    <n v="6534.8329400000002"/>
    <n v="0"/>
    <n v="10970.783844683932"/>
    <n v="4833.2210895284061"/>
  </r>
  <r>
    <s v="Regular"/>
    <x v="1"/>
    <x v="3"/>
    <x v="4"/>
    <x v="2"/>
    <x v="1"/>
    <x v="0"/>
    <x v="1"/>
    <x v="9"/>
    <n v="0"/>
    <n v="0"/>
    <n v="778.399"/>
    <n v="778.399"/>
    <n v="778.399"/>
    <n v="778.399"/>
    <n v="5532"/>
    <x v="1"/>
    <n v="0"/>
    <n v="0"/>
    <n v="37"/>
    <n v="75"/>
    <n v="0"/>
    <n v="407.42"/>
    <n v="280.73"/>
    <m/>
    <n v="471.29409075882518"/>
    <n v="207.63042742196092"/>
    <n v="0"/>
    <n v="317135.32058"/>
    <n v="218519.95127000002"/>
    <n v="0"/>
    <n v="366854.84895257879"/>
    <n v="161619.31707482695"/>
  </r>
  <r>
    <s v="Refaturamento - Regular"/>
    <x v="1"/>
    <x v="3"/>
    <x v="4"/>
    <x v="2"/>
    <x v="1"/>
    <x v="0"/>
    <x v="1"/>
    <x v="9"/>
    <n v="0"/>
    <n v="0"/>
    <n v="-0.35499999999999998"/>
    <n v="-0.35499999999999998"/>
    <n v="-0.35499999999999998"/>
    <n v="-0.35499999999999998"/>
    <n v="0"/>
    <x v="1"/>
    <n v="0"/>
    <n v="0"/>
    <n v="37"/>
    <n v="75"/>
    <n v="0"/>
    <n v="407.42"/>
    <n v="280.73"/>
    <m/>
    <n v="471.29409075882518"/>
    <n v="207.63042742196092"/>
    <n v="0"/>
    <n v="-144.63409999999999"/>
    <n v="-99.659149999999997"/>
    <n v="0"/>
    <n v="-167.30940221938292"/>
    <n v="-73.708801734796126"/>
  </r>
  <r>
    <s v="Sistema de Compensação"/>
    <x v="1"/>
    <x v="3"/>
    <x v="4"/>
    <x v="2"/>
    <x v="1"/>
    <x v="0"/>
    <x v="1"/>
    <x v="9"/>
    <n v="0"/>
    <n v="0"/>
    <n v="26.268000000000001"/>
    <n v="26.268000000000001"/>
    <n v="26.268000000000001"/>
    <n v="26.268000000000001"/>
    <n v="274"/>
    <x v="1"/>
    <n v="0"/>
    <n v="0"/>
    <n v="37"/>
    <n v="75"/>
    <n v="0"/>
    <n v="407.42"/>
    <n v="280.73"/>
    <m/>
    <n v="471.29409075882518"/>
    <n v="207.63042742196092"/>
    <n v="0"/>
    <n v="10702.108560000001"/>
    <n v="7374.2156400000003"/>
    <n v="0"/>
    <n v="12379.953176052821"/>
    <n v="5454.0360675200691"/>
  </r>
  <r>
    <s v="Regular"/>
    <x v="1"/>
    <x v="3"/>
    <x v="4"/>
    <x v="2"/>
    <x v="1"/>
    <x v="0"/>
    <x v="1"/>
    <x v="10"/>
    <n v="0"/>
    <n v="0"/>
    <n v="809.38900000000001"/>
    <n v="809.38900000000001"/>
    <n v="809.38900000000001"/>
    <n v="809.38900000000001"/>
    <n v="5556"/>
    <x v="1"/>
    <n v="0"/>
    <n v="0"/>
    <n v="37"/>
    <n v="75"/>
    <n v="0"/>
    <n v="407.42"/>
    <n v="280.73"/>
    <m/>
    <n v="471.29409075882518"/>
    <n v="207.63042742196092"/>
    <n v="0"/>
    <n v="329761.26638000004"/>
    <n v="227219.77397000001"/>
    <n v="0"/>
    <n v="381460.25282519474"/>
    <n v="168053.78402063352"/>
  </r>
  <r>
    <s v="Sistema de Compensação"/>
    <x v="1"/>
    <x v="3"/>
    <x v="4"/>
    <x v="2"/>
    <x v="1"/>
    <x v="0"/>
    <x v="1"/>
    <x v="10"/>
    <n v="0"/>
    <n v="0"/>
    <n v="34.978999999999999"/>
    <n v="34.978999999999999"/>
    <n v="34.978999999999999"/>
    <n v="34.978999999999999"/>
    <n v="283"/>
    <x v="1"/>
    <n v="0"/>
    <n v="0"/>
    <n v="37"/>
    <n v="75"/>
    <n v="0"/>
    <n v="407.42"/>
    <n v="280.73"/>
    <m/>
    <n v="471.29409075882518"/>
    <n v="207.63042742196092"/>
    <n v="0"/>
    <n v="14251.144179999999"/>
    <n v="9819.6546699999999"/>
    <n v="0"/>
    <n v="16485.396000652945"/>
    <n v="7262.7047207927708"/>
  </r>
  <r>
    <s v="PROJETADO"/>
    <x v="1"/>
    <x v="3"/>
    <x v="4"/>
    <x v="2"/>
    <x v="1"/>
    <x v="0"/>
    <x v="1"/>
    <x v="11"/>
    <n v="0"/>
    <n v="0"/>
    <n v="809.38900000000001"/>
    <n v="809.38900000000001"/>
    <n v="809.38900000000001"/>
    <n v="809.38900000000001"/>
    <n v="5556"/>
    <x v="1"/>
    <n v="0"/>
    <n v="0"/>
    <n v="37"/>
    <n v="75"/>
    <n v="0"/>
    <n v="407.42"/>
    <n v="280.73"/>
    <m/>
    <n v="471.29409075882518"/>
    <n v="207.63042742196092"/>
    <n v="0"/>
    <n v="329761.26638000004"/>
    <n v="227219.77397000001"/>
    <n v="0"/>
    <n v="381460.25282519474"/>
    <n v="168053.78402063352"/>
  </r>
  <r>
    <s v="PROJETADO"/>
    <x v="1"/>
    <x v="3"/>
    <x v="4"/>
    <x v="2"/>
    <x v="1"/>
    <x v="0"/>
    <x v="1"/>
    <x v="11"/>
    <n v="0"/>
    <n v="0"/>
    <n v="34.978999999999999"/>
    <n v="34.978999999999999"/>
    <n v="34.978999999999999"/>
    <n v="34.978999999999999"/>
    <n v="283"/>
    <x v="1"/>
    <n v="0"/>
    <n v="0"/>
    <n v="37"/>
    <n v="75"/>
    <n v="0"/>
    <n v="407.42"/>
    <n v="280.73"/>
    <m/>
    <n v="471.29409075882518"/>
    <n v="207.63042742196092"/>
    <n v="0"/>
    <n v="14251.144179999999"/>
    <n v="9819.6546699999999"/>
    <n v="0"/>
    <n v="16485.396000652945"/>
    <n v="7262.7047207927708"/>
  </r>
  <r>
    <s v="Regular"/>
    <x v="1"/>
    <x v="3"/>
    <x v="4"/>
    <x v="3"/>
    <x v="1"/>
    <x v="0"/>
    <x v="1"/>
    <x v="0"/>
    <n v="0"/>
    <n v="0"/>
    <n v="17.309999999999999"/>
    <n v="17.309999999999999"/>
    <n v="17.309999999999999"/>
    <n v="17.309999999999999"/>
    <n v="21"/>
    <x v="1"/>
    <n v="0"/>
    <n v="0"/>
    <n v="38"/>
    <n v="76"/>
    <n v="0"/>
    <n v="115.69"/>
    <n v="98.26"/>
    <m/>
    <n v="122.8690453266418"/>
    <n v="72.670649597686321"/>
    <n v="0"/>
    <n v="2002.5938999999998"/>
    <n v="1700.8806"/>
    <n v="0"/>
    <n v="2126.8631746041692"/>
    <n v="1257.9289445359502"/>
  </r>
  <r>
    <s v="Regular"/>
    <x v="1"/>
    <x v="3"/>
    <x v="4"/>
    <x v="3"/>
    <x v="1"/>
    <x v="0"/>
    <x v="1"/>
    <x v="1"/>
    <n v="0"/>
    <n v="0"/>
    <n v="16.2"/>
    <n v="16.2"/>
    <n v="16.2"/>
    <n v="16.2"/>
    <n v="21"/>
    <x v="1"/>
    <n v="0"/>
    <n v="0"/>
    <n v="38"/>
    <n v="76"/>
    <n v="0"/>
    <n v="115.69"/>
    <n v="98.26"/>
    <m/>
    <n v="122.8690453266418"/>
    <n v="72.670649597686321"/>
    <n v="0"/>
    <n v="1874.1779999999999"/>
    <n v="1591.8120000000001"/>
    <n v="0"/>
    <n v="1990.478534291597"/>
    <n v="1177.2645234825184"/>
  </r>
  <r>
    <s v="Regular"/>
    <x v="1"/>
    <x v="3"/>
    <x v="4"/>
    <x v="3"/>
    <x v="1"/>
    <x v="0"/>
    <x v="1"/>
    <x v="2"/>
    <n v="0"/>
    <n v="0"/>
    <n v="15.93"/>
    <n v="15.93"/>
    <n v="15.93"/>
    <n v="15.93"/>
    <n v="22"/>
    <x v="1"/>
    <n v="0"/>
    <n v="0"/>
    <n v="38"/>
    <n v="76"/>
    <n v="0"/>
    <n v="115.69"/>
    <n v="98.26"/>
    <m/>
    <n v="122.8690453266418"/>
    <n v="72.670649597686321"/>
    <n v="0"/>
    <n v="1842.9416999999999"/>
    <n v="1565.2818"/>
    <n v="0"/>
    <n v="1957.3038920534038"/>
    <n v="1157.643448091143"/>
  </r>
  <r>
    <s v="Regular"/>
    <x v="1"/>
    <x v="3"/>
    <x v="4"/>
    <x v="3"/>
    <x v="1"/>
    <x v="0"/>
    <x v="1"/>
    <x v="3"/>
    <n v="0"/>
    <n v="0"/>
    <n v="16.260000000000002"/>
    <n v="16.260000000000002"/>
    <n v="16.260000000000002"/>
    <n v="16.260000000000002"/>
    <n v="21"/>
    <x v="1"/>
    <n v="0"/>
    <n v="0"/>
    <n v="38"/>
    <n v="76"/>
    <n v="0"/>
    <n v="115.69"/>
    <n v="98.26"/>
    <m/>
    <n v="122.8690453266418"/>
    <n v="72.670649597686321"/>
    <n v="0"/>
    <n v="1881.1194"/>
    <n v="1597.7076000000002"/>
    <n v="0"/>
    <n v="1997.8506770111958"/>
    <n v="1181.6247624583798"/>
  </r>
  <r>
    <s v="Regular"/>
    <x v="1"/>
    <x v="3"/>
    <x v="4"/>
    <x v="3"/>
    <x v="1"/>
    <x v="0"/>
    <x v="1"/>
    <x v="4"/>
    <n v="0"/>
    <n v="0"/>
    <n v="16.62"/>
    <n v="16.62"/>
    <n v="16.62"/>
    <n v="16.62"/>
    <n v="20"/>
    <x v="1"/>
    <n v="0"/>
    <n v="0"/>
    <n v="38"/>
    <n v="76"/>
    <n v="0"/>
    <n v="115.69"/>
    <n v="98.26"/>
    <m/>
    <n v="122.8690453266418"/>
    <n v="72.670649597686321"/>
    <n v="0"/>
    <n v="1922.7678000000001"/>
    <n v="1633.0812000000001"/>
    <n v="0"/>
    <n v="2042.0835333287869"/>
    <n v="1207.7861963135467"/>
  </r>
  <r>
    <s v="Regular"/>
    <x v="1"/>
    <x v="3"/>
    <x v="4"/>
    <x v="3"/>
    <x v="1"/>
    <x v="0"/>
    <x v="1"/>
    <x v="5"/>
    <n v="0"/>
    <n v="0"/>
    <n v="16.739999999999998"/>
    <n v="16.739999999999998"/>
    <n v="16.739999999999998"/>
    <n v="16.739999999999998"/>
    <n v="18"/>
    <x v="1"/>
    <n v="0"/>
    <n v="0"/>
    <n v="38"/>
    <n v="76"/>
    <n v="0"/>
    <n v="115.69"/>
    <n v="98.26"/>
    <m/>
    <n v="122.8690453266418"/>
    <n v="72.670649597686321"/>
    <n v="0"/>
    <n v="1936.6505999999997"/>
    <n v="1644.8724"/>
    <n v="0"/>
    <n v="2056.8278187679834"/>
    <n v="1216.5066742652689"/>
  </r>
  <r>
    <s v="Regular"/>
    <x v="1"/>
    <x v="3"/>
    <x v="4"/>
    <x v="3"/>
    <x v="1"/>
    <x v="0"/>
    <x v="1"/>
    <x v="6"/>
    <n v="0"/>
    <n v="0"/>
    <n v="16.940000000000001"/>
    <n v="16.940000000000001"/>
    <n v="16.940000000000001"/>
    <n v="16.940000000000001"/>
    <n v="17"/>
    <x v="1"/>
    <n v="0"/>
    <n v="0"/>
    <n v="38"/>
    <n v="76"/>
    <n v="0"/>
    <n v="115.69"/>
    <n v="98.26"/>
    <m/>
    <n v="122.8690453266418"/>
    <n v="72.670649597686321"/>
    <n v="0"/>
    <n v="1959.7886000000001"/>
    <n v="1664.5244000000002"/>
    <n v="0"/>
    <n v="2081.401627833312"/>
    <n v="1231.0408041848063"/>
  </r>
  <r>
    <s v="Regular"/>
    <x v="1"/>
    <x v="3"/>
    <x v="4"/>
    <x v="3"/>
    <x v="1"/>
    <x v="0"/>
    <x v="1"/>
    <x v="7"/>
    <n v="0"/>
    <n v="0"/>
    <n v="17.22"/>
    <n v="17.22"/>
    <n v="17.22"/>
    <n v="17.22"/>
    <n v="13"/>
    <x v="1"/>
    <n v="0"/>
    <n v="0"/>
    <n v="38"/>
    <n v="76"/>
    <n v="0"/>
    <n v="115.69"/>
    <n v="98.26"/>
    <m/>
    <n v="122.8690453266418"/>
    <n v="72.670649597686321"/>
    <n v="0"/>
    <n v="1992.1817999999998"/>
    <n v="1692.0372"/>
    <n v="0"/>
    <n v="2115.8049605247716"/>
    <n v="1251.3885860721584"/>
  </r>
  <r>
    <s v="Regular"/>
    <x v="1"/>
    <x v="3"/>
    <x v="4"/>
    <x v="3"/>
    <x v="1"/>
    <x v="0"/>
    <x v="1"/>
    <x v="8"/>
    <n v="0"/>
    <n v="0"/>
    <n v="17.399999999999999"/>
    <n v="17.399999999999999"/>
    <n v="17.399999999999999"/>
    <n v="17.399999999999999"/>
    <n v="24"/>
    <x v="1"/>
    <n v="0"/>
    <n v="0"/>
    <n v="38"/>
    <n v="76"/>
    <n v="0"/>
    <n v="115.69"/>
    <n v="98.26"/>
    <m/>
    <n v="122.8690453266418"/>
    <n v="72.670649597686321"/>
    <n v="0"/>
    <n v="2013.0059999999999"/>
    <n v="1709.7239999999999"/>
    <n v="0"/>
    <n v="2137.9213886835669"/>
    <n v="1264.4693029997418"/>
  </r>
  <r>
    <s v="Regular"/>
    <x v="1"/>
    <x v="3"/>
    <x v="4"/>
    <x v="3"/>
    <x v="1"/>
    <x v="0"/>
    <x v="1"/>
    <x v="9"/>
    <n v="0"/>
    <n v="0"/>
    <n v="17.7"/>
    <n v="17.7"/>
    <n v="17.7"/>
    <n v="17.7"/>
    <n v="23"/>
    <x v="1"/>
    <n v="0"/>
    <n v="0"/>
    <n v="38"/>
    <n v="76"/>
    <n v="0"/>
    <n v="115.69"/>
    <n v="98.26"/>
    <m/>
    <n v="122.8690453266418"/>
    <n v="72.670649597686321"/>
    <n v="0"/>
    <n v="2047.713"/>
    <n v="1739.202"/>
    <n v="0"/>
    <n v="2174.7821022815597"/>
    <n v="1286.2704978790478"/>
  </r>
  <r>
    <s v="Regular"/>
    <x v="1"/>
    <x v="3"/>
    <x v="4"/>
    <x v="3"/>
    <x v="1"/>
    <x v="0"/>
    <x v="1"/>
    <x v="10"/>
    <n v="0"/>
    <n v="0"/>
    <n v="18.149999999999999"/>
    <n v="18.149999999999999"/>
    <n v="18.149999999999999"/>
    <n v="18.149999999999999"/>
    <n v="29"/>
    <x v="1"/>
    <n v="0"/>
    <n v="0"/>
    <n v="38"/>
    <n v="76"/>
    <n v="0"/>
    <n v="115.69"/>
    <n v="98.26"/>
    <m/>
    <n v="122.8690453266418"/>
    <n v="72.670649597686321"/>
    <n v="0"/>
    <n v="2099.7734999999998"/>
    <n v="1783.4189999999999"/>
    <n v="0"/>
    <n v="2230.0731726785484"/>
    <n v="1318.9722901980067"/>
  </r>
  <r>
    <s v="PROJETADO"/>
    <x v="1"/>
    <x v="3"/>
    <x v="4"/>
    <x v="3"/>
    <x v="1"/>
    <x v="0"/>
    <x v="1"/>
    <x v="11"/>
    <n v="0"/>
    <n v="0"/>
    <n v="18.149999999999999"/>
    <n v="18.149999999999999"/>
    <n v="18.149999999999999"/>
    <n v="18.149999999999999"/>
    <n v="29"/>
    <x v="1"/>
    <n v="0"/>
    <n v="0"/>
    <n v="38"/>
    <n v="76"/>
    <n v="0"/>
    <n v="115.69"/>
    <n v="98.26"/>
    <m/>
    <n v="122.8690453266418"/>
    <n v="72.670649597686321"/>
    <n v="0"/>
    <n v="2099.7734999999998"/>
    <n v="1783.4189999999999"/>
    <n v="0"/>
    <n v="2230.0731726785484"/>
    <n v="1318.9722901980067"/>
  </r>
  <r>
    <s v="Regular"/>
    <x v="1"/>
    <x v="3"/>
    <x v="4"/>
    <x v="4"/>
    <x v="1"/>
    <x v="0"/>
    <x v="1"/>
    <x v="0"/>
    <n v="0"/>
    <n v="0"/>
    <n v="30.582999999999998"/>
    <n v="30.582999999999998"/>
    <n v="30.582999999999998"/>
    <n v="30.582999999999998"/>
    <n v="273"/>
    <x v="1"/>
    <n v="0"/>
    <n v="0"/>
    <n v="39"/>
    <n v="77"/>
    <n v="0"/>
    <n v="198.33"/>
    <n v="168.44"/>
    <m/>
    <n v="210.63264913138596"/>
    <n v="124.57825645317655"/>
    <n v="0"/>
    <n v="6065.52639"/>
    <n v="5151.4005199999992"/>
    <n v="0"/>
    <n v="6441.7783083851764"/>
    <n v="3809.9768171074984"/>
  </r>
  <r>
    <s v="Regular"/>
    <x v="1"/>
    <x v="3"/>
    <x v="4"/>
    <x v="4"/>
    <x v="1"/>
    <x v="0"/>
    <x v="1"/>
    <x v="1"/>
    <n v="0"/>
    <n v="0"/>
    <n v="30.933"/>
    <n v="30.933"/>
    <n v="30.933"/>
    <n v="30.933"/>
    <n v="205"/>
    <x v="1"/>
    <n v="0"/>
    <n v="0"/>
    <n v="39"/>
    <n v="77"/>
    <n v="0"/>
    <n v="198.33"/>
    <n v="168.44"/>
    <m/>
    <n v="210.63264913138596"/>
    <n v="124.57825645317655"/>
    <n v="0"/>
    <n v="6134.9418900000001"/>
    <n v="5210.3545199999999"/>
    <n v="0"/>
    <n v="6515.499735581162"/>
    <n v="3853.5792068661103"/>
  </r>
  <r>
    <s v="Regular"/>
    <x v="1"/>
    <x v="3"/>
    <x v="4"/>
    <x v="4"/>
    <x v="1"/>
    <x v="0"/>
    <x v="1"/>
    <x v="2"/>
    <n v="0"/>
    <n v="0"/>
    <n v="28.279"/>
    <n v="28.279"/>
    <n v="28.279"/>
    <n v="28.279"/>
    <n v="263"/>
    <x v="1"/>
    <n v="0"/>
    <n v="0"/>
    <n v="39"/>
    <n v="77"/>
    <n v="0"/>
    <n v="198.33"/>
    <n v="168.44"/>
    <m/>
    <n v="210.63264913138596"/>
    <n v="124.57825645317655"/>
    <n v="0"/>
    <n v="5608.5740700000006"/>
    <n v="4763.3147600000002"/>
    <n v="0"/>
    <n v="5956.4806847864638"/>
    <n v="3522.9485142393796"/>
  </r>
  <r>
    <s v="Regular"/>
    <x v="1"/>
    <x v="3"/>
    <x v="4"/>
    <x v="4"/>
    <x v="1"/>
    <x v="0"/>
    <x v="1"/>
    <x v="3"/>
    <n v="0"/>
    <n v="0"/>
    <n v="31.254000000000001"/>
    <n v="31.254000000000001"/>
    <n v="31.254000000000001"/>
    <n v="31.254000000000001"/>
    <n v="221"/>
    <x v="1"/>
    <n v="0"/>
    <n v="0"/>
    <n v="39"/>
    <n v="77"/>
    <n v="0"/>
    <n v="198.33"/>
    <n v="168.44"/>
    <m/>
    <n v="210.63264913138596"/>
    <n v="124.57825645317655"/>
    <n v="0"/>
    <n v="6198.6058200000007"/>
    <n v="5264.4237600000006"/>
    <n v="0"/>
    <n v="6583.1128159523369"/>
    <n v="3893.5688271875802"/>
  </r>
  <r>
    <s v="Regular"/>
    <x v="1"/>
    <x v="3"/>
    <x v="4"/>
    <x v="4"/>
    <x v="1"/>
    <x v="0"/>
    <x v="1"/>
    <x v="4"/>
    <n v="0"/>
    <n v="0"/>
    <n v="32.868000000000002"/>
    <n v="32.868000000000002"/>
    <n v="32.868000000000002"/>
    <n v="32.868000000000002"/>
    <n v="183"/>
    <x v="1"/>
    <n v="0"/>
    <n v="0"/>
    <n v="39"/>
    <n v="77"/>
    <n v="0"/>
    <n v="198.33"/>
    <n v="168.44"/>
    <m/>
    <n v="210.63264913138596"/>
    <n v="124.57825645317655"/>
    <n v="0"/>
    <n v="6518.7104400000007"/>
    <n v="5536.2859200000003"/>
    <n v="0"/>
    <n v="6923.0739116503946"/>
    <n v="4094.638133103007"/>
  </r>
  <r>
    <s v="Regular"/>
    <x v="1"/>
    <x v="3"/>
    <x v="4"/>
    <x v="4"/>
    <x v="1"/>
    <x v="0"/>
    <x v="1"/>
    <x v="5"/>
    <n v="0"/>
    <n v="0"/>
    <n v="32.591999999999999"/>
    <n v="32.591999999999999"/>
    <n v="32.591999999999999"/>
    <n v="32.591999999999999"/>
    <n v="199"/>
    <x v="1"/>
    <n v="0"/>
    <n v="0"/>
    <n v="39"/>
    <n v="77"/>
    <n v="0"/>
    <n v="198.33"/>
    <n v="168.44"/>
    <m/>
    <n v="210.63264913138596"/>
    <n v="124.57825645317655"/>
    <n v="0"/>
    <n v="6463.9713600000005"/>
    <n v="5489.79648"/>
    <n v="0"/>
    <n v="6864.9393004901312"/>
    <n v="4060.2545343219299"/>
  </r>
  <r>
    <s v="Regular"/>
    <x v="1"/>
    <x v="3"/>
    <x v="4"/>
    <x v="4"/>
    <x v="1"/>
    <x v="0"/>
    <x v="1"/>
    <x v="6"/>
    <n v="0"/>
    <n v="0"/>
    <n v="31.766999999999999"/>
    <n v="31.766999999999999"/>
    <n v="31.766999999999999"/>
    <n v="31.766999999999999"/>
    <n v="252"/>
    <x v="1"/>
    <n v="0"/>
    <n v="0"/>
    <n v="39"/>
    <n v="77"/>
    <n v="0"/>
    <n v="198.33"/>
    <n v="168.44"/>
    <m/>
    <n v="210.63264913138596"/>
    <n v="124.57825645317655"/>
    <n v="0"/>
    <n v="6300.3491100000001"/>
    <n v="5350.8334800000002"/>
    <n v="0"/>
    <n v="6691.1673649567374"/>
    <n v="3957.4774727480594"/>
  </r>
  <r>
    <s v="Regular"/>
    <x v="1"/>
    <x v="3"/>
    <x v="4"/>
    <x v="4"/>
    <x v="1"/>
    <x v="0"/>
    <x v="1"/>
    <x v="7"/>
    <n v="0"/>
    <n v="0"/>
    <n v="33.64"/>
    <n v="33.64"/>
    <n v="33.64"/>
    <n v="33.64"/>
    <n v="222"/>
    <x v="1"/>
    <n v="0"/>
    <n v="0"/>
    <n v="39"/>
    <n v="77"/>
    <n v="0"/>
    <n v="198.33"/>
    <n v="168.44"/>
    <m/>
    <n v="210.63264913138596"/>
    <n v="124.57825645317655"/>
    <n v="0"/>
    <n v="6671.8212000000003"/>
    <n v="5666.3216000000002"/>
    <n v="0"/>
    <n v="7085.6823167798239"/>
    <n v="4190.812547084859"/>
  </r>
  <r>
    <s v="Regular"/>
    <x v="1"/>
    <x v="3"/>
    <x v="4"/>
    <x v="4"/>
    <x v="1"/>
    <x v="0"/>
    <x v="1"/>
    <x v="8"/>
    <n v="0"/>
    <n v="0"/>
    <n v="31.475999999999999"/>
    <n v="31.475999999999999"/>
    <n v="31.475999999999999"/>
    <n v="31.475999999999999"/>
    <n v="266"/>
    <x v="1"/>
    <n v="0"/>
    <n v="0"/>
    <n v="39"/>
    <n v="77"/>
    <n v="0"/>
    <n v="198.33"/>
    <n v="168.44"/>
    <m/>
    <n v="210.63264913138596"/>
    <n v="124.57825645317655"/>
    <n v="0"/>
    <n v="6242.63508"/>
    <n v="5301.8174399999998"/>
    <n v="0"/>
    <n v="6629.8732640595044"/>
    <n v="3921.225200120185"/>
  </r>
  <r>
    <s v="Regular"/>
    <x v="1"/>
    <x v="3"/>
    <x v="4"/>
    <x v="4"/>
    <x v="1"/>
    <x v="0"/>
    <x v="1"/>
    <x v="9"/>
    <n v="0"/>
    <n v="0"/>
    <n v="30.445"/>
    <n v="30.445"/>
    <n v="30.445"/>
    <n v="30.445"/>
    <n v="324"/>
    <x v="1"/>
    <n v="0"/>
    <n v="0"/>
    <n v="39"/>
    <n v="77"/>
    <n v="0"/>
    <n v="198.33"/>
    <n v="168.44"/>
    <m/>
    <n v="210.63264913138596"/>
    <n v="124.57825645317655"/>
    <n v="0"/>
    <n v="6038.1568500000003"/>
    <n v="5128.1557999999995"/>
    <n v="0"/>
    <n v="6412.7110028050456"/>
    <n v="3792.7850177169603"/>
  </r>
  <r>
    <s v="Regular"/>
    <x v="1"/>
    <x v="3"/>
    <x v="4"/>
    <x v="4"/>
    <x v="1"/>
    <x v="0"/>
    <x v="1"/>
    <x v="10"/>
    <n v="0"/>
    <n v="0"/>
    <n v="31.358000000000001"/>
    <n v="31.358000000000001"/>
    <n v="31.358000000000001"/>
    <n v="31.358000000000001"/>
    <n v="291"/>
    <x v="1"/>
    <n v="0"/>
    <n v="0"/>
    <n v="39"/>
    <n v="77"/>
    <n v="0"/>
    <n v="198.33"/>
    <n v="168.44"/>
    <m/>
    <n v="210.63264913138596"/>
    <n v="124.57825645317655"/>
    <n v="0"/>
    <n v="6219.2321400000001"/>
    <n v="5281.9415200000003"/>
    <n v="0"/>
    <n v="6605.018611462001"/>
    <n v="3906.5249658587104"/>
  </r>
  <r>
    <s v="PROJETADO"/>
    <x v="1"/>
    <x v="3"/>
    <x v="4"/>
    <x v="4"/>
    <x v="1"/>
    <x v="0"/>
    <x v="1"/>
    <x v="11"/>
    <n v="0"/>
    <n v="0"/>
    <n v="31.358000000000001"/>
    <n v="31.358000000000001"/>
    <n v="31.358000000000001"/>
    <n v="31.358000000000001"/>
    <n v="291"/>
    <x v="1"/>
    <n v="0"/>
    <n v="0"/>
    <n v="39"/>
    <n v="77"/>
    <n v="0"/>
    <n v="198.33"/>
    <n v="168.44"/>
    <m/>
    <n v="210.63264913138596"/>
    <n v="124.57825645317655"/>
    <n v="0"/>
    <n v="6219.2321400000001"/>
    <n v="5281.9415200000003"/>
    <n v="0"/>
    <n v="6605.018611462001"/>
    <n v="3906.5249658587104"/>
  </r>
  <r>
    <s v="Regular"/>
    <x v="1"/>
    <x v="3"/>
    <x v="4"/>
    <x v="5"/>
    <x v="1"/>
    <x v="0"/>
    <x v="1"/>
    <x v="0"/>
    <n v="0"/>
    <n v="0"/>
    <n v="13.061"/>
    <n v="13.061"/>
    <n v="13.061"/>
    <n v="13.061"/>
    <n v="261"/>
    <x v="1"/>
    <n v="0"/>
    <n v="0"/>
    <n v="40"/>
    <n v="78"/>
    <n v="0"/>
    <n v="297.49"/>
    <n v="252.66"/>
    <m/>
    <n v="315.94897369707894"/>
    <n v="186.86738467976483"/>
    <n v="0"/>
    <n v="3885.5168899999999"/>
    <n v="3299.99226"/>
    <n v="0"/>
    <n v="4126.6095454575479"/>
    <n v="2440.6749113024084"/>
  </r>
  <r>
    <s v="Regular"/>
    <x v="1"/>
    <x v="3"/>
    <x v="4"/>
    <x v="5"/>
    <x v="1"/>
    <x v="0"/>
    <x v="1"/>
    <x v="1"/>
    <n v="0"/>
    <n v="0"/>
    <n v="15.353999999999999"/>
    <n v="15.353999999999999"/>
    <n v="15.353999999999999"/>
    <n v="15.353999999999999"/>
    <n v="286"/>
    <x v="1"/>
    <n v="0"/>
    <n v="0"/>
    <n v="40"/>
    <n v="78"/>
    <n v="0"/>
    <n v="297.49"/>
    <n v="252.66"/>
    <m/>
    <n v="315.94897369707894"/>
    <n v="186.86738467976483"/>
    <n v="0"/>
    <n v="4567.6614600000003"/>
    <n v="3879.3416399999996"/>
    <n v="0"/>
    <n v="4851.0805421449495"/>
    <n v="2869.1618243731091"/>
  </r>
  <r>
    <s v="Regular"/>
    <x v="1"/>
    <x v="3"/>
    <x v="4"/>
    <x v="5"/>
    <x v="1"/>
    <x v="0"/>
    <x v="1"/>
    <x v="2"/>
    <n v="0"/>
    <n v="0"/>
    <n v="10.358000000000001"/>
    <n v="10.358000000000001"/>
    <n v="10.358000000000001"/>
    <n v="10.358000000000001"/>
    <n v="232"/>
    <x v="1"/>
    <n v="0"/>
    <n v="0"/>
    <n v="40"/>
    <n v="78"/>
    <n v="0"/>
    <n v="297.49"/>
    <n v="252.66"/>
    <m/>
    <n v="315.94897369707894"/>
    <n v="186.86738467976483"/>
    <n v="0"/>
    <n v="3081.4014200000001"/>
    <n v="2617.0522799999999"/>
    <n v="0"/>
    <n v="3272.5994695543436"/>
    <n v="1935.5723705130042"/>
  </r>
  <r>
    <s v="Regular"/>
    <x v="1"/>
    <x v="3"/>
    <x v="4"/>
    <x v="5"/>
    <x v="1"/>
    <x v="0"/>
    <x v="1"/>
    <x v="3"/>
    <n v="0"/>
    <n v="0"/>
    <n v="14.414"/>
    <n v="14.414"/>
    <n v="14.414"/>
    <n v="14.414"/>
    <n v="268"/>
    <x v="1"/>
    <n v="0"/>
    <n v="0"/>
    <n v="40"/>
    <n v="78"/>
    <n v="0"/>
    <n v="297.49"/>
    <n v="252.66"/>
    <m/>
    <n v="315.94897369707894"/>
    <n v="186.86738467976483"/>
    <n v="0"/>
    <n v="4288.0208599999996"/>
    <n v="3641.8412399999997"/>
    <n v="0"/>
    <n v="4554.0885068696962"/>
    <n v="2693.5064827741303"/>
  </r>
  <r>
    <s v="Regular"/>
    <x v="1"/>
    <x v="3"/>
    <x v="4"/>
    <x v="5"/>
    <x v="1"/>
    <x v="0"/>
    <x v="1"/>
    <x v="4"/>
    <n v="0"/>
    <n v="0"/>
    <n v="18.116"/>
    <n v="18.116"/>
    <n v="18.116"/>
    <n v="18.116"/>
    <n v="312"/>
    <x v="1"/>
    <n v="0"/>
    <n v="0"/>
    <n v="40"/>
    <n v="78"/>
    <n v="0"/>
    <n v="297.49"/>
    <n v="252.66"/>
    <m/>
    <n v="315.94897369707894"/>
    <n v="186.86738467976483"/>
    <n v="0"/>
    <n v="5389.3288400000001"/>
    <n v="4577.1885599999996"/>
    <n v="0"/>
    <n v="5723.7316074962819"/>
    <n v="3385.2895408586196"/>
  </r>
  <r>
    <s v="Regular"/>
    <x v="1"/>
    <x v="3"/>
    <x v="4"/>
    <x v="5"/>
    <x v="1"/>
    <x v="0"/>
    <x v="1"/>
    <x v="5"/>
    <n v="0"/>
    <n v="0"/>
    <n v="16.149999999999999"/>
    <n v="16.149999999999999"/>
    <n v="16.149999999999999"/>
    <n v="16.149999999999999"/>
    <n v="307"/>
    <x v="1"/>
    <n v="0"/>
    <n v="0"/>
    <n v="40"/>
    <n v="78"/>
    <n v="0"/>
    <n v="297.49"/>
    <n v="252.66"/>
    <m/>
    <n v="315.94897369707894"/>
    <n v="186.86738467976483"/>
    <n v="0"/>
    <n v="4804.4634999999998"/>
    <n v="4080.4589999999994"/>
    <n v="0"/>
    <n v="5102.5759252078242"/>
    <n v="3017.9082625782016"/>
  </r>
  <r>
    <s v="Regular"/>
    <x v="1"/>
    <x v="3"/>
    <x v="4"/>
    <x v="5"/>
    <x v="1"/>
    <x v="0"/>
    <x v="1"/>
    <x v="6"/>
    <n v="0"/>
    <n v="0"/>
    <n v="13.394"/>
    <n v="13.394"/>
    <n v="13.394"/>
    <n v="13.394"/>
    <n v="273"/>
    <x v="1"/>
    <n v="0"/>
    <n v="0"/>
    <n v="40"/>
    <n v="78"/>
    <n v="0"/>
    <n v="297.49"/>
    <n v="252.66"/>
    <m/>
    <n v="315.94897369707894"/>
    <n v="186.86738467976483"/>
    <n v="0"/>
    <n v="3984.58106"/>
    <n v="3384.1280400000001"/>
    <n v="0"/>
    <n v="4231.8205536986752"/>
    <n v="2502.9017504007702"/>
  </r>
  <r>
    <s v="Regular"/>
    <x v="1"/>
    <x v="3"/>
    <x v="4"/>
    <x v="5"/>
    <x v="1"/>
    <x v="0"/>
    <x v="1"/>
    <x v="7"/>
    <n v="0"/>
    <n v="0"/>
    <n v="16.189"/>
    <n v="16.189"/>
    <n v="16.189"/>
    <n v="16.189"/>
    <n v="309"/>
    <x v="1"/>
    <n v="0"/>
    <n v="0"/>
    <n v="40"/>
    <n v="78"/>
    <n v="0"/>
    <n v="297.49"/>
    <n v="252.66"/>
    <m/>
    <n v="315.94897369707894"/>
    <n v="186.86738467976483"/>
    <n v="0"/>
    <n v="4816.0656100000006"/>
    <n v="4090.3127399999998"/>
    <n v="0"/>
    <n v="5114.8979351820108"/>
    <n v="3025.1960905807127"/>
  </r>
  <r>
    <s v="Regular"/>
    <x v="1"/>
    <x v="3"/>
    <x v="4"/>
    <x v="5"/>
    <x v="1"/>
    <x v="0"/>
    <x v="1"/>
    <x v="8"/>
    <n v="0"/>
    <n v="0"/>
    <n v="12.414999999999999"/>
    <n v="12.414999999999999"/>
    <n v="12.414999999999999"/>
    <n v="12.414999999999999"/>
    <n v="268"/>
    <x v="1"/>
    <n v="0"/>
    <n v="0"/>
    <n v="40"/>
    <n v="78"/>
    <n v="0"/>
    <n v="297.49"/>
    <n v="252.66"/>
    <m/>
    <n v="315.94897369707894"/>
    <n v="186.86738467976483"/>
    <n v="0"/>
    <n v="3693.33835"/>
    <n v="3136.7738999999997"/>
    <n v="0"/>
    <n v="3922.5065084492348"/>
    <n v="2319.9585807992803"/>
  </r>
  <r>
    <s v="Regular"/>
    <x v="1"/>
    <x v="3"/>
    <x v="4"/>
    <x v="5"/>
    <x v="1"/>
    <x v="0"/>
    <x v="1"/>
    <x v="9"/>
    <n v="0"/>
    <n v="0"/>
    <n v="10.862"/>
    <n v="10.862"/>
    <n v="10.862"/>
    <n v="10.862"/>
    <n v="228"/>
    <x v="1"/>
    <n v="0"/>
    <n v="0"/>
    <n v="40"/>
    <n v="78"/>
    <n v="0"/>
    <n v="297.49"/>
    <n v="252.66"/>
    <m/>
    <n v="315.94897369707894"/>
    <n v="186.86738467976483"/>
    <n v="0"/>
    <n v="3231.3363800000002"/>
    <n v="2744.3929199999998"/>
    <n v="0"/>
    <n v="3431.8377522976716"/>
    <n v="2029.7535323916056"/>
  </r>
  <r>
    <s v="Regular"/>
    <x v="1"/>
    <x v="3"/>
    <x v="4"/>
    <x v="5"/>
    <x v="1"/>
    <x v="0"/>
    <x v="1"/>
    <x v="10"/>
    <n v="0"/>
    <n v="0"/>
    <n v="12.992000000000001"/>
    <n v="12.992000000000001"/>
    <n v="12.992000000000001"/>
    <n v="12.992000000000001"/>
    <n v="259"/>
    <x v="1"/>
    <n v="0"/>
    <n v="0"/>
    <n v="40"/>
    <n v="78"/>
    <n v="0"/>
    <n v="297.49"/>
    <n v="252.66"/>
    <m/>
    <n v="315.94897369707894"/>
    <n v="186.86738467976483"/>
    <n v="0"/>
    <n v="3864.9900800000005"/>
    <n v="3282.55872"/>
    <n v="0"/>
    <n v="4104.8090662724499"/>
    <n v="2427.7810617595046"/>
  </r>
  <r>
    <s v="PROJETADO"/>
    <x v="1"/>
    <x v="3"/>
    <x v="4"/>
    <x v="5"/>
    <x v="1"/>
    <x v="0"/>
    <x v="1"/>
    <x v="11"/>
    <n v="0"/>
    <n v="0"/>
    <n v="12.992000000000001"/>
    <n v="12.992000000000001"/>
    <n v="12.992000000000001"/>
    <n v="12.992000000000001"/>
    <n v="259"/>
    <x v="1"/>
    <n v="0"/>
    <n v="0"/>
    <n v="40"/>
    <n v="78"/>
    <n v="0"/>
    <n v="297.49"/>
    <n v="252.66"/>
    <m/>
    <n v="315.94897369707894"/>
    <n v="186.86738467976483"/>
    <n v="0"/>
    <n v="3864.9900800000005"/>
    <n v="3282.55872"/>
    <n v="0"/>
    <n v="4104.8090662724499"/>
    <n v="2427.7810617595046"/>
  </r>
  <r>
    <s v="Regular"/>
    <x v="1"/>
    <x v="3"/>
    <x v="4"/>
    <x v="6"/>
    <x v="1"/>
    <x v="0"/>
    <x v="1"/>
    <x v="0"/>
    <n v="0"/>
    <n v="0"/>
    <n v="0.874"/>
    <n v="0.874"/>
    <n v="0.874"/>
    <n v="0.874"/>
    <n v="22"/>
    <x v="1"/>
    <n v="0"/>
    <n v="0"/>
    <n v="41"/>
    <n v="79"/>
    <n v="0"/>
    <n v="330.54"/>
    <n v="280.73"/>
    <m/>
    <n v="351.0544152189766"/>
    <n v="207.63042742196092"/>
    <n v="0"/>
    <n v="288.89196000000004"/>
    <n v="245.35802000000001"/>
    <n v="0"/>
    <n v="306.82155890138557"/>
    <n v="181.46899356679384"/>
  </r>
  <r>
    <s v="Regular"/>
    <x v="1"/>
    <x v="3"/>
    <x v="4"/>
    <x v="6"/>
    <x v="1"/>
    <x v="0"/>
    <x v="1"/>
    <x v="1"/>
    <n v="0"/>
    <n v="0"/>
    <n v="1.5940000000000001"/>
    <n v="1.5940000000000001"/>
    <n v="1.5940000000000001"/>
    <n v="1.5940000000000001"/>
    <n v="28"/>
    <x v="1"/>
    <n v="0"/>
    <n v="0"/>
    <n v="41"/>
    <n v="79"/>
    <n v="0"/>
    <n v="330.54"/>
    <n v="280.73"/>
    <m/>
    <n v="351.0544152189766"/>
    <n v="207.63042742196092"/>
    <n v="0"/>
    <n v="526.88076000000001"/>
    <n v="447.48362000000003"/>
    <n v="0"/>
    <n v="559.58073785904878"/>
    <n v="330.96290131060573"/>
  </r>
  <r>
    <s v="Regular"/>
    <x v="1"/>
    <x v="3"/>
    <x v="4"/>
    <x v="6"/>
    <x v="1"/>
    <x v="0"/>
    <x v="1"/>
    <x v="2"/>
    <n v="0"/>
    <n v="0"/>
    <n v="0.61299999999999999"/>
    <n v="0.61299999999999999"/>
    <n v="0.61299999999999999"/>
    <n v="0.61299999999999999"/>
    <n v="14"/>
    <x v="1"/>
    <n v="0"/>
    <n v="0"/>
    <n v="41"/>
    <n v="79"/>
    <n v="0"/>
    <n v="330.54"/>
    <n v="280.73"/>
    <m/>
    <n v="351.0544152189766"/>
    <n v="207.63042742196092"/>
    <n v="0"/>
    <n v="202.62102000000002"/>
    <n v="172.08749"/>
    <n v="0"/>
    <n v="215.19635652923265"/>
    <n v="127.27745200966204"/>
  </r>
  <r>
    <s v="Regular"/>
    <x v="1"/>
    <x v="3"/>
    <x v="4"/>
    <x v="6"/>
    <x v="1"/>
    <x v="0"/>
    <x v="1"/>
    <x v="3"/>
    <n v="0"/>
    <n v="0"/>
    <n v="1.5680000000000001"/>
    <n v="1.5680000000000001"/>
    <n v="1.5680000000000001"/>
    <n v="1.5680000000000001"/>
    <n v="32"/>
    <x v="1"/>
    <n v="0"/>
    <n v="0"/>
    <n v="41"/>
    <n v="79"/>
    <n v="0"/>
    <n v="330.54"/>
    <n v="280.73"/>
    <m/>
    <n v="351.0544152189766"/>
    <n v="207.63042742196092"/>
    <n v="0"/>
    <n v="518.28672000000006"/>
    <n v="440.18464000000006"/>
    <n v="0"/>
    <n v="550.45332306335536"/>
    <n v="325.56451019763472"/>
  </r>
  <r>
    <s v="Regular"/>
    <x v="1"/>
    <x v="3"/>
    <x v="4"/>
    <x v="6"/>
    <x v="1"/>
    <x v="0"/>
    <x v="1"/>
    <x v="4"/>
    <n v="0"/>
    <n v="0"/>
    <n v="2.3109999999999999"/>
    <n v="2.3109999999999999"/>
    <n v="2.3109999999999999"/>
    <n v="2.3109999999999999"/>
    <n v="39"/>
    <x v="1"/>
    <n v="0"/>
    <n v="0"/>
    <n v="41"/>
    <n v="79"/>
    <n v="0"/>
    <n v="330.54"/>
    <n v="280.73"/>
    <m/>
    <n v="351.0544152189766"/>
    <n v="207.63042742196092"/>
    <n v="0"/>
    <n v="763.87794000000008"/>
    <n v="648.76702999999998"/>
    <n v="0"/>
    <n v="811.28675357105487"/>
    <n v="479.83391777215166"/>
  </r>
  <r>
    <s v="Regular"/>
    <x v="1"/>
    <x v="3"/>
    <x v="4"/>
    <x v="6"/>
    <x v="1"/>
    <x v="0"/>
    <x v="1"/>
    <x v="5"/>
    <n v="0"/>
    <n v="0"/>
    <n v="1.925"/>
    <n v="1.925"/>
    <n v="1.925"/>
    <n v="1.925"/>
    <n v="34"/>
    <x v="1"/>
    <n v="0"/>
    <n v="0"/>
    <n v="41"/>
    <n v="79"/>
    <n v="0"/>
    <n v="330.54"/>
    <n v="280.73"/>
    <m/>
    <n v="351.0544152189766"/>
    <n v="207.63042742196092"/>
    <n v="0"/>
    <n v="636.28950000000009"/>
    <n v="540.40525000000002"/>
    <n v="0"/>
    <n v="675.77974929652999"/>
    <n v="399.68857278727478"/>
  </r>
  <r>
    <s v="Regular"/>
    <x v="1"/>
    <x v="3"/>
    <x v="4"/>
    <x v="6"/>
    <x v="1"/>
    <x v="0"/>
    <x v="1"/>
    <x v="6"/>
    <n v="0"/>
    <n v="0"/>
    <n v="1.6319999999999999"/>
    <n v="1.6319999999999999"/>
    <n v="1.6319999999999999"/>
    <n v="1.6319999999999999"/>
    <n v="23"/>
    <x v="1"/>
    <n v="0"/>
    <n v="0"/>
    <n v="41"/>
    <n v="79"/>
    <n v="0"/>
    <n v="330.54"/>
    <n v="280.73"/>
    <m/>
    <n v="351.0544152189766"/>
    <n v="207.63042742196092"/>
    <n v="0"/>
    <n v="539.44128000000001"/>
    <n v="458.15136000000001"/>
    <n v="0"/>
    <n v="572.92080563736977"/>
    <n v="338.85285755264022"/>
  </r>
  <r>
    <s v="Regular"/>
    <x v="1"/>
    <x v="3"/>
    <x v="4"/>
    <x v="6"/>
    <x v="1"/>
    <x v="0"/>
    <x v="1"/>
    <x v="7"/>
    <n v="0"/>
    <n v="0"/>
    <n v="2.0339999999999998"/>
    <n v="2.0339999999999998"/>
    <n v="2.0339999999999998"/>
    <n v="2.0339999999999998"/>
    <n v="30"/>
    <x v="1"/>
    <n v="0"/>
    <n v="0"/>
    <n v="41"/>
    <n v="79"/>
    <n v="0"/>
    <n v="330.54"/>
    <n v="280.73"/>
    <m/>
    <n v="351.0544152189766"/>
    <n v="207.63042742196092"/>
    <n v="0"/>
    <n v="672.31835999999998"/>
    <n v="571.00482"/>
    <n v="0"/>
    <n v="714.04468055539837"/>
    <n v="422.32028937626848"/>
  </r>
  <r>
    <s v="Regular"/>
    <x v="1"/>
    <x v="3"/>
    <x v="4"/>
    <x v="6"/>
    <x v="1"/>
    <x v="0"/>
    <x v="1"/>
    <x v="8"/>
    <n v="0"/>
    <n v="0"/>
    <n v="0.96599999999999997"/>
    <n v="0.96599999999999997"/>
    <n v="0.96599999999999997"/>
    <n v="0.96599999999999997"/>
    <n v="22"/>
    <x v="1"/>
    <n v="0"/>
    <n v="0"/>
    <n v="41"/>
    <n v="79"/>
    <n v="0"/>
    <n v="330.54"/>
    <n v="280.73"/>
    <m/>
    <n v="351.0544152189766"/>
    <n v="207.63042742196092"/>
    <n v="0"/>
    <n v="319.30164000000002"/>
    <n v="271.18518"/>
    <n v="0"/>
    <n v="339.11856510153137"/>
    <n v="200.57099288961425"/>
  </r>
  <r>
    <s v="Regular"/>
    <x v="1"/>
    <x v="3"/>
    <x v="4"/>
    <x v="6"/>
    <x v="1"/>
    <x v="0"/>
    <x v="1"/>
    <x v="9"/>
    <n v="0"/>
    <n v="0"/>
    <n v="1.1439999999999999"/>
    <n v="1.1439999999999999"/>
    <n v="1.1439999999999999"/>
    <n v="1.1439999999999999"/>
    <n v="15"/>
    <x v="1"/>
    <n v="0"/>
    <n v="0"/>
    <n v="41"/>
    <n v="79"/>
    <n v="0"/>
    <n v="330.54"/>
    <n v="280.73"/>
    <m/>
    <n v="351.0544152189766"/>
    <n v="207.63042742196092"/>
    <n v="0"/>
    <n v="378.13776000000001"/>
    <n v="321.15512000000001"/>
    <n v="0"/>
    <n v="401.6062510105092"/>
    <n v="237.52920897072326"/>
  </r>
  <r>
    <s v="Regular"/>
    <x v="1"/>
    <x v="3"/>
    <x v="4"/>
    <x v="6"/>
    <x v="1"/>
    <x v="0"/>
    <x v="1"/>
    <x v="10"/>
    <n v="0"/>
    <n v="0"/>
    <n v="1.573"/>
    <n v="1.573"/>
    <n v="1.573"/>
    <n v="1.573"/>
    <n v="26"/>
    <x v="1"/>
    <n v="0"/>
    <n v="0"/>
    <n v="41"/>
    <n v="79"/>
    <n v="0"/>
    <n v="330.54"/>
    <n v="280.73"/>
    <m/>
    <n v="351.0544152189766"/>
    <n v="207.63042742196092"/>
    <n v="0"/>
    <n v="519.93942000000004"/>
    <n v="441.58829000000003"/>
    <n v="0"/>
    <n v="552.20859513945015"/>
    <n v="326.60266233474454"/>
  </r>
  <r>
    <s v="PROJETADO"/>
    <x v="1"/>
    <x v="3"/>
    <x v="4"/>
    <x v="6"/>
    <x v="1"/>
    <x v="0"/>
    <x v="1"/>
    <x v="11"/>
    <n v="0"/>
    <n v="0"/>
    <n v="1.573"/>
    <n v="1.573"/>
    <n v="1.573"/>
    <n v="1.573"/>
    <n v="26"/>
    <x v="1"/>
    <n v="0"/>
    <n v="0"/>
    <n v="41"/>
    <n v="79"/>
    <n v="0"/>
    <n v="330.54"/>
    <n v="280.73"/>
    <m/>
    <n v="351.0544152189766"/>
    <n v="207.63042742196092"/>
    <n v="0"/>
    <n v="519.93942000000004"/>
    <n v="441.58829000000003"/>
    <n v="0"/>
    <n v="552.20859513945015"/>
    <n v="326.60266233474454"/>
  </r>
  <r>
    <s v="Regular"/>
    <x v="2"/>
    <x v="3"/>
    <x v="5"/>
    <x v="7"/>
    <x v="2"/>
    <x v="0"/>
    <x v="1"/>
    <x v="0"/>
    <n v="0"/>
    <n v="0"/>
    <n v="0.25800000000000001"/>
    <n v="0.25800000000000001"/>
    <n v="0.25800000000000001"/>
    <n v="0.25800000000000001"/>
    <n v="0"/>
    <x v="1"/>
    <n v="0"/>
    <n v="0"/>
    <n v="50"/>
    <n v="1"/>
    <n v="0"/>
    <n v="358.53"/>
    <n v="247.04"/>
    <m/>
    <n v="443.01644531329566"/>
    <n v="195.17260177664326"/>
    <n v="0"/>
    <n v="92.500739999999993"/>
    <n v="63.736319999999999"/>
    <n v="0"/>
    <n v="114.29824289083028"/>
    <n v="50.35453125837396"/>
  </r>
  <r>
    <s v="Regular"/>
    <x v="2"/>
    <x v="3"/>
    <x v="5"/>
    <x v="7"/>
    <x v="2"/>
    <x v="0"/>
    <x v="1"/>
    <x v="1"/>
    <n v="0"/>
    <n v="0"/>
    <n v="0.254"/>
    <n v="0.254"/>
    <n v="0.254"/>
    <n v="0.254"/>
    <n v="0"/>
    <x v="1"/>
    <n v="0"/>
    <n v="0"/>
    <n v="50"/>
    <n v="1"/>
    <n v="0"/>
    <n v="358.53"/>
    <n v="247.04"/>
    <m/>
    <n v="443.01644531329566"/>
    <n v="195.17260177664326"/>
    <n v="0"/>
    <n v="91.06662"/>
    <n v="62.748159999999999"/>
    <n v="0"/>
    <n v="112.52617710957711"/>
    <n v="49.573840851267391"/>
  </r>
  <r>
    <s v="Regular"/>
    <x v="2"/>
    <x v="3"/>
    <x v="5"/>
    <x v="7"/>
    <x v="2"/>
    <x v="0"/>
    <x v="1"/>
    <x v="2"/>
    <n v="0"/>
    <n v="0"/>
    <n v="0.224"/>
    <n v="0.224"/>
    <n v="0.224"/>
    <n v="0.224"/>
    <n v="0"/>
    <x v="1"/>
    <n v="0"/>
    <n v="0"/>
    <n v="50"/>
    <n v="1"/>
    <n v="0"/>
    <n v="358.53"/>
    <n v="247.04"/>
    <m/>
    <n v="443.01644531329566"/>
    <n v="195.17260177664326"/>
    <n v="0"/>
    <n v="80.310719999999989"/>
    <n v="55.336959999999998"/>
    <n v="0"/>
    <n v="99.235683750178225"/>
    <n v="43.718662797968094"/>
  </r>
  <r>
    <s v="Regular"/>
    <x v="2"/>
    <x v="3"/>
    <x v="5"/>
    <x v="7"/>
    <x v="2"/>
    <x v="0"/>
    <x v="1"/>
    <x v="3"/>
    <n v="0"/>
    <n v="0"/>
    <n v="0.25800000000000001"/>
    <n v="0.25800000000000001"/>
    <n v="0.25800000000000001"/>
    <n v="0.25800000000000001"/>
    <n v="0"/>
    <x v="1"/>
    <n v="0"/>
    <n v="0"/>
    <n v="50"/>
    <n v="1"/>
    <n v="0"/>
    <n v="358.53"/>
    <n v="247.04"/>
    <m/>
    <n v="443.01644531329566"/>
    <n v="195.17260177664326"/>
    <n v="0"/>
    <n v="92.500739999999993"/>
    <n v="63.736319999999999"/>
    <n v="0"/>
    <n v="114.29824289083028"/>
    <n v="50.35453125837396"/>
  </r>
  <r>
    <s v="Regular"/>
    <x v="2"/>
    <x v="3"/>
    <x v="5"/>
    <x v="7"/>
    <x v="2"/>
    <x v="0"/>
    <x v="1"/>
    <x v="4"/>
    <n v="0"/>
    <n v="0"/>
    <n v="0.377"/>
    <n v="0.377"/>
    <n v="0.377"/>
    <n v="0.377"/>
    <n v="0"/>
    <x v="1"/>
    <n v="0"/>
    <n v="0"/>
    <n v="50"/>
    <n v="1"/>
    <n v="0"/>
    <n v="358.53"/>
    <n v="247.04"/>
    <m/>
    <n v="443.01644531329566"/>
    <n v="195.17260177664326"/>
    <n v="0"/>
    <n v="135.16580999999999"/>
    <n v="93.134079999999997"/>
    <n v="0"/>
    <n v="167.01719988311245"/>
    <n v="73.580070869794511"/>
  </r>
  <r>
    <s v="Regular"/>
    <x v="2"/>
    <x v="3"/>
    <x v="5"/>
    <x v="7"/>
    <x v="2"/>
    <x v="0"/>
    <x v="1"/>
    <x v="5"/>
    <n v="0"/>
    <n v="0"/>
    <n v="0.316"/>
    <n v="0.316"/>
    <n v="0.316"/>
    <n v="0.316"/>
    <n v="0"/>
    <x v="1"/>
    <n v="0"/>
    <n v="0"/>
    <n v="50"/>
    <n v="1"/>
    <n v="0"/>
    <n v="358.53"/>
    <n v="247.04"/>
    <m/>
    <n v="443.01644531329566"/>
    <n v="195.17260177664326"/>
    <n v="0"/>
    <n v="113.29548"/>
    <n v="78.064639999999997"/>
    <n v="0"/>
    <n v="139.99319671900142"/>
    <n v="61.674542161419268"/>
  </r>
  <r>
    <s v="Regular"/>
    <x v="2"/>
    <x v="3"/>
    <x v="5"/>
    <x v="7"/>
    <x v="2"/>
    <x v="0"/>
    <x v="1"/>
    <x v="6"/>
    <n v="0"/>
    <n v="0"/>
    <n v="0.61"/>
    <n v="0.61"/>
    <n v="0.61"/>
    <n v="0.61"/>
    <n v="0"/>
    <x v="1"/>
    <n v="0"/>
    <n v="0"/>
    <n v="50"/>
    <n v="1"/>
    <n v="0"/>
    <n v="358.53"/>
    <n v="247.04"/>
    <m/>
    <n v="443.01644531329566"/>
    <n v="195.17260177664326"/>
    <n v="0"/>
    <n v="218.70329999999998"/>
    <n v="150.6944"/>
    <n v="0"/>
    <n v="270.24003164111036"/>
    <n v="119.05528708375239"/>
  </r>
  <r>
    <s v="Regular"/>
    <x v="2"/>
    <x v="3"/>
    <x v="5"/>
    <x v="7"/>
    <x v="2"/>
    <x v="0"/>
    <x v="1"/>
    <x v="7"/>
    <n v="0"/>
    <n v="0"/>
    <n v="0.22900000000000001"/>
    <n v="0.22900000000000001"/>
    <n v="0.22900000000000001"/>
    <n v="0.22900000000000001"/>
    <n v="0"/>
    <x v="1"/>
    <n v="0"/>
    <n v="0"/>
    <n v="50"/>
    <n v="1"/>
    <n v="0"/>
    <n v="358.53"/>
    <n v="247.04"/>
    <m/>
    <n v="443.01644531329566"/>
    <n v="195.17260177664326"/>
    <n v="0"/>
    <n v="82.103369999999998"/>
    <n v="56.572160000000004"/>
    <n v="0"/>
    <n v="101.45076597674471"/>
    <n v="44.69452580685131"/>
  </r>
  <r>
    <s v="Regular"/>
    <x v="2"/>
    <x v="3"/>
    <x v="5"/>
    <x v="7"/>
    <x v="2"/>
    <x v="0"/>
    <x v="1"/>
    <x v="8"/>
    <n v="0"/>
    <n v="0"/>
    <n v="0.29899999999999999"/>
    <n v="0.29899999999999999"/>
    <n v="0.29899999999999999"/>
    <n v="0.29899999999999999"/>
    <n v="0"/>
    <x v="1"/>
    <n v="0"/>
    <n v="0"/>
    <n v="50"/>
    <n v="1"/>
    <n v="0"/>
    <n v="358.53"/>
    <n v="247.04"/>
    <m/>
    <n v="443.01644531329566"/>
    <n v="195.17260177664326"/>
    <n v="0"/>
    <n v="107.20046999999998"/>
    <n v="73.864959999999996"/>
    <n v="0"/>
    <n v="132.46191714867541"/>
    <n v="58.356607931216331"/>
  </r>
  <r>
    <s v="Regular"/>
    <x v="2"/>
    <x v="3"/>
    <x v="5"/>
    <x v="7"/>
    <x v="2"/>
    <x v="0"/>
    <x v="1"/>
    <x v="9"/>
    <n v="0"/>
    <n v="0"/>
    <n v="0.2"/>
    <n v="0.2"/>
    <n v="0.2"/>
    <n v="0.2"/>
    <n v="0"/>
    <x v="1"/>
    <n v="0"/>
    <n v="0"/>
    <n v="50"/>
    <n v="1"/>
    <n v="0"/>
    <n v="358.53"/>
    <n v="247.04"/>
    <m/>
    <n v="443.01644531329566"/>
    <n v="195.17260177664326"/>
    <n v="0"/>
    <n v="71.706000000000003"/>
    <n v="49.408000000000001"/>
    <n v="0"/>
    <n v="88.603289062659144"/>
    <n v="39.034520355328652"/>
  </r>
  <r>
    <s v="Regular"/>
    <x v="2"/>
    <x v="3"/>
    <x v="5"/>
    <x v="7"/>
    <x v="2"/>
    <x v="0"/>
    <x v="1"/>
    <x v="10"/>
    <n v="0"/>
    <n v="0"/>
    <n v="0.51900000000000002"/>
    <n v="0.51900000000000002"/>
    <n v="0.51900000000000002"/>
    <n v="0.51900000000000002"/>
    <n v="0"/>
    <x v="1"/>
    <n v="0"/>
    <n v="0"/>
    <n v="50"/>
    <n v="1"/>
    <n v="0"/>
    <n v="358.53"/>
    <n v="247.04"/>
    <m/>
    <n v="443.01644531329566"/>
    <n v="195.17260177664326"/>
    <n v="0"/>
    <n v="186.07706999999999"/>
    <n v="128.21376000000001"/>
    <n v="0"/>
    <n v="229.92553511760045"/>
    <n v="101.29458032207786"/>
  </r>
  <r>
    <s v="PROJETADO"/>
    <x v="2"/>
    <x v="3"/>
    <x v="5"/>
    <x v="7"/>
    <x v="2"/>
    <x v="0"/>
    <x v="1"/>
    <x v="11"/>
    <n v="0"/>
    <n v="0"/>
    <n v="0.51900000000000002"/>
    <n v="0.51900000000000002"/>
    <n v="0.51900000000000002"/>
    <n v="0.51900000000000002"/>
    <n v="0"/>
    <x v="1"/>
    <n v="0"/>
    <n v="0"/>
    <n v="50"/>
    <n v="1"/>
    <n v="0"/>
    <n v="358.53"/>
    <n v="247.04"/>
    <m/>
    <n v="443.01644531329566"/>
    <n v="195.17260177664326"/>
    <n v="0"/>
    <n v="186.07706999999999"/>
    <n v="128.21376000000001"/>
    <n v="0"/>
    <n v="229.92553511760045"/>
    <n v="101.29458032207786"/>
  </r>
  <r>
    <s v="Regular"/>
    <x v="2"/>
    <x v="3"/>
    <x v="5"/>
    <x v="7"/>
    <x v="3"/>
    <x v="0"/>
    <x v="1"/>
    <x v="0"/>
    <n v="0"/>
    <n v="0"/>
    <n v="0.374"/>
    <n v="0.14960000000000001"/>
    <n v="0.374"/>
    <n v="0.14960000000000001"/>
    <n v="0"/>
    <x v="1"/>
    <n v="0"/>
    <n v="0"/>
    <n v="50"/>
    <n v="1"/>
    <n v="0"/>
    <n v="358.53"/>
    <n v="247.04"/>
    <m/>
    <n v="443.01644531329566"/>
    <n v="195.17260177664326"/>
    <n v="0"/>
    <n v="53.636088000000001"/>
    <n v="36.957183999999998"/>
    <n v="0"/>
    <n v="66.275260218869036"/>
    <n v="29.197821225785834"/>
  </r>
  <r>
    <s v="Regular"/>
    <x v="2"/>
    <x v="3"/>
    <x v="5"/>
    <x v="7"/>
    <x v="3"/>
    <x v="0"/>
    <x v="1"/>
    <x v="1"/>
    <n v="0"/>
    <n v="0"/>
    <n v="0.47699999999999998"/>
    <n v="0.1908"/>
    <n v="0.47699999999999998"/>
    <n v="0.1908"/>
    <n v="0"/>
    <x v="1"/>
    <n v="0"/>
    <n v="0"/>
    <n v="50"/>
    <n v="1"/>
    <n v="0"/>
    <n v="358.53"/>
    <n v="247.04"/>
    <m/>
    <n v="443.01644531329566"/>
    <n v="195.17260177664326"/>
    <n v="0"/>
    <n v="68.407523999999995"/>
    <n v="47.135231999999995"/>
    <n v="0"/>
    <n v="84.527537765776813"/>
    <n v="37.238932418983531"/>
  </r>
  <r>
    <s v="Regular"/>
    <x v="2"/>
    <x v="3"/>
    <x v="5"/>
    <x v="7"/>
    <x v="3"/>
    <x v="0"/>
    <x v="1"/>
    <x v="2"/>
    <n v="0"/>
    <n v="0"/>
    <n v="0.41799999999999998"/>
    <n v="0.16719999999999999"/>
    <n v="0.41799999999999998"/>
    <n v="0.16719999999999999"/>
    <n v="0"/>
    <x v="1"/>
    <n v="0"/>
    <n v="0"/>
    <n v="50"/>
    <n v="1"/>
    <n v="0"/>
    <n v="358.53"/>
    <n v="247.04"/>
    <m/>
    <n v="443.01644531329566"/>
    <n v="195.17260177664326"/>
    <n v="0"/>
    <n v="59.946215999999993"/>
    <n v="41.305087999999998"/>
    <n v="0"/>
    <n v="74.072349656383025"/>
    <n v="32.632859017054749"/>
  </r>
  <r>
    <s v="Regular"/>
    <x v="2"/>
    <x v="3"/>
    <x v="5"/>
    <x v="7"/>
    <x v="3"/>
    <x v="0"/>
    <x v="1"/>
    <x v="3"/>
    <n v="0"/>
    <n v="0"/>
    <n v="1.002"/>
    <n v="0.40079999999999999"/>
    <n v="1.002"/>
    <n v="0.40079999999999999"/>
    <n v="0"/>
    <x v="1"/>
    <n v="0"/>
    <n v="0"/>
    <n v="50"/>
    <n v="1"/>
    <n v="0"/>
    <n v="358.53"/>
    <n v="247.04"/>
    <m/>
    <n v="443.01644531329566"/>
    <n v="195.17260177664326"/>
    <n v="0"/>
    <n v="143.69882399999997"/>
    <n v="99.013632000000001"/>
    <n v="0"/>
    <n v="177.5609912815689"/>
    <n v="78.225178792078623"/>
  </r>
  <r>
    <s v="Regular"/>
    <x v="2"/>
    <x v="3"/>
    <x v="5"/>
    <x v="7"/>
    <x v="3"/>
    <x v="0"/>
    <x v="1"/>
    <x v="4"/>
    <n v="0"/>
    <n v="0"/>
    <n v="3.3149999999999999"/>
    <n v="1.3260000000000001"/>
    <n v="3.3149999999999999"/>
    <n v="1.3260000000000001"/>
    <n v="0"/>
    <x v="1"/>
    <n v="0"/>
    <n v="0"/>
    <n v="50"/>
    <n v="1"/>
    <n v="0"/>
    <n v="358.53"/>
    <n v="247.04"/>
    <m/>
    <n v="443.01644531329566"/>
    <n v="195.17260177664326"/>
    <n v="0"/>
    <n v="475.41077999999999"/>
    <n v="327.57504"/>
    <n v="0"/>
    <n v="587.43980648543004"/>
    <n v="258.79886995582899"/>
  </r>
  <r>
    <s v="Regular"/>
    <x v="2"/>
    <x v="3"/>
    <x v="5"/>
    <x v="7"/>
    <x v="3"/>
    <x v="0"/>
    <x v="1"/>
    <x v="5"/>
    <n v="0"/>
    <n v="0"/>
    <n v="1.873"/>
    <n v="0.74919999999999998"/>
    <n v="1.873"/>
    <n v="0.74919999999999998"/>
    <n v="0"/>
    <x v="1"/>
    <n v="0"/>
    <n v="0"/>
    <n v="50"/>
    <n v="1"/>
    <n v="0"/>
    <n v="358.53"/>
    <n v="247.04"/>
    <m/>
    <n v="443.01644531329566"/>
    <n v="195.17260177664326"/>
    <n v="0"/>
    <n v="268.61067599999996"/>
    <n v="185.082368"/>
    <n v="0"/>
    <n v="331.9079208287211"/>
    <n v="146.22331325106111"/>
  </r>
  <r>
    <s v="Regular"/>
    <x v="2"/>
    <x v="3"/>
    <x v="5"/>
    <x v="7"/>
    <x v="3"/>
    <x v="0"/>
    <x v="1"/>
    <x v="6"/>
    <n v="0"/>
    <n v="0"/>
    <n v="0.86899999999999999"/>
    <n v="0.34760000000000002"/>
    <n v="0.86899999999999999"/>
    <n v="0.34760000000000002"/>
    <n v="0"/>
    <x v="1"/>
    <n v="0"/>
    <n v="0"/>
    <n v="50"/>
    <n v="1"/>
    <n v="0"/>
    <n v="358.53"/>
    <n v="247.04"/>
    <m/>
    <n v="443.01644531329566"/>
    <n v="195.17260177664326"/>
    <n v="0"/>
    <n v="124.625028"/>
    <n v="85.871104000000003"/>
    <n v="0"/>
    <n v="153.99251639090159"/>
    <n v="67.841996377561202"/>
  </r>
  <r>
    <s v="Regular"/>
    <x v="2"/>
    <x v="3"/>
    <x v="5"/>
    <x v="7"/>
    <x v="3"/>
    <x v="0"/>
    <x v="1"/>
    <x v="7"/>
    <n v="0"/>
    <n v="0"/>
    <n v="0.53500000000000003"/>
    <n v="0.214"/>
    <n v="0.53500000000000003"/>
    <n v="0.214"/>
    <n v="0"/>
    <x v="1"/>
    <n v="0"/>
    <n v="0"/>
    <n v="50"/>
    <n v="1"/>
    <n v="0"/>
    <n v="358.53"/>
    <n v="247.04"/>
    <m/>
    <n v="443.01644531329566"/>
    <n v="195.17260177664326"/>
    <n v="0"/>
    <n v="76.72542"/>
    <n v="52.86656"/>
    <n v="0"/>
    <n v="94.805519297045265"/>
    <n v="41.766936780201654"/>
  </r>
  <r>
    <s v="Regular"/>
    <x v="2"/>
    <x v="3"/>
    <x v="5"/>
    <x v="7"/>
    <x v="3"/>
    <x v="0"/>
    <x v="1"/>
    <x v="8"/>
    <n v="0"/>
    <n v="0"/>
    <n v="0.30099999999999999"/>
    <n v="0.12039999999999999"/>
    <n v="0.30099999999999999"/>
    <n v="0.12039999999999999"/>
    <n v="0"/>
    <x v="1"/>
    <n v="0"/>
    <n v="0"/>
    <n v="50"/>
    <n v="1"/>
    <n v="0"/>
    <n v="358.53"/>
    <n v="247.04"/>
    <m/>
    <n v="443.01644531329566"/>
    <n v="195.17260177664326"/>
    <n v="0"/>
    <n v="43.167011999999993"/>
    <n v="29.743615999999996"/>
    <n v="0"/>
    <n v="53.339180015720792"/>
    <n v="23.498781253907847"/>
  </r>
  <r>
    <s v="Regular"/>
    <x v="2"/>
    <x v="3"/>
    <x v="5"/>
    <x v="7"/>
    <x v="3"/>
    <x v="0"/>
    <x v="1"/>
    <x v="9"/>
    <n v="0"/>
    <n v="0"/>
    <n v="0.2"/>
    <n v="0.08"/>
    <n v="0.2"/>
    <n v="0.08"/>
    <n v="0"/>
    <x v="1"/>
    <n v="0"/>
    <n v="0"/>
    <n v="50"/>
    <n v="1"/>
    <n v="0"/>
    <n v="358.53"/>
    <n v="247.04"/>
    <m/>
    <n v="443.01644531329566"/>
    <n v="195.17260177664326"/>
    <n v="0"/>
    <n v="28.682399999999998"/>
    <n v="19.763200000000001"/>
    <n v="0"/>
    <n v="35.441315625063652"/>
    <n v="15.613808142131461"/>
  </r>
  <r>
    <s v="Regular"/>
    <x v="2"/>
    <x v="3"/>
    <x v="5"/>
    <x v="7"/>
    <x v="3"/>
    <x v="0"/>
    <x v="1"/>
    <x v="10"/>
    <n v="0"/>
    <n v="0"/>
    <n v="0.54"/>
    <n v="0.216"/>
    <n v="0.54"/>
    <n v="0.216"/>
    <n v="0"/>
    <x v="1"/>
    <n v="0"/>
    <n v="0"/>
    <n v="50"/>
    <n v="1"/>
    <n v="0"/>
    <n v="358.53"/>
    <n v="247.04"/>
    <m/>
    <n v="443.01644531329566"/>
    <n v="195.17260177664326"/>
    <n v="0"/>
    <n v="77.442479999999989"/>
    <n v="53.360639999999997"/>
    <n v="0"/>
    <n v="95.69155218767186"/>
    <n v="42.157281983754942"/>
  </r>
  <r>
    <s v="PROJETADO"/>
    <x v="2"/>
    <x v="3"/>
    <x v="5"/>
    <x v="7"/>
    <x v="3"/>
    <x v="0"/>
    <x v="1"/>
    <x v="11"/>
    <n v="0"/>
    <n v="0"/>
    <n v="0.54"/>
    <n v="0.216"/>
    <n v="0.54"/>
    <n v="0.216"/>
    <n v="0"/>
    <x v="1"/>
    <n v="0"/>
    <n v="0"/>
    <n v="50"/>
    <n v="1"/>
    <n v="0"/>
    <n v="358.53"/>
    <n v="247.04"/>
    <m/>
    <n v="443.01644531329566"/>
    <n v="195.17260177664326"/>
    <n v="0"/>
    <n v="77.442479999999989"/>
    <n v="53.360639999999997"/>
    <n v="0"/>
    <n v="95.69155218767186"/>
    <n v="42.157281983754942"/>
  </r>
  <r>
    <s v="Regular"/>
    <x v="2"/>
    <x v="3"/>
    <x v="5"/>
    <x v="8"/>
    <x v="2"/>
    <x v="0"/>
    <x v="1"/>
    <x v="0"/>
    <n v="0"/>
    <n v="0"/>
    <n v="0.496"/>
    <n v="0.496"/>
    <n v="0.496"/>
    <n v="0.496"/>
    <n v="0"/>
    <x v="1"/>
    <n v="0"/>
    <n v="0"/>
    <n v="50"/>
    <n v="1"/>
    <n v="0"/>
    <n v="358.53"/>
    <n v="247.04"/>
    <m/>
    <n v="443.01644531329566"/>
    <n v="195.17260177664326"/>
    <n v="0"/>
    <n v="177.83087999999998"/>
    <n v="122.53183999999999"/>
    <n v="0"/>
    <n v="219.73615687539464"/>
    <n v="96.805610481215055"/>
  </r>
  <r>
    <s v="Regular"/>
    <x v="2"/>
    <x v="3"/>
    <x v="5"/>
    <x v="8"/>
    <x v="2"/>
    <x v="0"/>
    <x v="1"/>
    <x v="1"/>
    <n v="0"/>
    <n v="0"/>
    <n v="9.2999999999999999E-2"/>
    <n v="9.2999999999999999E-2"/>
    <n v="9.2999999999999999E-2"/>
    <n v="9.2999999999999999E-2"/>
    <n v="0"/>
    <x v="1"/>
    <n v="0"/>
    <n v="0"/>
    <n v="50"/>
    <n v="1"/>
    <n v="0"/>
    <n v="358.53"/>
    <n v="247.04"/>
    <m/>
    <n v="443.01644531329566"/>
    <n v="195.17260177664326"/>
    <n v="0"/>
    <n v="33.343289999999996"/>
    <n v="22.974719999999998"/>
    <n v="0"/>
    <n v="41.200529414136497"/>
    <n v="18.151051965227822"/>
  </r>
  <r>
    <s v="Regular"/>
    <x v="2"/>
    <x v="3"/>
    <x v="5"/>
    <x v="8"/>
    <x v="3"/>
    <x v="0"/>
    <x v="1"/>
    <x v="0"/>
    <n v="0"/>
    <n v="0"/>
    <n v="1.4019999999999999"/>
    <n v="0.56079999999999997"/>
    <n v="1.4019999999999999"/>
    <n v="0.56079999999999997"/>
    <n v="0"/>
    <x v="1"/>
    <n v="0"/>
    <n v="0"/>
    <n v="50"/>
    <n v="1"/>
    <n v="0"/>
    <n v="358.53"/>
    <n v="247.04"/>
    <m/>
    <n v="443.01644531329566"/>
    <n v="195.17260177664326"/>
    <n v="0"/>
    <n v="201.06362399999998"/>
    <n v="138.540032"/>
    <n v="0"/>
    <n v="248.44362253169618"/>
    <n v="109.45279507634153"/>
  </r>
  <r>
    <s v="Regular"/>
    <x v="2"/>
    <x v="3"/>
    <x v="5"/>
    <x v="8"/>
    <x v="3"/>
    <x v="0"/>
    <x v="1"/>
    <x v="1"/>
    <n v="0"/>
    <n v="0"/>
    <n v="7.0000000000000001E-3"/>
    <n v="2.8E-3"/>
    <n v="7.0000000000000001E-3"/>
    <n v="2.8E-3"/>
    <n v="0"/>
    <x v="1"/>
    <n v="0"/>
    <n v="0"/>
    <n v="50"/>
    <n v="1"/>
    <n v="0"/>
    <n v="358.53"/>
    <n v="247.04"/>
    <m/>
    <n v="443.01644531329566"/>
    <n v="195.17260177664326"/>
    <n v="0"/>
    <n v="1.003884"/>
    <n v="0.69171199999999999"/>
    <n v="0"/>
    <n v="1.2404460468772278"/>
    <n v="0.54648328497460108"/>
  </r>
  <r>
    <s v="Regular"/>
    <x v="2"/>
    <x v="3"/>
    <x v="5"/>
    <x v="0"/>
    <x v="1"/>
    <x v="0"/>
    <x v="1"/>
    <x v="0"/>
    <n v="0"/>
    <n v="0"/>
    <n v="274.19200000000001"/>
    <n v="274.19200000000001"/>
    <n v="274.19200000000001"/>
    <n v="274.19200000000001"/>
    <n v="711"/>
    <x v="1"/>
    <n v="0"/>
    <n v="0"/>
    <n v="50"/>
    <n v="1"/>
    <n v="0"/>
    <n v="358.53"/>
    <n v="247.04"/>
    <m/>
    <n v="443.01644531329566"/>
    <n v="195.17260177664326"/>
    <n v="0"/>
    <n v="98306.057759999996"/>
    <n v="67736.391680000001"/>
    <n v="0"/>
    <n v="121471.56517334317"/>
    <n v="53514.766026341371"/>
  </r>
  <r>
    <s v="Sistema de Compensação"/>
    <x v="2"/>
    <x v="3"/>
    <x v="5"/>
    <x v="0"/>
    <x v="1"/>
    <x v="0"/>
    <x v="1"/>
    <x v="0"/>
    <n v="0"/>
    <n v="0"/>
    <n v="2.69"/>
    <n v="2.69"/>
    <n v="2.69"/>
    <n v="2.69"/>
    <n v="17"/>
    <x v="1"/>
    <n v="0"/>
    <n v="0"/>
    <n v="50"/>
    <n v="1"/>
    <n v="0"/>
    <n v="358.53"/>
    <n v="247.04"/>
    <m/>
    <n v="443.01644531329566"/>
    <n v="195.17260177664326"/>
    <n v="0"/>
    <n v="964.44569999999987"/>
    <n v="664.5376"/>
    <n v="0"/>
    <n v="1191.7142378927654"/>
    <n v="525.01429877917042"/>
  </r>
  <r>
    <s v="Regular"/>
    <x v="2"/>
    <x v="3"/>
    <x v="5"/>
    <x v="0"/>
    <x v="1"/>
    <x v="0"/>
    <x v="1"/>
    <x v="1"/>
    <n v="0"/>
    <n v="0"/>
    <n v="270.55799999999999"/>
    <n v="270.55799999999999"/>
    <n v="270.55799999999999"/>
    <n v="270.55799999999999"/>
    <n v="712"/>
    <x v="1"/>
    <n v="0"/>
    <n v="0"/>
    <n v="50"/>
    <n v="1"/>
    <n v="0"/>
    <n v="358.53"/>
    <n v="247.04"/>
    <m/>
    <n v="443.01644531329566"/>
    <n v="195.17260177664326"/>
    <n v="0"/>
    <n v="97003.159739999988"/>
    <n v="66838.648319999993"/>
    <n v="0"/>
    <n v="119861.64341107465"/>
    <n v="52805.508791485045"/>
  </r>
  <r>
    <s v="Sistema de Compensação"/>
    <x v="2"/>
    <x v="3"/>
    <x v="5"/>
    <x v="0"/>
    <x v="1"/>
    <x v="0"/>
    <x v="1"/>
    <x v="1"/>
    <n v="0"/>
    <n v="0"/>
    <n v="6.202"/>
    <n v="6.202"/>
    <n v="6.202"/>
    <n v="6.202"/>
    <n v="19"/>
    <x v="1"/>
    <n v="0"/>
    <n v="0"/>
    <n v="50"/>
    <n v="1"/>
    <n v="0"/>
    <n v="358.53"/>
    <n v="247.04"/>
    <m/>
    <n v="443.01644531329566"/>
    <n v="195.17260177664326"/>
    <n v="0"/>
    <n v="2223.6030599999999"/>
    <n v="1532.1420799999999"/>
    <n v="0"/>
    <n v="2747.5879938330595"/>
    <n v="1210.4604762187414"/>
  </r>
  <r>
    <s v="Regular"/>
    <x v="2"/>
    <x v="3"/>
    <x v="5"/>
    <x v="0"/>
    <x v="1"/>
    <x v="0"/>
    <x v="1"/>
    <x v="2"/>
    <n v="0"/>
    <n v="0"/>
    <n v="266.101"/>
    <n v="266.101"/>
    <n v="266.101"/>
    <n v="266.101"/>
    <n v="712"/>
    <x v="1"/>
    <n v="0"/>
    <n v="0"/>
    <n v="50"/>
    <n v="1"/>
    <n v="0"/>
    <n v="358.53"/>
    <n v="247.04"/>
    <m/>
    <n v="443.01644531329566"/>
    <n v="195.17260177664326"/>
    <n v="0"/>
    <n v="95405.191529999996"/>
    <n v="65737.591039999999"/>
    <n v="0"/>
    <n v="117887.11911431329"/>
    <n v="51935.624505366548"/>
  </r>
  <r>
    <s v="Sistema de Compensação"/>
    <x v="2"/>
    <x v="3"/>
    <x v="5"/>
    <x v="0"/>
    <x v="1"/>
    <x v="0"/>
    <x v="1"/>
    <x v="2"/>
    <n v="0"/>
    <n v="0"/>
    <n v="4.1890000000000001"/>
    <n v="4.1890000000000001"/>
    <n v="4.1890000000000001"/>
    <n v="4.1890000000000001"/>
    <n v="20"/>
    <x v="1"/>
    <n v="0"/>
    <n v="0"/>
    <n v="50"/>
    <n v="1"/>
    <n v="0"/>
    <n v="358.53"/>
    <n v="247.04"/>
    <m/>
    <n v="443.01644531329566"/>
    <n v="195.17260177664326"/>
    <n v="0"/>
    <n v="1501.8821699999999"/>
    <n v="1034.8505600000001"/>
    <n v="0"/>
    <n v="1855.7958894173955"/>
    <n v="817.57802884235866"/>
  </r>
  <r>
    <s v="Regular"/>
    <x v="2"/>
    <x v="3"/>
    <x v="5"/>
    <x v="0"/>
    <x v="1"/>
    <x v="0"/>
    <x v="1"/>
    <x v="3"/>
    <n v="0"/>
    <n v="0"/>
    <n v="276.16699999999997"/>
    <n v="276.16699999999997"/>
    <n v="276.16699999999997"/>
    <n v="276.16699999999997"/>
    <n v="711"/>
    <x v="1"/>
    <n v="0"/>
    <n v="0"/>
    <n v="50"/>
    <n v="1"/>
    <n v="0"/>
    <n v="358.53"/>
    <n v="247.04"/>
    <m/>
    <n v="443.01644531329566"/>
    <n v="195.17260177664326"/>
    <n v="0"/>
    <n v="99014.154509999978"/>
    <n v="68224.295679999996"/>
    <n v="0"/>
    <n v="122346.52265283691"/>
    <n v="53900.231914850236"/>
  </r>
  <r>
    <s v="Sistema de Compensação"/>
    <x v="2"/>
    <x v="3"/>
    <x v="5"/>
    <x v="0"/>
    <x v="1"/>
    <x v="0"/>
    <x v="1"/>
    <x v="3"/>
    <n v="0"/>
    <n v="0"/>
    <n v="8.4710000000000001"/>
    <n v="8.4710000000000001"/>
    <n v="8.4710000000000001"/>
    <n v="8.4710000000000001"/>
    <n v="23"/>
    <x v="1"/>
    <n v="0"/>
    <n v="0"/>
    <n v="50"/>
    <n v="1"/>
    <n v="0"/>
    <n v="358.53"/>
    <n v="247.04"/>
    <m/>
    <n v="443.01644531329566"/>
    <n v="195.17260177664326"/>
    <n v="0"/>
    <n v="3037.10763"/>
    <n v="2092.6758399999999"/>
    <n v="0"/>
    <n v="3752.7923082489274"/>
    <n v="1653.307109649945"/>
  </r>
  <r>
    <s v="Regular"/>
    <x v="2"/>
    <x v="3"/>
    <x v="5"/>
    <x v="0"/>
    <x v="1"/>
    <x v="0"/>
    <x v="1"/>
    <x v="4"/>
    <n v="0"/>
    <n v="0"/>
    <n v="279.435"/>
    <n v="279.435"/>
    <n v="279.435"/>
    <n v="279.435"/>
    <n v="707"/>
    <x v="1"/>
    <n v="0"/>
    <n v="0"/>
    <n v="50"/>
    <n v="1"/>
    <n v="0"/>
    <n v="358.53"/>
    <n v="247.04"/>
    <m/>
    <n v="443.01644531329566"/>
    <n v="195.17260177664326"/>
    <n v="0"/>
    <n v="100185.83055"/>
    <n v="69031.622399999993"/>
    <n v="0"/>
    <n v="123794.30039612077"/>
    <n v="54538.055977456308"/>
  </r>
  <r>
    <s v="Sistema de Compensação"/>
    <x v="2"/>
    <x v="3"/>
    <x v="5"/>
    <x v="0"/>
    <x v="1"/>
    <x v="0"/>
    <x v="1"/>
    <x v="4"/>
    <n v="0"/>
    <n v="0"/>
    <n v="9.2650000000000006"/>
    <n v="9.2650000000000006"/>
    <n v="9.2650000000000006"/>
    <n v="9.2650000000000006"/>
    <n v="26"/>
    <x v="1"/>
    <n v="0"/>
    <n v="0"/>
    <n v="50"/>
    <n v="1"/>
    <n v="0"/>
    <n v="358.53"/>
    <n v="247.04"/>
    <m/>
    <n v="443.01644531329566"/>
    <n v="195.17260177664326"/>
    <n v="0"/>
    <n v="3321.7804499999997"/>
    <n v="2288.8256000000001"/>
    <n v="0"/>
    <n v="4104.5473658276842"/>
    <n v="1808.2741554606"/>
  </r>
  <r>
    <s v="Regular"/>
    <x v="2"/>
    <x v="3"/>
    <x v="5"/>
    <x v="0"/>
    <x v="1"/>
    <x v="0"/>
    <x v="1"/>
    <x v="5"/>
    <n v="0"/>
    <n v="0"/>
    <n v="277.08"/>
    <n v="277.08"/>
    <n v="277.08"/>
    <n v="277.08"/>
    <n v="707"/>
    <x v="1"/>
    <n v="0"/>
    <n v="0"/>
    <n v="50"/>
    <n v="1"/>
    <n v="0"/>
    <n v="358.53"/>
    <n v="247.04"/>
    <m/>
    <n v="443.01644531329566"/>
    <n v="195.17260177664326"/>
    <n v="0"/>
    <n v="99341.492399999988"/>
    <n v="68449.843199999988"/>
    <n v="0"/>
    <n v="122750.99666740795"/>
    <n v="54078.424500272311"/>
  </r>
  <r>
    <s v="Sistema de Compensação"/>
    <x v="2"/>
    <x v="3"/>
    <x v="5"/>
    <x v="0"/>
    <x v="1"/>
    <x v="0"/>
    <x v="1"/>
    <x v="5"/>
    <n v="0"/>
    <n v="0"/>
    <n v="11.061999999999999"/>
    <n v="11.061999999999999"/>
    <n v="11.061999999999999"/>
    <n v="11.061999999999999"/>
    <n v="27"/>
    <x v="1"/>
    <n v="0"/>
    <n v="0"/>
    <n v="50"/>
    <n v="1"/>
    <n v="0"/>
    <n v="358.53"/>
    <n v="247.04"/>
    <m/>
    <n v="443.01644531329566"/>
    <n v="195.17260177664326"/>
    <n v="0"/>
    <n v="3966.0588599999996"/>
    <n v="2732.7564799999996"/>
    <n v="0"/>
    <n v="4900.6479180556762"/>
    <n v="2158.9993208532278"/>
  </r>
  <r>
    <s v="Regular"/>
    <x v="2"/>
    <x v="3"/>
    <x v="5"/>
    <x v="0"/>
    <x v="1"/>
    <x v="0"/>
    <x v="1"/>
    <x v="6"/>
    <n v="0"/>
    <n v="0"/>
    <n v="264.673"/>
    <n v="264.673"/>
    <n v="264.673"/>
    <n v="264.673"/>
    <n v="700"/>
    <x v="1"/>
    <n v="0"/>
    <n v="0"/>
    <n v="50"/>
    <n v="1"/>
    <n v="0"/>
    <n v="358.53"/>
    <n v="247.04"/>
    <m/>
    <n v="443.01644531329566"/>
    <n v="195.17260177664326"/>
    <n v="0"/>
    <n v="94893.210689999993"/>
    <n v="65384.817920000001"/>
    <n v="0"/>
    <n v="117254.4916304059"/>
    <n v="51656.918030029505"/>
  </r>
  <r>
    <s v="Sistema de Compensação"/>
    <x v="2"/>
    <x v="3"/>
    <x v="5"/>
    <x v="0"/>
    <x v="1"/>
    <x v="0"/>
    <x v="1"/>
    <x v="6"/>
    <n v="0"/>
    <n v="0"/>
    <n v="10.478999999999999"/>
    <n v="10.478999999999999"/>
    <n v="10.478999999999999"/>
    <n v="10.478999999999999"/>
    <n v="33"/>
    <x v="1"/>
    <n v="0"/>
    <n v="0"/>
    <n v="50"/>
    <n v="1"/>
    <n v="0"/>
    <n v="358.53"/>
    <n v="247.04"/>
    <m/>
    <n v="443.01644531329566"/>
    <n v="195.17260177664326"/>
    <n v="0"/>
    <n v="3757.0358699999992"/>
    <n v="2588.7321599999996"/>
    <n v="0"/>
    <n v="4642.3693304380249"/>
    <n v="2045.2136940174446"/>
  </r>
  <r>
    <s v="Regular"/>
    <x v="2"/>
    <x v="3"/>
    <x v="5"/>
    <x v="0"/>
    <x v="1"/>
    <x v="0"/>
    <x v="1"/>
    <x v="7"/>
    <n v="0"/>
    <n v="0"/>
    <n v="263.85599999999999"/>
    <n v="263.85599999999999"/>
    <n v="263.85599999999999"/>
    <n v="263.85599999999999"/>
    <n v="697"/>
    <x v="1"/>
    <n v="0"/>
    <n v="0"/>
    <n v="50"/>
    <n v="1"/>
    <n v="0"/>
    <n v="358.53"/>
    <n v="247.04"/>
    <m/>
    <n v="443.01644531329566"/>
    <n v="195.17260177664326"/>
    <n v="0"/>
    <n v="94600.291679999995"/>
    <n v="65182.986239999998"/>
    <n v="0"/>
    <n v="116892.54719458494"/>
    <n v="51497.462014377983"/>
  </r>
  <r>
    <s v="Sistema de Compensação"/>
    <x v="2"/>
    <x v="3"/>
    <x v="5"/>
    <x v="0"/>
    <x v="1"/>
    <x v="0"/>
    <x v="1"/>
    <x v="7"/>
    <n v="0"/>
    <n v="0"/>
    <n v="14.637"/>
    <n v="14.637"/>
    <n v="14.637"/>
    <n v="14.637"/>
    <n v="35"/>
    <x v="1"/>
    <n v="0"/>
    <n v="0"/>
    <n v="50"/>
    <n v="1"/>
    <n v="0"/>
    <n v="358.53"/>
    <n v="247.04"/>
    <m/>
    <n v="443.01644531329566"/>
    <n v="195.17260177664326"/>
    <n v="0"/>
    <n v="5247.8036099999999"/>
    <n v="3615.9244800000001"/>
    <n v="0"/>
    <n v="6484.4317100507087"/>
    <n v="2856.7413722047277"/>
  </r>
  <r>
    <s v="Regular"/>
    <x v="2"/>
    <x v="3"/>
    <x v="5"/>
    <x v="0"/>
    <x v="1"/>
    <x v="0"/>
    <x v="1"/>
    <x v="8"/>
    <n v="0"/>
    <n v="0"/>
    <n v="253.28200000000001"/>
    <n v="253.28200000000001"/>
    <n v="253.28200000000001"/>
    <n v="253.28200000000001"/>
    <n v="695"/>
    <x v="1"/>
    <n v="0"/>
    <n v="0"/>
    <n v="50"/>
    <n v="1"/>
    <n v="0"/>
    <n v="358.53"/>
    <n v="247.04"/>
    <m/>
    <n v="443.01644531329566"/>
    <n v="195.17260177664326"/>
    <n v="0"/>
    <n v="90809.195460000003"/>
    <n v="62570.785280000004"/>
    <n v="0"/>
    <n v="112208.09130184216"/>
    <n v="49433.706923191763"/>
  </r>
  <r>
    <s v="Sistema de Compensação"/>
    <x v="2"/>
    <x v="3"/>
    <x v="5"/>
    <x v="0"/>
    <x v="1"/>
    <x v="0"/>
    <x v="1"/>
    <x v="8"/>
    <n v="0"/>
    <n v="0"/>
    <n v="13.574999999999999"/>
    <n v="13.574999999999999"/>
    <n v="13.574999999999999"/>
    <n v="13.574999999999999"/>
    <n v="40"/>
    <x v="1"/>
    <n v="0"/>
    <n v="0"/>
    <n v="50"/>
    <n v="1"/>
    <n v="0"/>
    <n v="358.53"/>
    <n v="247.04"/>
    <m/>
    <n v="443.01644531329566"/>
    <n v="195.17260177664326"/>
    <n v="0"/>
    <n v="4867.0447499999991"/>
    <n v="3353.5679999999998"/>
    <n v="0"/>
    <n v="6013.9482451279882"/>
    <n v="2649.4680691179319"/>
  </r>
  <r>
    <s v="Regular"/>
    <x v="2"/>
    <x v="3"/>
    <x v="5"/>
    <x v="0"/>
    <x v="1"/>
    <x v="0"/>
    <x v="1"/>
    <x v="9"/>
    <n v="0"/>
    <n v="0"/>
    <n v="275.17200000000003"/>
    <n v="275.17200000000003"/>
    <n v="275.17200000000003"/>
    <n v="275.17200000000003"/>
    <n v="689"/>
    <x v="1"/>
    <n v="0"/>
    <n v="0"/>
    <n v="50"/>
    <n v="1"/>
    <n v="0"/>
    <n v="358.53"/>
    <n v="247.04"/>
    <m/>
    <n v="443.01644531329566"/>
    <n v="195.17260177664326"/>
    <n v="0"/>
    <n v="98657.417159999997"/>
    <n v="67978.490879999998"/>
    <n v="0"/>
    <n v="121905.7212897502"/>
    <n v="53706.035176082485"/>
  </r>
  <r>
    <s v="Sistema de Compensação"/>
    <x v="2"/>
    <x v="3"/>
    <x v="5"/>
    <x v="0"/>
    <x v="1"/>
    <x v="0"/>
    <x v="1"/>
    <x v="9"/>
    <n v="0"/>
    <n v="0"/>
    <n v="9.4760000000000009"/>
    <n v="9.4760000000000009"/>
    <n v="9.4760000000000009"/>
    <n v="9.4760000000000009"/>
    <n v="42"/>
    <x v="1"/>
    <n v="0"/>
    <n v="0"/>
    <n v="50"/>
    <n v="1"/>
    <n v="0"/>
    <n v="358.53"/>
    <n v="247.04"/>
    <m/>
    <n v="443.01644531329566"/>
    <n v="195.17260177664326"/>
    <n v="0"/>
    <n v="3397.43028"/>
    <n v="2340.9510399999999"/>
    <n v="0"/>
    <n v="4198.0238357887902"/>
    <n v="1849.4555744354718"/>
  </r>
  <r>
    <s v="Regular"/>
    <x v="2"/>
    <x v="3"/>
    <x v="5"/>
    <x v="0"/>
    <x v="1"/>
    <x v="0"/>
    <x v="1"/>
    <x v="10"/>
    <n v="0"/>
    <n v="0"/>
    <n v="252.16800000000001"/>
    <n v="252.16800000000001"/>
    <n v="252.16800000000001"/>
    <n v="252.16800000000001"/>
    <n v="709"/>
    <x v="1"/>
    <n v="0"/>
    <n v="0"/>
    <n v="50"/>
    <n v="1"/>
    <n v="0"/>
    <n v="358.53"/>
    <n v="247.04"/>
    <m/>
    <n v="443.01644531329566"/>
    <n v="195.17260177664326"/>
    <n v="0"/>
    <n v="90409.79303999999"/>
    <n v="62295.582719999999"/>
    <n v="0"/>
    <n v="111714.57098176314"/>
    <n v="49216.284644812578"/>
  </r>
  <r>
    <s v="Sistema de Compensação"/>
    <x v="2"/>
    <x v="3"/>
    <x v="5"/>
    <x v="0"/>
    <x v="1"/>
    <x v="0"/>
    <x v="1"/>
    <x v="10"/>
    <n v="0"/>
    <n v="0"/>
    <n v="12.196999999999999"/>
    <n v="12.196999999999999"/>
    <n v="12.196999999999999"/>
    <n v="12.196999999999999"/>
    <n v="44"/>
    <x v="1"/>
    <n v="0"/>
    <n v="0"/>
    <n v="50"/>
    <n v="1"/>
    <n v="0"/>
    <n v="358.53"/>
    <n v="247.04"/>
    <m/>
    <n v="443.01644531329566"/>
    <n v="195.17260177664326"/>
    <n v="0"/>
    <n v="4372.9904099999994"/>
    <n v="3013.1468799999998"/>
    <n v="0"/>
    <n v="5403.4715834862673"/>
    <n v="2380.5202238697175"/>
  </r>
  <r>
    <s v="PROJETADO"/>
    <x v="2"/>
    <x v="3"/>
    <x v="5"/>
    <x v="0"/>
    <x v="1"/>
    <x v="0"/>
    <x v="1"/>
    <x v="11"/>
    <n v="0"/>
    <n v="0"/>
    <n v="252.16800000000001"/>
    <n v="252.16800000000001"/>
    <n v="252.16800000000001"/>
    <n v="252.16800000000001"/>
    <n v="709"/>
    <x v="1"/>
    <n v="0"/>
    <n v="0"/>
    <n v="50"/>
    <n v="1"/>
    <n v="0"/>
    <n v="358.53"/>
    <n v="247.04"/>
    <m/>
    <n v="443.01644531329566"/>
    <n v="195.17260177664326"/>
    <n v="0"/>
    <n v="90409.79303999999"/>
    <n v="62295.582719999999"/>
    <n v="0"/>
    <n v="111714.57098176314"/>
    <n v="49216.284644812578"/>
  </r>
  <r>
    <s v="PROJETADO"/>
    <x v="2"/>
    <x v="3"/>
    <x v="5"/>
    <x v="0"/>
    <x v="1"/>
    <x v="0"/>
    <x v="1"/>
    <x v="11"/>
    <n v="0"/>
    <n v="0"/>
    <n v="12.196999999999999"/>
    <n v="12.196999999999999"/>
    <n v="12.196999999999999"/>
    <n v="12.196999999999999"/>
    <n v="44"/>
    <x v="1"/>
    <n v="0"/>
    <n v="0"/>
    <n v="50"/>
    <n v="1"/>
    <n v="0"/>
    <n v="358.53"/>
    <n v="247.04"/>
    <m/>
    <n v="443.01644531329566"/>
    <n v="195.17260177664326"/>
    <n v="0"/>
    <n v="4372.9904099999994"/>
    <n v="3013.1468799999998"/>
    <n v="0"/>
    <n v="5403.4715834862673"/>
    <n v="2380.5202238697175"/>
  </r>
  <r>
    <s v="Regular"/>
    <x v="3"/>
    <x v="2"/>
    <x v="1"/>
    <x v="0"/>
    <x v="1"/>
    <x v="0"/>
    <x v="0"/>
    <x v="0"/>
    <n v="0"/>
    <n v="0"/>
    <n v="0.67900000000000005"/>
    <n v="0.67900000000000005"/>
    <n v="0.67900000000000005"/>
    <n v="0.67900000000000005"/>
    <n v="0"/>
    <x v="1"/>
    <n v="0"/>
    <n v="0"/>
    <n v="64"/>
    <n v="23"/>
    <n v="0"/>
    <n v="305.62"/>
    <n v="266.70999999999998"/>
    <m/>
    <n v="360.2503276452785"/>
    <n v="197.6895725142987"/>
    <n v="0"/>
    <n v="207.51598000000001"/>
    <n v="181.09609"/>
    <n v="0"/>
    <n v="244.60997247114412"/>
    <n v="134.23121973720882"/>
  </r>
  <r>
    <s v="Regular"/>
    <x v="3"/>
    <x v="2"/>
    <x v="1"/>
    <x v="0"/>
    <x v="1"/>
    <x v="0"/>
    <x v="0"/>
    <x v="1"/>
    <n v="0"/>
    <n v="0"/>
    <n v="0.73699999999999999"/>
    <n v="0.73699999999999999"/>
    <n v="0.73699999999999999"/>
    <n v="0.73699999999999999"/>
    <n v="0"/>
    <x v="1"/>
    <n v="0"/>
    <n v="0"/>
    <n v="64"/>
    <n v="23"/>
    <n v="0"/>
    <n v="305.62"/>
    <n v="266.70999999999998"/>
    <m/>
    <n v="360.2503276452785"/>
    <n v="197.6895725142987"/>
    <n v="0"/>
    <n v="225.24194"/>
    <n v="196.56526999999997"/>
    <n v="0"/>
    <n v="265.50449147457027"/>
    <n v="145.69721494303815"/>
  </r>
  <r>
    <s v="Regular"/>
    <x v="3"/>
    <x v="2"/>
    <x v="1"/>
    <x v="0"/>
    <x v="1"/>
    <x v="0"/>
    <x v="0"/>
    <x v="2"/>
    <n v="0"/>
    <n v="0"/>
    <n v="0.70199999999999996"/>
    <n v="0.70199999999999996"/>
    <n v="0.70199999999999996"/>
    <n v="0.70199999999999996"/>
    <n v="0"/>
    <x v="1"/>
    <n v="0"/>
    <n v="0"/>
    <n v="64"/>
    <n v="23"/>
    <n v="0"/>
    <n v="305.62"/>
    <n v="266.70999999999998"/>
    <m/>
    <n v="360.2503276452785"/>
    <n v="197.6895725142987"/>
    <n v="0"/>
    <n v="214.54523999999998"/>
    <n v="187.23041999999998"/>
    <n v="0"/>
    <n v="252.8957300069855"/>
    <n v="138.77807990503769"/>
  </r>
  <r>
    <s v="Regular"/>
    <x v="3"/>
    <x v="2"/>
    <x v="1"/>
    <x v="0"/>
    <x v="1"/>
    <x v="0"/>
    <x v="0"/>
    <x v="3"/>
    <n v="0"/>
    <n v="0"/>
    <n v="1.1000000000000001"/>
    <n v="1.1000000000000001"/>
    <n v="1.1000000000000001"/>
    <n v="1.1000000000000001"/>
    <n v="0"/>
    <x v="1"/>
    <n v="0"/>
    <n v="0"/>
    <n v="64"/>
    <n v="23"/>
    <n v="0"/>
    <n v="305.62"/>
    <n v="266.70999999999998"/>
    <m/>
    <n v="360.2503276452785"/>
    <n v="197.6895725142987"/>
    <n v="0"/>
    <n v="336.18200000000002"/>
    <n v="293.38100000000003"/>
    <n v="0"/>
    <n v="396.27536040980641"/>
    <n v="217.4585297657286"/>
  </r>
  <r>
    <s v="Regular"/>
    <x v="3"/>
    <x v="2"/>
    <x v="1"/>
    <x v="0"/>
    <x v="1"/>
    <x v="0"/>
    <x v="0"/>
    <x v="4"/>
    <n v="0"/>
    <n v="0"/>
    <n v="1.31"/>
    <n v="1.31"/>
    <n v="1.31"/>
    <n v="1.31"/>
    <n v="0"/>
    <x v="1"/>
    <n v="0"/>
    <n v="0"/>
    <n v="64"/>
    <n v="23"/>
    <n v="0"/>
    <n v="305.62"/>
    <n v="266.70999999999998"/>
    <m/>
    <n v="360.2503276452785"/>
    <n v="197.6895725142987"/>
    <n v="0"/>
    <n v="400.36220000000003"/>
    <n v="349.39009999999996"/>
    <n v="0"/>
    <n v="471.92792921531486"/>
    <n v="258.97333999373132"/>
  </r>
  <r>
    <s v="Regular"/>
    <x v="3"/>
    <x v="2"/>
    <x v="1"/>
    <x v="0"/>
    <x v="1"/>
    <x v="0"/>
    <x v="0"/>
    <x v="5"/>
    <n v="0"/>
    <n v="0"/>
    <n v="1.37"/>
    <n v="1.37"/>
    <n v="1.37"/>
    <n v="1.37"/>
    <n v="0"/>
    <x v="1"/>
    <n v="0"/>
    <n v="0"/>
    <n v="64"/>
    <n v="23"/>
    <n v="0"/>
    <n v="305.62"/>
    <n v="266.70999999999998"/>
    <m/>
    <n v="360.2503276452785"/>
    <n v="197.6895725142987"/>
    <n v="0"/>
    <n v="418.69940000000003"/>
    <n v="365.39269999999999"/>
    <n v="0"/>
    <n v="493.54294887403159"/>
    <n v="270.83471434458926"/>
  </r>
  <r>
    <s v="Regular"/>
    <x v="3"/>
    <x v="2"/>
    <x v="1"/>
    <x v="0"/>
    <x v="1"/>
    <x v="0"/>
    <x v="0"/>
    <x v="6"/>
    <n v="0"/>
    <n v="0"/>
    <n v="1.2749999999999999"/>
    <n v="1.2749999999999999"/>
    <n v="1.2749999999999999"/>
    <n v="1.2749999999999999"/>
    <n v="0"/>
    <x v="1"/>
    <n v="0"/>
    <n v="0"/>
    <n v="64"/>
    <n v="23"/>
    <n v="0"/>
    <n v="305.62"/>
    <n v="266.70999999999998"/>
    <m/>
    <n v="360.2503276452785"/>
    <n v="197.6895725142987"/>
    <n v="0"/>
    <n v="389.66549999999995"/>
    <n v="340.05524999999994"/>
    <n v="0"/>
    <n v="459.31916774773003"/>
    <n v="252.05420495573082"/>
  </r>
  <r>
    <s v="Regular"/>
    <x v="3"/>
    <x v="2"/>
    <x v="1"/>
    <x v="0"/>
    <x v="1"/>
    <x v="0"/>
    <x v="0"/>
    <x v="7"/>
    <n v="0"/>
    <n v="0"/>
    <n v="1.129"/>
    <n v="1.129"/>
    <n v="1.129"/>
    <n v="1.129"/>
    <n v="0"/>
    <x v="1"/>
    <n v="0"/>
    <n v="0"/>
    <n v="64"/>
    <n v="23"/>
    <n v="0"/>
    <n v="305.62"/>
    <n v="266.70999999999998"/>
    <m/>
    <n v="360.2503276452785"/>
    <n v="197.6895725142987"/>
    <n v="0"/>
    <n v="345.04498000000001"/>
    <n v="301.11559"/>
    <n v="0"/>
    <n v="406.72261991151942"/>
    <n v="223.19152736864325"/>
  </r>
  <r>
    <s v="Regular"/>
    <x v="3"/>
    <x v="2"/>
    <x v="1"/>
    <x v="0"/>
    <x v="1"/>
    <x v="0"/>
    <x v="0"/>
    <x v="8"/>
    <n v="0"/>
    <n v="0"/>
    <n v="0.77100000000000002"/>
    <n v="0.77100000000000002"/>
    <n v="0.77100000000000002"/>
    <n v="0.77100000000000002"/>
    <n v="0"/>
    <x v="1"/>
    <n v="0"/>
    <n v="0"/>
    <n v="64"/>
    <n v="23"/>
    <n v="0"/>
    <n v="305.62"/>
    <n v="266.70999999999998"/>
    <m/>
    <n v="360.2503276452785"/>
    <n v="197.6895725142987"/>
    <n v="0"/>
    <n v="235.63302000000002"/>
    <n v="205.63341"/>
    <n v="0"/>
    <n v="277.75300261450974"/>
    <n v="152.41866040852432"/>
  </r>
  <r>
    <s v="Regular"/>
    <x v="3"/>
    <x v="2"/>
    <x v="1"/>
    <x v="0"/>
    <x v="1"/>
    <x v="0"/>
    <x v="0"/>
    <x v="9"/>
    <n v="0"/>
    <n v="0"/>
    <n v="0.61699999999999999"/>
    <n v="0.61699999999999999"/>
    <n v="0.61699999999999999"/>
    <n v="0.61699999999999999"/>
    <n v="0"/>
    <x v="1"/>
    <n v="0"/>
    <n v="0"/>
    <n v="64"/>
    <n v="23"/>
    <n v="0"/>
    <n v="305.62"/>
    <n v="266.70999999999998"/>
    <m/>
    <n v="360.2503276452785"/>
    <n v="197.6895725142987"/>
    <n v="0"/>
    <n v="188.56754000000001"/>
    <n v="164.56007"/>
    <n v="0"/>
    <n v="222.27445215713684"/>
    <n v="121.9744662413223"/>
  </r>
  <r>
    <s v="Regular"/>
    <x v="3"/>
    <x v="2"/>
    <x v="1"/>
    <x v="0"/>
    <x v="1"/>
    <x v="0"/>
    <x v="0"/>
    <x v="10"/>
    <n v="0"/>
    <n v="0"/>
    <n v="0.443"/>
    <n v="0.443"/>
    <n v="0.443"/>
    <n v="0.443"/>
    <n v="0"/>
    <x v="1"/>
    <n v="0"/>
    <n v="0"/>
    <n v="64"/>
    <n v="23"/>
    <n v="0"/>
    <n v="305.62"/>
    <n v="266.70999999999998"/>
    <m/>
    <n v="360.2503276452785"/>
    <n v="197.6895725142987"/>
    <n v="0"/>
    <n v="135.38965999999999"/>
    <n v="118.15253"/>
    <n v="0"/>
    <n v="159.59089514685837"/>
    <n v="87.576480623834328"/>
  </r>
  <r>
    <s v="PROJETADO"/>
    <x v="3"/>
    <x v="2"/>
    <x v="1"/>
    <x v="0"/>
    <x v="1"/>
    <x v="0"/>
    <x v="0"/>
    <x v="11"/>
    <n v="0"/>
    <n v="0"/>
    <n v="0.443"/>
    <n v="0.443"/>
    <n v="0.443"/>
    <n v="0.443"/>
    <n v="0"/>
    <x v="1"/>
    <n v="0"/>
    <n v="0"/>
    <n v="64"/>
    <n v="23"/>
    <n v="0"/>
    <n v="305.62"/>
    <n v="266.70999999999998"/>
    <m/>
    <n v="360.2503276452785"/>
    <n v="197.6895725142987"/>
    <n v="0"/>
    <n v="135.38965999999999"/>
    <n v="118.15253"/>
    <n v="0"/>
    <n v="159.59089514685837"/>
    <n v="87.576480623834328"/>
  </r>
  <r>
    <s v="Regular"/>
    <x v="3"/>
    <x v="2"/>
    <x v="1"/>
    <x v="0"/>
    <x v="1"/>
    <x v="0"/>
    <x v="3"/>
    <x v="0"/>
    <n v="0"/>
    <n v="0"/>
    <n v="2.5999999999999999E-2"/>
    <n v="2.5999999999999999E-2"/>
    <n v="2.5999999999999999E-2"/>
    <n v="2.5999999999999999E-2"/>
    <n v="0"/>
    <x v="1"/>
    <n v="0"/>
    <n v="0"/>
    <n v="63"/>
    <n v="22"/>
    <n v="0"/>
    <n v="700.84"/>
    <n v="266.70999999999998"/>
    <m/>
    <n v="791.36114171206077"/>
    <n v="197.6895725142987"/>
    <n v="0"/>
    <n v="18.22184"/>
    <n v="6.9344599999999987"/>
    <n v="0"/>
    <n v="20.575389684513578"/>
    <n v="5.1399288853717664"/>
  </r>
  <r>
    <s v="Regular"/>
    <x v="3"/>
    <x v="2"/>
    <x v="1"/>
    <x v="0"/>
    <x v="1"/>
    <x v="0"/>
    <x v="3"/>
    <x v="1"/>
    <n v="0"/>
    <n v="0"/>
    <n v="2.8000000000000001E-2"/>
    <n v="2.8000000000000001E-2"/>
    <n v="2.8000000000000001E-2"/>
    <n v="2.8000000000000001E-2"/>
    <n v="0"/>
    <x v="1"/>
    <n v="0"/>
    <n v="0"/>
    <n v="63"/>
    <n v="22"/>
    <n v="0"/>
    <n v="700.84"/>
    <n v="266.70999999999998"/>
    <m/>
    <n v="791.36114171206077"/>
    <n v="197.6895725142987"/>
    <n v="0"/>
    <n v="19.623520000000003"/>
    <n v="7.4678799999999992"/>
    <n v="0"/>
    <n v="22.158111967937703"/>
    <n v="5.5353080304003637"/>
  </r>
  <r>
    <s v="Regular"/>
    <x v="3"/>
    <x v="2"/>
    <x v="1"/>
    <x v="0"/>
    <x v="1"/>
    <x v="0"/>
    <x v="3"/>
    <x v="2"/>
    <n v="0"/>
    <n v="0"/>
    <n v="3.1E-2"/>
    <n v="3.1E-2"/>
    <n v="3.1E-2"/>
    <n v="3.1E-2"/>
    <n v="0"/>
    <x v="1"/>
    <n v="0"/>
    <n v="0"/>
    <n v="63"/>
    <n v="22"/>
    <n v="0"/>
    <n v="700.84"/>
    <n v="266.70999999999998"/>
    <m/>
    <n v="791.36114171206077"/>
    <n v="197.6895725142987"/>
    <n v="0"/>
    <n v="21.726040000000001"/>
    <n v="8.2680099999999985"/>
    <n v="0"/>
    <n v="24.532195393073884"/>
    <n v="6.1283767479432596"/>
  </r>
  <r>
    <s v="Regular"/>
    <x v="3"/>
    <x v="2"/>
    <x v="1"/>
    <x v="0"/>
    <x v="1"/>
    <x v="0"/>
    <x v="3"/>
    <x v="3"/>
    <n v="0"/>
    <n v="0"/>
    <n v="4.8000000000000001E-2"/>
    <n v="4.8000000000000001E-2"/>
    <n v="4.8000000000000001E-2"/>
    <n v="4.8000000000000001E-2"/>
    <n v="0"/>
    <x v="1"/>
    <n v="0"/>
    <n v="0"/>
    <n v="63"/>
    <n v="22"/>
    <n v="0"/>
    <n v="700.84"/>
    <n v="266.70999999999998"/>
    <m/>
    <n v="791.36114171206077"/>
    <n v="197.6895725142987"/>
    <n v="0"/>
    <n v="33.640320000000003"/>
    <n v="12.80208"/>
    <n v="0"/>
    <n v="37.985334802178919"/>
    <n v="9.4890994806863382"/>
  </r>
  <r>
    <s v="Regular"/>
    <x v="3"/>
    <x v="2"/>
    <x v="1"/>
    <x v="0"/>
    <x v="1"/>
    <x v="0"/>
    <x v="3"/>
    <x v="4"/>
    <n v="0"/>
    <n v="0"/>
    <n v="4.9000000000000002E-2"/>
    <n v="4.9000000000000002E-2"/>
    <n v="4.9000000000000002E-2"/>
    <n v="4.9000000000000002E-2"/>
    <n v="0"/>
    <x v="1"/>
    <n v="0"/>
    <n v="0"/>
    <n v="63"/>
    <n v="22"/>
    <n v="0"/>
    <n v="700.84"/>
    <n v="266.70999999999998"/>
    <m/>
    <n v="791.36114171206077"/>
    <n v="197.6895725142987"/>
    <n v="0"/>
    <n v="34.341160000000002"/>
    <n v="13.06879"/>
    <n v="0"/>
    <n v="38.776695943890978"/>
    <n v="9.686789053200636"/>
  </r>
  <r>
    <s v="Regular"/>
    <x v="3"/>
    <x v="2"/>
    <x v="1"/>
    <x v="0"/>
    <x v="1"/>
    <x v="0"/>
    <x v="3"/>
    <x v="5"/>
    <n v="0"/>
    <n v="0"/>
    <n v="4.1000000000000002E-2"/>
    <n v="4.1000000000000002E-2"/>
    <n v="4.1000000000000002E-2"/>
    <n v="4.1000000000000002E-2"/>
    <n v="0"/>
    <x v="1"/>
    <n v="0"/>
    <n v="0"/>
    <n v="63"/>
    <n v="22"/>
    <n v="0"/>
    <n v="700.84"/>
    <n v="266.70999999999998"/>
    <m/>
    <n v="791.36114171206077"/>
    <n v="197.6895725142987"/>
    <n v="0"/>
    <n v="28.734440000000003"/>
    <n v="10.93511"/>
    <n v="0"/>
    <n v="32.44580681019449"/>
    <n v="8.1052724730862469"/>
  </r>
  <r>
    <s v="Regular"/>
    <x v="3"/>
    <x v="2"/>
    <x v="1"/>
    <x v="0"/>
    <x v="1"/>
    <x v="0"/>
    <x v="3"/>
    <x v="6"/>
    <n v="0"/>
    <n v="0"/>
    <n v="6.4000000000000001E-2"/>
    <n v="6.4000000000000001E-2"/>
    <n v="6.4000000000000001E-2"/>
    <n v="6.4000000000000001E-2"/>
    <n v="0"/>
    <x v="1"/>
    <n v="0"/>
    <n v="0"/>
    <n v="63"/>
    <n v="22"/>
    <n v="0"/>
    <n v="700.84"/>
    <n v="266.70999999999998"/>
    <m/>
    <n v="791.36114171206077"/>
    <n v="197.6895725142987"/>
    <n v="0"/>
    <n v="44.853760000000001"/>
    <n v="17.06944"/>
    <n v="0"/>
    <n v="50.647113069571887"/>
    <n v="12.652132640915116"/>
  </r>
  <r>
    <s v="Regular"/>
    <x v="3"/>
    <x v="2"/>
    <x v="1"/>
    <x v="0"/>
    <x v="1"/>
    <x v="0"/>
    <x v="3"/>
    <x v="7"/>
    <n v="0"/>
    <n v="0"/>
    <n v="4.3999999999999997E-2"/>
    <n v="4.3999999999999997E-2"/>
    <n v="4.3999999999999997E-2"/>
    <n v="4.3999999999999997E-2"/>
    <n v="0"/>
    <x v="1"/>
    <n v="0"/>
    <n v="0"/>
    <n v="63"/>
    <n v="22"/>
    <n v="0"/>
    <n v="700.84"/>
    <n v="266.70999999999998"/>
    <m/>
    <n v="791.36114171206077"/>
    <n v="197.6895725142987"/>
    <n v="0"/>
    <n v="30.836960000000001"/>
    <n v="11.735239999999999"/>
    <n v="0"/>
    <n v="34.819890235330675"/>
    <n v="8.6983411906291419"/>
  </r>
  <r>
    <s v="Regular"/>
    <x v="3"/>
    <x v="2"/>
    <x v="1"/>
    <x v="0"/>
    <x v="1"/>
    <x v="0"/>
    <x v="3"/>
    <x v="8"/>
    <n v="0"/>
    <n v="0"/>
    <n v="3.6999999999999998E-2"/>
    <n v="3.6999999999999998E-2"/>
    <n v="3.6999999999999998E-2"/>
    <n v="3.6999999999999998E-2"/>
    <n v="0"/>
    <x v="1"/>
    <n v="0"/>
    <n v="0"/>
    <n v="63"/>
    <n v="22"/>
    <n v="0"/>
    <n v="700.84"/>
    <n v="266.70999999999998"/>
    <m/>
    <n v="791.36114171206077"/>
    <n v="197.6895725142987"/>
    <n v="0"/>
    <n v="25.931080000000001"/>
    <n v="9.868269999999999"/>
    <n v="0"/>
    <n v="29.280362243346246"/>
    <n v="7.3145141830290514"/>
  </r>
  <r>
    <s v="Regular"/>
    <x v="3"/>
    <x v="2"/>
    <x v="1"/>
    <x v="0"/>
    <x v="1"/>
    <x v="0"/>
    <x v="3"/>
    <x v="9"/>
    <n v="0"/>
    <n v="0"/>
    <n v="3.5000000000000003E-2"/>
    <n v="3.5000000000000003E-2"/>
    <n v="3.5000000000000003E-2"/>
    <n v="3.5000000000000003E-2"/>
    <n v="0"/>
    <x v="1"/>
    <n v="0"/>
    <n v="0"/>
    <n v="63"/>
    <n v="22"/>
    <n v="0"/>
    <n v="700.84"/>
    <n v="266.70999999999998"/>
    <m/>
    <n v="791.36114171206077"/>
    <n v="197.6895725142987"/>
    <n v="0"/>
    <n v="24.529400000000003"/>
    <n v="9.3348499999999994"/>
    <n v="0"/>
    <n v="27.697639959922128"/>
    <n v="6.919135038000455"/>
  </r>
  <r>
    <s v="Regular"/>
    <x v="3"/>
    <x v="2"/>
    <x v="1"/>
    <x v="0"/>
    <x v="1"/>
    <x v="0"/>
    <x v="3"/>
    <x v="10"/>
    <n v="0"/>
    <n v="0"/>
    <n v="2.8000000000000001E-2"/>
    <n v="2.8000000000000001E-2"/>
    <n v="2.8000000000000001E-2"/>
    <n v="2.8000000000000001E-2"/>
    <n v="0"/>
    <x v="1"/>
    <n v="0"/>
    <n v="0"/>
    <n v="63"/>
    <n v="22"/>
    <n v="0"/>
    <n v="700.84"/>
    <n v="266.70999999999998"/>
    <m/>
    <n v="791.36114171206077"/>
    <n v="197.6895725142987"/>
    <n v="0"/>
    <n v="19.623520000000003"/>
    <n v="7.4678799999999992"/>
    <n v="0"/>
    <n v="22.158111967937703"/>
    <n v="5.5353080304003637"/>
  </r>
  <r>
    <s v="PROJETADO"/>
    <x v="3"/>
    <x v="2"/>
    <x v="1"/>
    <x v="0"/>
    <x v="1"/>
    <x v="0"/>
    <x v="3"/>
    <x v="11"/>
    <n v="0"/>
    <n v="0"/>
    <n v="2.8000000000000001E-2"/>
    <n v="2.8000000000000001E-2"/>
    <n v="2.8000000000000001E-2"/>
    <n v="2.8000000000000001E-2"/>
    <n v="0"/>
    <x v="1"/>
    <n v="0"/>
    <n v="0"/>
    <n v="63"/>
    <n v="22"/>
    <n v="0"/>
    <n v="700.84"/>
    <n v="266.70999999999998"/>
    <m/>
    <n v="791.36114171206077"/>
    <n v="197.6895725142987"/>
    <n v="0"/>
    <n v="19.623520000000003"/>
    <n v="7.4678799999999992"/>
    <n v="0"/>
    <n v="22.158111967937703"/>
    <n v="5.5353080304003637"/>
  </r>
  <r>
    <s v="Regular"/>
    <x v="3"/>
    <x v="2"/>
    <x v="1"/>
    <x v="0"/>
    <x v="1"/>
    <x v="0"/>
    <x v="2"/>
    <x v="0"/>
    <n v="0"/>
    <n v="0"/>
    <n v="2.9000000000000001E-2"/>
    <n v="2.9000000000000001E-2"/>
    <n v="2.9000000000000001E-2"/>
    <n v="2.9000000000000001E-2"/>
    <n v="0"/>
    <x v="1"/>
    <n v="0"/>
    <n v="0"/>
    <n v="62"/>
    <n v="20"/>
    <n v="0"/>
    <n v="1096.05"/>
    <n v="434.95"/>
    <m/>
    <n v="1222.4720807627414"/>
    <n v="316.97983140624547"/>
    <n v="0"/>
    <n v="31.785450000000001"/>
    <n v="12.61355"/>
    <n v="0"/>
    <n v="35.451690342119498"/>
    <n v="9.1924151107811198"/>
  </r>
  <r>
    <s v="Regular"/>
    <x v="3"/>
    <x v="2"/>
    <x v="1"/>
    <x v="0"/>
    <x v="1"/>
    <x v="0"/>
    <x v="2"/>
    <x v="1"/>
    <n v="0"/>
    <n v="0"/>
    <n v="2.9000000000000001E-2"/>
    <n v="2.9000000000000001E-2"/>
    <n v="2.9000000000000001E-2"/>
    <n v="2.9000000000000001E-2"/>
    <n v="0"/>
    <x v="1"/>
    <n v="0"/>
    <n v="0"/>
    <n v="62"/>
    <n v="20"/>
    <n v="0"/>
    <n v="1096.05"/>
    <n v="434.95"/>
    <m/>
    <n v="1222.4720807627414"/>
    <n v="316.97983140624547"/>
    <n v="0"/>
    <n v="31.785450000000001"/>
    <n v="12.61355"/>
    <n v="0"/>
    <n v="35.451690342119498"/>
    <n v="9.1924151107811198"/>
  </r>
  <r>
    <s v="Regular"/>
    <x v="3"/>
    <x v="2"/>
    <x v="1"/>
    <x v="0"/>
    <x v="1"/>
    <x v="0"/>
    <x v="2"/>
    <x v="2"/>
    <n v="0"/>
    <n v="0"/>
    <n v="2.5000000000000001E-2"/>
    <n v="2.5000000000000001E-2"/>
    <n v="2.5000000000000001E-2"/>
    <n v="2.5000000000000001E-2"/>
    <n v="0"/>
    <x v="1"/>
    <n v="0"/>
    <n v="0"/>
    <n v="62"/>
    <n v="20"/>
    <n v="0"/>
    <n v="1096.05"/>
    <n v="434.95"/>
    <m/>
    <n v="1222.4720807627414"/>
    <n v="316.97983140624547"/>
    <n v="0"/>
    <n v="27.401250000000001"/>
    <n v="10.873750000000001"/>
    <n v="0"/>
    <n v="30.561802019068537"/>
    <n v="7.9244957851561368"/>
  </r>
  <r>
    <s v="Regular"/>
    <x v="3"/>
    <x v="2"/>
    <x v="1"/>
    <x v="0"/>
    <x v="1"/>
    <x v="0"/>
    <x v="2"/>
    <x v="3"/>
    <n v="0"/>
    <n v="0"/>
    <n v="2.5000000000000001E-2"/>
    <n v="2.5000000000000001E-2"/>
    <n v="2.5000000000000001E-2"/>
    <n v="2.5000000000000001E-2"/>
    <n v="0"/>
    <x v="1"/>
    <n v="0"/>
    <n v="0"/>
    <n v="62"/>
    <n v="20"/>
    <n v="0"/>
    <n v="1096.05"/>
    <n v="434.95"/>
    <m/>
    <n v="1222.4720807627414"/>
    <n v="316.97983140624547"/>
    <n v="0"/>
    <n v="27.401250000000001"/>
    <n v="10.873750000000001"/>
    <n v="0"/>
    <n v="30.561802019068537"/>
    <n v="7.9244957851561368"/>
  </r>
  <r>
    <s v="Regular"/>
    <x v="3"/>
    <x v="2"/>
    <x v="1"/>
    <x v="0"/>
    <x v="1"/>
    <x v="0"/>
    <x v="2"/>
    <x v="4"/>
    <n v="0"/>
    <n v="0"/>
    <n v="3.1E-2"/>
    <n v="3.1E-2"/>
    <n v="3.1E-2"/>
    <n v="3.1E-2"/>
    <n v="0"/>
    <x v="1"/>
    <n v="0"/>
    <n v="0"/>
    <n v="62"/>
    <n v="20"/>
    <n v="0"/>
    <n v="1096.05"/>
    <n v="434.95"/>
    <m/>
    <n v="1222.4720807627414"/>
    <n v="316.97983140624547"/>
    <n v="0"/>
    <n v="33.977550000000001"/>
    <n v="13.483449999999999"/>
    <n v="0"/>
    <n v="37.896634503644982"/>
    <n v="9.82637477359361"/>
  </r>
  <r>
    <s v="Regular"/>
    <x v="3"/>
    <x v="2"/>
    <x v="1"/>
    <x v="0"/>
    <x v="1"/>
    <x v="0"/>
    <x v="2"/>
    <x v="5"/>
    <n v="0"/>
    <n v="0"/>
    <n v="0.03"/>
    <n v="0.03"/>
    <n v="0.03"/>
    <n v="0.03"/>
    <n v="0"/>
    <x v="1"/>
    <n v="0"/>
    <n v="0"/>
    <n v="62"/>
    <n v="20"/>
    <n v="0"/>
    <n v="1096.05"/>
    <n v="434.95"/>
    <m/>
    <n v="1222.4720807627414"/>
    <n v="316.97983140624547"/>
    <n v="0"/>
    <n v="32.881499999999996"/>
    <n v="13.048499999999999"/>
    <n v="0"/>
    <n v="36.67416242288224"/>
    <n v="9.5093949421873631"/>
  </r>
  <r>
    <s v="Regular"/>
    <x v="3"/>
    <x v="2"/>
    <x v="1"/>
    <x v="0"/>
    <x v="1"/>
    <x v="0"/>
    <x v="2"/>
    <x v="6"/>
    <n v="0"/>
    <n v="0"/>
    <n v="3.6999999999999998E-2"/>
    <n v="3.6999999999999998E-2"/>
    <n v="3.6999999999999998E-2"/>
    <n v="3.6999999999999998E-2"/>
    <n v="0"/>
    <x v="1"/>
    <n v="0"/>
    <n v="0"/>
    <n v="62"/>
    <n v="20"/>
    <n v="0"/>
    <n v="1096.05"/>
    <n v="434.95"/>
    <m/>
    <n v="1222.4720807627414"/>
    <n v="316.97983140624547"/>
    <n v="0"/>
    <n v="40.553849999999997"/>
    <n v="16.093149999999998"/>
    <n v="0"/>
    <n v="45.231466988221428"/>
    <n v="11.728253762031082"/>
  </r>
  <r>
    <s v="Regular"/>
    <x v="3"/>
    <x v="2"/>
    <x v="1"/>
    <x v="0"/>
    <x v="1"/>
    <x v="0"/>
    <x v="2"/>
    <x v="7"/>
    <n v="0"/>
    <n v="0"/>
    <n v="2.5999999999999999E-2"/>
    <n v="2.5999999999999999E-2"/>
    <n v="2.5999999999999999E-2"/>
    <n v="2.5999999999999999E-2"/>
    <n v="0"/>
    <x v="1"/>
    <n v="0"/>
    <n v="0"/>
    <n v="62"/>
    <n v="20"/>
    <n v="0"/>
    <n v="1096.05"/>
    <n v="434.95"/>
    <m/>
    <n v="1222.4720807627414"/>
    <n v="316.97983140624547"/>
    <n v="0"/>
    <n v="28.497299999999999"/>
    <n v="11.3087"/>
    <n v="0"/>
    <n v="31.784274099831276"/>
    <n v="8.241475616562381"/>
  </r>
  <r>
    <s v="Regular"/>
    <x v="3"/>
    <x v="2"/>
    <x v="1"/>
    <x v="0"/>
    <x v="1"/>
    <x v="0"/>
    <x v="2"/>
    <x v="8"/>
    <n v="0"/>
    <n v="0"/>
    <n v="2.4E-2"/>
    <n v="2.4E-2"/>
    <n v="2.4E-2"/>
    <n v="2.4E-2"/>
    <n v="0"/>
    <x v="1"/>
    <n v="0"/>
    <n v="0"/>
    <n v="62"/>
    <n v="20"/>
    <n v="0"/>
    <n v="1096.05"/>
    <n v="434.95"/>
    <m/>
    <n v="1222.4720807627414"/>
    <n v="316.97983140624547"/>
    <n v="0"/>
    <n v="26.305199999999999"/>
    <n v="10.438800000000001"/>
    <n v="0"/>
    <n v="29.339329938305795"/>
    <n v="7.6075159537498918"/>
  </r>
  <r>
    <s v="Regular"/>
    <x v="3"/>
    <x v="2"/>
    <x v="1"/>
    <x v="0"/>
    <x v="1"/>
    <x v="0"/>
    <x v="2"/>
    <x v="9"/>
    <n v="0"/>
    <n v="0"/>
    <n v="2.5999999999999999E-2"/>
    <n v="2.5999999999999999E-2"/>
    <n v="2.5999999999999999E-2"/>
    <n v="2.5999999999999999E-2"/>
    <n v="0"/>
    <x v="1"/>
    <n v="0"/>
    <n v="0"/>
    <n v="62"/>
    <n v="20"/>
    <n v="0"/>
    <n v="1096.05"/>
    <n v="434.95"/>
    <m/>
    <n v="1222.4720807627414"/>
    <n v="316.97983140624547"/>
    <n v="0"/>
    <n v="28.497299999999999"/>
    <n v="11.3087"/>
    <n v="0"/>
    <n v="31.784274099831276"/>
    <n v="8.241475616562381"/>
  </r>
  <r>
    <s v="Regular"/>
    <x v="3"/>
    <x v="2"/>
    <x v="1"/>
    <x v="0"/>
    <x v="1"/>
    <x v="0"/>
    <x v="2"/>
    <x v="10"/>
    <n v="0"/>
    <n v="0"/>
    <n v="2.7E-2"/>
    <n v="2.7E-2"/>
    <n v="2.7E-2"/>
    <n v="2.7E-2"/>
    <n v="0"/>
    <x v="1"/>
    <n v="0"/>
    <n v="0"/>
    <n v="62"/>
    <n v="20"/>
    <n v="0"/>
    <n v="1096.05"/>
    <n v="434.95"/>
    <m/>
    <n v="1222.4720807627414"/>
    <n v="316.97983140624547"/>
    <n v="0"/>
    <n v="29.593349999999997"/>
    <n v="11.743649999999999"/>
    <n v="0"/>
    <n v="33.006746180594014"/>
    <n v="8.5584554479686279"/>
  </r>
  <r>
    <s v="PROJETADO"/>
    <x v="3"/>
    <x v="2"/>
    <x v="1"/>
    <x v="0"/>
    <x v="1"/>
    <x v="0"/>
    <x v="2"/>
    <x v="11"/>
    <n v="0"/>
    <n v="0"/>
    <n v="2.7E-2"/>
    <n v="2.7E-2"/>
    <n v="2.7E-2"/>
    <n v="2.7E-2"/>
    <n v="0"/>
    <x v="1"/>
    <n v="0"/>
    <n v="0"/>
    <n v="62"/>
    <n v="20"/>
    <n v="0"/>
    <n v="1096.05"/>
    <n v="434.95"/>
    <m/>
    <n v="1222.4720807627414"/>
    <n v="316.97983140624547"/>
    <n v="0"/>
    <n v="29.593349999999997"/>
    <n v="11.743649999999999"/>
    <n v="0"/>
    <n v="33.006746180594014"/>
    <n v="8.5584554479686279"/>
  </r>
  <r>
    <s v="Regular"/>
    <x v="3"/>
    <x v="3"/>
    <x v="1"/>
    <x v="0"/>
    <x v="1"/>
    <x v="0"/>
    <x v="1"/>
    <x v="0"/>
    <n v="0"/>
    <n v="0"/>
    <n v="292.185"/>
    <n v="292.185"/>
    <n v="292.185"/>
    <n v="292.185"/>
    <n v="728"/>
    <x v="1"/>
    <n v="0"/>
    <n v="0"/>
    <n v="65"/>
    <n v="25"/>
    <n v="0"/>
    <n v="407.42"/>
    <n v="280.73"/>
    <m/>
    <n v="471.29409075882518"/>
    <n v="207.63042742196092"/>
    <n v="0"/>
    <n v="119042.01270000001"/>
    <n v="82025.095050000004"/>
    <n v="0"/>
    <n v="137705.06390836733"/>
    <n v="60666.496436285648"/>
  </r>
  <r>
    <s v="Sistema de Compensação"/>
    <x v="3"/>
    <x v="3"/>
    <x v="1"/>
    <x v="0"/>
    <x v="1"/>
    <x v="0"/>
    <x v="1"/>
    <x v="0"/>
    <n v="0"/>
    <n v="0"/>
    <n v="13.595000000000001"/>
    <n v="13.595000000000001"/>
    <n v="13.595000000000001"/>
    <n v="13.595000000000001"/>
    <n v="62"/>
    <x v="1"/>
    <n v="0"/>
    <n v="0"/>
    <n v="65"/>
    <n v="25"/>
    <n v="0"/>
    <n v="407.42"/>
    <n v="280.73"/>
    <m/>
    <n v="471.29409075882518"/>
    <n v="207.63042742196092"/>
    <n v="0"/>
    <n v="5538.8749000000007"/>
    <n v="3816.5243500000006"/>
    <n v="0"/>
    <n v="6407.2431638662283"/>
    <n v="2822.7356608015589"/>
  </r>
  <r>
    <s v="Regular"/>
    <x v="3"/>
    <x v="3"/>
    <x v="1"/>
    <x v="0"/>
    <x v="1"/>
    <x v="0"/>
    <x v="1"/>
    <x v="1"/>
    <n v="0"/>
    <n v="0"/>
    <n v="319.61500000000001"/>
    <n v="319.61500000000001"/>
    <n v="319.61500000000001"/>
    <n v="319.61500000000001"/>
    <n v="730"/>
    <x v="1"/>
    <n v="0"/>
    <n v="0"/>
    <n v="65"/>
    <n v="25"/>
    <n v="0"/>
    <n v="407.42"/>
    <n v="280.73"/>
    <m/>
    <n v="471.29409075882518"/>
    <n v="207.63042742196092"/>
    <n v="0"/>
    <n v="130217.5433"/>
    <n v="89725.518950000012"/>
    <n v="0"/>
    <n v="150632.6608178819"/>
    <n v="66361.799060470046"/>
  </r>
  <r>
    <s v="Sistema de Compensação"/>
    <x v="3"/>
    <x v="3"/>
    <x v="1"/>
    <x v="0"/>
    <x v="1"/>
    <x v="0"/>
    <x v="1"/>
    <x v="1"/>
    <n v="0"/>
    <n v="0"/>
    <n v="11.760999999999999"/>
    <n v="11.760999999999999"/>
    <n v="11.760999999999999"/>
    <n v="11.760999999999999"/>
    <n v="63"/>
    <x v="1"/>
    <n v="0"/>
    <n v="0"/>
    <n v="65"/>
    <n v="25"/>
    <n v="0"/>
    <n v="407.42"/>
    <n v="280.73"/>
    <m/>
    <n v="471.29409075882518"/>
    <n v="207.63042742196092"/>
    <n v="0"/>
    <n v="4791.66662"/>
    <n v="3301.6655300000002"/>
    <n v="0"/>
    <n v="5542.8898014145425"/>
    <n v="2441.9414569096821"/>
  </r>
  <r>
    <s v="Regular"/>
    <x v="3"/>
    <x v="3"/>
    <x v="1"/>
    <x v="0"/>
    <x v="1"/>
    <x v="0"/>
    <x v="1"/>
    <x v="2"/>
    <n v="0"/>
    <n v="0"/>
    <n v="290.27999999999997"/>
    <n v="290.27999999999997"/>
    <n v="290.27999999999997"/>
    <n v="290.27999999999997"/>
    <n v="724"/>
    <x v="1"/>
    <n v="0"/>
    <n v="0"/>
    <n v="65"/>
    <n v="25"/>
    <n v="0"/>
    <n v="407.42"/>
    <n v="280.73"/>
    <m/>
    <n v="471.29409075882518"/>
    <n v="207.63042742196092"/>
    <n v="0"/>
    <n v="118265.87759999999"/>
    <n v="81490.304399999994"/>
    <n v="0"/>
    <n v="136807.24866547176"/>
    <n v="60270.960472046812"/>
  </r>
  <r>
    <s v="Sistema de Compensação"/>
    <x v="3"/>
    <x v="3"/>
    <x v="1"/>
    <x v="0"/>
    <x v="1"/>
    <x v="0"/>
    <x v="1"/>
    <x v="2"/>
    <n v="0"/>
    <n v="0"/>
    <n v="16.209"/>
    <n v="16.209"/>
    <n v="16.209"/>
    <n v="16.209"/>
    <n v="68"/>
    <x v="1"/>
    <n v="0"/>
    <n v="0"/>
    <n v="65"/>
    <n v="25"/>
    <n v="0"/>
    <n v="407.42"/>
    <n v="280.73"/>
    <m/>
    <n v="471.29409075882518"/>
    <n v="207.63042742196092"/>
    <n v="0"/>
    <n v="6603.8707800000002"/>
    <n v="4550.35257"/>
    <n v="0"/>
    <n v="7639.2059171097972"/>
    <n v="3365.4815980825642"/>
  </r>
  <r>
    <s v="Regular"/>
    <x v="3"/>
    <x v="3"/>
    <x v="1"/>
    <x v="0"/>
    <x v="1"/>
    <x v="0"/>
    <x v="1"/>
    <x v="3"/>
    <n v="0"/>
    <n v="0"/>
    <n v="354.77800000000002"/>
    <n v="354.77800000000002"/>
    <n v="354.77800000000002"/>
    <n v="354.77800000000002"/>
    <n v="724"/>
    <x v="1"/>
    <n v="0"/>
    <n v="0"/>
    <n v="65"/>
    <n v="25"/>
    <n v="0"/>
    <n v="407.42"/>
    <n v="280.73"/>
    <m/>
    <n v="471.29409075882518"/>
    <n v="207.63042742196092"/>
    <n v="0"/>
    <n v="144543.65276000003"/>
    <n v="99596.827940000017"/>
    <n v="0"/>
    <n v="167204.77493123448"/>
    <n v="73662.707779908451"/>
  </r>
  <r>
    <s v="Sistema de Compensação"/>
    <x v="3"/>
    <x v="3"/>
    <x v="1"/>
    <x v="0"/>
    <x v="1"/>
    <x v="0"/>
    <x v="1"/>
    <x v="3"/>
    <n v="0"/>
    <n v="0"/>
    <n v="12.118"/>
    <n v="12.118"/>
    <n v="12.118"/>
    <n v="12.118"/>
    <n v="71"/>
    <x v="1"/>
    <n v="0"/>
    <n v="0"/>
    <n v="65"/>
    <n v="25"/>
    <n v="0"/>
    <n v="407.42"/>
    <n v="280.73"/>
    <m/>
    <n v="471.29409075882518"/>
    <n v="207.63042742196092"/>
    <n v="0"/>
    <n v="4937.1155600000002"/>
    <n v="3401.8861400000005"/>
    <n v="0"/>
    <n v="5711.1417918154439"/>
    <n v="2516.0655194993224"/>
  </r>
  <r>
    <s v="Regular"/>
    <x v="3"/>
    <x v="3"/>
    <x v="1"/>
    <x v="0"/>
    <x v="1"/>
    <x v="0"/>
    <x v="1"/>
    <x v="4"/>
    <n v="0"/>
    <n v="0"/>
    <n v="393.10399999999998"/>
    <n v="393.10399999999998"/>
    <n v="393.10399999999998"/>
    <n v="393.10399999999998"/>
    <n v="724"/>
    <x v="1"/>
    <n v="0"/>
    <n v="0"/>
    <n v="65"/>
    <n v="25"/>
    <n v="0"/>
    <n v="407.42"/>
    <n v="280.73"/>
    <m/>
    <n v="471.29409075882518"/>
    <n v="207.63042742196092"/>
    <n v="0"/>
    <n v="160158.43168000001"/>
    <n v="110356.08592"/>
    <n v="0"/>
    <n v="185267.5922536572"/>
    <n v="81620.351541282522"/>
  </r>
  <r>
    <s v="Sistema de Compensação"/>
    <x v="3"/>
    <x v="3"/>
    <x v="1"/>
    <x v="0"/>
    <x v="1"/>
    <x v="0"/>
    <x v="1"/>
    <x v="4"/>
    <n v="0"/>
    <n v="0"/>
    <n v="15.016"/>
    <n v="15.016"/>
    <n v="15.016"/>
    <n v="15.016"/>
    <n v="74"/>
    <x v="1"/>
    <n v="0"/>
    <n v="0"/>
    <n v="65"/>
    <n v="25"/>
    <n v="0"/>
    <n v="407.42"/>
    <n v="280.73"/>
    <m/>
    <n v="471.29409075882518"/>
    <n v="207.63042742196092"/>
    <n v="0"/>
    <n v="6117.8187200000002"/>
    <n v="4215.4416799999999"/>
    <n v="0"/>
    <n v="7076.9520668345185"/>
    <n v="3117.7784981681652"/>
  </r>
  <r>
    <s v="Regular"/>
    <x v="3"/>
    <x v="3"/>
    <x v="1"/>
    <x v="0"/>
    <x v="1"/>
    <x v="0"/>
    <x v="1"/>
    <x v="5"/>
    <n v="0"/>
    <n v="0"/>
    <n v="376.59699999999998"/>
    <n v="376.59699999999998"/>
    <n v="376.59699999999998"/>
    <n v="376.59699999999998"/>
    <n v="721"/>
    <x v="1"/>
    <n v="0"/>
    <n v="0"/>
    <n v="65"/>
    <n v="25"/>
    <n v="0"/>
    <n v="407.42"/>
    <n v="280.73"/>
    <m/>
    <n v="471.29409075882518"/>
    <n v="207.63042742196092"/>
    <n v="0"/>
    <n v="153433.14973999999"/>
    <n v="105722.07580999999"/>
    <n v="0"/>
    <n v="177487.94069750127"/>
    <n v="78192.99607582821"/>
  </r>
  <r>
    <s v="Sistema de Compensação"/>
    <x v="3"/>
    <x v="3"/>
    <x v="1"/>
    <x v="0"/>
    <x v="1"/>
    <x v="0"/>
    <x v="1"/>
    <x v="5"/>
    <n v="0"/>
    <n v="0"/>
    <n v="14.444000000000001"/>
    <n v="14.444000000000001"/>
    <n v="14.444000000000001"/>
    <n v="14.444000000000001"/>
    <n v="75"/>
    <x v="1"/>
    <n v="0"/>
    <n v="0"/>
    <n v="65"/>
    <n v="25"/>
    <n v="0"/>
    <n v="407.42"/>
    <n v="280.73"/>
    <m/>
    <n v="471.29409075882518"/>
    <n v="207.63042742196092"/>
    <n v="0"/>
    <n v="5884.7744800000009"/>
    <n v="4054.8641200000006"/>
    <n v="0"/>
    <n v="6807.3718469204714"/>
    <n v="2999.0138936828039"/>
  </r>
  <r>
    <s v="Regular"/>
    <x v="3"/>
    <x v="3"/>
    <x v="1"/>
    <x v="0"/>
    <x v="1"/>
    <x v="0"/>
    <x v="1"/>
    <x v="6"/>
    <n v="0"/>
    <n v="0"/>
    <n v="345.58699999999999"/>
    <n v="345.58699999999999"/>
    <n v="345.58699999999999"/>
    <n v="345.58699999999999"/>
    <n v="720"/>
    <x v="1"/>
    <n v="0"/>
    <n v="0"/>
    <n v="65"/>
    <n v="25"/>
    <n v="0"/>
    <n v="407.42"/>
    <n v="280.73"/>
    <m/>
    <n v="471.29409075882518"/>
    <n v="207.63042742196092"/>
    <n v="0"/>
    <n v="140799.05554"/>
    <n v="97016.638510000004"/>
    <n v="0"/>
    <n v="162873.11094307012"/>
    <n v="71754.376521473212"/>
  </r>
  <r>
    <s v="Sistema de Compensação"/>
    <x v="3"/>
    <x v="3"/>
    <x v="1"/>
    <x v="0"/>
    <x v="1"/>
    <x v="0"/>
    <x v="1"/>
    <x v="6"/>
    <n v="0"/>
    <n v="0"/>
    <n v="17.829000000000001"/>
    <n v="17.829000000000001"/>
    <n v="17.829000000000001"/>
    <n v="17.829000000000001"/>
    <n v="76"/>
    <x v="1"/>
    <n v="0"/>
    <n v="0"/>
    <n v="65"/>
    <n v="25"/>
    <n v="0"/>
    <n v="407.42"/>
    <n v="280.73"/>
    <m/>
    <n v="471.29409075882518"/>
    <n v="207.63042742196092"/>
    <n v="0"/>
    <n v="7263.8911800000005"/>
    <n v="5005.1351700000005"/>
    <n v="0"/>
    <n v="8402.7023441390938"/>
    <n v="3701.8428905061414"/>
  </r>
  <r>
    <s v="Regular"/>
    <x v="3"/>
    <x v="3"/>
    <x v="1"/>
    <x v="0"/>
    <x v="1"/>
    <x v="0"/>
    <x v="1"/>
    <x v="7"/>
    <n v="0"/>
    <n v="0"/>
    <n v="361.27199999999999"/>
    <n v="361.27199999999999"/>
    <n v="361.27199999999999"/>
    <n v="361.27199999999999"/>
    <n v="720"/>
    <x v="1"/>
    <n v="0"/>
    <n v="0"/>
    <n v="65"/>
    <n v="25"/>
    <n v="0"/>
    <n v="407.42"/>
    <n v="280.73"/>
    <m/>
    <n v="471.29409075882518"/>
    <n v="207.63042742196092"/>
    <n v="0"/>
    <n v="147189.43823999999"/>
    <n v="101419.88856000001"/>
    <n v="0"/>
    <n v="170265.3587566223"/>
    <n v="75011.059775586662"/>
  </r>
  <r>
    <s v="Sistema de Compensação"/>
    <x v="3"/>
    <x v="3"/>
    <x v="1"/>
    <x v="0"/>
    <x v="1"/>
    <x v="0"/>
    <x v="1"/>
    <x v="7"/>
    <n v="0"/>
    <n v="0"/>
    <n v="28.901"/>
    <n v="28.901"/>
    <n v="28.901"/>
    <n v="28.901"/>
    <n v="82"/>
    <x v="1"/>
    <n v="0"/>
    <n v="0"/>
    <n v="65"/>
    <n v="25"/>
    <n v="0"/>
    <n v="407.42"/>
    <n v="280.73"/>
    <m/>
    <n v="471.29409075882518"/>
    <n v="207.63042742196092"/>
    <n v="0"/>
    <n v="11774.84542"/>
    <n v="8113.3777300000002"/>
    <n v="0"/>
    <n v="13620.870517020807"/>
    <n v="6000.7269829220922"/>
  </r>
  <r>
    <s v="Regular"/>
    <x v="3"/>
    <x v="3"/>
    <x v="1"/>
    <x v="0"/>
    <x v="1"/>
    <x v="0"/>
    <x v="1"/>
    <x v="8"/>
    <n v="0"/>
    <n v="0"/>
    <n v="283.11"/>
    <n v="283.11"/>
    <n v="283.11"/>
    <n v="283.11"/>
    <n v="726"/>
    <x v="1"/>
    <n v="0"/>
    <n v="0"/>
    <n v="65"/>
    <n v="25"/>
    <n v="0"/>
    <n v="407.42"/>
    <n v="280.73"/>
    <m/>
    <n v="471.29409075882518"/>
    <n v="207.63042742196092"/>
    <n v="0"/>
    <n v="115344.67620000002"/>
    <n v="79477.470300000015"/>
    <n v="0"/>
    <n v="133428.070034731"/>
    <n v="58782.250307431357"/>
  </r>
  <r>
    <s v="Sistema de Compensação"/>
    <x v="3"/>
    <x v="3"/>
    <x v="1"/>
    <x v="0"/>
    <x v="1"/>
    <x v="0"/>
    <x v="1"/>
    <x v="8"/>
    <n v="0"/>
    <n v="0"/>
    <n v="22.95"/>
    <n v="22.95"/>
    <n v="22.95"/>
    <n v="22.95"/>
    <n v="83"/>
    <x v="1"/>
    <n v="0"/>
    <n v="0"/>
    <n v="65"/>
    <n v="25"/>
    <n v="0"/>
    <n v="407.42"/>
    <n v="280.73"/>
    <m/>
    <n v="471.29409075882518"/>
    <n v="207.63042742196092"/>
    <n v="0"/>
    <n v="9350.2890000000007"/>
    <n v="6442.7534999999998"/>
    <n v="0"/>
    <n v="10816.199382915038"/>
    <n v="4765.1183093340032"/>
  </r>
  <r>
    <s v="Regular"/>
    <x v="3"/>
    <x v="3"/>
    <x v="1"/>
    <x v="0"/>
    <x v="1"/>
    <x v="0"/>
    <x v="1"/>
    <x v="9"/>
    <n v="0"/>
    <n v="0"/>
    <n v="287.95999999999998"/>
    <n v="287.95999999999998"/>
    <n v="287.95999999999998"/>
    <n v="287.95999999999998"/>
    <n v="728"/>
    <x v="1"/>
    <n v="0"/>
    <n v="0"/>
    <n v="65"/>
    <n v="25"/>
    <n v="0"/>
    <n v="407.42"/>
    <n v="280.73"/>
    <m/>
    <n v="471.29409075882518"/>
    <n v="207.63042742196092"/>
    <n v="0"/>
    <n v="117320.6632"/>
    <n v="80839.010800000004"/>
    <n v="0"/>
    <n v="135713.84637491129"/>
    <n v="59789.25788042786"/>
  </r>
  <r>
    <s v="Refaturamento - Regular"/>
    <x v="3"/>
    <x v="3"/>
    <x v="1"/>
    <x v="0"/>
    <x v="1"/>
    <x v="0"/>
    <x v="1"/>
    <x v="9"/>
    <n v="0"/>
    <n v="0"/>
    <n v="-0.09"/>
    <n v="-0.09"/>
    <n v="-0.09"/>
    <n v="-0.09"/>
    <n v="0"/>
    <x v="1"/>
    <n v="0"/>
    <n v="0"/>
    <n v="65"/>
    <n v="25"/>
    <n v="0"/>
    <n v="407.42"/>
    <n v="280.73"/>
    <m/>
    <n v="471.29409075882518"/>
    <n v="207.63042742196092"/>
    <n v="0"/>
    <n v="-36.6678"/>
    <n v="-25.265699999999999"/>
    <n v="0"/>
    <n v="-42.416468168294266"/>
    <n v="-18.686738467976483"/>
  </r>
  <r>
    <s v="Sistema de Compensação"/>
    <x v="3"/>
    <x v="3"/>
    <x v="1"/>
    <x v="0"/>
    <x v="1"/>
    <x v="0"/>
    <x v="1"/>
    <x v="9"/>
    <n v="0"/>
    <n v="0"/>
    <n v="24.727"/>
    <n v="24.727"/>
    <n v="24.727"/>
    <n v="24.727"/>
    <n v="81"/>
    <x v="1"/>
    <n v="0"/>
    <n v="0"/>
    <n v="65"/>
    <n v="25"/>
    <n v="0"/>
    <n v="407.42"/>
    <n v="280.73"/>
    <m/>
    <n v="471.29409075882518"/>
    <n v="207.63042742196092"/>
    <n v="0"/>
    <n v="10074.27434"/>
    <n v="6941.6107100000008"/>
    <n v="0"/>
    <n v="11653.688982193471"/>
    <n v="5134.077578862828"/>
  </r>
  <r>
    <s v="Regular"/>
    <x v="3"/>
    <x v="3"/>
    <x v="1"/>
    <x v="0"/>
    <x v="1"/>
    <x v="0"/>
    <x v="1"/>
    <x v="10"/>
    <n v="0"/>
    <n v="0"/>
    <n v="268.26799999999997"/>
    <n v="268.26799999999997"/>
    <n v="268.26799999999997"/>
    <n v="268.26799999999997"/>
    <n v="732"/>
    <x v="1"/>
    <n v="0"/>
    <n v="0"/>
    <n v="65"/>
    <n v="25"/>
    <n v="0"/>
    <n v="407.42"/>
    <n v="280.73"/>
    <m/>
    <n v="471.29409075882518"/>
    <n v="207.63042742196092"/>
    <n v="0"/>
    <n v="109297.74855999999"/>
    <n v="75310.875639999998"/>
    <n v="0"/>
    <n v="126433.1231396885"/>
    <n v="55700.599503634607"/>
  </r>
  <r>
    <s v="Sistema de Compensação"/>
    <x v="3"/>
    <x v="3"/>
    <x v="1"/>
    <x v="0"/>
    <x v="1"/>
    <x v="0"/>
    <x v="1"/>
    <x v="10"/>
    <n v="0"/>
    <n v="0"/>
    <n v="31.753"/>
    <n v="31.753"/>
    <n v="31.753"/>
    <n v="31.753"/>
    <n v="80"/>
    <x v="1"/>
    <n v="0"/>
    <n v="0"/>
    <n v="65"/>
    <n v="25"/>
    <n v="0"/>
    <n v="407.42"/>
    <n v="280.73"/>
    <m/>
    <n v="471.29409075882518"/>
    <n v="207.63042742196092"/>
    <n v="0"/>
    <n v="12936.807260000001"/>
    <n v="8914.019690000001"/>
    <n v="0"/>
    <n v="14965.001263864975"/>
    <n v="6592.8889619295251"/>
  </r>
  <r>
    <s v="PROJETADO"/>
    <x v="3"/>
    <x v="3"/>
    <x v="1"/>
    <x v="0"/>
    <x v="1"/>
    <x v="0"/>
    <x v="1"/>
    <x v="11"/>
    <n v="0"/>
    <n v="0"/>
    <n v="268.26799999999997"/>
    <n v="268.26799999999997"/>
    <n v="268.26799999999997"/>
    <n v="268.26799999999997"/>
    <n v="732"/>
    <x v="1"/>
    <n v="0"/>
    <n v="0"/>
    <n v="65"/>
    <n v="25"/>
    <n v="0"/>
    <n v="407.42"/>
    <n v="280.73"/>
    <m/>
    <n v="471.29409075882518"/>
    <n v="207.63042742196092"/>
    <n v="0"/>
    <n v="109297.74855999999"/>
    <n v="75310.875639999998"/>
    <n v="0"/>
    <n v="126433.1231396885"/>
    <n v="55700.599503634607"/>
  </r>
  <r>
    <s v="PROJETADO"/>
    <x v="3"/>
    <x v="3"/>
    <x v="1"/>
    <x v="0"/>
    <x v="1"/>
    <x v="0"/>
    <x v="1"/>
    <x v="11"/>
    <n v="0"/>
    <n v="0"/>
    <n v="31.753"/>
    <n v="31.753"/>
    <n v="31.753"/>
    <n v="31.753"/>
    <n v="80"/>
    <x v="1"/>
    <n v="0"/>
    <n v="0"/>
    <n v="65"/>
    <n v="25"/>
    <n v="0"/>
    <n v="407.42"/>
    <n v="280.73"/>
    <m/>
    <n v="471.29409075882518"/>
    <n v="207.63042742196092"/>
    <n v="0"/>
    <n v="12936.807260000001"/>
    <n v="8914.019690000001"/>
    <n v="0"/>
    <n v="14965.001263864975"/>
    <n v="6592.8889619295251"/>
  </r>
  <r>
    <s v="Regular"/>
    <x v="3"/>
    <x v="3"/>
    <x v="6"/>
    <x v="0"/>
    <x v="1"/>
    <x v="0"/>
    <x v="1"/>
    <x v="0"/>
    <n v="0"/>
    <n v="0"/>
    <n v="6.327"/>
    <n v="6.327"/>
    <n v="6.327"/>
    <n v="6.327"/>
    <n v="3"/>
    <x v="1"/>
    <n v="0"/>
    <n v="0"/>
    <n v="65"/>
    <n v="25"/>
    <n v="0"/>
    <n v="407.42"/>
    <n v="280.73"/>
    <m/>
    <n v="471.29409075882518"/>
    <n v="207.63042742196092"/>
    <n v="0"/>
    <n v="2577.7463400000001"/>
    <n v="1776.1787100000001"/>
    <n v="0"/>
    <n v="2981.8777122310867"/>
    <n v="1313.6777142987467"/>
  </r>
  <r>
    <s v="Regular"/>
    <x v="3"/>
    <x v="3"/>
    <x v="6"/>
    <x v="0"/>
    <x v="1"/>
    <x v="0"/>
    <x v="1"/>
    <x v="1"/>
    <n v="0"/>
    <n v="0"/>
    <n v="6.0439999999999996"/>
    <n v="6.0439999999999996"/>
    <n v="6.0439999999999996"/>
    <n v="6.0439999999999996"/>
    <n v="3"/>
    <x v="1"/>
    <n v="0"/>
    <n v="0"/>
    <n v="65"/>
    <n v="25"/>
    <n v="0"/>
    <n v="407.42"/>
    <n v="280.73"/>
    <m/>
    <n v="471.29409075882518"/>
    <n v="207.63042742196092"/>
    <n v="0"/>
    <n v="2462.4464800000001"/>
    <n v="1696.7321199999999"/>
    <n v="0"/>
    <n v="2848.5014845463393"/>
    <n v="1254.9183033383317"/>
  </r>
  <r>
    <s v="Regular"/>
    <x v="3"/>
    <x v="3"/>
    <x v="6"/>
    <x v="0"/>
    <x v="1"/>
    <x v="0"/>
    <x v="1"/>
    <x v="2"/>
    <n v="0"/>
    <n v="0"/>
    <n v="6.4960000000000004"/>
    <n v="6.4960000000000004"/>
    <n v="6.4960000000000004"/>
    <n v="6.4960000000000004"/>
    <n v="3"/>
    <x v="1"/>
    <n v="0"/>
    <n v="0"/>
    <n v="65"/>
    <n v="25"/>
    <n v="0"/>
    <n v="407.42"/>
    <n v="280.73"/>
    <m/>
    <n v="471.29409075882518"/>
    <n v="207.63042742196092"/>
    <n v="0"/>
    <n v="2646.6003200000005"/>
    <n v="1823.6220800000003"/>
    <n v="0"/>
    <n v="3061.5264135693287"/>
    <n v="1348.7672565330581"/>
  </r>
  <r>
    <s v="Regular"/>
    <x v="3"/>
    <x v="3"/>
    <x v="6"/>
    <x v="0"/>
    <x v="1"/>
    <x v="0"/>
    <x v="1"/>
    <x v="3"/>
    <n v="0"/>
    <n v="0"/>
    <n v="5.3410000000000002"/>
    <n v="5.3410000000000002"/>
    <n v="5.3410000000000002"/>
    <n v="5.3410000000000002"/>
    <n v="3"/>
    <x v="1"/>
    <n v="0"/>
    <n v="0"/>
    <n v="65"/>
    <n v="25"/>
    <n v="0"/>
    <n v="407.42"/>
    <n v="280.73"/>
    <m/>
    <n v="471.29409075882518"/>
    <n v="207.63042742196092"/>
    <n v="0"/>
    <n v="2176.0302200000001"/>
    <n v="1499.3789300000001"/>
    <n v="0"/>
    <n v="2517.1817387428855"/>
    <n v="1108.9541128606934"/>
  </r>
  <r>
    <s v="Regular"/>
    <x v="3"/>
    <x v="3"/>
    <x v="6"/>
    <x v="0"/>
    <x v="1"/>
    <x v="0"/>
    <x v="1"/>
    <x v="4"/>
    <n v="0"/>
    <n v="0"/>
    <n v="5.7690000000000001"/>
    <n v="5.7690000000000001"/>
    <n v="5.7690000000000001"/>
    <n v="5.7690000000000001"/>
    <n v="3"/>
    <x v="1"/>
    <n v="0"/>
    <n v="0"/>
    <n v="65"/>
    <n v="25"/>
    <n v="0"/>
    <n v="407.42"/>
    <n v="280.73"/>
    <m/>
    <n v="471.29409075882518"/>
    <n v="207.63042742196092"/>
    <n v="0"/>
    <n v="2350.40598"/>
    <n v="1619.5313700000002"/>
    <n v="0"/>
    <n v="2718.8956095876624"/>
    <n v="1197.8199357972926"/>
  </r>
  <r>
    <s v="Regular"/>
    <x v="3"/>
    <x v="3"/>
    <x v="6"/>
    <x v="0"/>
    <x v="1"/>
    <x v="0"/>
    <x v="1"/>
    <x v="5"/>
    <n v="0"/>
    <n v="0"/>
    <n v="6.2809999999999997"/>
    <n v="6.2809999999999997"/>
    <n v="6.2809999999999997"/>
    <n v="6.2809999999999997"/>
    <n v="3"/>
    <x v="1"/>
    <n v="0"/>
    <n v="0"/>
    <n v="65"/>
    <n v="25"/>
    <n v="0"/>
    <n v="407.42"/>
    <n v="280.73"/>
    <m/>
    <n v="471.29409075882518"/>
    <n v="207.63042742196092"/>
    <n v="0"/>
    <n v="2559.0050200000001"/>
    <n v="1763.26513"/>
    <n v="0"/>
    <n v="2960.1981840561807"/>
    <n v="1304.1267146373364"/>
  </r>
  <r>
    <s v="Regular"/>
    <x v="3"/>
    <x v="3"/>
    <x v="6"/>
    <x v="0"/>
    <x v="1"/>
    <x v="0"/>
    <x v="1"/>
    <x v="6"/>
    <n v="0"/>
    <n v="0"/>
    <n v="6.3"/>
    <n v="6.3"/>
    <n v="6.3"/>
    <n v="6.3"/>
    <n v="3"/>
    <x v="1"/>
    <n v="0"/>
    <n v="0"/>
    <n v="65"/>
    <n v="25"/>
    <n v="0"/>
    <n v="407.42"/>
    <n v="280.73"/>
    <m/>
    <n v="471.29409075882518"/>
    <n v="207.63042742196092"/>
    <n v="0"/>
    <n v="2566.7460000000001"/>
    <n v="1768.5990000000002"/>
    <n v="0"/>
    <n v="2969.1527717805984"/>
    <n v="1308.0716927583537"/>
  </r>
  <r>
    <s v="Regular"/>
    <x v="3"/>
    <x v="3"/>
    <x v="6"/>
    <x v="0"/>
    <x v="1"/>
    <x v="0"/>
    <x v="1"/>
    <x v="7"/>
    <n v="0"/>
    <n v="0"/>
    <n v="5.9020000000000001"/>
    <n v="5.9020000000000001"/>
    <n v="5.9020000000000001"/>
    <n v="5.9020000000000001"/>
    <n v="4"/>
    <x v="1"/>
    <n v="0"/>
    <n v="0"/>
    <n v="65"/>
    <n v="25"/>
    <n v="0"/>
    <n v="407.42"/>
    <n v="280.73"/>
    <m/>
    <n v="471.29409075882518"/>
    <n v="207.63042742196092"/>
    <n v="0"/>
    <n v="2404.5928400000003"/>
    <n v="1656.8684600000001"/>
    <n v="0"/>
    <n v="2781.5777236585864"/>
    <n v="1225.4347826444134"/>
  </r>
  <r>
    <s v="Regular"/>
    <x v="3"/>
    <x v="3"/>
    <x v="6"/>
    <x v="0"/>
    <x v="1"/>
    <x v="0"/>
    <x v="1"/>
    <x v="8"/>
    <n v="0"/>
    <n v="0"/>
    <n v="5.4180000000000001"/>
    <n v="5.4180000000000001"/>
    <n v="5.4180000000000001"/>
    <n v="5.4180000000000001"/>
    <n v="5"/>
    <x v="1"/>
    <n v="0"/>
    <n v="0"/>
    <n v="65"/>
    <n v="25"/>
    <n v="0"/>
    <n v="407.42"/>
    <n v="280.73"/>
    <m/>
    <n v="471.29409075882518"/>
    <n v="207.63042742196092"/>
    <n v="0"/>
    <n v="2207.4015600000002"/>
    <n v="1520.9951400000002"/>
    <n v="0"/>
    <n v="2553.4713837313147"/>
    <n v="1124.9416557721843"/>
  </r>
  <r>
    <s v="Regular"/>
    <x v="3"/>
    <x v="3"/>
    <x v="6"/>
    <x v="0"/>
    <x v="1"/>
    <x v="0"/>
    <x v="1"/>
    <x v="9"/>
    <n v="0"/>
    <n v="0"/>
    <n v="5.0190000000000001"/>
    <n v="5.0190000000000001"/>
    <n v="5.0190000000000001"/>
    <n v="5.0190000000000001"/>
    <n v="5"/>
    <x v="1"/>
    <n v="0"/>
    <n v="0"/>
    <n v="65"/>
    <n v="25"/>
    <n v="0"/>
    <n v="407.42"/>
    <n v="280.73"/>
    <m/>
    <n v="471.29409075882518"/>
    <n v="207.63042742196092"/>
    <n v="0"/>
    <n v="2044.8409800000002"/>
    <n v="1408.98387"/>
    <n v="0"/>
    <n v="2365.4250415185438"/>
    <n v="1042.0971152308218"/>
  </r>
  <r>
    <s v="Regular"/>
    <x v="3"/>
    <x v="3"/>
    <x v="6"/>
    <x v="0"/>
    <x v="1"/>
    <x v="0"/>
    <x v="1"/>
    <x v="10"/>
    <n v="0"/>
    <n v="0"/>
    <n v="2.41"/>
    <n v="2.41"/>
    <n v="2.41"/>
    <n v="2.41"/>
    <n v="5"/>
    <x v="1"/>
    <n v="0"/>
    <n v="0"/>
    <n v="65"/>
    <n v="25"/>
    <n v="0"/>
    <n v="407.42"/>
    <n v="280.73"/>
    <m/>
    <n v="471.29409075882518"/>
    <n v="207.63042742196092"/>
    <n v="0"/>
    <n v="981.88220000000013"/>
    <n v="676.55930000000012"/>
    <n v="0"/>
    <n v="1135.8187587287687"/>
    <n v="500.38933008692584"/>
  </r>
  <r>
    <s v="PROJETADO"/>
    <x v="3"/>
    <x v="3"/>
    <x v="6"/>
    <x v="0"/>
    <x v="1"/>
    <x v="0"/>
    <x v="1"/>
    <x v="11"/>
    <n v="0"/>
    <n v="0"/>
    <n v="2.41"/>
    <n v="2.41"/>
    <n v="2.41"/>
    <n v="2.41"/>
    <n v="5"/>
    <x v="1"/>
    <n v="0"/>
    <n v="0"/>
    <n v="65"/>
    <n v="25"/>
    <n v="0"/>
    <n v="407.42"/>
    <n v="280.73"/>
    <m/>
    <n v="471.29409075882518"/>
    <n v="207.63042742196092"/>
    <n v="0"/>
    <n v="981.88220000000013"/>
    <n v="676.55930000000012"/>
    <n v="0"/>
    <n v="1135.8187587287687"/>
    <n v="500.38933008692584"/>
  </r>
  <r>
    <s v="Regular"/>
    <x v="3"/>
    <x v="3"/>
    <x v="0"/>
    <x v="0"/>
    <x v="1"/>
    <x v="0"/>
    <x v="1"/>
    <x v="0"/>
    <n v="0"/>
    <n v="0"/>
    <n v="84.075999999999993"/>
    <n v="84.075999999999993"/>
    <n v="84.075999999999993"/>
    <n v="84.075999999999993"/>
    <n v="178"/>
    <x v="1"/>
    <n v="0"/>
    <n v="0"/>
    <n v="65"/>
    <n v="25"/>
    <n v="0"/>
    <n v="407.42"/>
    <n v="280.73"/>
    <m/>
    <n v="471.29409075882518"/>
    <n v="207.63042742196092"/>
    <n v="0"/>
    <n v="34254.243920000001"/>
    <n v="23602.655480000001"/>
    <n v="0"/>
    <n v="39624.521974638985"/>
    <n v="17456.735815928783"/>
  </r>
  <r>
    <s v="Sistema de Compensação"/>
    <x v="3"/>
    <x v="3"/>
    <x v="0"/>
    <x v="0"/>
    <x v="1"/>
    <x v="0"/>
    <x v="1"/>
    <x v="0"/>
    <n v="0"/>
    <n v="0"/>
    <n v="1.48"/>
    <n v="1.48"/>
    <n v="1.48"/>
    <n v="1.48"/>
    <n v="5"/>
    <x v="1"/>
    <n v="0"/>
    <n v="0"/>
    <n v="65"/>
    <n v="25"/>
    <n v="0"/>
    <n v="407.42"/>
    <n v="280.73"/>
    <m/>
    <n v="471.29409075882518"/>
    <n v="207.63042742196092"/>
    <n v="0"/>
    <n v="602.98160000000007"/>
    <n v="415.48040000000003"/>
    <n v="0"/>
    <n v="697.5152543230613"/>
    <n v="307.29303258450216"/>
  </r>
  <r>
    <s v="Regular"/>
    <x v="3"/>
    <x v="3"/>
    <x v="0"/>
    <x v="0"/>
    <x v="1"/>
    <x v="0"/>
    <x v="1"/>
    <x v="1"/>
    <n v="0"/>
    <n v="0"/>
    <n v="91.444999999999993"/>
    <n v="91.444999999999993"/>
    <n v="91.444999999999993"/>
    <n v="91.444999999999993"/>
    <n v="191"/>
    <x v="1"/>
    <n v="0"/>
    <n v="0"/>
    <n v="65"/>
    <n v="25"/>
    <n v="0"/>
    <n v="407.42"/>
    <n v="280.73"/>
    <m/>
    <n v="471.29409075882518"/>
    <n v="207.63042742196092"/>
    <n v="0"/>
    <n v="37256.5219"/>
    <n v="25671.35485"/>
    <n v="0"/>
    <n v="43097.488129440768"/>
    <n v="18986.764435601213"/>
  </r>
  <r>
    <s v="Sistema de Compensação"/>
    <x v="3"/>
    <x v="3"/>
    <x v="0"/>
    <x v="0"/>
    <x v="1"/>
    <x v="0"/>
    <x v="1"/>
    <x v="1"/>
    <n v="0"/>
    <n v="0"/>
    <n v="0.55900000000000005"/>
    <n v="0.55900000000000005"/>
    <n v="0.55900000000000005"/>
    <n v="0.55900000000000005"/>
    <n v="5"/>
    <x v="1"/>
    <n v="0"/>
    <n v="0"/>
    <n v="65"/>
    <n v="25"/>
    <n v="0"/>
    <n v="407.42"/>
    <n v="280.73"/>
    <m/>
    <n v="471.29409075882518"/>
    <n v="207.63042742196092"/>
    <n v="0"/>
    <n v="227.74778000000003"/>
    <n v="156.92807000000002"/>
    <n v="0"/>
    <n v="263.45339673418329"/>
    <n v="116.06540892887617"/>
  </r>
  <r>
    <s v="Regular"/>
    <x v="3"/>
    <x v="3"/>
    <x v="0"/>
    <x v="0"/>
    <x v="1"/>
    <x v="0"/>
    <x v="1"/>
    <x v="2"/>
    <n v="0"/>
    <n v="0"/>
    <n v="87.825999999999993"/>
    <n v="87.825999999999993"/>
    <n v="87.825999999999993"/>
    <n v="87.825999999999993"/>
    <n v="204"/>
    <x v="1"/>
    <n v="0"/>
    <n v="0"/>
    <n v="65"/>
    <n v="25"/>
    <n v="0"/>
    <n v="407.42"/>
    <n v="280.73"/>
    <m/>
    <n v="471.29409075882518"/>
    <n v="207.63042742196092"/>
    <n v="0"/>
    <n v="35782.068919999998"/>
    <n v="24655.392980000001"/>
    <n v="0"/>
    <n v="41391.874814984578"/>
    <n v="18235.349918761138"/>
  </r>
  <r>
    <s v="Sistema de Compensação"/>
    <x v="3"/>
    <x v="3"/>
    <x v="0"/>
    <x v="0"/>
    <x v="1"/>
    <x v="0"/>
    <x v="1"/>
    <x v="2"/>
    <n v="0"/>
    <n v="0"/>
    <n v="0.92300000000000004"/>
    <n v="0.92300000000000004"/>
    <n v="0.92300000000000004"/>
    <n v="0.92300000000000004"/>
    <n v="6"/>
    <x v="1"/>
    <n v="0"/>
    <n v="0"/>
    <n v="65"/>
    <n v="25"/>
    <n v="0"/>
    <n v="407.42"/>
    <n v="280.73"/>
    <m/>
    <n v="471.29409075882518"/>
    <n v="207.63042742196092"/>
    <n v="0"/>
    <n v="376.04866000000004"/>
    <n v="259.11379000000005"/>
    <n v="0"/>
    <n v="435.00444577039565"/>
    <n v="191.64288451046994"/>
  </r>
  <r>
    <s v="Regular"/>
    <x v="3"/>
    <x v="3"/>
    <x v="0"/>
    <x v="0"/>
    <x v="1"/>
    <x v="0"/>
    <x v="1"/>
    <x v="3"/>
    <n v="0"/>
    <n v="0"/>
    <n v="90.174999999999997"/>
    <n v="90.174999999999997"/>
    <n v="90.174999999999997"/>
    <n v="90.174999999999997"/>
    <n v="209"/>
    <x v="1"/>
    <n v="0"/>
    <n v="0"/>
    <n v="65"/>
    <n v="25"/>
    <n v="0"/>
    <n v="407.42"/>
    <n v="280.73"/>
    <m/>
    <n v="471.29409075882518"/>
    <n v="207.63042742196092"/>
    <n v="0"/>
    <n v="36739.0985"/>
    <n v="25314.82775"/>
    <n v="0"/>
    <n v="42498.94463417706"/>
    <n v="18723.073792775325"/>
  </r>
  <r>
    <s v="Sistema de Compensação"/>
    <x v="3"/>
    <x v="3"/>
    <x v="0"/>
    <x v="0"/>
    <x v="1"/>
    <x v="0"/>
    <x v="1"/>
    <x v="3"/>
    <n v="0"/>
    <n v="0"/>
    <n v="0.64300000000000002"/>
    <n v="0.64300000000000002"/>
    <n v="0.64300000000000002"/>
    <n v="0.64300000000000002"/>
    <n v="6"/>
    <x v="1"/>
    <n v="0"/>
    <n v="0"/>
    <n v="65"/>
    <n v="25"/>
    <n v="0"/>
    <n v="407.42"/>
    <n v="280.73"/>
    <m/>
    <n v="471.29409075882518"/>
    <n v="207.63042742196092"/>
    <n v="0"/>
    <n v="261.97106000000002"/>
    <n v="180.50939000000002"/>
    <n v="0"/>
    <n v="303.0421003579246"/>
    <n v="133.50636483232088"/>
  </r>
  <r>
    <s v="Regular"/>
    <x v="3"/>
    <x v="3"/>
    <x v="0"/>
    <x v="0"/>
    <x v="1"/>
    <x v="0"/>
    <x v="1"/>
    <x v="4"/>
    <n v="0"/>
    <n v="0"/>
    <n v="98.649000000000001"/>
    <n v="98.649000000000001"/>
    <n v="98.649000000000001"/>
    <n v="98.649000000000001"/>
    <n v="209"/>
    <x v="1"/>
    <n v="0"/>
    <n v="0"/>
    <n v="65"/>
    <n v="25"/>
    <n v="0"/>
    <n v="407.42"/>
    <n v="280.73"/>
    <m/>
    <n v="471.29409075882518"/>
    <n v="207.63042742196092"/>
    <n v="0"/>
    <n v="40191.575580000004"/>
    <n v="27693.733770000003"/>
    <n v="0"/>
    <n v="46492.690759267345"/>
    <n v="20482.534034749024"/>
  </r>
  <r>
    <s v="Sistema de Compensação"/>
    <x v="3"/>
    <x v="3"/>
    <x v="0"/>
    <x v="0"/>
    <x v="1"/>
    <x v="0"/>
    <x v="1"/>
    <x v="4"/>
    <n v="0"/>
    <n v="0"/>
    <n v="1.7350000000000001"/>
    <n v="1.7350000000000001"/>
    <n v="1.7350000000000001"/>
    <n v="1.7350000000000001"/>
    <n v="7"/>
    <x v="1"/>
    <n v="0"/>
    <n v="0"/>
    <n v="65"/>
    <n v="25"/>
    <n v="0"/>
    <n v="407.42"/>
    <n v="280.73"/>
    <m/>
    <n v="471.29409075882518"/>
    <n v="207.63042742196092"/>
    <n v="0"/>
    <n v="706.8737000000001"/>
    <n v="487.06655000000006"/>
    <n v="0"/>
    <n v="817.69524746656168"/>
    <n v="360.23879157710223"/>
  </r>
  <r>
    <s v="Regular"/>
    <x v="3"/>
    <x v="3"/>
    <x v="0"/>
    <x v="0"/>
    <x v="1"/>
    <x v="0"/>
    <x v="1"/>
    <x v="5"/>
    <n v="0"/>
    <n v="0"/>
    <n v="92.94"/>
    <n v="92.94"/>
    <n v="92.94"/>
    <n v="92.94"/>
    <n v="213"/>
    <x v="1"/>
    <n v="0"/>
    <n v="0"/>
    <n v="65"/>
    <n v="25"/>
    <n v="0"/>
    <n v="407.42"/>
    <n v="280.73"/>
    <m/>
    <n v="471.29409075882518"/>
    <n v="207.63042742196092"/>
    <n v="0"/>
    <n v="37865.614800000003"/>
    <n v="26091.046200000001"/>
    <n v="0"/>
    <n v="43802.072795125212"/>
    <n v="19297.171924597049"/>
  </r>
  <r>
    <s v="Sistema de Compensação"/>
    <x v="3"/>
    <x v="3"/>
    <x v="0"/>
    <x v="0"/>
    <x v="1"/>
    <x v="0"/>
    <x v="1"/>
    <x v="5"/>
    <n v="0"/>
    <n v="0"/>
    <n v="0.7"/>
    <n v="0.7"/>
    <n v="0.7"/>
    <n v="0.7"/>
    <n v="7"/>
    <x v="1"/>
    <n v="0"/>
    <n v="0"/>
    <n v="65"/>
    <n v="25"/>
    <n v="0"/>
    <n v="407.42"/>
    <n v="280.73"/>
    <m/>
    <n v="471.29409075882518"/>
    <n v="207.63042742196092"/>
    <n v="0"/>
    <n v="285.19400000000002"/>
    <n v="196.511"/>
    <n v="0"/>
    <n v="329.9058635311776"/>
    <n v="145.34129919537264"/>
  </r>
  <r>
    <s v="Regular"/>
    <x v="3"/>
    <x v="3"/>
    <x v="0"/>
    <x v="0"/>
    <x v="1"/>
    <x v="0"/>
    <x v="1"/>
    <x v="6"/>
    <n v="0"/>
    <n v="0"/>
    <n v="99.83"/>
    <n v="99.83"/>
    <n v="99.83"/>
    <n v="99.83"/>
    <n v="216"/>
    <x v="1"/>
    <n v="0"/>
    <n v="0"/>
    <n v="65"/>
    <n v="25"/>
    <n v="0"/>
    <n v="407.42"/>
    <n v="280.73"/>
    <m/>
    <n v="471.29409075882518"/>
    <n v="207.63042742196092"/>
    <n v="0"/>
    <n v="40672.738600000004"/>
    <n v="28025.275900000001"/>
    <n v="0"/>
    <n v="47049.28908045352"/>
    <n v="20727.74556953436"/>
  </r>
  <r>
    <s v="Sistema de Compensação"/>
    <x v="3"/>
    <x v="3"/>
    <x v="0"/>
    <x v="0"/>
    <x v="1"/>
    <x v="0"/>
    <x v="1"/>
    <x v="6"/>
    <n v="0"/>
    <n v="0"/>
    <n v="1.284"/>
    <n v="1.284"/>
    <n v="1.284"/>
    <n v="1.284"/>
    <n v="8"/>
    <x v="1"/>
    <n v="0"/>
    <n v="0"/>
    <n v="65"/>
    <n v="25"/>
    <n v="0"/>
    <n v="407.42"/>
    <n v="280.73"/>
    <m/>
    <n v="471.29409075882518"/>
    <n v="207.63042742196092"/>
    <n v="0"/>
    <n v="523.12728000000004"/>
    <n v="360.45732000000004"/>
    <n v="0"/>
    <n v="605.14161253433156"/>
    <n v="266.59746880979782"/>
  </r>
  <r>
    <s v="Regular"/>
    <x v="3"/>
    <x v="3"/>
    <x v="0"/>
    <x v="0"/>
    <x v="1"/>
    <x v="0"/>
    <x v="1"/>
    <x v="7"/>
    <n v="0"/>
    <n v="0"/>
    <n v="92.855000000000004"/>
    <n v="92.855000000000004"/>
    <n v="92.855000000000004"/>
    <n v="92.855000000000004"/>
    <n v="219"/>
    <x v="1"/>
    <n v="0"/>
    <n v="0"/>
    <n v="65"/>
    <n v="25"/>
    <n v="0"/>
    <n v="407.42"/>
    <n v="280.73"/>
    <m/>
    <n v="471.29409075882518"/>
    <n v="207.63042742196092"/>
    <n v="0"/>
    <n v="37830.984100000001"/>
    <n v="26067.184150000005"/>
    <n v="0"/>
    <n v="43762.012797410716"/>
    <n v="19279.523338266183"/>
  </r>
  <r>
    <s v="Sistema de Compensação"/>
    <x v="3"/>
    <x v="3"/>
    <x v="0"/>
    <x v="0"/>
    <x v="1"/>
    <x v="0"/>
    <x v="1"/>
    <x v="7"/>
    <n v="0"/>
    <n v="0"/>
    <n v="6.6959999999999997"/>
    <n v="6.6959999999999997"/>
    <n v="6.6959999999999997"/>
    <n v="6.6959999999999997"/>
    <n v="10"/>
    <x v="1"/>
    <n v="0"/>
    <n v="0"/>
    <n v="65"/>
    <n v="25"/>
    <n v="0"/>
    <n v="407.42"/>
    <n v="280.73"/>
    <m/>
    <n v="471.29409075882518"/>
    <n v="207.63042742196092"/>
    <n v="0"/>
    <n v="2728.0843199999999"/>
    <n v="1879.7680800000001"/>
    <n v="0"/>
    <n v="3155.7852317210932"/>
    <n v="1390.2933420174502"/>
  </r>
  <r>
    <s v="Regular"/>
    <x v="3"/>
    <x v="3"/>
    <x v="0"/>
    <x v="0"/>
    <x v="1"/>
    <x v="0"/>
    <x v="1"/>
    <x v="8"/>
    <n v="0"/>
    <n v="0"/>
    <n v="79.927000000000007"/>
    <n v="79.927000000000007"/>
    <n v="79.927000000000007"/>
    <n v="79.927000000000007"/>
    <n v="221"/>
    <x v="1"/>
    <n v="0"/>
    <n v="0"/>
    <n v="65"/>
    <n v="25"/>
    <n v="0"/>
    <n v="407.42"/>
    <n v="280.73"/>
    <m/>
    <n v="471.29409075882518"/>
    <n v="207.63042742196092"/>
    <n v="0"/>
    <n v="32563.858340000002"/>
    <n v="22437.906710000003"/>
    <n v="0"/>
    <n v="37669.12279208062"/>
    <n v="16595.27717255507"/>
  </r>
  <r>
    <s v="Sistema de Compensação"/>
    <x v="3"/>
    <x v="3"/>
    <x v="0"/>
    <x v="0"/>
    <x v="1"/>
    <x v="0"/>
    <x v="1"/>
    <x v="8"/>
    <n v="0"/>
    <n v="0"/>
    <n v="8.5050000000000008"/>
    <n v="8.5050000000000008"/>
    <n v="8.5050000000000008"/>
    <n v="8.5050000000000008"/>
    <n v="11"/>
    <x v="1"/>
    <n v="0"/>
    <n v="0"/>
    <n v="65"/>
    <n v="25"/>
    <n v="0"/>
    <n v="407.42"/>
    <n v="280.73"/>
    <m/>
    <n v="471.29409075882518"/>
    <n v="207.63042742196092"/>
    <n v="0"/>
    <n v="3465.1071000000006"/>
    <n v="2387.6086500000006"/>
    <n v="0"/>
    <n v="4008.3562419038085"/>
    <n v="1765.8967852237777"/>
  </r>
  <r>
    <s v="Regular"/>
    <x v="3"/>
    <x v="3"/>
    <x v="0"/>
    <x v="0"/>
    <x v="1"/>
    <x v="0"/>
    <x v="1"/>
    <x v="9"/>
    <n v="0"/>
    <n v="0"/>
    <n v="83.653999999999996"/>
    <n v="83.653999999999996"/>
    <n v="83.653999999999996"/>
    <n v="83.653999999999996"/>
    <n v="222"/>
    <x v="1"/>
    <n v="0"/>
    <n v="0"/>
    <n v="65"/>
    <n v="25"/>
    <n v="0"/>
    <n v="407.42"/>
    <n v="280.73"/>
    <m/>
    <n v="471.29409075882518"/>
    <n v="207.63042742196092"/>
    <n v="0"/>
    <n v="34082.312680000003"/>
    <n v="23484.187420000002"/>
    <n v="0"/>
    <n v="39425.635868338759"/>
    <n v="17369.115775556718"/>
  </r>
  <r>
    <s v="Sistema de Compensação"/>
    <x v="3"/>
    <x v="3"/>
    <x v="0"/>
    <x v="0"/>
    <x v="1"/>
    <x v="0"/>
    <x v="1"/>
    <x v="9"/>
    <n v="0"/>
    <n v="0"/>
    <n v="8.6859999999999999"/>
    <n v="8.6859999999999999"/>
    <n v="8.6859999999999999"/>
    <n v="8.6859999999999999"/>
    <n v="11"/>
    <x v="1"/>
    <n v="0"/>
    <n v="0"/>
    <n v="65"/>
    <n v="25"/>
    <n v="0"/>
    <n v="407.42"/>
    <n v="280.73"/>
    <m/>
    <n v="471.29409075882518"/>
    <n v="207.63042742196092"/>
    <n v="0"/>
    <n v="3538.8501200000001"/>
    <n v="2438.4207799999999"/>
    <n v="0"/>
    <n v="4093.6604723311557"/>
    <n v="1803.4778925871526"/>
  </r>
  <r>
    <s v="Regular"/>
    <x v="3"/>
    <x v="3"/>
    <x v="0"/>
    <x v="0"/>
    <x v="1"/>
    <x v="0"/>
    <x v="1"/>
    <x v="10"/>
    <n v="0"/>
    <n v="0"/>
    <n v="82.186999999999998"/>
    <n v="82.186999999999998"/>
    <n v="82.186999999999998"/>
    <n v="82.186999999999998"/>
    <n v="223"/>
    <x v="1"/>
    <n v="0"/>
    <n v="0"/>
    <n v="65"/>
    <n v="25"/>
    <n v="0"/>
    <n v="407.42"/>
    <n v="280.73"/>
    <m/>
    <n v="471.29409075882518"/>
    <n v="207.63042742196092"/>
    <n v="0"/>
    <n v="33484.627540000001"/>
    <n v="23072.356510000001"/>
    <n v="0"/>
    <n v="38734.247437195561"/>
    <n v="17064.521938528702"/>
  </r>
  <r>
    <s v="Sistema de Compensação"/>
    <x v="3"/>
    <x v="3"/>
    <x v="0"/>
    <x v="0"/>
    <x v="1"/>
    <x v="0"/>
    <x v="1"/>
    <x v="10"/>
    <n v="0"/>
    <n v="0"/>
    <n v="10.351000000000001"/>
    <n v="10.351000000000001"/>
    <n v="10.351000000000001"/>
    <n v="10.351000000000001"/>
    <n v="11"/>
    <x v="1"/>
    <n v="0"/>
    <n v="0"/>
    <n v="65"/>
    <n v="25"/>
    <n v="0"/>
    <n v="407.42"/>
    <n v="280.73"/>
    <m/>
    <n v="471.29409075882518"/>
    <n v="207.63042742196092"/>
    <n v="0"/>
    <n v="4217.2044200000009"/>
    <n v="2905.8362300000003"/>
    <n v="0"/>
    <n v="4878.3651334445995"/>
    <n v="2149.1825542447177"/>
  </r>
  <r>
    <s v="PROJETADO"/>
    <x v="3"/>
    <x v="3"/>
    <x v="0"/>
    <x v="0"/>
    <x v="1"/>
    <x v="0"/>
    <x v="1"/>
    <x v="11"/>
    <n v="0"/>
    <n v="0"/>
    <n v="82.186999999999998"/>
    <n v="82.186999999999998"/>
    <n v="82.186999999999998"/>
    <n v="82.186999999999998"/>
    <n v="223"/>
    <x v="1"/>
    <n v="0"/>
    <n v="0"/>
    <n v="65"/>
    <n v="25"/>
    <n v="0"/>
    <n v="407.42"/>
    <n v="280.73"/>
    <m/>
    <n v="471.29409075882518"/>
    <n v="207.63042742196092"/>
    <n v="0"/>
    <n v="33484.627540000001"/>
    <n v="23072.356510000001"/>
    <n v="0"/>
    <n v="38734.247437195561"/>
    <n v="17064.521938528702"/>
  </r>
  <r>
    <s v="PROJETADO"/>
    <x v="3"/>
    <x v="3"/>
    <x v="0"/>
    <x v="0"/>
    <x v="1"/>
    <x v="0"/>
    <x v="1"/>
    <x v="11"/>
    <n v="0"/>
    <n v="0"/>
    <n v="10.351000000000001"/>
    <n v="10.351000000000001"/>
    <n v="10.351000000000001"/>
    <n v="10.351000000000001"/>
    <n v="11"/>
    <x v="1"/>
    <n v="0"/>
    <n v="0"/>
    <n v="65"/>
    <n v="25"/>
    <n v="0"/>
    <n v="407.42"/>
    <n v="280.73"/>
    <m/>
    <n v="471.29409075882518"/>
    <n v="207.63042742196092"/>
    <n v="0"/>
    <n v="4217.2044200000009"/>
    <n v="2905.8362300000003"/>
    <n v="0"/>
    <n v="4878.3651334445995"/>
    <n v="2149.1825542447177"/>
  </r>
  <r>
    <s v="Regular"/>
    <x v="3"/>
    <x v="3"/>
    <x v="2"/>
    <x v="0"/>
    <x v="1"/>
    <x v="0"/>
    <x v="1"/>
    <x v="0"/>
    <n v="0"/>
    <n v="0"/>
    <n v="76.701999999999998"/>
    <n v="76.701999999999998"/>
    <n v="76.701999999999998"/>
    <n v="76.701999999999998"/>
    <n v="95"/>
    <x v="1"/>
    <n v="0"/>
    <n v="0"/>
    <n v="65"/>
    <n v="25"/>
    <n v="0"/>
    <n v="407.42"/>
    <n v="280.73"/>
    <m/>
    <n v="471.29409075882518"/>
    <n v="207.63042742196092"/>
    <n v="0"/>
    <n v="31249.92884"/>
    <n v="21532.552460000003"/>
    <n v="0"/>
    <n v="36149.199349383409"/>
    <n v="15925.669044119246"/>
  </r>
  <r>
    <s v="Regular"/>
    <x v="3"/>
    <x v="3"/>
    <x v="2"/>
    <x v="0"/>
    <x v="1"/>
    <x v="0"/>
    <x v="1"/>
    <x v="1"/>
    <n v="0"/>
    <n v="0"/>
    <n v="76.453999999999994"/>
    <n v="76.453999999999994"/>
    <n v="76.453999999999994"/>
    <n v="76.453999999999994"/>
    <n v="95"/>
    <x v="1"/>
    <n v="0"/>
    <n v="0"/>
    <n v="65"/>
    <n v="25"/>
    <n v="0"/>
    <n v="407.42"/>
    <n v="280.73"/>
    <m/>
    <n v="471.29409075882518"/>
    <n v="207.63042742196092"/>
    <n v="0"/>
    <n v="31148.88868"/>
    <n v="21462.931420000001"/>
    <n v="0"/>
    <n v="36032.318414875219"/>
    <n v="15874.176698118599"/>
  </r>
  <r>
    <s v="Regular"/>
    <x v="3"/>
    <x v="3"/>
    <x v="2"/>
    <x v="0"/>
    <x v="1"/>
    <x v="0"/>
    <x v="1"/>
    <x v="2"/>
    <n v="0"/>
    <n v="0"/>
    <n v="69.247"/>
    <n v="69.247"/>
    <n v="69.247"/>
    <n v="69.247"/>
    <n v="95"/>
    <x v="1"/>
    <n v="0"/>
    <n v="0"/>
    <n v="65"/>
    <n v="25"/>
    <n v="0"/>
    <n v="407.42"/>
    <n v="280.73"/>
    <m/>
    <n v="471.29409075882518"/>
    <n v="207.63042742196092"/>
    <n v="0"/>
    <n v="28212.61274"/>
    <n v="19439.710310000002"/>
    <n v="0"/>
    <n v="32635.701902776367"/>
    <n v="14377.784207688528"/>
  </r>
  <r>
    <s v="Regular"/>
    <x v="3"/>
    <x v="3"/>
    <x v="2"/>
    <x v="0"/>
    <x v="1"/>
    <x v="0"/>
    <x v="1"/>
    <x v="3"/>
    <n v="0"/>
    <n v="0"/>
    <n v="90.073999999999998"/>
    <n v="90.073999999999998"/>
    <n v="90.073999999999998"/>
    <n v="90.073999999999998"/>
    <n v="96"/>
    <x v="1"/>
    <n v="0"/>
    <n v="0"/>
    <n v="65"/>
    <n v="25"/>
    <n v="0"/>
    <n v="407.42"/>
    <n v="280.73"/>
    <m/>
    <n v="471.29409075882518"/>
    <n v="207.63042742196092"/>
    <n v="0"/>
    <n v="36697.949079999999"/>
    <n v="25286.474020000001"/>
    <n v="0"/>
    <n v="42451.343931010415"/>
    <n v="18702.103119605708"/>
  </r>
  <r>
    <s v="Regular"/>
    <x v="3"/>
    <x v="3"/>
    <x v="2"/>
    <x v="0"/>
    <x v="1"/>
    <x v="0"/>
    <x v="1"/>
    <x v="4"/>
    <n v="0"/>
    <n v="0"/>
    <n v="100.26300000000001"/>
    <n v="100.26300000000001"/>
    <n v="100.26300000000001"/>
    <n v="100.26300000000001"/>
    <n v="96"/>
    <x v="1"/>
    <n v="0"/>
    <n v="0"/>
    <n v="65"/>
    <n v="25"/>
    <n v="0"/>
    <n v="407.42"/>
    <n v="280.73"/>
    <m/>
    <n v="471.29409075882518"/>
    <n v="207.63042742196092"/>
    <n v="0"/>
    <n v="40849.151460000001"/>
    <n v="28146.831990000002"/>
    <n v="0"/>
    <n v="47253.359421752088"/>
    <n v="20817.64954460807"/>
  </r>
  <r>
    <s v="Regular"/>
    <x v="3"/>
    <x v="3"/>
    <x v="2"/>
    <x v="0"/>
    <x v="1"/>
    <x v="0"/>
    <x v="1"/>
    <x v="5"/>
    <n v="0"/>
    <n v="0"/>
    <n v="87.025000000000006"/>
    <n v="87.025000000000006"/>
    <n v="87.025000000000006"/>
    <n v="87.025000000000006"/>
    <n v="96"/>
    <x v="1"/>
    <n v="0"/>
    <n v="0"/>
    <n v="65"/>
    <n v="25"/>
    <n v="0"/>
    <n v="407.42"/>
    <n v="280.73"/>
    <m/>
    <n v="471.29409075882518"/>
    <n v="207.63042742196092"/>
    <n v="0"/>
    <n v="35455.7255"/>
    <n v="24430.528250000003"/>
    <n v="0"/>
    <n v="41014.368248286766"/>
    <n v="18069.037946396151"/>
  </r>
  <r>
    <s v="Regular"/>
    <x v="3"/>
    <x v="3"/>
    <x v="2"/>
    <x v="0"/>
    <x v="1"/>
    <x v="0"/>
    <x v="1"/>
    <x v="6"/>
    <n v="0"/>
    <n v="0"/>
    <n v="94.317999999999998"/>
    <n v="94.317999999999998"/>
    <n v="94.317999999999998"/>
    <n v="94.317999999999998"/>
    <n v="96"/>
    <x v="1"/>
    <n v="0"/>
    <n v="0"/>
    <n v="65"/>
    <n v="25"/>
    <n v="0"/>
    <n v="407.42"/>
    <n v="280.73"/>
    <m/>
    <n v="471.29409075882518"/>
    <n v="207.63042742196092"/>
    <n v="0"/>
    <n v="38427.039559999997"/>
    <n v="26477.89214"/>
    <n v="0"/>
    <n v="44451.516052190869"/>
    <n v="19583.28665358451"/>
  </r>
  <r>
    <s v="Regular"/>
    <x v="3"/>
    <x v="3"/>
    <x v="2"/>
    <x v="0"/>
    <x v="1"/>
    <x v="0"/>
    <x v="1"/>
    <x v="7"/>
    <n v="0"/>
    <n v="0"/>
    <n v="102.974"/>
    <n v="102.974"/>
    <n v="102.974"/>
    <n v="102.974"/>
    <n v="96"/>
    <x v="1"/>
    <n v="0"/>
    <n v="0"/>
    <n v="65"/>
    <n v="25"/>
    <n v="0"/>
    <n v="407.42"/>
    <n v="280.73"/>
    <m/>
    <n v="471.29409075882518"/>
    <n v="207.63042742196092"/>
    <n v="0"/>
    <n v="41953.667080000007"/>
    <n v="28907.891020000003"/>
    <n v="0"/>
    <n v="48531.037701799265"/>
    <n v="21380.535633349005"/>
  </r>
  <r>
    <s v="Regular"/>
    <x v="3"/>
    <x v="3"/>
    <x v="2"/>
    <x v="0"/>
    <x v="1"/>
    <x v="0"/>
    <x v="1"/>
    <x v="8"/>
    <n v="0"/>
    <n v="0"/>
    <n v="86.786000000000001"/>
    <n v="86.786000000000001"/>
    <n v="86.786000000000001"/>
    <n v="86.786000000000001"/>
    <n v="96"/>
    <x v="1"/>
    <n v="0"/>
    <n v="0"/>
    <n v="65"/>
    <n v="25"/>
    <n v="0"/>
    <n v="407.42"/>
    <n v="280.73"/>
    <m/>
    <n v="471.29409075882518"/>
    <n v="207.63042742196092"/>
    <n v="0"/>
    <n v="35358.352120000003"/>
    <n v="24363.433780000003"/>
    <n v="0"/>
    <n v="40901.728960595399"/>
    <n v="18019.414274242299"/>
  </r>
  <r>
    <s v="Regular"/>
    <x v="3"/>
    <x v="3"/>
    <x v="2"/>
    <x v="0"/>
    <x v="1"/>
    <x v="0"/>
    <x v="1"/>
    <x v="9"/>
    <n v="0"/>
    <n v="0"/>
    <n v="92.078000000000003"/>
    <n v="92.078000000000003"/>
    <n v="92.078000000000003"/>
    <n v="92.078000000000003"/>
    <n v="96"/>
    <x v="1"/>
    <n v="0"/>
    <n v="0"/>
    <n v="65"/>
    <n v="25"/>
    <n v="0"/>
    <n v="407.42"/>
    <n v="280.73"/>
    <m/>
    <n v="471.29409075882518"/>
    <n v="207.63042742196092"/>
    <n v="0"/>
    <n v="37514.41876"/>
    <n v="25849.056940000002"/>
    <n v="0"/>
    <n v="43395.817288891107"/>
    <n v="19118.194496159318"/>
  </r>
  <r>
    <s v="Regular"/>
    <x v="3"/>
    <x v="3"/>
    <x v="2"/>
    <x v="0"/>
    <x v="1"/>
    <x v="0"/>
    <x v="1"/>
    <x v="10"/>
    <n v="0"/>
    <n v="0"/>
    <n v="85.515000000000001"/>
    <n v="85.515000000000001"/>
    <n v="85.515000000000001"/>
    <n v="85.515000000000001"/>
    <n v="96"/>
    <x v="1"/>
    <n v="0"/>
    <n v="0"/>
    <n v="65"/>
    <n v="25"/>
    <n v="0"/>
    <n v="407.42"/>
    <n v="280.73"/>
    <m/>
    <n v="471.29409075882518"/>
    <n v="207.63042742196092"/>
    <n v="0"/>
    <n v="34840.5213"/>
    <n v="24006.625950000001"/>
    <n v="0"/>
    <n v="40302.714171240936"/>
    <n v="17755.516000988988"/>
  </r>
  <r>
    <s v="PROJETADO"/>
    <x v="3"/>
    <x v="3"/>
    <x v="2"/>
    <x v="0"/>
    <x v="1"/>
    <x v="0"/>
    <x v="1"/>
    <x v="11"/>
    <n v="0"/>
    <n v="0"/>
    <n v="85.515000000000001"/>
    <n v="85.515000000000001"/>
    <n v="85.515000000000001"/>
    <n v="85.515000000000001"/>
    <n v="96"/>
    <x v="1"/>
    <n v="0"/>
    <n v="0"/>
    <n v="65"/>
    <n v="25"/>
    <n v="0"/>
    <n v="407.42"/>
    <n v="280.73"/>
    <m/>
    <n v="471.29409075882518"/>
    <n v="207.63042742196092"/>
    <n v="0"/>
    <n v="34840.5213"/>
    <n v="24006.625950000001"/>
    <n v="0"/>
    <n v="40302.714171240936"/>
    <n v="17755.516000988988"/>
  </r>
  <r>
    <s v="Regular"/>
    <x v="3"/>
    <x v="3"/>
    <x v="3"/>
    <x v="1"/>
    <x v="1"/>
    <x v="0"/>
    <x v="1"/>
    <x v="0"/>
    <n v="0"/>
    <n v="0"/>
    <n v="19.503"/>
    <n v="19.503"/>
    <n v="19.503"/>
    <n v="19.503"/>
    <n v="8"/>
    <x v="1"/>
    <n v="0"/>
    <n v="0"/>
    <n v="65"/>
    <n v="25"/>
    <n v="0"/>
    <n v="382.97480000000002"/>
    <n v="263.88619999999997"/>
    <m/>
    <n v="457.15526803606042"/>
    <n v="201.40151459930209"/>
    <n v="0"/>
    <n v="7469.1575244000005"/>
    <n v="5146.5725585999999"/>
    <n v="0"/>
    <n v="8640.149732945205"/>
    <n v="3927.9337392301886"/>
  </r>
  <r>
    <s v="Regular"/>
    <x v="3"/>
    <x v="3"/>
    <x v="3"/>
    <x v="1"/>
    <x v="1"/>
    <x v="0"/>
    <x v="1"/>
    <x v="1"/>
    <n v="0"/>
    <n v="0"/>
    <n v="21.786999999999999"/>
    <n v="21.786999999999999"/>
    <n v="21.786999999999999"/>
    <n v="21.786999999999999"/>
    <n v="8"/>
    <x v="1"/>
    <n v="0"/>
    <n v="0"/>
    <n v="65"/>
    <n v="25"/>
    <n v="0"/>
    <n v="382.97480000000002"/>
    <n v="263.88619999999997"/>
    <m/>
    <n v="457.15526803606042"/>
    <n v="201.40151459930209"/>
    <n v="0"/>
    <n v="8343.8719676000001"/>
    <n v="5749.2886393999988"/>
    <n v="0"/>
    <n v="9612.9805734903948"/>
    <n v="4387.9347985749946"/>
  </r>
  <r>
    <s v="Regular"/>
    <x v="3"/>
    <x v="3"/>
    <x v="3"/>
    <x v="1"/>
    <x v="1"/>
    <x v="0"/>
    <x v="1"/>
    <x v="2"/>
    <n v="0"/>
    <n v="0"/>
    <n v="19.158000000000001"/>
    <n v="19.158000000000001"/>
    <n v="19.158000000000001"/>
    <n v="19.158000000000001"/>
    <n v="8"/>
    <x v="1"/>
    <n v="0"/>
    <n v="0"/>
    <n v="65"/>
    <n v="25"/>
    <n v="0"/>
    <n v="382.97480000000002"/>
    <n v="263.88619999999997"/>
    <m/>
    <n v="457.15526803606042"/>
    <n v="201.40151459930209"/>
    <n v="0"/>
    <n v="7337.0312184000004"/>
    <n v="5055.5318195999998"/>
    <n v="0"/>
    <n v="8487.3090593121196"/>
    <n v="3858.4502166934299"/>
  </r>
  <r>
    <s v="Regular"/>
    <x v="3"/>
    <x v="3"/>
    <x v="3"/>
    <x v="1"/>
    <x v="1"/>
    <x v="0"/>
    <x v="1"/>
    <x v="3"/>
    <n v="0"/>
    <n v="0"/>
    <n v="20.58"/>
    <n v="20.58"/>
    <n v="20.58"/>
    <n v="20.58"/>
    <n v="8"/>
    <x v="1"/>
    <n v="0"/>
    <n v="0"/>
    <n v="65"/>
    <n v="25"/>
    <n v="0"/>
    <n v="382.97480000000002"/>
    <n v="263.88619999999997"/>
    <m/>
    <n v="457.15526803606042"/>
    <n v="201.40151459930209"/>
    <n v="0"/>
    <n v="7881.621384"/>
    <n v="5430.7779959999989"/>
    <n v="0"/>
    <n v="9117.2784445476245"/>
    <n v="4144.843170453637"/>
  </r>
  <r>
    <s v="Regular"/>
    <x v="3"/>
    <x v="3"/>
    <x v="3"/>
    <x v="1"/>
    <x v="1"/>
    <x v="0"/>
    <x v="1"/>
    <x v="4"/>
    <n v="0"/>
    <n v="0"/>
    <n v="22.370999999999999"/>
    <n v="22.370999999999999"/>
    <n v="22.370999999999999"/>
    <n v="22.370999999999999"/>
    <n v="8"/>
    <x v="1"/>
    <n v="0"/>
    <n v="0"/>
    <n v="65"/>
    <n v="25"/>
    <n v="0"/>
    <n v="382.97480000000002"/>
    <n v="263.88619999999997"/>
    <m/>
    <n v="457.15526803606042"/>
    <n v="201.40151459930209"/>
    <n v="0"/>
    <n v="8567.5292508000002"/>
    <n v="5903.3981801999989"/>
    <n v="0"/>
    <n v="9910.7208981037365"/>
    <n v="4505.5532831009868"/>
  </r>
  <r>
    <s v="Regular"/>
    <x v="3"/>
    <x v="3"/>
    <x v="3"/>
    <x v="1"/>
    <x v="1"/>
    <x v="0"/>
    <x v="1"/>
    <x v="5"/>
    <n v="0"/>
    <n v="0"/>
    <n v="19.013000000000002"/>
    <n v="19.013000000000002"/>
    <n v="19.013000000000002"/>
    <n v="19.013000000000002"/>
    <n v="8"/>
    <x v="1"/>
    <n v="0"/>
    <n v="0"/>
    <n v="65"/>
    <n v="25"/>
    <n v="0"/>
    <n v="382.97480000000002"/>
    <n v="263.88619999999997"/>
    <m/>
    <n v="457.15526803606042"/>
    <n v="201.40151459930209"/>
    <n v="0"/>
    <n v="7281.4998724000006"/>
    <n v="5017.2683206000002"/>
    <n v="0"/>
    <n v="8423.07167474169"/>
    <n v="3829.246997076531"/>
  </r>
  <r>
    <s v="Regular"/>
    <x v="3"/>
    <x v="3"/>
    <x v="3"/>
    <x v="1"/>
    <x v="1"/>
    <x v="0"/>
    <x v="1"/>
    <x v="6"/>
    <n v="0"/>
    <n v="0"/>
    <n v="17.38"/>
    <n v="17.38"/>
    <n v="17.38"/>
    <n v="17.38"/>
    <n v="8"/>
    <x v="1"/>
    <n v="0"/>
    <n v="0"/>
    <n v="65"/>
    <n v="25"/>
    <n v="0"/>
    <n v="382.97480000000002"/>
    <n v="263.88619999999997"/>
    <m/>
    <n v="457.15526803606042"/>
    <n v="201.40151459930209"/>
    <n v="0"/>
    <n v="6656.1020239999998"/>
    <n v="4586.3421559999997"/>
    <n v="0"/>
    <n v="7699.6258195450782"/>
    <n v="3500.3583237358703"/>
  </r>
  <r>
    <s v="Regular"/>
    <x v="3"/>
    <x v="3"/>
    <x v="3"/>
    <x v="1"/>
    <x v="1"/>
    <x v="0"/>
    <x v="1"/>
    <x v="7"/>
    <n v="0"/>
    <n v="0"/>
    <n v="19.004999999999999"/>
    <n v="19.004999999999999"/>
    <n v="19.004999999999999"/>
    <n v="19.004999999999999"/>
    <n v="8"/>
    <x v="1"/>
    <n v="0"/>
    <n v="0"/>
    <n v="65"/>
    <n v="25"/>
    <n v="0"/>
    <n v="382.97480000000002"/>
    <n v="263.88619999999997"/>
    <m/>
    <n v="457.15526803606042"/>
    <n v="201.40151459930209"/>
    <n v="0"/>
    <n v="7278.4360740000002"/>
    <n v="5015.1572309999992"/>
    <n v="0"/>
    <n v="8419.5275431791833"/>
    <n v="3827.6357849597362"/>
  </r>
  <r>
    <s v="Regular"/>
    <x v="3"/>
    <x v="3"/>
    <x v="3"/>
    <x v="1"/>
    <x v="1"/>
    <x v="0"/>
    <x v="1"/>
    <x v="8"/>
    <n v="0"/>
    <n v="0"/>
    <n v="17.613"/>
    <n v="17.613"/>
    <n v="17.613"/>
    <n v="17.613"/>
    <n v="8"/>
    <x v="1"/>
    <n v="0"/>
    <n v="0"/>
    <n v="65"/>
    <n v="25"/>
    <n v="0"/>
    <n v="382.97480000000002"/>
    <n v="263.88619999999997"/>
    <m/>
    <n v="457.15526803606042"/>
    <n v="201.40151459930209"/>
    <n v="0"/>
    <n v="6745.3351524"/>
    <n v="4647.8276405999995"/>
    <n v="0"/>
    <n v="7802.8486513030766"/>
    <n v="3547.2848766375078"/>
  </r>
  <r>
    <s v="Regular"/>
    <x v="3"/>
    <x v="3"/>
    <x v="3"/>
    <x v="1"/>
    <x v="1"/>
    <x v="0"/>
    <x v="1"/>
    <x v="9"/>
    <n v="0"/>
    <n v="0"/>
    <n v="15.208"/>
    <n v="15.208"/>
    <n v="15.208"/>
    <n v="15.208"/>
    <n v="8"/>
    <x v="1"/>
    <n v="0"/>
    <n v="0"/>
    <n v="65"/>
    <n v="25"/>
    <n v="0"/>
    <n v="382.97480000000002"/>
    <n v="263.88619999999997"/>
    <m/>
    <n v="457.15526803606042"/>
    <n v="201.40151459930209"/>
    <n v="0"/>
    <n v="5824.2807584000002"/>
    <n v="4013.1813295999996"/>
    <n v="0"/>
    <n v="6737.3941003246"/>
    <n v="3062.914234026186"/>
  </r>
  <r>
    <s v="Regular"/>
    <x v="3"/>
    <x v="3"/>
    <x v="3"/>
    <x v="1"/>
    <x v="1"/>
    <x v="0"/>
    <x v="1"/>
    <x v="10"/>
    <n v="0"/>
    <n v="0"/>
    <n v="15.242000000000001"/>
    <n v="15.242000000000001"/>
    <n v="15.242000000000001"/>
    <n v="15.242000000000001"/>
    <n v="8"/>
    <x v="1"/>
    <n v="0"/>
    <n v="0"/>
    <n v="65"/>
    <n v="25"/>
    <n v="0"/>
    <n v="382.97480000000002"/>
    <n v="263.88619999999997"/>
    <m/>
    <n v="457.15526803606042"/>
    <n v="201.40151459930209"/>
    <n v="0"/>
    <n v="5837.3019016000007"/>
    <n v="4022.1534603999999"/>
    <n v="0"/>
    <n v="6752.4566594652524"/>
    <n v="3069.7618855225628"/>
  </r>
  <r>
    <s v="PROJETADO"/>
    <x v="3"/>
    <x v="3"/>
    <x v="3"/>
    <x v="1"/>
    <x v="1"/>
    <x v="0"/>
    <x v="1"/>
    <x v="11"/>
    <n v="0"/>
    <n v="0"/>
    <n v="15.242000000000001"/>
    <n v="15.242000000000001"/>
    <n v="15.242000000000001"/>
    <n v="15.242000000000001"/>
    <n v="8"/>
    <x v="1"/>
    <n v="0"/>
    <n v="0"/>
    <n v="65"/>
    <n v="25"/>
    <n v="0"/>
    <n v="382.97480000000002"/>
    <n v="263.88619999999997"/>
    <m/>
    <n v="457.15526803606042"/>
    <n v="201.40151459930209"/>
    <n v="0"/>
    <n v="5837.3019016000007"/>
    <n v="4022.1534603999999"/>
    <n v="0"/>
    <n v="6752.4566594652524"/>
    <n v="3069.7618855225628"/>
  </r>
  <r>
    <s v="Regular"/>
    <x v="4"/>
    <x v="3"/>
    <x v="7"/>
    <x v="9"/>
    <x v="1"/>
    <x v="0"/>
    <x v="1"/>
    <x v="0"/>
    <n v="0"/>
    <n v="0"/>
    <n v="137.149"/>
    <n v="137.149"/>
    <n v="137.149"/>
    <n v="137.149"/>
    <n v="1"/>
    <x v="1"/>
    <n v="0"/>
    <n v="0"/>
    <n v="68"/>
    <n v="29"/>
    <n v="0"/>
    <n v="244.45"/>
    <n v="168.44"/>
    <m/>
    <n v="282.77645445529504"/>
    <n v="124.57825645317655"/>
    <n v="0"/>
    <n v="33526.073049999999"/>
    <n v="23101.377560000001"/>
    <n v="0"/>
    <n v="38782.507952089261"/>
    <n v="17085.783294296711"/>
  </r>
  <r>
    <s v="Regular"/>
    <x v="4"/>
    <x v="3"/>
    <x v="7"/>
    <x v="9"/>
    <x v="1"/>
    <x v="0"/>
    <x v="1"/>
    <x v="1"/>
    <n v="0"/>
    <n v="0"/>
    <n v="137.149"/>
    <n v="137.149"/>
    <n v="137.149"/>
    <n v="137.149"/>
    <n v="1"/>
    <x v="1"/>
    <n v="0"/>
    <n v="0"/>
    <n v="68"/>
    <n v="29"/>
    <n v="0"/>
    <n v="244.45"/>
    <n v="168.44"/>
    <m/>
    <n v="282.77645445529504"/>
    <n v="124.57825645317655"/>
    <n v="0"/>
    <n v="33526.073049999999"/>
    <n v="23101.377560000001"/>
    <n v="0"/>
    <n v="38782.507952089261"/>
    <n v="17085.783294296711"/>
  </r>
  <r>
    <s v="Regular"/>
    <x v="4"/>
    <x v="3"/>
    <x v="7"/>
    <x v="9"/>
    <x v="1"/>
    <x v="0"/>
    <x v="1"/>
    <x v="2"/>
    <n v="0"/>
    <n v="0"/>
    <n v="137.149"/>
    <n v="137.149"/>
    <n v="137.149"/>
    <n v="137.149"/>
    <n v="1"/>
    <x v="1"/>
    <n v="0"/>
    <n v="0"/>
    <n v="68"/>
    <n v="29"/>
    <n v="0"/>
    <n v="244.45"/>
    <n v="168.44"/>
    <m/>
    <n v="282.77645445529504"/>
    <n v="124.57825645317655"/>
    <n v="0"/>
    <n v="33526.073049999999"/>
    <n v="23101.377560000001"/>
    <n v="0"/>
    <n v="38782.507952089261"/>
    <n v="17085.783294296711"/>
  </r>
  <r>
    <s v="Regular"/>
    <x v="4"/>
    <x v="3"/>
    <x v="7"/>
    <x v="9"/>
    <x v="1"/>
    <x v="0"/>
    <x v="1"/>
    <x v="3"/>
    <n v="0"/>
    <n v="0"/>
    <n v="137.52600000000001"/>
    <n v="137.52600000000001"/>
    <n v="137.52600000000001"/>
    <n v="137.52600000000001"/>
    <n v="1"/>
    <x v="1"/>
    <n v="0"/>
    <n v="0"/>
    <n v="68"/>
    <n v="29"/>
    <n v="0"/>
    <n v="244.45"/>
    <n v="168.44"/>
    <m/>
    <n v="282.77645445529504"/>
    <n v="124.57825645317655"/>
    <n v="0"/>
    <n v="33618.2307"/>
    <n v="23164.879440000001"/>
    <n v="0"/>
    <n v="38889.11467541891"/>
    <n v="17132.74929697956"/>
  </r>
  <r>
    <s v="Regular"/>
    <x v="4"/>
    <x v="3"/>
    <x v="7"/>
    <x v="9"/>
    <x v="1"/>
    <x v="0"/>
    <x v="1"/>
    <x v="4"/>
    <n v="0"/>
    <n v="0"/>
    <n v="137.52600000000001"/>
    <n v="137.52600000000001"/>
    <n v="137.52600000000001"/>
    <n v="137.52600000000001"/>
    <n v="1"/>
    <x v="1"/>
    <n v="0"/>
    <n v="0"/>
    <n v="68"/>
    <n v="29"/>
    <n v="0"/>
    <n v="244.45"/>
    <n v="168.44"/>
    <m/>
    <n v="282.77645445529504"/>
    <n v="124.57825645317655"/>
    <n v="0"/>
    <n v="33618.2307"/>
    <n v="23164.879440000001"/>
    <n v="0"/>
    <n v="38889.11467541891"/>
    <n v="17132.74929697956"/>
  </r>
  <r>
    <s v="Regular"/>
    <x v="4"/>
    <x v="3"/>
    <x v="7"/>
    <x v="9"/>
    <x v="1"/>
    <x v="0"/>
    <x v="1"/>
    <x v="5"/>
    <n v="0"/>
    <n v="0"/>
    <n v="138.613"/>
    <n v="138.613"/>
    <n v="138.613"/>
    <n v="138.613"/>
    <n v="1"/>
    <x v="1"/>
    <n v="0"/>
    <n v="0"/>
    <n v="68"/>
    <n v="29"/>
    <n v="0"/>
    <n v="244.45"/>
    <n v="168.44"/>
    <m/>
    <n v="282.77645445529504"/>
    <n v="124.57825645317655"/>
    <n v="0"/>
    <n v="33883.947849999997"/>
    <n v="23347.973719999998"/>
    <n v="0"/>
    <n v="39196.492681411808"/>
    <n v="17268.165861744161"/>
  </r>
  <r>
    <s v="Regular"/>
    <x v="4"/>
    <x v="3"/>
    <x v="7"/>
    <x v="9"/>
    <x v="1"/>
    <x v="0"/>
    <x v="1"/>
    <x v="6"/>
    <n v="0"/>
    <n v="0"/>
    <n v="138.547"/>
    <n v="138.547"/>
    <n v="138.547"/>
    <n v="138.547"/>
    <n v="1"/>
    <x v="1"/>
    <n v="0"/>
    <n v="0"/>
    <n v="68"/>
    <n v="29"/>
    <n v="0"/>
    <n v="244.45"/>
    <n v="168.44"/>
    <m/>
    <n v="282.77645445529504"/>
    <n v="124.57825645317655"/>
    <n v="0"/>
    <n v="33867.814149999998"/>
    <n v="23336.856680000001"/>
    <n v="0"/>
    <n v="39177.829435417763"/>
    <n v="17259.943696818253"/>
  </r>
  <r>
    <s v="Regular"/>
    <x v="4"/>
    <x v="3"/>
    <x v="7"/>
    <x v="9"/>
    <x v="1"/>
    <x v="0"/>
    <x v="1"/>
    <x v="7"/>
    <n v="0"/>
    <n v="0"/>
    <n v="138.04"/>
    <n v="138.04"/>
    <n v="138.04"/>
    <n v="138.04"/>
    <n v="1"/>
    <x v="1"/>
    <n v="0"/>
    <n v="0"/>
    <n v="68"/>
    <n v="29"/>
    <n v="0"/>
    <n v="244.45"/>
    <n v="168.44"/>
    <m/>
    <n v="282.77645445529504"/>
    <n v="124.57825645317655"/>
    <n v="0"/>
    <n v="33743.877999999997"/>
    <n v="23251.457599999998"/>
    <n v="0"/>
    <n v="39034.461773008923"/>
    <n v="17196.782520796489"/>
  </r>
  <r>
    <s v="Regular"/>
    <x v="4"/>
    <x v="3"/>
    <x v="7"/>
    <x v="9"/>
    <x v="1"/>
    <x v="0"/>
    <x v="1"/>
    <x v="8"/>
    <n v="0"/>
    <n v="0"/>
    <n v="138.06899999999999"/>
    <n v="138.06899999999999"/>
    <n v="138.06899999999999"/>
    <n v="138.06899999999999"/>
    <n v="1"/>
    <x v="1"/>
    <n v="0"/>
    <n v="0"/>
    <n v="68"/>
    <n v="29"/>
    <n v="0"/>
    <n v="244.45"/>
    <n v="168.44"/>
    <m/>
    <n v="282.77645445529504"/>
    <n v="124.57825645317655"/>
    <n v="0"/>
    <n v="33750.967049999992"/>
    <n v="23256.342359999999"/>
    <n v="0"/>
    <n v="39042.662290188127"/>
    <n v="17200.395290233631"/>
  </r>
  <r>
    <s v="Regular"/>
    <x v="4"/>
    <x v="3"/>
    <x v="7"/>
    <x v="9"/>
    <x v="1"/>
    <x v="0"/>
    <x v="1"/>
    <x v="9"/>
    <n v="0"/>
    <n v="0"/>
    <n v="138.06899999999999"/>
    <n v="138.06899999999999"/>
    <n v="138.06899999999999"/>
    <n v="138.06899999999999"/>
    <n v="1"/>
    <x v="1"/>
    <n v="0"/>
    <n v="0"/>
    <n v="68"/>
    <n v="29"/>
    <n v="0"/>
    <n v="244.45"/>
    <n v="168.44"/>
    <m/>
    <n v="282.77645445529504"/>
    <n v="124.57825645317655"/>
    <n v="0"/>
    <n v="33750.967049999992"/>
    <n v="23256.342359999999"/>
    <n v="0"/>
    <n v="39042.662290188127"/>
    <n v="17200.395290233631"/>
  </r>
  <r>
    <s v="Regular"/>
    <x v="4"/>
    <x v="3"/>
    <x v="7"/>
    <x v="9"/>
    <x v="1"/>
    <x v="0"/>
    <x v="1"/>
    <x v="10"/>
    <n v="0"/>
    <n v="0"/>
    <n v="139.01400000000001"/>
    <n v="139.01400000000001"/>
    <n v="139.01400000000001"/>
    <n v="139.01400000000001"/>
    <n v="1"/>
    <x v="1"/>
    <n v="0"/>
    <n v="0"/>
    <n v="68"/>
    <n v="29"/>
    <n v="0"/>
    <n v="244.45"/>
    <n v="168.44"/>
    <m/>
    <n v="282.77645445529504"/>
    <n v="124.57825645317655"/>
    <n v="0"/>
    <n v="33981.972300000001"/>
    <n v="23415.51816"/>
    <n v="0"/>
    <n v="39309.886039648387"/>
    <n v="17318.121742581887"/>
  </r>
  <r>
    <s v="PROJETADO"/>
    <x v="4"/>
    <x v="3"/>
    <x v="7"/>
    <x v="9"/>
    <x v="1"/>
    <x v="0"/>
    <x v="1"/>
    <x v="11"/>
    <n v="0"/>
    <n v="0"/>
    <n v="139.01400000000001"/>
    <n v="139.01400000000001"/>
    <n v="139.01400000000001"/>
    <n v="139.01400000000001"/>
    <n v="1"/>
    <x v="1"/>
    <n v="0"/>
    <n v="0"/>
    <n v="68"/>
    <n v="29"/>
    <n v="0"/>
    <n v="244.45"/>
    <n v="168.44"/>
    <m/>
    <n v="282.77645445529504"/>
    <n v="124.57825645317655"/>
    <n v="0"/>
    <n v="33981.972300000001"/>
    <n v="23415.51816"/>
    <n v="0"/>
    <n v="39309.886039648387"/>
    <n v="17318.1217425818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4EDA4-B3FE-4CD4-ADDD-E94F6E84753C}" name="Efeito Resumo" cacheId="1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560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9">
        <item x="1"/>
        <item x="6"/>
        <item x="7"/>
        <item x="0"/>
        <item x="2"/>
        <item x="4"/>
        <item x="5"/>
        <item x="3"/>
        <item t="default"/>
      </items>
    </pivotField>
    <pivotField axis="axisRow" showAll="0">
      <items count="11">
        <item x="7"/>
        <item x="1"/>
        <item x="8"/>
        <item x="9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559">
    <i>
      <x/>
    </i>
    <i r="1">
      <x/>
    </i>
    <i r="2">
      <x v="3"/>
    </i>
    <i r="3">
      <x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1"/>
    </i>
    <i r="3">
      <x v="5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5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2"/>
    </i>
    <i r="3">
      <x v="6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/>
    </i>
    <i r="7">
      <x v="2"/>
    </i>
    <i r="8">
      <x/>
    </i>
    <i r="8">
      <x v="1"/>
    </i>
    <i r="5">
      <x v="2"/>
    </i>
    <i r="6">
      <x/>
    </i>
    <i r="7">
      <x v="2"/>
    </i>
    <i r="8">
      <x/>
    </i>
    <i r="8">
      <x v="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2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/>
    </i>
    <i r="3">
      <x v="3"/>
    </i>
    <i r="4">
      <x v="4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284">
    <format dxfId="734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73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732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731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730">
      <pivotArea type="all" dataOnly="0" outline="0" fieldPosition="0"/>
    </format>
    <format dxfId="729">
      <pivotArea outline="0" collapsedLevelsAreSubtotals="1" fieldPosition="0"/>
    </format>
    <format dxfId="728">
      <pivotArea field="16" type="button" dataOnly="0" labelOnly="1" outline="0" axis="axisRow" fieldPosition="0"/>
    </format>
    <format dxfId="727">
      <pivotArea dataOnly="0" labelOnly="1" fieldPosition="0">
        <references count="1">
          <reference field="16" count="0"/>
        </references>
      </pivotArea>
    </format>
    <format dxfId="726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725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72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1"/>
          </reference>
        </references>
      </pivotArea>
    </format>
    <format dxfId="71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4"/>
            <x v="7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71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69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67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6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65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2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1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2">
            <x v="0"/>
            <x v="1"/>
          </reference>
          <reference field="16" count="1" selected="0">
            <x v="0"/>
          </reference>
        </references>
      </pivotArea>
    </format>
    <format dxfId="60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2">
            <x v="0"/>
            <x v="1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0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9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9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9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90">
      <pivotArea type="all" dataOnly="0" outline="0" fieldPosition="0"/>
    </format>
    <format dxfId="589">
      <pivotArea outline="0" collapsedLevelsAreSubtotals="1" fieldPosition="0"/>
    </format>
    <format dxfId="588">
      <pivotArea field="16" type="button" dataOnly="0" labelOnly="1" outline="0" axis="axisRow" fieldPosition="0"/>
    </format>
    <format dxfId="587">
      <pivotArea dataOnly="0" labelOnly="1" fieldPosition="0">
        <references count="1">
          <reference field="16" count="0"/>
        </references>
      </pivotArea>
    </format>
    <format dxfId="586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585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8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1"/>
          </reference>
        </references>
      </pivotArea>
    </format>
    <format dxfId="57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4"/>
            <x v="7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57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65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56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56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6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6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6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5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5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5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55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4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53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2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52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2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52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51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8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7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2">
            <x v="0"/>
            <x v="1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2">
            <x v="0"/>
            <x v="1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6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6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5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5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5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9D3DB-8217-4C3C-9B0A-88BAA8D1EBFE}" name="Subsidio Resumo" cacheId="1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257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10">
        <item x="7"/>
        <item x="1"/>
        <item x="8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7">
        <item x="1"/>
        <item x="3"/>
        <item x="0"/>
        <item x="5"/>
        <item x="4"/>
        <item x="2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256">
    <i>
      <x/>
    </i>
    <i r="1">
      <x/>
    </i>
    <i r="2">
      <x v="2"/>
    </i>
    <i r="3">
      <x v="3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 v="1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1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2"/>
    </i>
    <i r="2">
      <x v="1"/>
    </i>
    <i r="3">
      <x v="2"/>
    </i>
    <i r="4">
      <x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/>
    </i>
    <i r="7">
      <x v="1"/>
    </i>
    <i r="8">
      <x/>
    </i>
    <i r="8">
      <x v="1"/>
    </i>
    <i>
      <x v="4"/>
    </i>
    <i r="1">
      <x v="2"/>
    </i>
    <i r="2">
      <x v="1"/>
    </i>
    <i r="3">
      <x v="2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/>
    </i>
    <i r="7">
      <x v="1"/>
    </i>
    <i r="8">
      <x/>
    </i>
    <i r="8">
      <x v="1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 v="1"/>
    </i>
    <i r="3">
      <x v="1"/>
    </i>
    <i r="4">
      <x v="4"/>
    </i>
    <i r="5">
      <x v="3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178">
    <format dxfId="450">
      <pivotArea outline="0" collapsedLevelsAreSubtotals="1" fieldPosition="0"/>
    </format>
    <format dxfId="44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48">
      <pivotArea type="all" dataOnly="0" outline="0" fieldPosition="0"/>
    </format>
    <format dxfId="447">
      <pivotArea outline="0" collapsedLevelsAreSubtotals="1" fieldPosition="0"/>
    </format>
    <format dxfId="446">
      <pivotArea field="31" type="button" dataOnly="0" labelOnly="1" outline="0" axis="axisRow" fieldPosition="0"/>
    </format>
    <format dxfId="445">
      <pivotArea dataOnly="0" labelOnly="1" fieldPosition="0">
        <references count="1">
          <reference field="31" count="0"/>
        </references>
      </pivotArea>
    </format>
    <format dxfId="444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443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442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441">
      <pivotArea dataOnly="0" labelOnly="1" fieldPosition="0">
        <references count="2">
          <reference field="1" count="1">
            <x v="2"/>
          </reference>
          <reference field="31" count="1" selected="0">
            <x v="3"/>
          </reference>
        </references>
      </pivotArea>
    </format>
    <format dxfId="440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439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43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437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436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435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434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43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432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43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430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429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42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2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42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425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424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2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22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42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42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419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418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31" count="1" selected="0">
            <x v="5"/>
          </reference>
        </references>
      </pivotArea>
    </format>
    <format dxfId="41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1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1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1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40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40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40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40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40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0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40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40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40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40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9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9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9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9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9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9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9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9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39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0"/>
          </reference>
        </references>
      </pivotArea>
    </format>
    <format dxfId="39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38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8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8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8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8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38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38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38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38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38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37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5"/>
          </reference>
        </references>
      </pivotArea>
    </format>
    <format dxfId="37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7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7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7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7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7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7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7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7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6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6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6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6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2">
            <x v="0"/>
            <x v="1"/>
          </reference>
          <reference field="31" count="1" selected="0">
            <x v="3"/>
          </reference>
        </references>
      </pivotArea>
    </format>
    <format dxfId="36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36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2">
            <x v="0"/>
            <x v="1"/>
          </reference>
          <reference field="31" count="1" selected="0">
            <x v="4"/>
          </reference>
        </references>
      </pivotArea>
    </format>
    <format dxfId="36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36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36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60">
      <pivotArea type="all" dataOnly="0" outline="0" fieldPosition="0"/>
    </format>
    <format dxfId="359">
      <pivotArea outline="0" collapsedLevelsAreSubtotals="1" fieldPosition="0"/>
    </format>
    <format dxfId="358">
      <pivotArea field="31" type="button" dataOnly="0" labelOnly="1" outline="0" axis="axisRow" fieldPosition="0"/>
    </format>
    <format dxfId="357">
      <pivotArea dataOnly="0" labelOnly="1" fieldPosition="0">
        <references count="1">
          <reference field="31" count="0"/>
        </references>
      </pivotArea>
    </format>
    <format dxfId="356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55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54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53">
      <pivotArea dataOnly="0" labelOnly="1" fieldPosition="0">
        <references count="2">
          <reference field="1" count="1">
            <x v="2"/>
          </reference>
          <reference field="31" count="1" selected="0">
            <x v="3"/>
          </reference>
        </references>
      </pivotArea>
    </format>
    <format dxfId="352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351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350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49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48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47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346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345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4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4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2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1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34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3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3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3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336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3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3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331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330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31" count="1" selected="0">
            <x v="5"/>
          </reference>
        </references>
      </pivotArea>
    </format>
    <format dxfId="329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2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2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2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2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2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1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1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1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1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1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1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1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1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1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0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0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0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0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30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0"/>
          </reference>
        </references>
      </pivotArea>
    </format>
    <format dxfId="30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30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0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29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29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29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9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9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9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5"/>
          </reference>
        </references>
      </pivotArea>
    </format>
    <format dxfId="29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8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8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8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8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8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7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7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2">
            <x v="0"/>
            <x v="1"/>
          </reference>
          <reference field="31" count="1" selected="0">
            <x v="3"/>
          </reference>
        </references>
      </pivotArea>
    </format>
    <format dxfId="27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7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2">
            <x v="0"/>
            <x v="1"/>
          </reference>
          <reference field="31" count="1" selected="0">
            <x v="4"/>
          </reference>
        </references>
      </pivotArea>
    </format>
    <format dxfId="27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7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7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C96AF-D93B-4E68-854F-08064EE593C9}" name="Efeito Resumo" cacheId="12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565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9">
        <item x="1"/>
        <item x="6"/>
        <item x="7"/>
        <item x="0"/>
        <item x="2"/>
        <item x="4"/>
        <item x="5"/>
        <item x="3"/>
        <item t="default"/>
      </items>
    </pivotField>
    <pivotField axis="axisRow" showAll="0">
      <items count="11">
        <item x="7"/>
        <item x="1"/>
        <item x="8"/>
        <item x="9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"/>
    <field x="2"/>
    <field x="16"/>
    <field x="3"/>
    <field x="4"/>
    <field x="5"/>
    <field x="6"/>
    <field x="7"/>
    <field x="8"/>
  </rowFields>
  <rowItems count="564">
    <i>
      <x/>
    </i>
    <i r="1">
      <x/>
    </i>
    <i r="2">
      <x v="1"/>
    </i>
    <i r="3">
      <x v="3"/>
    </i>
    <i r="4">
      <x v="4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/>
    </i>
    <i r="3">
      <x v="5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5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2"/>
    </i>
    <i r="2">
      <x/>
    </i>
    <i r="3">
      <x v="6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/>
    </i>
    <i r="7">
      <x v="2"/>
    </i>
    <i r="8">
      <x/>
    </i>
    <i r="8">
      <x v="1"/>
    </i>
    <i r="5">
      <x v="2"/>
    </i>
    <i r="6">
      <x/>
    </i>
    <i r="7">
      <x v="2"/>
    </i>
    <i r="8">
      <x/>
    </i>
    <i r="8">
      <x v="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1"/>
    </i>
    <i r="2">
      <x/>
    </i>
    <i r="3">
      <x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2"/>
    </i>
    <i r="2">
      <x/>
    </i>
    <i r="3">
      <x v="2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4">
    <format dxfId="182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8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80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79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CFE4C33-C30A-47BC-BD8D-3A6B52A8DE3C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28859654-0144-494B-A59E-D4DEA6D29AA2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D117615A-838E-4727-91C2-F6DB4D43A6C6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02A6B8-4919-407A-A175-5F561FCDD219}" name="Efeito" displayName="Efeito" ref="A1:AG475" totalsRowShown="0" headerRowDxfId="803" dataDxfId="802">
  <autoFilter ref="A1:AG475" xr:uid="{1902A6B8-4919-407A-A175-5F561FCDD219}"/>
  <tableColumns count="33">
    <tableColumn id="1" xr3:uid="{D65FD2ED-ADB7-4779-859B-6125FA65FCA1}" name="TipoMercado" dataDxfId="801"/>
    <tableColumn id="2" xr3:uid="{1B8BD482-DC90-4D10-8418-DFFE904D6808}" name="Subgrupo" dataDxfId="800"/>
    <tableColumn id="3" xr3:uid="{18C491B8-7A98-4143-9E8E-F0C729B36DEB}" name="Modalidade" dataDxfId="799"/>
    <tableColumn id="4" xr3:uid="{47CAD461-72D1-4764-BB1E-1371F4E24B54}" name="Classe" dataDxfId="798"/>
    <tableColumn id="5" xr3:uid="{80E4DCA4-F03B-4FF3-A14A-E33FF98F8F68}" name="Subclasse" dataDxfId="797"/>
    <tableColumn id="6" xr3:uid="{DA6ED0BC-354D-4673-BD68-606223CB030B}" name="Detalhe" dataDxfId="796"/>
    <tableColumn id="7" xr3:uid="{AA98CE6B-568E-4F12-9F6F-DE7D6BB568EE}" name="Agente" dataDxfId="795"/>
    <tableColumn id="8" xr3:uid="{1A6036F3-B283-41FE-BE6D-F2FD95DC4265}" name="Posto" dataDxfId="794"/>
    <tableColumn id="9" xr3:uid="{A61F029F-7811-4634-A401-9ED3CAC89103}" name="AnoMes" dataDxfId="793"/>
    <tableColumn id="10" xr3:uid="{57AD114F-499A-4ACB-A552-2538A6019E4E}" name="D" dataDxfId="792"/>
    <tableColumn id="11" xr3:uid="{557E8EDF-AE8D-43A5-B3DD-E53E1DF6D1D3}" name="Daj" dataDxfId="791"/>
    <tableColumn id="12" xr3:uid="{3E148FC0-A9CD-437B-8F92-CCE79FAE6AE9}" name="TUSD_E" dataDxfId="790"/>
    <tableColumn id="13" xr3:uid="{A3655804-C99A-4FE8-9768-60F539B36C31}" name="TUSD_Eaj" dataDxfId="789"/>
    <tableColumn id="14" xr3:uid="{09C5D472-AA78-4D89-8C85-E804E2464239}" name="TE_E" dataDxfId="788"/>
    <tableColumn id="15" xr3:uid="{4EF2AB98-1502-4785-AB0A-031B6C0B4FF4}" name="TE_Eaj" dataDxfId="787"/>
    <tableColumn id="16" xr3:uid="{F6CE1FA8-421A-4412-AAFA-9639E4323AAA}" name="UC" dataDxfId="786"/>
    <tableColumn id="17" xr3:uid="{9518C22D-2880-4D7C-B02E-02009A73BB85}" name="OPÇÃO" dataDxfId="785"/>
    <tableColumn id="18" xr3:uid="{41F57484-3240-4BED-8791-A59241EC8A00}" name="CóD. AUX." dataDxfId="784"/>
    <tableColumn id="19" xr3:uid="{864908AA-D932-44B0-939C-6DF3DB7FB4FC}" name="CóD. AUX. TUSD R$/kW" dataDxfId="783"/>
    <tableColumn id="20" xr3:uid="{B3C2448D-2078-43FB-9925-0B94B2C20C86}" name="CóD. AUX. TUSD R$/MWh" dataDxfId="782"/>
    <tableColumn id="21" xr3:uid="{08A776EF-11C6-43D1-B8F7-0502C45A56E3}" name="CóD. AUX. TE R$/MWh" dataDxfId="781"/>
    <tableColumn id="22" xr3:uid="{F9E56CFA-4D38-4DD3-A23F-F13A6E8793B7}" name="TUSD (R$/kW)" dataDxfId="780"/>
    <tableColumn id="23" xr3:uid="{35F8D2D0-9DD9-4CCB-A082-CC92B176A4BD}" name="TUSD (R$/MWh)" dataDxfId="779"/>
    <tableColumn id="24" xr3:uid="{819E5914-0AEE-4E04-9CA6-714C4B24825A}" name="TE (R$/MWh)" dataDxfId="778"/>
    <tableColumn id="25" xr3:uid="{387276F9-1994-40E1-84DD-3001E4A7D46C}" name="TUSD (R$/kW) NOVA" dataDxfId="777"/>
    <tableColumn id="26" xr3:uid="{4EE36049-7F99-4BD7-9055-8106DDFAD47E}" name="TUSD (R$/MWh) NOVA" dataDxfId="776">
      <calculatedColumnFormula>('TUSD BE'!$AM$51+'TUSD BF'!$AM$51+'TUSD CVA'!$AM$51)*1</calculatedColumnFormula>
    </tableColumn>
    <tableColumn id="27" xr3:uid="{A3B73DC1-ACA3-4EEE-9C73-141AAEE6C00E}" name="TE (R$/MWh) NOVA" dataDxfId="775">
      <calculatedColumnFormula>('TE BE'!$AB$42+'TE BF'!$AB$42+'TE CVA'!$AB$42)*1</calculatedColumnFormula>
    </tableColumn>
    <tableColumn id="28" xr3:uid="{9A33010B-7F65-409C-8906-01663D1771A5}" name="RA0 ou RV - TUSD (kW)" dataDxfId="774"/>
    <tableColumn id="29" xr3:uid="{B42B984D-F2B9-4AA5-A601-D3F669718DAE}" name="RA0 ou RV - TUSD (MWh)" dataDxfId="773"/>
    <tableColumn id="30" xr3:uid="{509B8F1F-D4F7-4147-8B68-6531F74317D4}" name="RA0 ou RV - TE (MWh)" dataDxfId="772"/>
    <tableColumn id="31" xr3:uid="{D96C73A6-D50E-4F43-BC2B-317CA32E303E}" name="RA1 ou RRD - TUSD (kW)" dataDxfId="771"/>
    <tableColumn id="32" xr3:uid="{E4E8F374-6466-4180-958C-92ED562DD858}" name="RA1 ou RRD - TUSD (MWh)" dataDxfId="770"/>
    <tableColumn id="33" xr3:uid="{198ED549-E996-4234-9BEA-5F6153EA6798}" name="RA1 ou RRD - TE (MWh)" dataDxfId="76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D3A2E3-F1B9-464F-BEE8-41260F4C9BC0}" name="Subsidio" displayName="Subsidio" ref="A1:AF186" totalsRowShown="0" headerRowDxfId="768" dataDxfId="767">
  <autoFilter ref="A1:AF186" xr:uid="{EDD3A2E3-F1B9-464F-BEE8-41260F4C9BC0}"/>
  <tableColumns count="32">
    <tableColumn id="1" xr3:uid="{24D0D552-7BAD-4C8C-844A-7571F32D97BF}" name="TipoMercado" dataDxfId="766"/>
    <tableColumn id="2" xr3:uid="{770949F2-2CBA-4BE9-9972-80B5A361493E}" name="Subgrupo" dataDxfId="765"/>
    <tableColumn id="3" xr3:uid="{976FF450-8628-4CE3-B8A0-6991447C62CC}" name="Modalidade" dataDxfId="764"/>
    <tableColumn id="4" xr3:uid="{4B9661B0-9ABC-4B4A-BDF2-43E48302928D}" name="Classe" dataDxfId="763"/>
    <tableColumn id="5" xr3:uid="{226F5CBC-6111-403F-94CE-7FB01D77BF6B}" name="Subclasse" dataDxfId="762"/>
    <tableColumn id="6" xr3:uid="{0DE8D5A4-6DE0-4FFC-99E0-CA55C283D2E8}" name="Detalhe" dataDxfId="761"/>
    <tableColumn id="7" xr3:uid="{E4082AE3-9975-4C16-B6A2-9BF369225014}" name="Agente" dataDxfId="760"/>
    <tableColumn id="8" xr3:uid="{93901861-DF74-422D-9457-37F912BCB6B9}" name="Posto" dataDxfId="759"/>
    <tableColumn id="9" xr3:uid="{3E933CBB-3C2B-4015-85AD-40BEA4E129E7}" name="AnoMes" dataDxfId="758"/>
    <tableColumn id="10" xr3:uid="{E8DA8C07-9C06-4922-A9DC-681845E960E0}" name="D" dataDxfId="757"/>
    <tableColumn id="11" xr3:uid="{F3BBD570-FE67-44A4-82AD-9AA4099144E7}" name="Daj" dataDxfId="756"/>
    <tableColumn id="12" xr3:uid="{BEEA6C97-D51A-4429-9116-F52887538C11}" name="TUSD_E" dataDxfId="755"/>
    <tableColumn id="13" xr3:uid="{363D37F7-EDE3-4B21-AFA6-E0F33A158125}" name="TUSD_Eaj" dataDxfId="754"/>
    <tableColumn id="14" xr3:uid="{089E22FF-0919-455B-894E-EA1CCA1B9B38}" name="TE_E" dataDxfId="753"/>
    <tableColumn id="15" xr3:uid="{6B52160D-6FD3-4C80-93F3-87BE2B28DB19}" name="TE_Eaj" dataDxfId="752"/>
    <tableColumn id="16" xr3:uid="{A7B07270-0F6C-4C8D-B3FB-D5C5DC65FD9D}" name="UC" dataDxfId="751"/>
    <tableColumn id="17" xr3:uid="{BE635081-BB38-4BAE-BA22-E52F748222B3}" name="OPÇÃO" dataDxfId="750"/>
    <tableColumn id="18" xr3:uid="{BD643DC0-98EB-44F2-BBCF-528D5A66D4D2}" name="CóD. AUX." dataDxfId="749"/>
    <tableColumn id="19" xr3:uid="{68365327-5CE6-4D67-A144-6E8B6D2BD8D5}" name="CóD. AUX. TUSD R$/kW" dataDxfId="748"/>
    <tableColumn id="20" xr3:uid="{5BA4B945-2371-48D3-8455-F7C7101DA8BA}" name="CóD. AUX. TUSD R$/MWh" dataDxfId="747"/>
    <tableColumn id="21" xr3:uid="{9C7D7F8B-5808-426F-9D68-F34D1230FE1B}" name="CóD. AUX. TE R$/MWh" dataDxfId="746"/>
    <tableColumn id="22" xr3:uid="{A9D016EE-0FB7-4500-8216-30188D3B1F38}" name="TUSD (R$/kW)" dataDxfId="745"/>
    <tableColumn id="23" xr3:uid="{591AAE88-92D9-4200-BDC3-544ED3649C5D}" name="TUSD (R$/MWh)" dataDxfId="744"/>
    <tableColumn id="24" xr3:uid="{82BA4CF3-7363-4E3C-ADD8-6654335ED6BE}" name="TE (R$/MWh)" dataDxfId="743"/>
    <tableColumn id="25" xr3:uid="{8A3DBD23-51CB-4E72-B2DE-DD64F07534E8}" name="TUSD (R$/kW) NOVA" dataDxfId="742"/>
    <tableColumn id="26" xr3:uid="{D5DCE62F-35AB-4096-8E2A-B3AF580F70E1}" name="TUSD (R$/MWh) NOVA" dataDxfId="741">
      <calculatedColumnFormula>('TUSD BE'!$AM$48+'TUSD BF'!$AM$48+'TUSD CVA'!$AM$48)*1</calculatedColumnFormula>
    </tableColumn>
    <tableColumn id="27" xr3:uid="{CAE769BB-D801-42FB-A0D4-7C7468C9786F}" name="TE (R$/MWh) NOVA" dataDxfId="740">
      <calculatedColumnFormula>('TE BE'!$AB$39+'TE BF'!$AB$39+'TE CVA'!$AB$39)*1</calculatedColumnFormula>
    </tableColumn>
    <tableColumn id="28" xr3:uid="{C7864B11-D91A-4A3A-9973-92FA4A113650}" name="SUBSIDIO kW - TV" dataDxfId="739">
      <calculatedColumnFormula>(J2-K2)*V2</calculatedColumnFormula>
    </tableColumn>
    <tableColumn id="29" xr3:uid="{C4B5A15C-516A-4FAE-B995-5F793D1250EA}" name="SUBSIDIO MWh - TV" dataDxfId="738">
      <calculatedColumnFormula>(L2-M2)*W2+(N2-O2)*X2</calculatedColumnFormula>
    </tableColumn>
    <tableColumn id="30" xr3:uid="{0A14481D-E88F-4C83-B173-51B05A6C20D0}" name="SUBSIDIO kW - TN" dataDxfId="737">
      <calculatedColumnFormula>(J2-K2)*Y2</calculatedColumnFormula>
    </tableColumn>
    <tableColumn id="31" xr3:uid="{7F6AE221-1513-4AE0-9C92-D3F9D21154CB}" name="SUBSIDIO MWh - TN" dataDxfId="736">
      <calculatedColumnFormula>(L2-M2)*Z2+(N2-O2)*AA2</calculatedColumnFormula>
    </tableColumn>
    <tableColumn id="32" xr3:uid="{2A0C24FA-33A3-4021-AABC-5F9BB70BD634}" name="TIPO" dataDxfId="73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495AF6-77A1-4A1F-A68A-7419441BF6A1}" name="Efeito4" displayName="Efeito4" ref="A1:AG475" totalsRowShown="0" headerRowDxfId="178" dataDxfId="177">
  <autoFilter ref="A1:AG475" xr:uid="{1902A6B8-4919-407A-A175-5F561FCDD219}"/>
  <tableColumns count="33">
    <tableColumn id="1" xr3:uid="{208C1BDC-2655-4820-97C7-70C3251FBB73}" name="TipoMercado" dataDxfId="176"/>
    <tableColumn id="2" xr3:uid="{7D840C8B-084D-4E69-B0C7-6D08BDB611A2}" name="Subgrupo" dataDxfId="175"/>
    <tableColumn id="3" xr3:uid="{E0A3D2CB-9925-424E-AB22-E041399A7844}" name="Modalidade" dataDxfId="174"/>
    <tableColumn id="4" xr3:uid="{FBBD1D9F-06E6-41E1-BB86-CE042FDAC5A4}" name="Classe" dataDxfId="173"/>
    <tableColumn id="5" xr3:uid="{0FD5FD15-B4DB-41CA-9DEE-46D4BF89784F}" name="Subclasse" dataDxfId="172"/>
    <tableColumn id="6" xr3:uid="{02E22E1B-6038-41C4-8CD5-6E2C888FEBAB}" name="Detalhe" dataDxfId="171"/>
    <tableColumn id="7" xr3:uid="{C7B298E7-FFE7-454F-8550-2A5339382FBE}" name="Agente" dataDxfId="170"/>
    <tableColumn id="8" xr3:uid="{1D57FACF-65DF-41BE-B93E-A1F9371D47F3}" name="Posto" dataDxfId="169"/>
    <tableColumn id="9" xr3:uid="{348114B6-89E1-42A9-96A0-05C8E2D543CF}" name="AnoMes" dataDxfId="168"/>
    <tableColumn id="10" xr3:uid="{5E173E7F-F294-44F3-91BB-F8C565E0F3C6}" name="D" dataDxfId="167"/>
    <tableColumn id="11" xr3:uid="{B707EC7F-E254-4F57-8357-E7214E40CC42}" name="Daj" dataDxfId="166"/>
    <tableColumn id="12" xr3:uid="{B19B1AF4-D31D-4D12-BFC2-333697EA70F3}" name="TUSD_E" dataDxfId="165"/>
    <tableColumn id="13" xr3:uid="{806EF966-6132-4219-A80C-2D260FF32BE7}" name="TUSD_Eaj" dataDxfId="164"/>
    <tableColumn id="14" xr3:uid="{9E1B26D5-2E85-4057-9617-8F79A599E4E7}" name="TE_E" dataDxfId="163"/>
    <tableColumn id="15" xr3:uid="{1ED56569-4F5D-4B5C-9D82-6E98890B17E8}" name="TE_Eaj" dataDxfId="162"/>
    <tableColumn id="16" xr3:uid="{F9D51ED3-4542-490A-9B60-BF40C4513D7B}" name="UC" dataDxfId="161"/>
    <tableColumn id="17" xr3:uid="{3E5FC95F-6035-4154-B1D2-6AAE35562DBF}" name="OPÇÃO" dataDxfId="160"/>
    <tableColumn id="18" xr3:uid="{C1CB7BC0-A8BA-4A07-A6F0-BED3687E6999}" name="CóD. AUX." dataDxfId="159"/>
    <tableColumn id="19" xr3:uid="{83ECF156-04EB-4627-BD28-88082C15C371}" name="CóD. AUX. TUSD R$/kW" dataDxfId="158"/>
    <tableColumn id="20" xr3:uid="{586D8214-E93B-49BC-A827-B3AC0C397E54}" name="CóD. AUX. TUSD R$/MWh" dataDxfId="157"/>
    <tableColumn id="21" xr3:uid="{5BF50F68-83B6-4876-9C86-48D32BEB7CFD}" name="CóD. AUX. TE R$/MWh" dataDxfId="156"/>
    <tableColumn id="22" xr3:uid="{8131D694-4E44-482C-BE11-FD4857EF4AA3}" name="TUSD (R$/kW)" dataDxfId="155"/>
    <tableColumn id="23" xr3:uid="{08B7743B-9390-48DB-A10B-13FA72327665}" name="TUSD (R$/MWh)" dataDxfId="154"/>
    <tableColumn id="24" xr3:uid="{2AC48BC4-249E-4B5A-B4EF-AFD8D6F41072}" name="TE (R$/MWh)" dataDxfId="153"/>
    <tableColumn id="25" xr3:uid="{82D71BAE-3D53-4716-9B99-349FB2A02B3C}" name="TUSD (R$/kW) NOVA" dataDxfId="152"/>
    <tableColumn id="26" xr3:uid="{5AA19B89-587D-4003-98FF-B7EA993AE657}" name="TUSD (R$/MWh) NOVA" dataDxfId="151">
      <calculatedColumnFormula>('TUSD BE'!$AM$51+'TUSD BF'!$AM$51+'TUSD CVA'!$AM$51)*1</calculatedColumnFormula>
    </tableColumn>
    <tableColumn id="27" xr3:uid="{B1B8300B-4A15-4B22-A60A-2DF3023632C9}" name="TE (R$/MWh) NOVA" dataDxfId="150">
      <calculatedColumnFormula>('TE BE'!$AB$42+'TE BF'!$AB$42+'TE CVA'!$AB$42)*1</calculatedColumnFormula>
    </tableColumn>
    <tableColumn id="28" xr3:uid="{74D9054B-4B9B-4922-A21E-620CCD171F90}" name="RA0 ou RV - TUSD (kW)" dataDxfId="149"/>
    <tableColumn id="29" xr3:uid="{7E2C9B66-141A-401C-ADF6-57AA6B349D6A}" name="RA0 ou RV - TUSD (MWh)" dataDxfId="148"/>
    <tableColumn id="30" xr3:uid="{9EF99930-3EB5-4D92-9597-DA71A34E868B}" name="RA0 ou RV - TE (MWh)" dataDxfId="147"/>
    <tableColumn id="31" xr3:uid="{F8505712-1715-4D1A-A54F-684587586648}" name="RA1 ou RRD - TUSD (kW)" dataDxfId="146"/>
    <tableColumn id="32" xr3:uid="{FB5853CE-B7EF-48F6-A017-B1C8E72CC4DB}" name="RA1 ou RRD - TUSD (MWh)" dataDxfId="145"/>
    <tableColumn id="33" xr3:uid="{8780087F-8929-4E17-A7B0-62AEAE62B99F}" name="RA1 ou RRD - TE (MWh)" dataDxfId="14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9EECCC-FA2B-45A1-BB61-EE00D6A1E54C}" name="TabelaFin" displayName="TabelaFin" ref="B3:AR50" tableType="queryTable" totalsRowShown="0" headerRowDxfId="143" dataDxfId="141" headerRowBorderDxfId="142" tableBorderDxfId="140" totalsRowBorderDxfId="139">
  <autoFilter ref="B3:AR50" xr:uid="{939EECCC-FA2B-45A1-BB61-EE00D6A1E54C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5D02EBCF-8782-47B2-8EF0-232EB6089ED5}" uniqueName="44" name="SUBGRUPO" queryTableFieldId="1" dataDxfId="138"/>
    <tableColumn id="45" xr3:uid="{24126A99-D5B7-43A9-A886-22F9AEFDE430}" uniqueName="45" name="MODALIDADE" queryTableFieldId="2" dataDxfId="137"/>
    <tableColumn id="46" xr3:uid="{7264815A-689A-4976-AEC2-F37CDD245751}" uniqueName="46" name="CLASSE" queryTableFieldId="3" dataDxfId="136"/>
    <tableColumn id="47" xr3:uid="{928ACD87-1059-43AB-8E5F-2E809E2F6D21}" uniqueName="47" name="SUBCLASSE" queryTableFieldId="4" dataDxfId="135"/>
    <tableColumn id="48" xr3:uid="{95C356F6-10F4-448A-BFCC-C6075863AAA9}" uniqueName="48" name="DETALHE" queryTableFieldId="5" dataDxfId="134"/>
    <tableColumn id="49" xr3:uid="{D88534DD-2957-41FC-83BB-29D7C0BBC16B}" uniqueName="49" name="POSTO" queryTableFieldId="6" dataDxfId="133"/>
    <tableColumn id="50" xr3:uid="{ABD1CAF7-C438-4B29-B2DF-501B5F765D87}" uniqueName="50" name="UNIDADE" queryTableFieldId="7" dataDxfId="132"/>
    <tableColumn id="51" xr3:uid="{0AF0C74F-9E6E-4622-8E8B-63ED71037962}" uniqueName="51" name="ACESSANTE" queryTableFieldId="8" dataDxfId="131"/>
    <tableColumn id="52" xr3:uid="{8727F010-C022-42C8-AD7C-61ACD1775BED}" uniqueName="52" name="Total TUSD" queryTableFieldId="9" dataDxfId="130"/>
    <tableColumn id="53" xr3:uid="{B18CA034-08F2-49D1-82DE-F6ADD8545652}" uniqueName="53" name="Total TE" queryTableFieldId="10" dataDxfId="129"/>
    <tableColumn id="54" xr3:uid="{8186771D-2E3E-44B0-891A-1010EF71AF9C}" uniqueName="54" name="TUSD_CDE_COVID" queryTableFieldId="11" dataDxfId="128"/>
    <tableColumn id="55" xr3:uid="{D06BFEEC-FD45-47F0-8293-89F73FC5D441}" uniqueName="55" name="TUSD_TFSEE" queryTableFieldId="12" dataDxfId="127"/>
    <tableColumn id="56" xr3:uid="{676839DE-C5F5-48D0-9F25-7EEF95433D60}" uniqueName="56" name="TUSD_PeD" queryTableFieldId="13" dataDxfId="126"/>
    <tableColumn id="57" xr3:uid="{B51AF206-891E-41ED-BAC8-CBCA34D59DD9}" uniqueName="57" name="TUSD_ONS" queryTableFieldId="14" dataDxfId="125"/>
    <tableColumn id="58" xr3:uid="{EB907A03-1E4B-4FEF-B515-72212B0CD6F1}" uniqueName="58" name="TUSD_CCC" queryTableFieldId="15" dataDxfId="124"/>
    <tableColumn id="59" xr3:uid="{9757F97C-8C00-4E62-A157-77D1DD90930C}" uniqueName="59" name="TUSD_CDE" queryTableFieldId="16" dataDxfId="123"/>
    <tableColumn id="60" xr3:uid="{7874484D-D19B-4C12-84EE-A2B60F4D8213}" uniqueName="60" name="TUSD_PROINFA" queryTableFieldId="17" dataDxfId="122"/>
    <tableColumn id="61" xr3:uid="{65883799-1525-404D-88A3-A058149A8CBF}" uniqueName="61" name="Liminar1" queryTableFieldId="18" dataDxfId="121"/>
    <tableColumn id="62" xr3:uid="{02E65572-EB9F-44C9-9B09-50882E87A15A}" uniqueName="62" name="TUSD_RB" queryTableFieldId="19" dataDxfId="120"/>
    <tableColumn id="63" xr3:uid="{F5065B05-5C45-4BDA-BDFD-51AF8EBD308D}" uniqueName="63" name="TUSD_FR" queryTableFieldId="20" dataDxfId="119"/>
    <tableColumn id="64" xr3:uid="{AAC0F28F-A89D-4A0C-A227-3615BE324879}" uniqueName="64" name="TUSD_CCT" queryTableFieldId="21" dataDxfId="118"/>
    <tableColumn id="65" xr3:uid="{E13FBBF3-D3B1-486E-9E7B-152257B73CFE}" uniqueName="65" name="TUSD_CCD" queryTableFieldId="22" dataDxfId="117"/>
    <tableColumn id="66" xr3:uid="{BCEC93CD-1B46-40CE-99D1-086B36CF65E8}" uniqueName="66" name="TUSD_CUSD" queryTableFieldId="23" dataDxfId="116"/>
    <tableColumn id="67" xr3:uid="{77B3DB3F-FF97-4ADB-A918-B3547BD88CDF}" uniqueName="67" name="TUSDG_T" queryTableFieldId="24" dataDxfId="115"/>
    <tableColumn id="68" xr3:uid="{251F45DB-7A6A-4F85-938F-3936E704EF15}" uniqueName="68" name="TUSDG_ONS" queryTableFieldId="25" dataDxfId="114"/>
    <tableColumn id="69" xr3:uid="{1EED5BC7-517B-4325-AFE6-93872EA307AF}" uniqueName="69" name="TUSD_FioB" queryTableFieldId="26" dataDxfId="113"/>
    <tableColumn id="70" xr3:uid="{1F3A8A62-3661-47CD-8B09-B640DE0DF883}" uniqueName="70" name="TUSD Subsidio" queryTableFieldId="27" dataDxfId="112"/>
    <tableColumn id="71" xr3:uid="{4795CD43-8758-4E7F-87B8-7FFA7B315647}" uniqueName="71" name="TUSD Outros" queryTableFieldId="28" dataDxfId="111"/>
    <tableColumn id="72" xr3:uid="{54958B9F-AD03-4BA4-AE89-19DF098422D0}" uniqueName="72" name="TUSD_PT" queryTableFieldId="29" dataDxfId="110"/>
    <tableColumn id="73" xr3:uid="{67D39556-DA54-45FF-9F50-37EE5061C61E}" uniqueName="73" name="TUSD_Per_RB_D" queryTableFieldId="30" dataDxfId="109"/>
    <tableColumn id="74" xr3:uid="{ADD0F07B-5584-4E11-AB51-608F9C25F5C8}" uniqueName="74" name="TUSD_PNT" queryTableFieldId="31" dataDxfId="108"/>
    <tableColumn id="75" xr3:uid="{929943CF-FAAA-4525-946D-602B82C6544B}" uniqueName="75" name="TUSD_RI" queryTableFieldId="32" dataDxfId="107"/>
    <tableColumn id="76" xr3:uid="{A6A71353-67FC-4BC5-86B8-342A43B764E4}" uniqueName="76" name="TE_CDE_COVID" queryTableFieldId="33" dataDxfId="106"/>
    <tableColumn id="77" xr3:uid="{E84F8CAD-ABEB-4F8A-9276-9A10B91B75F8}" uniqueName="77" name="TE_CDE_ELET" queryTableFieldId="34" dataDxfId="105"/>
    <tableColumn id="78" xr3:uid="{02E5DEE9-DF24-4E92-BEAD-64D3805E3082}" uniqueName="78" name="TE_PeD" queryTableFieldId="35" dataDxfId="104"/>
    <tableColumn id="79" xr3:uid="{7ED3F7AC-A3D3-4D20-BBAA-E65077F07990}" uniqueName="79" name="TE_ESSERR" queryTableFieldId="36" dataDxfId="103"/>
    <tableColumn id="80" xr3:uid="{FC980729-DE3C-4FA0-8E8D-DD25F6B50519}" uniqueName="80" name="TE_CFURH" queryTableFieldId="37" dataDxfId="102"/>
    <tableColumn id="81" xr3:uid="{33D58939-DE26-45D6-BEB8-F7A555CDF135}" uniqueName="81" name="TE_ENERGIA" queryTableFieldId="38" dataDxfId="101"/>
    <tableColumn id="82" xr3:uid="{291AD7A5-F625-4A2C-B7C9-82BC0AF7847C}" uniqueName="82" name="TE_TRANSPORTE_ITAIPU" queryTableFieldId="39" dataDxfId="100"/>
    <tableColumn id="83" xr3:uid="{42A28DF5-1416-4FB0-A34D-00DC95ADAF9E}" uniqueName="83" name="TE_TUST_ITAIPU" queryTableFieldId="40" dataDxfId="99"/>
    <tableColumn id="84" xr3:uid="{7A4556CD-6FE6-40C6-959F-FE7000484DE1}" uniqueName="84" name="TE_TUST_CI" queryTableFieldId="41" dataDxfId="98"/>
    <tableColumn id="85" xr3:uid="{3556411A-10A2-48D4-8C0F-C6B5B0F67EB8}" uniqueName="85" name="TE Subsidio" queryTableFieldId="42" dataDxfId="97"/>
    <tableColumn id="86" xr3:uid="{DBAD4B63-8E04-4DA6-A344-565962BDBD41}" uniqueName="86" name="TE_Per_RB" queryTableFieldId="43" dataDxfId="9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7189BA-52B5-48D1-BA56-EE33C048BD84}" name="TabelaEc" displayName="TabelaEc" ref="B3:AR50" tableType="queryTable" totalsRowShown="0" headerRowDxfId="95" dataDxfId="93" headerRowBorderDxfId="94" tableBorderDxfId="92" totalsRowBorderDxfId="91">
  <autoFilter ref="B3:AR50" xr:uid="{1A7189BA-52B5-48D1-BA56-EE33C048BD84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68EC901C-7801-42C8-BB1B-BB33C544A9F1}" uniqueName="44" name="SUBGRUPO" queryTableFieldId="1" dataDxfId="90"/>
    <tableColumn id="45" xr3:uid="{22FBA4F4-2BB2-4019-8C3E-D1F2F4751E8B}" uniqueName="45" name="MODALIDADE" queryTableFieldId="2" dataDxfId="89"/>
    <tableColumn id="46" xr3:uid="{75D885DE-461F-4866-8E26-2FF31AC57B47}" uniqueName="46" name="CLASSE" queryTableFieldId="3" dataDxfId="88"/>
    <tableColumn id="47" xr3:uid="{644A6ABD-31B6-4D5B-AF2B-62DB555059DA}" uniqueName="47" name="SUBCLASSE" queryTableFieldId="4" dataDxfId="87"/>
    <tableColumn id="48" xr3:uid="{DADD9DC2-D587-4C1A-81F9-B59FFEAA6E07}" uniqueName="48" name="DETALHE" queryTableFieldId="5" dataDxfId="86"/>
    <tableColumn id="49" xr3:uid="{053D1620-F5D9-4120-9268-8B53763145FB}" uniqueName="49" name="POSTO" queryTableFieldId="6" dataDxfId="85"/>
    <tableColumn id="50" xr3:uid="{4E799815-5FA7-48BD-84A1-A276EBAD75CB}" uniqueName="50" name="UNIDADE" queryTableFieldId="7" dataDxfId="84"/>
    <tableColumn id="51" xr3:uid="{AE781A65-B45F-40E3-BBA0-550F4650743E}" uniqueName="51" name="ACESSANTE" queryTableFieldId="8" dataDxfId="83"/>
    <tableColumn id="52" xr3:uid="{7EF5066E-AA3E-4DE8-B529-86E205688A46}" uniqueName="52" name="Total TUSD" queryTableFieldId="9" dataDxfId="82"/>
    <tableColumn id="53" xr3:uid="{DEF5D482-A994-4C8B-A6A6-E008F251868F}" uniqueName="53" name="Total TE" queryTableFieldId="10" dataDxfId="81"/>
    <tableColumn id="54" xr3:uid="{0EB89943-6C16-4ABE-9584-0210EA72765B}" uniqueName="54" name="TUSD_CDE_COVID" queryTableFieldId="11" dataDxfId="80"/>
    <tableColumn id="55" xr3:uid="{B233DDE9-5605-4F79-9473-D6768E0A7682}" uniqueName="55" name="TUSD_TFSEE" queryTableFieldId="12" dataDxfId="79"/>
    <tableColumn id="56" xr3:uid="{3F2AFFA3-9661-4A63-A77A-16129A8F6B7B}" uniqueName="56" name="TUSD_PeD" queryTableFieldId="13" dataDxfId="78"/>
    <tableColumn id="57" xr3:uid="{0BF444AD-8C1E-4E4F-B6FB-A4821604E534}" uniqueName="57" name="TUSD_ONS" queryTableFieldId="14" dataDxfId="77"/>
    <tableColumn id="58" xr3:uid="{723358A6-3E90-4FC3-A6D9-F74004A2929D}" uniqueName="58" name="TUSD_CCC" queryTableFieldId="15" dataDxfId="76"/>
    <tableColumn id="59" xr3:uid="{C66838E0-7FCB-469F-9F0C-408A1DE8292F}" uniqueName="59" name="TUSD_CDE" queryTableFieldId="16" dataDxfId="75"/>
    <tableColumn id="60" xr3:uid="{AC50DEB3-8285-42BF-A77F-232D53B779D4}" uniqueName="60" name="TUSD_PROINFA" queryTableFieldId="17" dataDxfId="74"/>
    <tableColumn id="61" xr3:uid="{A4B362E8-E254-452E-BFB5-0E61FE6DD836}" uniqueName="61" name="Liminar1" queryTableFieldId="18" dataDxfId="73"/>
    <tableColumn id="62" xr3:uid="{FA5F9613-9695-4FE5-98A8-C7207E509AD3}" uniqueName="62" name="TUSD_RB" queryTableFieldId="19" dataDxfId="72"/>
    <tableColumn id="63" xr3:uid="{24E485EA-6CBF-423A-8B4E-B1B81D7B8F57}" uniqueName="63" name="TUSD_FR" queryTableFieldId="20" dataDxfId="71"/>
    <tableColumn id="64" xr3:uid="{6CB2C76C-A389-44FB-8777-DE9DED1DD297}" uniqueName="64" name="TUSD_CCT" queryTableFieldId="21" dataDxfId="70"/>
    <tableColumn id="65" xr3:uid="{D84C5A69-0500-4EC8-BBB7-2C2FBDB708D0}" uniqueName="65" name="TUSD_CCD" queryTableFieldId="22" dataDxfId="69"/>
    <tableColumn id="66" xr3:uid="{71D8A612-AB52-42E6-9510-9194171AAF41}" uniqueName="66" name="TUSD_CUSD" queryTableFieldId="23" dataDxfId="68"/>
    <tableColumn id="67" xr3:uid="{2F49FBCD-6E22-447E-A802-47B93E1F2639}" uniqueName="67" name="TUSDG_T" queryTableFieldId="24" dataDxfId="67"/>
    <tableColumn id="68" xr3:uid="{5739890A-F5D2-4D12-8A1B-EEF4077A8ECD}" uniqueName="68" name="TUSDG_ONS" queryTableFieldId="25" dataDxfId="66"/>
    <tableColumn id="69" xr3:uid="{A9764744-57C8-4D31-B498-3B14B7D09D24}" uniqueName="69" name="TUSD_FioB" queryTableFieldId="26" dataDxfId="65"/>
    <tableColumn id="70" xr3:uid="{F198EB21-4AE7-4456-B693-1B933A46281B}" uniqueName="70" name="TUSD Subsidio" queryTableFieldId="27" dataDxfId="64"/>
    <tableColumn id="71" xr3:uid="{78F7F619-F796-41DB-8C26-AB43BF57CC19}" uniqueName="71" name="TUSD Outros" queryTableFieldId="28" dataDxfId="63"/>
    <tableColumn id="72" xr3:uid="{65D80668-127E-4441-9AF2-B47D29E338C0}" uniqueName="72" name="TUSD_PT" queryTableFieldId="29" dataDxfId="62"/>
    <tableColumn id="73" xr3:uid="{3A0C608F-ED0F-4394-9012-483FCBEB8C7E}" uniqueName="73" name="TUSD_Per_RB_D" queryTableFieldId="30" dataDxfId="61"/>
    <tableColumn id="74" xr3:uid="{82D63BFF-2949-4964-B808-EA74D377818B}" uniqueName="74" name="TUSD_PNT" queryTableFieldId="31" dataDxfId="60"/>
    <tableColumn id="75" xr3:uid="{390DDD72-8DCA-4C81-BEEF-028624060687}" uniqueName="75" name="TUSD_RI" queryTableFieldId="32" dataDxfId="59"/>
    <tableColumn id="76" xr3:uid="{A3E5AC09-07D7-4587-9AD0-B05EA7B9A94A}" uniqueName="76" name="TE_CDE_COVID" queryTableFieldId="33" dataDxfId="58"/>
    <tableColumn id="77" xr3:uid="{64BB0828-0A7B-4632-AAC6-49E6DC168DFA}" uniqueName="77" name="TE_CDE_ELET" queryTableFieldId="34" dataDxfId="57"/>
    <tableColumn id="78" xr3:uid="{8F48BEEE-4262-45B7-986D-C3BBFD64CAAE}" uniqueName="78" name="TE_PeD" queryTableFieldId="35" dataDxfId="56"/>
    <tableColumn id="79" xr3:uid="{48154DE8-A582-43BB-8126-A2FAAED46686}" uniqueName="79" name="TE_ESSERR" queryTableFieldId="36" dataDxfId="55"/>
    <tableColumn id="80" xr3:uid="{AFF220A8-336A-4D81-880E-AE25E0CDC3C3}" uniqueName="80" name="TE_CFURH" queryTableFieldId="37" dataDxfId="54"/>
    <tableColumn id="81" xr3:uid="{BEAE5218-E86F-430C-A954-2DD53A39865C}" uniqueName="81" name="TE_ENERGIA" queryTableFieldId="38" dataDxfId="53"/>
    <tableColumn id="82" xr3:uid="{05C828B9-EA7B-4CF3-8D3A-4A956BE6E3B8}" uniqueName="82" name="TE_TRANSPORTE_ITAIPU" queryTableFieldId="39" dataDxfId="52"/>
    <tableColumn id="83" xr3:uid="{1D4FBAEF-EB94-4E87-8464-822EC44EA6B3}" uniqueName="83" name="TE_TUST_ITAIPU" queryTableFieldId="40" dataDxfId="51"/>
    <tableColumn id="84" xr3:uid="{97E9CCC7-A732-4654-94BA-1103B492E975}" uniqueName="84" name="TE_TUST_CI" queryTableFieldId="41" dataDxfId="50"/>
    <tableColumn id="85" xr3:uid="{74F7BDD3-54FB-4F95-9E36-6AA6A158BE39}" uniqueName="85" name="TE Subsidio" queryTableFieldId="42" dataDxfId="49"/>
    <tableColumn id="86" xr3:uid="{FC9EC8C2-4E6E-4ABB-BEA0-07C5348AA462}" uniqueName="86" name="TE_Per_RB" queryTableFieldId="43" dataDxfId="4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072240-83D6-4D52-91F0-0FEC802FDBA7}" name="TabelaCVA" displayName="TabelaCVA" ref="B3:AR50" tableType="queryTable" totalsRowShown="0" headerRowDxfId="47" dataDxfId="45" headerRowBorderDxfId="46" tableBorderDxfId="44" totalsRowBorderDxfId="43">
  <autoFilter ref="B3:AR50" xr:uid="{93072240-83D6-4D52-91F0-0FEC802FDBA7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E45C8C06-71DC-4003-8998-44BC8C409A5A}" uniqueName="44" name="SUBGRUPO" queryTableFieldId="1" dataDxfId="42"/>
    <tableColumn id="45" xr3:uid="{B2B746B2-2FEE-4611-B1AC-AB6C5207E254}" uniqueName="45" name="MODALIDADE" queryTableFieldId="2" dataDxfId="41"/>
    <tableColumn id="46" xr3:uid="{7759C4AC-B88D-49D7-93D8-7EB4E9CA5EBE}" uniqueName="46" name="CLASSE" queryTableFieldId="3" dataDxfId="40"/>
    <tableColumn id="47" xr3:uid="{D76A7074-80A1-4679-8273-C9F59C971421}" uniqueName="47" name="SUBCLASSE" queryTableFieldId="4" dataDxfId="39"/>
    <tableColumn id="48" xr3:uid="{47FC1C88-11F5-4B74-9DC1-02617E84FAEE}" uniqueName="48" name="DETALHE" queryTableFieldId="5" dataDxfId="38"/>
    <tableColumn id="49" xr3:uid="{23EA58E7-8DCB-48B1-9FA5-01F2851607B0}" uniqueName="49" name="POSTO" queryTableFieldId="6" dataDxfId="37"/>
    <tableColumn id="50" xr3:uid="{2DAB22E8-E86B-4BF5-AB7E-F659ABA29399}" uniqueName="50" name="UNIDADE" queryTableFieldId="7" dataDxfId="36"/>
    <tableColumn id="51" xr3:uid="{5FFBF121-3DB2-478E-8D37-77D6B94068B2}" uniqueName="51" name="ACESSANTE" queryTableFieldId="8" dataDxfId="35"/>
    <tableColumn id="52" xr3:uid="{7197DDF0-F212-488E-AEC9-F05758EC26F4}" uniqueName="52" name="Total TUSD" queryTableFieldId="9" dataDxfId="34"/>
    <tableColumn id="53" xr3:uid="{0E14D205-BB42-4028-9B6F-E19AA1E4F52B}" uniqueName="53" name="Total TE" queryTableFieldId="10" dataDxfId="33"/>
    <tableColumn id="54" xr3:uid="{7E35A056-5885-4400-AB90-BEACCD781119}" uniqueName="54" name="TUSD_CDE_COVID" queryTableFieldId="11" dataDxfId="32"/>
    <tableColumn id="55" xr3:uid="{4D7C711F-245E-4ED5-8ACB-08F51B0238E3}" uniqueName="55" name="TUSD_TFSEE" queryTableFieldId="12" dataDxfId="31"/>
    <tableColumn id="56" xr3:uid="{EBF8A660-2580-46A1-8FC5-6749728D9481}" uniqueName="56" name="TUSD_PeD" queryTableFieldId="13" dataDxfId="30"/>
    <tableColumn id="57" xr3:uid="{20FF2792-7B39-4150-A95A-242A152C57DB}" uniqueName="57" name="TUSD_ONS" queryTableFieldId="14" dataDxfId="29"/>
    <tableColumn id="58" xr3:uid="{2DD5395E-4A3B-49B6-A739-799B46E60067}" uniqueName="58" name="TUSD_CCC" queryTableFieldId="15" dataDxfId="28"/>
    <tableColumn id="59" xr3:uid="{71D44649-07C1-46A5-9730-26BA346FB4EE}" uniqueName="59" name="TUSD_CDE" queryTableFieldId="16" dataDxfId="27"/>
    <tableColumn id="60" xr3:uid="{789CF61D-FF14-4C93-BE0F-343C534C4821}" uniqueName="60" name="TUSD_PROINFA" queryTableFieldId="17" dataDxfId="26"/>
    <tableColumn id="61" xr3:uid="{032CB122-6903-4DFB-AC6F-53E2DD80E733}" uniqueName="61" name="Liminar1" queryTableFieldId="18" dataDxfId="25"/>
    <tableColumn id="62" xr3:uid="{8B788547-C987-4B13-B951-320FA906E01E}" uniqueName="62" name="TUSD_RB" queryTableFieldId="19" dataDxfId="24"/>
    <tableColumn id="63" xr3:uid="{B739374F-40B7-4E2B-BA63-8957DDF1BE4C}" uniqueName="63" name="TUSD_FR" queryTableFieldId="20" dataDxfId="23"/>
    <tableColumn id="64" xr3:uid="{E2465C21-2857-4B9A-823A-9D67CD45DD21}" uniqueName="64" name="TUSD_CCT" queryTableFieldId="21" dataDxfId="22"/>
    <tableColumn id="65" xr3:uid="{8F3C97EC-4CA3-42CB-9049-F11B3C622C2B}" uniqueName="65" name="TUSD_CCD" queryTableFieldId="22" dataDxfId="21"/>
    <tableColumn id="66" xr3:uid="{D45D07F0-80C9-49AF-9518-9DD894A94086}" uniqueName="66" name="TUSD_CUSD" queryTableFieldId="23" dataDxfId="20"/>
    <tableColumn id="67" xr3:uid="{59522B57-8CB1-49B5-B7A9-BA6C3272CE39}" uniqueName="67" name="TUSDG_T" queryTableFieldId="24" dataDxfId="19"/>
    <tableColumn id="68" xr3:uid="{25298568-6D86-4B07-ABA0-5EB32C353CB8}" uniqueName="68" name="TUSDG_ONS" queryTableFieldId="25" dataDxfId="18"/>
    <tableColumn id="69" xr3:uid="{568407B2-FD34-447C-9AC4-36FE9AC072B2}" uniqueName="69" name="TUSD_FioB" queryTableFieldId="26" dataDxfId="17"/>
    <tableColumn id="70" xr3:uid="{969CAD8E-4CE1-458E-9FF6-7D2D3609389E}" uniqueName="70" name="TUSD Subsidio" queryTableFieldId="27" dataDxfId="16"/>
    <tableColumn id="71" xr3:uid="{F1BB5EDB-B321-4F10-A8B5-9468FFE99DBA}" uniqueName="71" name="TUSD Outros" queryTableFieldId="28" dataDxfId="15"/>
    <tableColumn id="72" xr3:uid="{C8A52E3D-5464-40E9-A5F5-C789B0D41F66}" uniqueName="72" name="TUSD_PT" queryTableFieldId="29" dataDxfId="14"/>
    <tableColumn id="73" xr3:uid="{991FA66F-544C-4627-9AEB-A583F775B1C0}" uniqueName="73" name="TUSD_Per_RB_D" queryTableFieldId="30" dataDxfId="13"/>
    <tableColumn id="74" xr3:uid="{7E3F7A1F-5E5D-4935-B882-5A46C2EBF887}" uniqueName="74" name="TUSD_PNT" queryTableFieldId="31" dataDxfId="12"/>
    <tableColumn id="75" xr3:uid="{853F1775-CBE1-40F8-9307-B4347A4F6EBD}" uniqueName="75" name="TUSD_RI" queryTableFieldId="32" dataDxfId="11"/>
    <tableColumn id="76" xr3:uid="{6FC1F6ED-D2D1-4544-8DEF-9B426B5B861A}" uniqueName="76" name="TE_CDE_COVID" queryTableFieldId="33" dataDxfId="10"/>
    <tableColumn id="77" xr3:uid="{EA7C407D-33F8-4347-9FF4-44F67650FE6B}" uniqueName="77" name="TE_CDE_ELET" queryTableFieldId="34" dataDxfId="9"/>
    <tableColumn id="78" xr3:uid="{53947956-4A9F-4595-9B22-7FE0EBE5C0CF}" uniqueName="78" name="TE_PeD" queryTableFieldId="35" dataDxfId="8"/>
    <tableColumn id="79" xr3:uid="{30681304-8C2E-4EAB-A1F0-DC7DA8081107}" uniqueName="79" name="TE_ESSERR" queryTableFieldId="36" dataDxfId="7"/>
    <tableColumn id="80" xr3:uid="{F39978B1-CE56-4885-A686-54FE2093F217}" uniqueName="80" name="TE_CFURH" queryTableFieldId="37" dataDxfId="6"/>
    <tableColumn id="81" xr3:uid="{30AAE9F9-30F6-4845-B1C4-C54DCD813D25}" uniqueName="81" name="TE_ENERGIA" queryTableFieldId="38" dataDxfId="5"/>
    <tableColumn id="82" xr3:uid="{D5AC6586-A79A-45BE-B109-CF65E9025E91}" uniqueName="82" name="TE_TRANSPORTE_ITAIPU" queryTableFieldId="39" dataDxfId="4"/>
    <tableColumn id="83" xr3:uid="{15284C5D-8FF2-4FA2-8EC3-3808BFA2CFF5}" uniqueName="83" name="TE_TUST_ITAIPU" queryTableFieldId="40" dataDxfId="3"/>
    <tableColumn id="84" xr3:uid="{7B888FDF-D9D5-4BB5-9B3B-33AAA8F3E63B}" uniqueName="84" name="TE_TUST_CI" queryTableFieldId="41" dataDxfId="2"/>
    <tableColumn id="85" xr3:uid="{33C22F1D-A31E-40D5-BBE5-EB80107CED71}" uniqueName="85" name="TE Subsidio" queryTableFieldId="42" dataDxfId="1"/>
    <tableColumn id="86" xr3:uid="{53286E2E-EEA9-4C39-BDB6-3C4FD303004B}" uniqueName="86" name="TE_Per_RB" queryTableFieldId="4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BF336-5694-4825-894E-6AD3DC360ADB}">
  <dimension ref="A1:W475"/>
  <sheetViews>
    <sheetView showGridLines="0" topLeftCell="I457" workbookViewId="0">
      <selection activeCell="T476" sqref="T476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2" width="7" style="6" bestFit="1" customWidth="1"/>
    <col min="13" max="13" width="8" style="6" bestFit="1" customWidth="1"/>
    <col min="14" max="14" width="5.7109375" style="6" bestFit="1" customWidth="1"/>
    <col min="15" max="15" width="5.85546875" style="6" bestFit="1" customWidth="1"/>
    <col min="16" max="16" width="7" style="6" bestFit="1" customWidth="1"/>
    <col min="17" max="17" width="6.5703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94</v>
      </c>
      <c r="T1" s="1" t="s">
        <v>335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38</v>
      </c>
      <c r="C2" s="4" t="s">
        <v>56</v>
      </c>
      <c r="D2" s="4" t="s">
        <v>37</v>
      </c>
      <c r="E2" s="4" t="s">
        <v>25</v>
      </c>
      <c r="F2" s="4" t="s">
        <v>57</v>
      </c>
      <c r="G2" s="4" t="s">
        <v>25</v>
      </c>
      <c r="H2" s="4" t="s">
        <v>34</v>
      </c>
      <c r="I2" s="5">
        <v>44409</v>
      </c>
      <c r="J2" s="6">
        <v>7152</v>
      </c>
      <c r="K2" s="6">
        <v>3576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58</v>
      </c>
      <c r="R2" s="4">
        <v>0</v>
      </c>
      <c r="S2" s="4" t="s">
        <v>95</v>
      </c>
      <c r="U2" s="4">
        <v>5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38</v>
      </c>
      <c r="C3" s="4" t="s">
        <v>56</v>
      </c>
      <c r="D3" s="4" t="s">
        <v>37</v>
      </c>
      <c r="E3" s="4" t="s">
        <v>25</v>
      </c>
      <c r="F3" s="4" t="s">
        <v>57</v>
      </c>
      <c r="G3" s="4" t="s">
        <v>25</v>
      </c>
      <c r="H3" s="4" t="s">
        <v>34</v>
      </c>
      <c r="I3" s="5">
        <v>44440</v>
      </c>
      <c r="J3" s="6">
        <v>7212</v>
      </c>
      <c r="K3" s="6">
        <v>3606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58</v>
      </c>
      <c r="R3" s="4">
        <v>0</v>
      </c>
      <c r="S3" s="4" t="s">
        <v>96</v>
      </c>
      <c r="U3" s="4">
        <v>5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38</v>
      </c>
      <c r="C4" s="4" t="s">
        <v>56</v>
      </c>
      <c r="D4" s="4" t="s">
        <v>37</v>
      </c>
      <c r="E4" s="4" t="s">
        <v>25</v>
      </c>
      <c r="F4" s="4" t="s">
        <v>57</v>
      </c>
      <c r="G4" s="4" t="s">
        <v>25</v>
      </c>
      <c r="H4" s="4" t="s">
        <v>34</v>
      </c>
      <c r="I4" s="5">
        <v>44470</v>
      </c>
      <c r="J4" s="6">
        <v>7403</v>
      </c>
      <c r="K4" s="6">
        <v>3701.5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58</v>
      </c>
      <c r="R4" s="4">
        <v>0</v>
      </c>
      <c r="S4" s="4" t="s">
        <v>97</v>
      </c>
      <c r="U4" s="4">
        <v>5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38</v>
      </c>
      <c r="C5" s="4" t="s">
        <v>56</v>
      </c>
      <c r="D5" s="4" t="s">
        <v>37</v>
      </c>
      <c r="E5" s="4" t="s">
        <v>25</v>
      </c>
      <c r="F5" s="4" t="s">
        <v>57</v>
      </c>
      <c r="G5" s="4" t="s">
        <v>25</v>
      </c>
      <c r="H5" s="4" t="s">
        <v>34</v>
      </c>
      <c r="I5" s="5">
        <v>44501</v>
      </c>
      <c r="J5" s="6">
        <v>7236</v>
      </c>
      <c r="K5" s="6">
        <v>3618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58</v>
      </c>
      <c r="R5" s="4">
        <v>0</v>
      </c>
      <c r="S5" s="4" t="s">
        <v>98</v>
      </c>
      <c r="U5" s="4">
        <v>5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38</v>
      </c>
      <c r="C6" s="4" t="s">
        <v>56</v>
      </c>
      <c r="D6" s="4" t="s">
        <v>37</v>
      </c>
      <c r="E6" s="4" t="s">
        <v>25</v>
      </c>
      <c r="F6" s="4" t="s">
        <v>57</v>
      </c>
      <c r="G6" s="4" t="s">
        <v>25</v>
      </c>
      <c r="H6" s="4" t="s">
        <v>34</v>
      </c>
      <c r="I6" s="5">
        <v>44531</v>
      </c>
      <c r="J6" s="6">
        <v>7075</v>
      </c>
      <c r="K6" s="6">
        <v>3537.5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58</v>
      </c>
      <c r="R6" s="4">
        <v>0</v>
      </c>
      <c r="S6" s="4" t="s">
        <v>99</v>
      </c>
      <c r="U6" s="4">
        <v>5</v>
      </c>
      <c r="V6" s="4">
        <v>0</v>
      </c>
      <c r="W6" s="4">
        <v>0</v>
      </c>
    </row>
    <row r="7" spans="1:23" ht="11.25" customHeight="1" x14ac:dyDescent="0.25">
      <c r="A7" s="4" t="s">
        <v>21</v>
      </c>
      <c r="B7" s="4" t="s">
        <v>38</v>
      </c>
      <c r="C7" s="4" t="s">
        <v>56</v>
      </c>
      <c r="D7" s="4" t="s">
        <v>37</v>
      </c>
      <c r="E7" s="4" t="s">
        <v>25</v>
      </c>
      <c r="F7" s="4" t="s">
        <v>57</v>
      </c>
      <c r="G7" s="4" t="s">
        <v>25</v>
      </c>
      <c r="H7" s="4" t="s">
        <v>34</v>
      </c>
      <c r="I7" s="5">
        <v>44562</v>
      </c>
      <c r="J7" s="6">
        <v>7194</v>
      </c>
      <c r="K7" s="6">
        <v>3597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58</v>
      </c>
      <c r="R7" s="4">
        <v>0</v>
      </c>
      <c r="S7" s="4" t="s">
        <v>100</v>
      </c>
      <c r="U7" s="4">
        <v>5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38</v>
      </c>
      <c r="C8" s="4" t="s">
        <v>56</v>
      </c>
      <c r="D8" s="4" t="s">
        <v>37</v>
      </c>
      <c r="E8" s="4" t="s">
        <v>25</v>
      </c>
      <c r="F8" s="4" t="s">
        <v>57</v>
      </c>
      <c r="G8" s="4" t="s">
        <v>25</v>
      </c>
      <c r="H8" s="4" t="s">
        <v>34</v>
      </c>
      <c r="I8" s="5">
        <v>44593</v>
      </c>
      <c r="J8" s="6">
        <v>7408</v>
      </c>
      <c r="K8" s="6">
        <v>3704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58</v>
      </c>
      <c r="R8" s="4">
        <v>0</v>
      </c>
      <c r="S8" s="4" t="s">
        <v>101</v>
      </c>
      <c r="U8" s="4">
        <v>5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38</v>
      </c>
      <c r="C9" s="4" t="s">
        <v>56</v>
      </c>
      <c r="D9" s="4" t="s">
        <v>37</v>
      </c>
      <c r="E9" s="4" t="s">
        <v>25</v>
      </c>
      <c r="F9" s="4" t="s">
        <v>57</v>
      </c>
      <c r="G9" s="4" t="s">
        <v>25</v>
      </c>
      <c r="H9" s="4" t="s">
        <v>34</v>
      </c>
      <c r="I9" s="5">
        <v>44621</v>
      </c>
      <c r="J9" s="6">
        <v>7588</v>
      </c>
      <c r="K9" s="6">
        <v>3794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58</v>
      </c>
      <c r="R9" s="4">
        <v>0</v>
      </c>
      <c r="S9" s="4" t="s">
        <v>102</v>
      </c>
      <c r="U9" s="4">
        <v>5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38</v>
      </c>
      <c r="C10" s="4" t="s">
        <v>56</v>
      </c>
      <c r="D10" s="4" t="s">
        <v>37</v>
      </c>
      <c r="E10" s="4" t="s">
        <v>25</v>
      </c>
      <c r="F10" s="4" t="s">
        <v>57</v>
      </c>
      <c r="G10" s="4" t="s">
        <v>25</v>
      </c>
      <c r="H10" s="4" t="s">
        <v>34</v>
      </c>
      <c r="I10" s="5">
        <v>44652</v>
      </c>
      <c r="J10" s="6">
        <v>7439</v>
      </c>
      <c r="K10" s="6">
        <v>3719.5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58</v>
      </c>
      <c r="R10" s="4">
        <v>0</v>
      </c>
      <c r="S10" s="4" t="s">
        <v>103</v>
      </c>
      <c r="U10" s="4">
        <v>5</v>
      </c>
      <c r="V10" s="4">
        <v>0</v>
      </c>
      <c r="W10" s="4">
        <v>0</v>
      </c>
    </row>
    <row r="11" spans="1:23" ht="11.25" customHeight="1" x14ac:dyDescent="0.25">
      <c r="A11" s="4" t="s">
        <v>21</v>
      </c>
      <c r="B11" s="4" t="s">
        <v>38</v>
      </c>
      <c r="C11" s="4" t="s">
        <v>56</v>
      </c>
      <c r="D11" s="4" t="s">
        <v>37</v>
      </c>
      <c r="E11" s="4" t="s">
        <v>25</v>
      </c>
      <c r="F11" s="4" t="s">
        <v>57</v>
      </c>
      <c r="G11" s="4" t="s">
        <v>25</v>
      </c>
      <c r="H11" s="4" t="s">
        <v>34</v>
      </c>
      <c r="I11" s="5">
        <v>44682</v>
      </c>
      <c r="J11" s="6">
        <v>7134</v>
      </c>
      <c r="K11" s="6">
        <v>3567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58</v>
      </c>
      <c r="R11" s="4">
        <v>0</v>
      </c>
      <c r="S11" s="4" t="s">
        <v>104</v>
      </c>
      <c r="U11" s="4">
        <v>5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38</v>
      </c>
      <c r="C12" s="4" t="s">
        <v>56</v>
      </c>
      <c r="D12" s="4" t="s">
        <v>37</v>
      </c>
      <c r="E12" s="4" t="s">
        <v>25</v>
      </c>
      <c r="F12" s="4" t="s">
        <v>57</v>
      </c>
      <c r="G12" s="4" t="s">
        <v>25</v>
      </c>
      <c r="H12" s="4" t="s">
        <v>34</v>
      </c>
      <c r="I12" s="5">
        <v>44713</v>
      </c>
      <c r="J12" s="6">
        <v>7229</v>
      </c>
      <c r="K12" s="6">
        <v>3614.5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58</v>
      </c>
      <c r="R12" s="4">
        <v>0</v>
      </c>
      <c r="S12" s="4" t="s">
        <v>105</v>
      </c>
      <c r="U12" s="4">
        <v>5</v>
      </c>
      <c r="V12" s="4">
        <v>0</v>
      </c>
      <c r="W12" s="4">
        <v>0</v>
      </c>
    </row>
    <row r="13" spans="1:23" ht="11.25" customHeight="1" x14ac:dyDescent="0.25">
      <c r="A13" s="4" t="s">
        <v>55</v>
      </c>
      <c r="B13" s="4" t="s">
        <v>38</v>
      </c>
      <c r="C13" s="4" t="s">
        <v>56</v>
      </c>
      <c r="D13" s="4" t="s">
        <v>37</v>
      </c>
      <c r="E13" s="4" t="s">
        <v>25</v>
      </c>
      <c r="F13" s="4" t="s">
        <v>57</v>
      </c>
      <c r="G13" s="4" t="s">
        <v>25</v>
      </c>
      <c r="H13" s="4" t="s">
        <v>34</v>
      </c>
      <c r="I13" s="5">
        <v>44743</v>
      </c>
      <c r="J13" s="6">
        <v>7229</v>
      </c>
      <c r="K13" s="6">
        <v>3614.5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58</v>
      </c>
      <c r="R13" s="4">
        <v>0</v>
      </c>
      <c r="S13" s="4" t="s">
        <v>106</v>
      </c>
      <c r="U13" s="4">
        <v>5</v>
      </c>
      <c r="V13" s="4">
        <v>0</v>
      </c>
      <c r="W13" s="4">
        <v>0</v>
      </c>
    </row>
    <row r="14" spans="1:23" ht="11.25" customHeight="1" x14ac:dyDescent="0.25">
      <c r="A14" s="4" t="s">
        <v>21</v>
      </c>
      <c r="B14" s="4" t="s">
        <v>38</v>
      </c>
      <c r="C14" s="4" t="s">
        <v>56</v>
      </c>
      <c r="D14" s="4" t="s">
        <v>37</v>
      </c>
      <c r="E14" s="4" t="s">
        <v>25</v>
      </c>
      <c r="F14" s="4" t="s">
        <v>57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3408.886</v>
      </c>
      <c r="M14" s="6">
        <v>1704.443</v>
      </c>
      <c r="N14" s="6">
        <v>0</v>
      </c>
      <c r="O14" s="6">
        <v>0</v>
      </c>
      <c r="P14" s="6">
        <v>6</v>
      </c>
      <c r="Q14" s="4" t="s">
        <v>58</v>
      </c>
      <c r="R14" s="4">
        <v>0</v>
      </c>
      <c r="S14" s="4" t="s">
        <v>107</v>
      </c>
      <c r="U14" s="4">
        <v>0</v>
      </c>
      <c r="V14" s="4">
        <v>8</v>
      </c>
      <c r="W14" s="4">
        <v>0</v>
      </c>
    </row>
    <row r="15" spans="1:23" ht="11.25" customHeight="1" x14ac:dyDescent="0.25">
      <c r="A15" s="4" t="s">
        <v>21</v>
      </c>
      <c r="B15" s="4" t="s">
        <v>38</v>
      </c>
      <c r="C15" s="4" t="s">
        <v>56</v>
      </c>
      <c r="D15" s="4" t="s">
        <v>37</v>
      </c>
      <c r="E15" s="4" t="s">
        <v>25</v>
      </c>
      <c r="F15" s="4" t="s">
        <v>57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3332.1570000000002</v>
      </c>
      <c r="M15" s="6">
        <v>1666.0785000000001</v>
      </c>
      <c r="N15" s="6">
        <v>0</v>
      </c>
      <c r="O15" s="6">
        <v>0</v>
      </c>
      <c r="P15" s="6">
        <v>6</v>
      </c>
      <c r="Q15" s="4" t="s">
        <v>58</v>
      </c>
      <c r="R15" s="4">
        <v>0</v>
      </c>
      <c r="S15" s="4" t="s">
        <v>108</v>
      </c>
      <c r="U15" s="4">
        <v>0</v>
      </c>
      <c r="V15" s="4">
        <v>8</v>
      </c>
      <c r="W15" s="4">
        <v>0</v>
      </c>
    </row>
    <row r="16" spans="1:23" ht="11.25" customHeight="1" x14ac:dyDescent="0.25">
      <c r="A16" s="4" t="s">
        <v>21</v>
      </c>
      <c r="B16" s="4" t="s">
        <v>38</v>
      </c>
      <c r="C16" s="4" t="s">
        <v>56</v>
      </c>
      <c r="D16" s="4" t="s">
        <v>37</v>
      </c>
      <c r="E16" s="4" t="s">
        <v>25</v>
      </c>
      <c r="F16" s="4" t="s">
        <v>57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3444.0309999999999</v>
      </c>
      <c r="M16" s="6">
        <v>1722.0155</v>
      </c>
      <c r="N16" s="6">
        <v>0</v>
      </c>
      <c r="O16" s="6">
        <v>0</v>
      </c>
      <c r="P16" s="6">
        <v>6</v>
      </c>
      <c r="Q16" s="4" t="s">
        <v>58</v>
      </c>
      <c r="R16" s="4">
        <v>0</v>
      </c>
      <c r="S16" s="4" t="s">
        <v>109</v>
      </c>
      <c r="U16" s="4">
        <v>0</v>
      </c>
      <c r="V16" s="4">
        <v>8</v>
      </c>
      <c r="W16" s="4">
        <v>0</v>
      </c>
    </row>
    <row r="17" spans="1:23" ht="11.25" customHeight="1" x14ac:dyDescent="0.25">
      <c r="A17" s="4" t="s">
        <v>21</v>
      </c>
      <c r="B17" s="4" t="s">
        <v>38</v>
      </c>
      <c r="C17" s="4" t="s">
        <v>56</v>
      </c>
      <c r="D17" s="4" t="s">
        <v>37</v>
      </c>
      <c r="E17" s="4" t="s">
        <v>25</v>
      </c>
      <c r="F17" s="4" t="s">
        <v>57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3415.11</v>
      </c>
      <c r="M17" s="6">
        <v>1707.5550000000001</v>
      </c>
      <c r="N17" s="6">
        <v>0</v>
      </c>
      <c r="O17" s="6">
        <v>0</v>
      </c>
      <c r="P17" s="6">
        <v>6</v>
      </c>
      <c r="Q17" s="4" t="s">
        <v>58</v>
      </c>
      <c r="R17" s="4">
        <v>0</v>
      </c>
      <c r="S17" s="4" t="s">
        <v>110</v>
      </c>
      <c r="U17" s="4">
        <v>0</v>
      </c>
      <c r="V17" s="4">
        <v>8</v>
      </c>
      <c r="W17" s="4">
        <v>0</v>
      </c>
    </row>
    <row r="18" spans="1:23" ht="11.25" customHeight="1" x14ac:dyDescent="0.25">
      <c r="A18" s="4" t="s">
        <v>21</v>
      </c>
      <c r="B18" s="4" t="s">
        <v>38</v>
      </c>
      <c r="C18" s="4" t="s">
        <v>56</v>
      </c>
      <c r="D18" s="4" t="s">
        <v>37</v>
      </c>
      <c r="E18" s="4" t="s">
        <v>25</v>
      </c>
      <c r="F18" s="4" t="s">
        <v>57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3030.1959999999999</v>
      </c>
      <c r="M18" s="6">
        <v>1515.098</v>
      </c>
      <c r="N18" s="6">
        <v>0</v>
      </c>
      <c r="O18" s="6">
        <v>0</v>
      </c>
      <c r="P18" s="6">
        <v>6</v>
      </c>
      <c r="Q18" s="4" t="s">
        <v>58</v>
      </c>
      <c r="R18" s="4">
        <v>0</v>
      </c>
      <c r="S18" s="4" t="s">
        <v>111</v>
      </c>
      <c r="U18" s="4">
        <v>0</v>
      </c>
      <c r="V18" s="4">
        <v>8</v>
      </c>
      <c r="W18" s="4">
        <v>0</v>
      </c>
    </row>
    <row r="19" spans="1:23" ht="11.25" customHeight="1" x14ac:dyDescent="0.25">
      <c r="A19" s="4" t="s">
        <v>21</v>
      </c>
      <c r="B19" s="4" t="s">
        <v>38</v>
      </c>
      <c r="C19" s="4" t="s">
        <v>56</v>
      </c>
      <c r="D19" s="4" t="s">
        <v>37</v>
      </c>
      <c r="E19" s="4" t="s">
        <v>25</v>
      </c>
      <c r="F19" s="4" t="s">
        <v>57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3510.837</v>
      </c>
      <c r="M19" s="6">
        <v>1755.4185</v>
      </c>
      <c r="N19" s="6">
        <v>0</v>
      </c>
      <c r="O19" s="6">
        <v>0</v>
      </c>
      <c r="P19" s="6">
        <v>6</v>
      </c>
      <c r="Q19" s="4" t="s">
        <v>58</v>
      </c>
      <c r="R19" s="4">
        <v>0</v>
      </c>
      <c r="S19" s="4" t="s">
        <v>112</v>
      </c>
      <c r="U19" s="4">
        <v>0</v>
      </c>
      <c r="V19" s="4">
        <v>8</v>
      </c>
      <c r="W19" s="4">
        <v>0</v>
      </c>
    </row>
    <row r="20" spans="1:23" ht="11.25" customHeight="1" x14ac:dyDescent="0.25">
      <c r="A20" s="4" t="s">
        <v>21</v>
      </c>
      <c r="B20" s="4" t="s">
        <v>38</v>
      </c>
      <c r="C20" s="4" t="s">
        <v>56</v>
      </c>
      <c r="D20" s="4" t="s">
        <v>37</v>
      </c>
      <c r="E20" s="4" t="s">
        <v>25</v>
      </c>
      <c r="F20" s="4" t="s">
        <v>57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3237.096</v>
      </c>
      <c r="M20" s="6">
        <v>1618.548</v>
      </c>
      <c r="N20" s="6">
        <v>0</v>
      </c>
      <c r="O20" s="6">
        <v>0</v>
      </c>
      <c r="P20" s="6">
        <v>6</v>
      </c>
      <c r="Q20" s="4" t="s">
        <v>58</v>
      </c>
      <c r="R20" s="4">
        <v>0</v>
      </c>
      <c r="S20" s="4" t="s">
        <v>113</v>
      </c>
      <c r="U20" s="4">
        <v>0</v>
      </c>
      <c r="V20" s="4">
        <v>8</v>
      </c>
      <c r="W20" s="4">
        <v>0</v>
      </c>
    </row>
    <row r="21" spans="1:23" ht="11.25" customHeight="1" x14ac:dyDescent="0.25">
      <c r="A21" s="4" t="s">
        <v>21</v>
      </c>
      <c r="B21" s="4" t="s">
        <v>38</v>
      </c>
      <c r="C21" s="4" t="s">
        <v>56</v>
      </c>
      <c r="D21" s="4" t="s">
        <v>37</v>
      </c>
      <c r="E21" s="4" t="s">
        <v>25</v>
      </c>
      <c r="F21" s="4" t="s">
        <v>57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3688.7570000000001</v>
      </c>
      <c r="M21" s="6">
        <v>1844.3785</v>
      </c>
      <c r="N21" s="6">
        <v>0</v>
      </c>
      <c r="O21" s="6">
        <v>0</v>
      </c>
      <c r="P21" s="6">
        <v>6</v>
      </c>
      <c r="Q21" s="4" t="s">
        <v>58</v>
      </c>
      <c r="R21" s="4">
        <v>0</v>
      </c>
      <c r="S21" s="4" t="s">
        <v>114</v>
      </c>
      <c r="U21" s="4">
        <v>0</v>
      </c>
      <c r="V21" s="4">
        <v>8</v>
      </c>
      <c r="W21" s="4">
        <v>0</v>
      </c>
    </row>
    <row r="22" spans="1:23" ht="11.25" customHeight="1" x14ac:dyDescent="0.25">
      <c r="A22" s="4" t="s">
        <v>21</v>
      </c>
      <c r="B22" s="4" t="s">
        <v>38</v>
      </c>
      <c r="C22" s="4" t="s">
        <v>56</v>
      </c>
      <c r="D22" s="4" t="s">
        <v>37</v>
      </c>
      <c r="E22" s="4" t="s">
        <v>25</v>
      </c>
      <c r="F22" s="4" t="s">
        <v>57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3372.8220000000001</v>
      </c>
      <c r="M22" s="6">
        <v>1686.4110000000001</v>
      </c>
      <c r="N22" s="6">
        <v>0</v>
      </c>
      <c r="O22" s="6">
        <v>0</v>
      </c>
      <c r="P22" s="6">
        <v>6</v>
      </c>
      <c r="Q22" s="4" t="s">
        <v>58</v>
      </c>
      <c r="R22" s="4">
        <v>0</v>
      </c>
      <c r="S22" s="4" t="s">
        <v>115</v>
      </c>
      <c r="U22" s="4">
        <v>0</v>
      </c>
      <c r="V22" s="4">
        <v>8</v>
      </c>
      <c r="W22" s="4">
        <v>0</v>
      </c>
    </row>
    <row r="23" spans="1:23" ht="11.25" customHeight="1" x14ac:dyDescent="0.25">
      <c r="A23" s="4" t="s">
        <v>21</v>
      </c>
      <c r="B23" s="4" t="s">
        <v>38</v>
      </c>
      <c r="C23" s="4" t="s">
        <v>56</v>
      </c>
      <c r="D23" s="4" t="s">
        <v>37</v>
      </c>
      <c r="E23" s="4" t="s">
        <v>25</v>
      </c>
      <c r="F23" s="4" t="s">
        <v>57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3390.308</v>
      </c>
      <c r="M23" s="6">
        <v>1695.154</v>
      </c>
      <c r="N23" s="6">
        <v>0</v>
      </c>
      <c r="O23" s="6">
        <v>0</v>
      </c>
      <c r="P23" s="6">
        <v>6</v>
      </c>
      <c r="Q23" s="4" t="s">
        <v>58</v>
      </c>
      <c r="R23" s="4">
        <v>0</v>
      </c>
      <c r="S23" s="4" t="s">
        <v>116</v>
      </c>
      <c r="U23" s="4">
        <v>0</v>
      </c>
      <c r="V23" s="4">
        <v>8</v>
      </c>
      <c r="W23" s="4">
        <v>0</v>
      </c>
    </row>
    <row r="24" spans="1:23" ht="11.25" customHeight="1" x14ac:dyDescent="0.25">
      <c r="A24" s="4" t="s">
        <v>21</v>
      </c>
      <c r="B24" s="4" t="s">
        <v>38</v>
      </c>
      <c r="C24" s="4" t="s">
        <v>56</v>
      </c>
      <c r="D24" s="4" t="s">
        <v>37</v>
      </c>
      <c r="E24" s="4" t="s">
        <v>25</v>
      </c>
      <c r="F24" s="4" t="s">
        <v>57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3363.3820000000001</v>
      </c>
      <c r="M24" s="6">
        <v>1681.691</v>
      </c>
      <c r="N24" s="6">
        <v>0</v>
      </c>
      <c r="O24" s="6">
        <v>0</v>
      </c>
      <c r="P24" s="6">
        <v>6</v>
      </c>
      <c r="Q24" s="4" t="s">
        <v>58</v>
      </c>
      <c r="R24" s="4">
        <v>0</v>
      </c>
      <c r="S24" s="4" t="s">
        <v>117</v>
      </c>
      <c r="U24" s="4">
        <v>0</v>
      </c>
      <c r="V24" s="4">
        <v>8</v>
      </c>
      <c r="W24" s="4">
        <v>0</v>
      </c>
    </row>
    <row r="25" spans="1:23" ht="11.25" customHeight="1" x14ac:dyDescent="0.25">
      <c r="A25" s="4" t="s">
        <v>55</v>
      </c>
      <c r="B25" s="4" t="s">
        <v>38</v>
      </c>
      <c r="C25" s="4" t="s">
        <v>56</v>
      </c>
      <c r="D25" s="4" t="s">
        <v>37</v>
      </c>
      <c r="E25" s="4" t="s">
        <v>25</v>
      </c>
      <c r="F25" s="4" t="s">
        <v>57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3363.3820000000001</v>
      </c>
      <c r="M25" s="6">
        <v>1681.691</v>
      </c>
      <c r="N25" s="6">
        <v>0</v>
      </c>
      <c r="O25" s="6">
        <v>0</v>
      </c>
      <c r="P25" s="6">
        <v>6</v>
      </c>
      <c r="Q25" s="4" t="s">
        <v>58</v>
      </c>
      <c r="R25" s="4">
        <v>0</v>
      </c>
      <c r="S25" s="4" t="s">
        <v>118</v>
      </c>
      <c r="U25" s="4">
        <v>0</v>
      </c>
      <c r="V25" s="4">
        <v>8</v>
      </c>
      <c r="W25" s="4">
        <v>0</v>
      </c>
    </row>
    <row r="26" spans="1:23" ht="11.25" customHeight="1" x14ac:dyDescent="0.25">
      <c r="A26" s="4" t="s">
        <v>21</v>
      </c>
      <c r="B26" s="4" t="s">
        <v>38</v>
      </c>
      <c r="C26" s="4" t="s">
        <v>56</v>
      </c>
      <c r="D26" s="4" t="s">
        <v>37</v>
      </c>
      <c r="E26" s="4" t="s">
        <v>25</v>
      </c>
      <c r="F26" s="4" t="s">
        <v>57</v>
      </c>
      <c r="G26" s="4" t="s">
        <v>25</v>
      </c>
      <c r="H26" s="4" t="s">
        <v>33</v>
      </c>
      <c r="I26" s="5">
        <v>44409</v>
      </c>
      <c r="J26" s="6">
        <v>3350</v>
      </c>
      <c r="K26" s="6">
        <v>1675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58</v>
      </c>
      <c r="R26" s="4">
        <v>0</v>
      </c>
      <c r="S26" s="4" t="s">
        <v>119</v>
      </c>
      <c r="U26" s="4">
        <v>2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38</v>
      </c>
      <c r="C27" s="4" t="s">
        <v>56</v>
      </c>
      <c r="D27" s="4" t="s">
        <v>37</v>
      </c>
      <c r="E27" s="4" t="s">
        <v>25</v>
      </c>
      <c r="F27" s="4" t="s">
        <v>57</v>
      </c>
      <c r="G27" s="4" t="s">
        <v>25</v>
      </c>
      <c r="H27" s="4" t="s">
        <v>33</v>
      </c>
      <c r="I27" s="5">
        <v>44440</v>
      </c>
      <c r="J27" s="6">
        <v>3350</v>
      </c>
      <c r="K27" s="6">
        <v>1675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58</v>
      </c>
      <c r="R27" s="4">
        <v>0</v>
      </c>
      <c r="S27" s="4" t="s">
        <v>120</v>
      </c>
      <c r="U27" s="4">
        <v>2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38</v>
      </c>
      <c r="C28" s="4" t="s">
        <v>56</v>
      </c>
      <c r="D28" s="4" t="s">
        <v>37</v>
      </c>
      <c r="E28" s="4" t="s">
        <v>25</v>
      </c>
      <c r="F28" s="4" t="s">
        <v>57</v>
      </c>
      <c r="G28" s="4" t="s">
        <v>25</v>
      </c>
      <c r="H28" s="4" t="s">
        <v>33</v>
      </c>
      <c r="I28" s="5">
        <v>44470</v>
      </c>
      <c r="J28" s="6">
        <v>3350</v>
      </c>
      <c r="K28" s="6">
        <v>1675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58</v>
      </c>
      <c r="R28" s="4">
        <v>0</v>
      </c>
      <c r="S28" s="4" t="s">
        <v>121</v>
      </c>
      <c r="U28" s="4">
        <v>2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38</v>
      </c>
      <c r="C29" s="4" t="s">
        <v>56</v>
      </c>
      <c r="D29" s="4" t="s">
        <v>37</v>
      </c>
      <c r="E29" s="4" t="s">
        <v>25</v>
      </c>
      <c r="F29" s="4" t="s">
        <v>57</v>
      </c>
      <c r="G29" s="4" t="s">
        <v>25</v>
      </c>
      <c r="H29" s="4" t="s">
        <v>33</v>
      </c>
      <c r="I29" s="5">
        <v>44501</v>
      </c>
      <c r="J29" s="6">
        <v>3350</v>
      </c>
      <c r="K29" s="6">
        <v>1675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58</v>
      </c>
      <c r="R29" s="4">
        <v>0</v>
      </c>
      <c r="S29" s="4" t="s">
        <v>122</v>
      </c>
      <c r="U29" s="4">
        <v>2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38</v>
      </c>
      <c r="C30" s="4" t="s">
        <v>56</v>
      </c>
      <c r="D30" s="4" t="s">
        <v>37</v>
      </c>
      <c r="E30" s="4" t="s">
        <v>25</v>
      </c>
      <c r="F30" s="4" t="s">
        <v>57</v>
      </c>
      <c r="G30" s="4" t="s">
        <v>25</v>
      </c>
      <c r="H30" s="4" t="s">
        <v>33</v>
      </c>
      <c r="I30" s="5">
        <v>44531</v>
      </c>
      <c r="J30" s="6">
        <v>3350</v>
      </c>
      <c r="K30" s="6">
        <v>1675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58</v>
      </c>
      <c r="R30" s="4">
        <v>0</v>
      </c>
      <c r="S30" s="4" t="s">
        <v>123</v>
      </c>
      <c r="U30" s="4">
        <v>2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38</v>
      </c>
      <c r="C31" s="4" t="s">
        <v>56</v>
      </c>
      <c r="D31" s="4" t="s">
        <v>37</v>
      </c>
      <c r="E31" s="4" t="s">
        <v>25</v>
      </c>
      <c r="F31" s="4" t="s">
        <v>57</v>
      </c>
      <c r="G31" s="4" t="s">
        <v>25</v>
      </c>
      <c r="H31" s="4" t="s">
        <v>33</v>
      </c>
      <c r="I31" s="5">
        <v>44562</v>
      </c>
      <c r="J31" s="6">
        <v>3364</v>
      </c>
      <c r="K31" s="6">
        <v>1682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58</v>
      </c>
      <c r="R31" s="4">
        <v>0</v>
      </c>
      <c r="S31" s="4" t="s">
        <v>124</v>
      </c>
      <c r="U31" s="4">
        <v>2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38</v>
      </c>
      <c r="C32" s="4" t="s">
        <v>56</v>
      </c>
      <c r="D32" s="4" t="s">
        <v>37</v>
      </c>
      <c r="E32" s="4" t="s">
        <v>25</v>
      </c>
      <c r="F32" s="4" t="s">
        <v>57</v>
      </c>
      <c r="G32" s="4" t="s">
        <v>25</v>
      </c>
      <c r="H32" s="4" t="s">
        <v>33</v>
      </c>
      <c r="I32" s="5">
        <v>44593</v>
      </c>
      <c r="J32" s="6">
        <v>3350</v>
      </c>
      <c r="K32" s="6">
        <v>1675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58</v>
      </c>
      <c r="R32" s="4">
        <v>0</v>
      </c>
      <c r="S32" s="4" t="s">
        <v>125</v>
      </c>
      <c r="U32" s="4">
        <v>2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38</v>
      </c>
      <c r="C33" s="4" t="s">
        <v>56</v>
      </c>
      <c r="D33" s="4" t="s">
        <v>37</v>
      </c>
      <c r="E33" s="4" t="s">
        <v>25</v>
      </c>
      <c r="F33" s="4" t="s">
        <v>57</v>
      </c>
      <c r="G33" s="4" t="s">
        <v>25</v>
      </c>
      <c r="H33" s="4" t="s">
        <v>33</v>
      </c>
      <c r="I33" s="5">
        <v>44621</v>
      </c>
      <c r="J33" s="6">
        <v>3350</v>
      </c>
      <c r="K33" s="6">
        <v>1675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58</v>
      </c>
      <c r="R33" s="4">
        <v>0</v>
      </c>
      <c r="S33" s="4" t="s">
        <v>126</v>
      </c>
      <c r="U33" s="4">
        <v>2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38</v>
      </c>
      <c r="C34" s="4" t="s">
        <v>56</v>
      </c>
      <c r="D34" s="4" t="s">
        <v>37</v>
      </c>
      <c r="E34" s="4" t="s">
        <v>25</v>
      </c>
      <c r="F34" s="4" t="s">
        <v>57</v>
      </c>
      <c r="G34" s="4" t="s">
        <v>25</v>
      </c>
      <c r="H34" s="4" t="s">
        <v>33</v>
      </c>
      <c r="I34" s="5">
        <v>44652</v>
      </c>
      <c r="J34" s="6">
        <v>3398</v>
      </c>
      <c r="K34" s="6">
        <v>1699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58</v>
      </c>
      <c r="R34" s="4">
        <v>0</v>
      </c>
      <c r="S34" s="4" t="s">
        <v>127</v>
      </c>
      <c r="U34" s="4">
        <v>2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38</v>
      </c>
      <c r="C35" s="4" t="s">
        <v>56</v>
      </c>
      <c r="D35" s="4" t="s">
        <v>37</v>
      </c>
      <c r="E35" s="4" t="s">
        <v>25</v>
      </c>
      <c r="F35" s="4" t="s">
        <v>57</v>
      </c>
      <c r="G35" s="4" t="s">
        <v>25</v>
      </c>
      <c r="H35" s="4" t="s">
        <v>33</v>
      </c>
      <c r="I35" s="5">
        <v>44682</v>
      </c>
      <c r="J35" s="6">
        <v>3237</v>
      </c>
      <c r="K35" s="6">
        <v>1618.5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58</v>
      </c>
      <c r="R35" s="4">
        <v>0</v>
      </c>
      <c r="S35" s="4" t="s">
        <v>128</v>
      </c>
      <c r="U35" s="4">
        <v>2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38</v>
      </c>
      <c r="C36" s="4" t="s">
        <v>56</v>
      </c>
      <c r="D36" s="4" t="s">
        <v>37</v>
      </c>
      <c r="E36" s="4" t="s">
        <v>25</v>
      </c>
      <c r="F36" s="4" t="s">
        <v>57</v>
      </c>
      <c r="G36" s="4" t="s">
        <v>25</v>
      </c>
      <c r="H36" s="4" t="s">
        <v>33</v>
      </c>
      <c r="I36" s="5">
        <v>44713</v>
      </c>
      <c r="J36" s="6">
        <v>3283</v>
      </c>
      <c r="K36" s="6">
        <v>1641.5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58</v>
      </c>
      <c r="R36" s="4">
        <v>0</v>
      </c>
      <c r="S36" s="4" t="s">
        <v>129</v>
      </c>
      <c r="U36" s="4">
        <v>2</v>
      </c>
      <c r="V36" s="4">
        <v>0</v>
      </c>
      <c r="W36" s="4">
        <v>0</v>
      </c>
    </row>
    <row r="37" spans="1:23" ht="11.25" customHeight="1" x14ac:dyDescent="0.25">
      <c r="A37" s="4" t="s">
        <v>55</v>
      </c>
      <c r="B37" s="4" t="s">
        <v>38</v>
      </c>
      <c r="C37" s="4" t="s">
        <v>56</v>
      </c>
      <c r="D37" s="4" t="s">
        <v>37</v>
      </c>
      <c r="E37" s="4" t="s">
        <v>25</v>
      </c>
      <c r="F37" s="4" t="s">
        <v>57</v>
      </c>
      <c r="G37" s="4" t="s">
        <v>25</v>
      </c>
      <c r="H37" s="4" t="s">
        <v>33</v>
      </c>
      <c r="I37" s="5">
        <v>44743</v>
      </c>
      <c r="J37" s="6">
        <v>3283</v>
      </c>
      <c r="K37" s="6">
        <v>1641.5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58</v>
      </c>
      <c r="R37" s="4">
        <v>0</v>
      </c>
      <c r="S37" s="4" t="s">
        <v>130</v>
      </c>
      <c r="U37" s="4">
        <v>2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38</v>
      </c>
      <c r="C38" s="4" t="s">
        <v>39</v>
      </c>
      <c r="D38" s="4" t="s">
        <v>40</v>
      </c>
      <c r="E38" s="4" t="s">
        <v>25</v>
      </c>
      <c r="F38" s="4" t="s">
        <v>25</v>
      </c>
      <c r="G38" s="4" t="s">
        <v>25</v>
      </c>
      <c r="H38" s="4" t="s">
        <v>34</v>
      </c>
      <c r="I38" s="5">
        <v>44409</v>
      </c>
      <c r="J38" s="6">
        <v>0</v>
      </c>
      <c r="K38" s="6">
        <v>0</v>
      </c>
      <c r="L38" s="6">
        <v>214.33199999999999</v>
      </c>
      <c r="M38" s="6">
        <v>214.33199999999999</v>
      </c>
      <c r="N38" s="6">
        <v>214.33199999999999</v>
      </c>
      <c r="O38" s="6">
        <v>214.33199999999999</v>
      </c>
      <c r="P38" s="6">
        <v>0</v>
      </c>
      <c r="Q38" s="4" t="s">
        <v>26</v>
      </c>
      <c r="R38" s="4">
        <v>0</v>
      </c>
      <c r="S38" s="4" t="s">
        <v>131</v>
      </c>
      <c r="T38" s="4" t="s">
        <v>336</v>
      </c>
      <c r="U38" s="4">
        <v>0</v>
      </c>
      <c r="V38" s="4">
        <v>21</v>
      </c>
      <c r="W38" s="4">
        <v>70</v>
      </c>
    </row>
    <row r="39" spans="1:23" ht="11.25" customHeight="1" x14ac:dyDescent="0.25">
      <c r="A39" s="4" t="s">
        <v>21</v>
      </c>
      <c r="B39" s="4" t="s">
        <v>38</v>
      </c>
      <c r="C39" s="4" t="s">
        <v>39</v>
      </c>
      <c r="D39" s="4" t="s">
        <v>40</v>
      </c>
      <c r="E39" s="4" t="s">
        <v>25</v>
      </c>
      <c r="F39" s="4" t="s">
        <v>25</v>
      </c>
      <c r="G39" s="4" t="s">
        <v>25</v>
      </c>
      <c r="H39" s="4" t="s">
        <v>34</v>
      </c>
      <c r="I39" s="5">
        <v>44440</v>
      </c>
      <c r="J39" s="6">
        <v>0</v>
      </c>
      <c r="K39" s="6">
        <v>0</v>
      </c>
      <c r="L39" s="6">
        <v>189.839</v>
      </c>
      <c r="M39" s="6">
        <v>189.839</v>
      </c>
      <c r="N39" s="6">
        <v>189.839</v>
      </c>
      <c r="O39" s="6">
        <v>189.839</v>
      </c>
      <c r="P39" s="6">
        <v>0</v>
      </c>
      <c r="Q39" s="4" t="s">
        <v>26</v>
      </c>
      <c r="R39" s="4">
        <v>0</v>
      </c>
      <c r="S39" s="4" t="s">
        <v>132</v>
      </c>
      <c r="T39" s="4" t="s">
        <v>337</v>
      </c>
      <c r="U39" s="4">
        <v>0</v>
      </c>
      <c r="V39" s="4">
        <v>21</v>
      </c>
      <c r="W39" s="4">
        <v>70</v>
      </c>
    </row>
    <row r="40" spans="1:23" ht="11.25" customHeight="1" x14ac:dyDescent="0.25">
      <c r="A40" s="4" t="s">
        <v>21</v>
      </c>
      <c r="B40" s="4" t="s">
        <v>38</v>
      </c>
      <c r="C40" s="4" t="s">
        <v>39</v>
      </c>
      <c r="D40" s="4" t="s">
        <v>40</v>
      </c>
      <c r="E40" s="4" t="s">
        <v>25</v>
      </c>
      <c r="F40" s="4" t="s">
        <v>25</v>
      </c>
      <c r="G40" s="4" t="s">
        <v>25</v>
      </c>
      <c r="H40" s="4" t="s">
        <v>34</v>
      </c>
      <c r="I40" s="5">
        <v>44470</v>
      </c>
      <c r="J40" s="6">
        <v>0</v>
      </c>
      <c r="K40" s="6">
        <v>0</v>
      </c>
      <c r="L40" s="6">
        <v>270.11</v>
      </c>
      <c r="M40" s="6">
        <v>270.11</v>
      </c>
      <c r="N40" s="6">
        <v>270.11</v>
      </c>
      <c r="O40" s="6">
        <v>270.11</v>
      </c>
      <c r="P40" s="6">
        <v>0</v>
      </c>
      <c r="Q40" s="4" t="s">
        <v>26</v>
      </c>
      <c r="R40" s="4">
        <v>0</v>
      </c>
      <c r="S40" s="4" t="s">
        <v>133</v>
      </c>
      <c r="T40" s="4" t="s">
        <v>338</v>
      </c>
      <c r="U40" s="4">
        <v>0</v>
      </c>
      <c r="V40" s="4">
        <v>21</v>
      </c>
      <c r="W40" s="4">
        <v>70</v>
      </c>
    </row>
    <row r="41" spans="1:23" ht="11.25" customHeight="1" x14ac:dyDescent="0.25">
      <c r="A41" s="4" t="s">
        <v>21</v>
      </c>
      <c r="B41" s="4" t="s">
        <v>38</v>
      </c>
      <c r="C41" s="4" t="s">
        <v>39</v>
      </c>
      <c r="D41" s="4" t="s">
        <v>40</v>
      </c>
      <c r="E41" s="4" t="s">
        <v>25</v>
      </c>
      <c r="F41" s="4" t="s">
        <v>25</v>
      </c>
      <c r="G41" s="4" t="s">
        <v>25</v>
      </c>
      <c r="H41" s="4" t="s">
        <v>34</v>
      </c>
      <c r="I41" s="5">
        <v>44501</v>
      </c>
      <c r="J41" s="6">
        <v>0</v>
      </c>
      <c r="K41" s="6">
        <v>0</v>
      </c>
      <c r="L41" s="6">
        <v>267.45999999999998</v>
      </c>
      <c r="M41" s="6">
        <v>267.45999999999998</v>
      </c>
      <c r="N41" s="6">
        <v>267.45999999999998</v>
      </c>
      <c r="O41" s="6">
        <v>267.45999999999998</v>
      </c>
      <c r="P41" s="6">
        <v>0</v>
      </c>
      <c r="Q41" s="4" t="s">
        <v>26</v>
      </c>
      <c r="R41" s="4">
        <v>0</v>
      </c>
      <c r="S41" s="4" t="s">
        <v>134</v>
      </c>
      <c r="T41" s="4" t="s">
        <v>339</v>
      </c>
      <c r="U41" s="4">
        <v>0</v>
      </c>
      <c r="V41" s="4">
        <v>21</v>
      </c>
      <c r="W41" s="4">
        <v>70</v>
      </c>
    </row>
    <row r="42" spans="1:23" ht="11.25" customHeight="1" x14ac:dyDescent="0.25">
      <c r="A42" s="4" t="s">
        <v>21</v>
      </c>
      <c r="B42" s="4" t="s">
        <v>38</v>
      </c>
      <c r="C42" s="4" t="s">
        <v>39</v>
      </c>
      <c r="D42" s="4" t="s">
        <v>40</v>
      </c>
      <c r="E42" s="4" t="s">
        <v>25</v>
      </c>
      <c r="F42" s="4" t="s">
        <v>25</v>
      </c>
      <c r="G42" s="4" t="s">
        <v>25</v>
      </c>
      <c r="H42" s="4" t="s">
        <v>34</v>
      </c>
      <c r="I42" s="5">
        <v>44531</v>
      </c>
      <c r="J42" s="6">
        <v>0</v>
      </c>
      <c r="K42" s="6">
        <v>0</v>
      </c>
      <c r="L42" s="6">
        <v>240.125</v>
      </c>
      <c r="M42" s="6">
        <v>240.125</v>
      </c>
      <c r="N42" s="6">
        <v>240.125</v>
      </c>
      <c r="O42" s="6">
        <v>240.125</v>
      </c>
      <c r="P42" s="6">
        <v>0</v>
      </c>
      <c r="Q42" s="4" t="s">
        <v>26</v>
      </c>
      <c r="R42" s="4">
        <v>0</v>
      </c>
      <c r="S42" s="4" t="s">
        <v>135</v>
      </c>
      <c r="T42" s="4" t="s">
        <v>340</v>
      </c>
      <c r="U42" s="4">
        <v>0</v>
      </c>
      <c r="V42" s="4">
        <v>21</v>
      </c>
      <c r="W42" s="4">
        <v>70</v>
      </c>
    </row>
    <row r="43" spans="1:23" ht="11.25" customHeight="1" x14ac:dyDescent="0.25">
      <c r="A43" s="4" t="s">
        <v>21</v>
      </c>
      <c r="B43" s="4" t="s">
        <v>38</v>
      </c>
      <c r="C43" s="4" t="s">
        <v>39</v>
      </c>
      <c r="D43" s="4" t="s">
        <v>40</v>
      </c>
      <c r="E43" s="4" t="s">
        <v>25</v>
      </c>
      <c r="F43" s="4" t="s">
        <v>25</v>
      </c>
      <c r="G43" s="4" t="s">
        <v>25</v>
      </c>
      <c r="H43" s="4" t="s">
        <v>34</v>
      </c>
      <c r="I43" s="5">
        <v>44562</v>
      </c>
      <c r="J43" s="6">
        <v>0</v>
      </c>
      <c r="K43" s="6">
        <v>0</v>
      </c>
      <c r="L43" s="6">
        <v>232.13399999999999</v>
      </c>
      <c r="M43" s="6">
        <v>232.13399999999999</v>
      </c>
      <c r="N43" s="6">
        <v>232.13399999999999</v>
      </c>
      <c r="O43" s="6">
        <v>232.13399999999999</v>
      </c>
      <c r="P43" s="6">
        <v>0</v>
      </c>
      <c r="Q43" s="4" t="s">
        <v>26</v>
      </c>
      <c r="R43" s="4">
        <v>0</v>
      </c>
      <c r="S43" s="4" t="s">
        <v>136</v>
      </c>
      <c r="T43" s="4" t="s">
        <v>341</v>
      </c>
      <c r="U43" s="4">
        <v>0</v>
      </c>
      <c r="V43" s="4">
        <v>21</v>
      </c>
      <c r="W43" s="4">
        <v>70</v>
      </c>
    </row>
    <row r="44" spans="1:23" ht="11.25" customHeight="1" x14ac:dyDescent="0.25">
      <c r="A44" s="4" t="s">
        <v>21</v>
      </c>
      <c r="B44" s="4" t="s">
        <v>38</v>
      </c>
      <c r="C44" s="4" t="s">
        <v>39</v>
      </c>
      <c r="D44" s="4" t="s">
        <v>40</v>
      </c>
      <c r="E44" s="4" t="s">
        <v>25</v>
      </c>
      <c r="F44" s="4" t="s">
        <v>25</v>
      </c>
      <c r="G44" s="4" t="s">
        <v>25</v>
      </c>
      <c r="H44" s="4" t="s">
        <v>34</v>
      </c>
      <c r="I44" s="5">
        <v>44593</v>
      </c>
      <c r="J44" s="6">
        <v>0</v>
      </c>
      <c r="K44" s="6">
        <v>0</v>
      </c>
      <c r="L44" s="6">
        <v>262.23099999999999</v>
      </c>
      <c r="M44" s="6">
        <v>262.23099999999999</v>
      </c>
      <c r="N44" s="6">
        <v>262.23099999999999</v>
      </c>
      <c r="O44" s="6">
        <v>262.23099999999999</v>
      </c>
      <c r="P44" s="6">
        <v>0</v>
      </c>
      <c r="Q44" s="4" t="s">
        <v>26</v>
      </c>
      <c r="R44" s="4">
        <v>0</v>
      </c>
      <c r="S44" s="4" t="s">
        <v>137</v>
      </c>
      <c r="T44" s="4" t="s">
        <v>342</v>
      </c>
      <c r="U44" s="4">
        <v>0</v>
      </c>
      <c r="V44" s="4">
        <v>21</v>
      </c>
      <c r="W44" s="4">
        <v>70</v>
      </c>
    </row>
    <row r="45" spans="1:23" ht="11.25" customHeight="1" x14ac:dyDescent="0.25">
      <c r="A45" s="4" t="s">
        <v>21</v>
      </c>
      <c r="B45" s="4" t="s">
        <v>38</v>
      </c>
      <c r="C45" s="4" t="s">
        <v>39</v>
      </c>
      <c r="D45" s="4" t="s">
        <v>40</v>
      </c>
      <c r="E45" s="4" t="s">
        <v>25</v>
      </c>
      <c r="F45" s="4" t="s">
        <v>25</v>
      </c>
      <c r="G45" s="4" t="s">
        <v>25</v>
      </c>
      <c r="H45" s="4" t="s">
        <v>34</v>
      </c>
      <c r="I45" s="5">
        <v>44621</v>
      </c>
      <c r="J45" s="6">
        <v>0</v>
      </c>
      <c r="K45" s="6">
        <v>0</v>
      </c>
      <c r="L45" s="6">
        <v>293.43700000000001</v>
      </c>
      <c r="M45" s="6">
        <v>293.43700000000001</v>
      </c>
      <c r="N45" s="6">
        <v>293.43700000000001</v>
      </c>
      <c r="O45" s="6">
        <v>293.43700000000001</v>
      </c>
      <c r="P45" s="6">
        <v>0</v>
      </c>
      <c r="Q45" s="4" t="s">
        <v>26</v>
      </c>
      <c r="R45" s="4">
        <v>0</v>
      </c>
      <c r="S45" s="4" t="s">
        <v>138</v>
      </c>
      <c r="T45" s="4" t="s">
        <v>343</v>
      </c>
      <c r="U45" s="4">
        <v>0</v>
      </c>
      <c r="V45" s="4">
        <v>21</v>
      </c>
      <c r="W45" s="4">
        <v>70</v>
      </c>
    </row>
    <row r="46" spans="1:23" ht="11.25" customHeight="1" x14ac:dyDescent="0.25">
      <c r="A46" s="4" t="s">
        <v>21</v>
      </c>
      <c r="B46" s="4" t="s">
        <v>38</v>
      </c>
      <c r="C46" s="4" t="s">
        <v>39</v>
      </c>
      <c r="D46" s="4" t="s">
        <v>40</v>
      </c>
      <c r="E46" s="4" t="s">
        <v>25</v>
      </c>
      <c r="F46" s="4" t="s">
        <v>25</v>
      </c>
      <c r="G46" s="4" t="s">
        <v>25</v>
      </c>
      <c r="H46" s="4" t="s">
        <v>34</v>
      </c>
      <c r="I46" s="5">
        <v>44652</v>
      </c>
      <c r="J46" s="6">
        <v>0</v>
      </c>
      <c r="K46" s="6">
        <v>0</v>
      </c>
      <c r="L46" s="6">
        <v>227.185</v>
      </c>
      <c r="M46" s="6">
        <v>227.185</v>
      </c>
      <c r="N46" s="6">
        <v>227.185</v>
      </c>
      <c r="O46" s="6">
        <v>227.185</v>
      </c>
      <c r="P46" s="6">
        <v>0</v>
      </c>
      <c r="Q46" s="4" t="s">
        <v>26</v>
      </c>
      <c r="R46" s="4">
        <v>0</v>
      </c>
      <c r="S46" s="4" t="s">
        <v>139</v>
      </c>
      <c r="T46" s="4" t="s">
        <v>344</v>
      </c>
      <c r="U46" s="4">
        <v>0</v>
      </c>
      <c r="V46" s="4">
        <v>21</v>
      </c>
      <c r="W46" s="4">
        <v>70</v>
      </c>
    </row>
    <row r="47" spans="1:23" ht="11.25" customHeight="1" x14ac:dyDescent="0.25">
      <c r="A47" s="4" t="s">
        <v>21</v>
      </c>
      <c r="B47" s="4" t="s">
        <v>38</v>
      </c>
      <c r="C47" s="4" t="s">
        <v>39</v>
      </c>
      <c r="D47" s="4" t="s">
        <v>40</v>
      </c>
      <c r="E47" s="4" t="s">
        <v>25</v>
      </c>
      <c r="F47" s="4" t="s">
        <v>25</v>
      </c>
      <c r="G47" s="4" t="s">
        <v>25</v>
      </c>
      <c r="H47" s="4" t="s">
        <v>34</v>
      </c>
      <c r="I47" s="5">
        <v>44682</v>
      </c>
      <c r="J47" s="6">
        <v>0</v>
      </c>
      <c r="K47" s="6">
        <v>0</v>
      </c>
      <c r="L47" s="6">
        <v>200.93700000000001</v>
      </c>
      <c r="M47" s="6">
        <v>200.93700000000001</v>
      </c>
      <c r="N47" s="6">
        <v>200.93700000000001</v>
      </c>
      <c r="O47" s="6">
        <v>200.93700000000001</v>
      </c>
      <c r="P47" s="6">
        <v>0</v>
      </c>
      <c r="Q47" s="4" t="s">
        <v>26</v>
      </c>
      <c r="R47" s="4">
        <v>0</v>
      </c>
      <c r="S47" s="4" t="s">
        <v>140</v>
      </c>
      <c r="T47" s="4" t="s">
        <v>345</v>
      </c>
      <c r="U47" s="4">
        <v>0</v>
      </c>
      <c r="V47" s="4">
        <v>21</v>
      </c>
      <c r="W47" s="4">
        <v>70</v>
      </c>
    </row>
    <row r="48" spans="1:23" ht="11.25" customHeight="1" x14ac:dyDescent="0.25">
      <c r="A48" s="4" t="s">
        <v>21</v>
      </c>
      <c r="B48" s="4" t="s">
        <v>38</v>
      </c>
      <c r="C48" s="4" t="s">
        <v>39</v>
      </c>
      <c r="D48" s="4" t="s">
        <v>40</v>
      </c>
      <c r="E48" s="4" t="s">
        <v>25</v>
      </c>
      <c r="F48" s="4" t="s">
        <v>25</v>
      </c>
      <c r="G48" s="4" t="s">
        <v>25</v>
      </c>
      <c r="H48" s="4" t="s">
        <v>34</v>
      </c>
      <c r="I48" s="5">
        <v>44713</v>
      </c>
      <c r="J48" s="6">
        <v>0</v>
      </c>
      <c r="K48" s="6">
        <v>0</v>
      </c>
      <c r="L48" s="6">
        <v>181.31399999999999</v>
      </c>
      <c r="M48" s="6">
        <v>181.31399999999999</v>
      </c>
      <c r="N48" s="6">
        <v>181.31399999999999</v>
      </c>
      <c r="O48" s="6">
        <v>181.31399999999999</v>
      </c>
      <c r="P48" s="6">
        <v>0</v>
      </c>
      <c r="Q48" s="4" t="s">
        <v>26</v>
      </c>
      <c r="R48" s="4">
        <v>0</v>
      </c>
      <c r="S48" s="4" t="s">
        <v>141</v>
      </c>
      <c r="T48" s="4" t="s">
        <v>346</v>
      </c>
      <c r="U48" s="4">
        <v>0</v>
      </c>
      <c r="V48" s="4">
        <v>21</v>
      </c>
      <c r="W48" s="4">
        <v>70</v>
      </c>
    </row>
    <row r="49" spans="1:23" ht="11.25" customHeight="1" x14ac:dyDescent="0.25">
      <c r="A49" s="4" t="s">
        <v>55</v>
      </c>
      <c r="B49" s="4" t="s">
        <v>38</v>
      </c>
      <c r="C49" s="4" t="s">
        <v>39</v>
      </c>
      <c r="D49" s="4" t="s">
        <v>40</v>
      </c>
      <c r="E49" s="4" t="s">
        <v>25</v>
      </c>
      <c r="F49" s="4" t="s">
        <v>25</v>
      </c>
      <c r="G49" s="4" t="s">
        <v>25</v>
      </c>
      <c r="H49" s="4" t="s">
        <v>34</v>
      </c>
      <c r="I49" s="5">
        <v>44743</v>
      </c>
      <c r="J49" s="6">
        <v>0</v>
      </c>
      <c r="K49" s="6">
        <v>0</v>
      </c>
      <c r="L49" s="6">
        <v>181.31399999999999</v>
      </c>
      <c r="M49" s="6">
        <v>181.31399999999999</v>
      </c>
      <c r="N49" s="6">
        <v>181.31399999999999</v>
      </c>
      <c r="O49" s="6">
        <v>181.31399999999999</v>
      </c>
      <c r="P49" s="6">
        <v>0</v>
      </c>
      <c r="Q49" s="4" t="s">
        <v>26</v>
      </c>
      <c r="R49" s="4">
        <v>0</v>
      </c>
      <c r="S49" s="4" t="s">
        <v>142</v>
      </c>
      <c r="T49" s="4" t="s">
        <v>347</v>
      </c>
      <c r="U49" s="4">
        <v>0</v>
      </c>
      <c r="V49" s="4">
        <v>21</v>
      </c>
      <c r="W49" s="4">
        <v>70</v>
      </c>
    </row>
    <row r="50" spans="1:23" ht="11.25" customHeight="1" x14ac:dyDescent="0.25">
      <c r="A50" s="4" t="s">
        <v>21</v>
      </c>
      <c r="B50" s="4" t="s">
        <v>38</v>
      </c>
      <c r="C50" s="4" t="s">
        <v>39</v>
      </c>
      <c r="D50" s="4" t="s">
        <v>40</v>
      </c>
      <c r="E50" s="4" t="s">
        <v>25</v>
      </c>
      <c r="F50" s="4" t="s">
        <v>25</v>
      </c>
      <c r="G50" s="4" t="s">
        <v>25</v>
      </c>
      <c r="H50" s="4" t="s">
        <v>25</v>
      </c>
      <c r="I50" s="5">
        <v>44409</v>
      </c>
      <c r="J50" s="6">
        <v>957</v>
      </c>
      <c r="K50" s="6">
        <v>957</v>
      </c>
      <c r="L50" s="6">
        <v>0</v>
      </c>
      <c r="M50" s="6">
        <v>0</v>
      </c>
      <c r="N50" s="6">
        <v>0</v>
      </c>
      <c r="O50" s="6">
        <v>0</v>
      </c>
      <c r="P50" s="6">
        <v>9</v>
      </c>
      <c r="Q50" s="4" t="s">
        <v>26</v>
      </c>
      <c r="R50" s="4">
        <v>0</v>
      </c>
      <c r="S50" s="4" t="s">
        <v>143</v>
      </c>
      <c r="U50" s="4">
        <v>15</v>
      </c>
      <c r="V50" s="4">
        <v>0</v>
      </c>
      <c r="W50" s="4">
        <v>0</v>
      </c>
    </row>
    <row r="51" spans="1:23" ht="11.25" customHeight="1" x14ac:dyDescent="0.25">
      <c r="A51" s="4" t="s">
        <v>21</v>
      </c>
      <c r="B51" s="4" t="s">
        <v>38</v>
      </c>
      <c r="C51" s="4" t="s">
        <v>39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25</v>
      </c>
      <c r="I51" s="5">
        <v>44440</v>
      </c>
      <c r="J51" s="6">
        <v>955</v>
      </c>
      <c r="K51" s="6">
        <v>955</v>
      </c>
      <c r="L51" s="6">
        <v>0</v>
      </c>
      <c r="M51" s="6">
        <v>0</v>
      </c>
      <c r="N51" s="6">
        <v>0</v>
      </c>
      <c r="O51" s="6">
        <v>0</v>
      </c>
      <c r="P51" s="6">
        <v>9</v>
      </c>
      <c r="Q51" s="4" t="s">
        <v>26</v>
      </c>
      <c r="R51" s="4">
        <v>0</v>
      </c>
      <c r="S51" s="4" t="s">
        <v>144</v>
      </c>
      <c r="U51" s="4">
        <v>15</v>
      </c>
      <c r="V51" s="4">
        <v>0</v>
      </c>
      <c r="W51" s="4">
        <v>0</v>
      </c>
    </row>
    <row r="52" spans="1:23" ht="11.25" customHeight="1" x14ac:dyDescent="0.25">
      <c r="A52" s="4" t="s">
        <v>21</v>
      </c>
      <c r="B52" s="4" t="s">
        <v>38</v>
      </c>
      <c r="C52" s="4" t="s">
        <v>39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25</v>
      </c>
      <c r="I52" s="5">
        <v>44470</v>
      </c>
      <c r="J52" s="6">
        <v>1196</v>
      </c>
      <c r="K52" s="6">
        <v>1196</v>
      </c>
      <c r="L52" s="6">
        <v>0</v>
      </c>
      <c r="M52" s="6">
        <v>0</v>
      </c>
      <c r="N52" s="6">
        <v>0</v>
      </c>
      <c r="O52" s="6">
        <v>0</v>
      </c>
      <c r="P52" s="6">
        <v>9</v>
      </c>
      <c r="Q52" s="4" t="s">
        <v>26</v>
      </c>
      <c r="R52" s="4">
        <v>0</v>
      </c>
      <c r="S52" s="4" t="s">
        <v>145</v>
      </c>
      <c r="U52" s="4">
        <v>15</v>
      </c>
      <c r="V52" s="4">
        <v>0</v>
      </c>
      <c r="W52" s="4">
        <v>0</v>
      </c>
    </row>
    <row r="53" spans="1:23" ht="11.25" customHeight="1" x14ac:dyDescent="0.25">
      <c r="A53" s="4" t="s">
        <v>21</v>
      </c>
      <c r="B53" s="4" t="s">
        <v>38</v>
      </c>
      <c r="C53" s="4" t="s">
        <v>39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25</v>
      </c>
      <c r="I53" s="5">
        <v>44501</v>
      </c>
      <c r="J53" s="6">
        <v>1105</v>
      </c>
      <c r="K53" s="6">
        <v>1105</v>
      </c>
      <c r="L53" s="6">
        <v>0</v>
      </c>
      <c r="M53" s="6">
        <v>0</v>
      </c>
      <c r="N53" s="6">
        <v>0</v>
      </c>
      <c r="O53" s="6">
        <v>0</v>
      </c>
      <c r="P53" s="6">
        <v>9</v>
      </c>
      <c r="Q53" s="4" t="s">
        <v>26</v>
      </c>
      <c r="R53" s="4">
        <v>0</v>
      </c>
      <c r="S53" s="4" t="s">
        <v>146</v>
      </c>
      <c r="U53" s="4">
        <v>15</v>
      </c>
      <c r="V53" s="4">
        <v>0</v>
      </c>
      <c r="W53" s="4">
        <v>0</v>
      </c>
    </row>
    <row r="54" spans="1:23" ht="11.25" customHeight="1" x14ac:dyDescent="0.25">
      <c r="A54" s="4" t="s">
        <v>21</v>
      </c>
      <c r="B54" s="4" t="s">
        <v>38</v>
      </c>
      <c r="C54" s="4" t="s">
        <v>39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25</v>
      </c>
      <c r="I54" s="5">
        <v>44531</v>
      </c>
      <c r="J54" s="6">
        <v>1006</v>
      </c>
      <c r="K54" s="6">
        <v>1006</v>
      </c>
      <c r="L54" s="6">
        <v>0</v>
      </c>
      <c r="M54" s="6">
        <v>0</v>
      </c>
      <c r="N54" s="6">
        <v>0</v>
      </c>
      <c r="O54" s="6">
        <v>0</v>
      </c>
      <c r="P54" s="6">
        <v>9</v>
      </c>
      <c r="Q54" s="4" t="s">
        <v>26</v>
      </c>
      <c r="R54" s="4">
        <v>0</v>
      </c>
      <c r="S54" s="4" t="s">
        <v>147</v>
      </c>
      <c r="U54" s="4">
        <v>15</v>
      </c>
      <c r="V54" s="4">
        <v>0</v>
      </c>
      <c r="W54" s="4">
        <v>0</v>
      </c>
    </row>
    <row r="55" spans="1:23" ht="11.25" customHeight="1" x14ac:dyDescent="0.25">
      <c r="A55" s="4" t="s">
        <v>21</v>
      </c>
      <c r="B55" s="4" t="s">
        <v>38</v>
      </c>
      <c r="C55" s="4" t="s">
        <v>39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25</v>
      </c>
      <c r="I55" s="5">
        <v>44562</v>
      </c>
      <c r="J55" s="6">
        <v>1017</v>
      </c>
      <c r="K55" s="6">
        <v>1017</v>
      </c>
      <c r="L55" s="6">
        <v>0</v>
      </c>
      <c r="M55" s="6">
        <v>0</v>
      </c>
      <c r="N55" s="6">
        <v>0</v>
      </c>
      <c r="O55" s="6">
        <v>0</v>
      </c>
      <c r="P55" s="6">
        <v>9</v>
      </c>
      <c r="Q55" s="4" t="s">
        <v>26</v>
      </c>
      <c r="R55" s="4">
        <v>0</v>
      </c>
      <c r="S55" s="4" t="s">
        <v>148</v>
      </c>
      <c r="U55" s="4">
        <v>15</v>
      </c>
      <c r="V55" s="4">
        <v>0</v>
      </c>
      <c r="W55" s="4">
        <v>0</v>
      </c>
    </row>
    <row r="56" spans="1:23" ht="11.25" customHeight="1" x14ac:dyDescent="0.25">
      <c r="A56" s="4" t="s">
        <v>21</v>
      </c>
      <c r="B56" s="4" t="s">
        <v>38</v>
      </c>
      <c r="C56" s="4" t="s">
        <v>39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25</v>
      </c>
      <c r="I56" s="5">
        <v>44593</v>
      </c>
      <c r="J56" s="6">
        <v>1181</v>
      </c>
      <c r="K56" s="6">
        <v>1181</v>
      </c>
      <c r="L56" s="6">
        <v>0</v>
      </c>
      <c r="M56" s="6">
        <v>0</v>
      </c>
      <c r="N56" s="6">
        <v>0</v>
      </c>
      <c r="O56" s="6">
        <v>0</v>
      </c>
      <c r="P56" s="6">
        <v>9</v>
      </c>
      <c r="Q56" s="4" t="s">
        <v>26</v>
      </c>
      <c r="R56" s="4">
        <v>0</v>
      </c>
      <c r="S56" s="4" t="s">
        <v>149</v>
      </c>
      <c r="U56" s="4">
        <v>15</v>
      </c>
      <c r="V56" s="4">
        <v>0</v>
      </c>
      <c r="W56" s="4">
        <v>0</v>
      </c>
    </row>
    <row r="57" spans="1:23" ht="11.25" customHeight="1" x14ac:dyDescent="0.25">
      <c r="A57" s="4" t="s">
        <v>21</v>
      </c>
      <c r="B57" s="4" t="s">
        <v>38</v>
      </c>
      <c r="C57" s="4" t="s">
        <v>39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25</v>
      </c>
      <c r="I57" s="5">
        <v>44621</v>
      </c>
      <c r="J57" s="6">
        <v>1171</v>
      </c>
      <c r="K57" s="6">
        <v>1171</v>
      </c>
      <c r="L57" s="6">
        <v>0</v>
      </c>
      <c r="M57" s="6">
        <v>0</v>
      </c>
      <c r="N57" s="6">
        <v>0</v>
      </c>
      <c r="O57" s="6">
        <v>0</v>
      </c>
      <c r="P57" s="6">
        <v>8</v>
      </c>
      <c r="Q57" s="4" t="s">
        <v>26</v>
      </c>
      <c r="R57" s="4">
        <v>0</v>
      </c>
      <c r="S57" s="4" t="s">
        <v>150</v>
      </c>
      <c r="U57" s="4">
        <v>15</v>
      </c>
      <c r="V57" s="4">
        <v>0</v>
      </c>
      <c r="W57" s="4">
        <v>0</v>
      </c>
    </row>
    <row r="58" spans="1:23" ht="11.25" customHeight="1" x14ac:dyDescent="0.25">
      <c r="A58" s="4" t="s">
        <v>21</v>
      </c>
      <c r="B58" s="4" t="s">
        <v>38</v>
      </c>
      <c r="C58" s="4" t="s">
        <v>39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25</v>
      </c>
      <c r="I58" s="5">
        <v>44652</v>
      </c>
      <c r="J58" s="6">
        <v>1188</v>
      </c>
      <c r="K58" s="6">
        <v>1188</v>
      </c>
      <c r="L58" s="6">
        <v>0</v>
      </c>
      <c r="M58" s="6">
        <v>0</v>
      </c>
      <c r="N58" s="6">
        <v>0</v>
      </c>
      <c r="O58" s="6">
        <v>0</v>
      </c>
      <c r="P58" s="6">
        <v>8</v>
      </c>
      <c r="Q58" s="4" t="s">
        <v>26</v>
      </c>
      <c r="R58" s="4">
        <v>0</v>
      </c>
      <c r="S58" s="4" t="s">
        <v>151</v>
      </c>
      <c r="U58" s="4">
        <v>15</v>
      </c>
      <c r="V58" s="4">
        <v>0</v>
      </c>
      <c r="W58" s="4">
        <v>0</v>
      </c>
    </row>
    <row r="59" spans="1:23" ht="11.25" customHeight="1" x14ac:dyDescent="0.25">
      <c r="A59" s="4" t="s">
        <v>21</v>
      </c>
      <c r="B59" s="4" t="s">
        <v>38</v>
      </c>
      <c r="C59" s="4" t="s">
        <v>39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25</v>
      </c>
      <c r="I59" s="5">
        <v>44682</v>
      </c>
      <c r="J59" s="6">
        <v>952</v>
      </c>
      <c r="K59" s="6">
        <v>952</v>
      </c>
      <c r="L59" s="6">
        <v>0</v>
      </c>
      <c r="M59" s="6">
        <v>0</v>
      </c>
      <c r="N59" s="6">
        <v>0</v>
      </c>
      <c r="O59" s="6">
        <v>0</v>
      </c>
      <c r="P59" s="6">
        <v>8</v>
      </c>
      <c r="Q59" s="4" t="s">
        <v>26</v>
      </c>
      <c r="R59" s="4">
        <v>0</v>
      </c>
      <c r="S59" s="4" t="s">
        <v>152</v>
      </c>
      <c r="U59" s="4">
        <v>15</v>
      </c>
      <c r="V59" s="4">
        <v>0</v>
      </c>
      <c r="W59" s="4">
        <v>0</v>
      </c>
    </row>
    <row r="60" spans="1:23" ht="11.25" customHeight="1" x14ac:dyDescent="0.25">
      <c r="A60" s="4" t="s">
        <v>21</v>
      </c>
      <c r="B60" s="4" t="s">
        <v>38</v>
      </c>
      <c r="C60" s="4" t="s">
        <v>39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25</v>
      </c>
      <c r="I60" s="5">
        <v>44713</v>
      </c>
      <c r="J60" s="6">
        <v>882</v>
      </c>
      <c r="K60" s="6">
        <v>882</v>
      </c>
      <c r="L60" s="6">
        <v>0</v>
      </c>
      <c r="M60" s="6">
        <v>0</v>
      </c>
      <c r="N60" s="6">
        <v>0</v>
      </c>
      <c r="O60" s="6">
        <v>0</v>
      </c>
      <c r="P60" s="6">
        <v>8</v>
      </c>
      <c r="Q60" s="4" t="s">
        <v>26</v>
      </c>
      <c r="R60" s="4">
        <v>0</v>
      </c>
      <c r="S60" s="4" t="s">
        <v>153</v>
      </c>
      <c r="U60" s="4">
        <v>15</v>
      </c>
      <c r="V60" s="4">
        <v>0</v>
      </c>
      <c r="W60" s="4">
        <v>0</v>
      </c>
    </row>
    <row r="61" spans="1:23" ht="11.25" customHeight="1" x14ac:dyDescent="0.25">
      <c r="A61" s="4" t="s">
        <v>55</v>
      </c>
      <c r="B61" s="4" t="s">
        <v>38</v>
      </c>
      <c r="C61" s="4" t="s">
        <v>39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25</v>
      </c>
      <c r="I61" s="5">
        <v>44743</v>
      </c>
      <c r="J61" s="6">
        <v>882</v>
      </c>
      <c r="K61" s="6">
        <v>882</v>
      </c>
      <c r="L61" s="6">
        <v>0</v>
      </c>
      <c r="M61" s="6">
        <v>0</v>
      </c>
      <c r="N61" s="6">
        <v>0</v>
      </c>
      <c r="O61" s="6">
        <v>0</v>
      </c>
      <c r="P61" s="6">
        <v>8</v>
      </c>
      <c r="Q61" s="4" t="s">
        <v>26</v>
      </c>
      <c r="R61" s="4">
        <v>0</v>
      </c>
      <c r="S61" s="4" t="s">
        <v>154</v>
      </c>
      <c r="U61" s="4">
        <v>15</v>
      </c>
      <c r="V61" s="4">
        <v>0</v>
      </c>
      <c r="W61" s="4">
        <v>0</v>
      </c>
    </row>
    <row r="62" spans="1:23" ht="11.25" customHeight="1" x14ac:dyDescent="0.25">
      <c r="A62" s="4" t="s">
        <v>21</v>
      </c>
      <c r="B62" s="4" t="s">
        <v>38</v>
      </c>
      <c r="C62" s="4" t="s">
        <v>39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33</v>
      </c>
      <c r="I62" s="5">
        <v>44409</v>
      </c>
      <c r="J62" s="6">
        <v>0</v>
      </c>
      <c r="K62" s="6">
        <v>0</v>
      </c>
      <c r="L62" s="6">
        <v>13.484999999999999</v>
      </c>
      <c r="M62" s="6">
        <v>13.484999999999999</v>
      </c>
      <c r="N62" s="6">
        <v>13.484999999999999</v>
      </c>
      <c r="O62" s="6">
        <v>13.484999999999999</v>
      </c>
      <c r="P62" s="6">
        <v>0</v>
      </c>
      <c r="Q62" s="4" t="s">
        <v>26</v>
      </c>
      <c r="R62" s="4">
        <v>0</v>
      </c>
      <c r="S62" s="4" t="s">
        <v>155</v>
      </c>
      <c r="T62" s="4" t="s">
        <v>352</v>
      </c>
      <c r="U62" s="4">
        <v>0</v>
      </c>
      <c r="V62" s="4">
        <v>18</v>
      </c>
      <c r="W62" s="4">
        <v>69</v>
      </c>
    </row>
    <row r="63" spans="1:23" ht="11.25" customHeight="1" x14ac:dyDescent="0.25">
      <c r="A63" s="4" t="s">
        <v>21</v>
      </c>
      <c r="B63" s="4" t="s">
        <v>38</v>
      </c>
      <c r="C63" s="4" t="s">
        <v>39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33</v>
      </c>
      <c r="I63" s="5">
        <v>44440</v>
      </c>
      <c r="J63" s="6">
        <v>0</v>
      </c>
      <c r="K63" s="6">
        <v>0</v>
      </c>
      <c r="L63" s="6">
        <v>13.756</v>
      </c>
      <c r="M63" s="6">
        <v>13.756</v>
      </c>
      <c r="N63" s="6">
        <v>13.756</v>
      </c>
      <c r="O63" s="6">
        <v>13.756</v>
      </c>
      <c r="P63" s="6">
        <v>0</v>
      </c>
      <c r="Q63" s="4" t="s">
        <v>26</v>
      </c>
      <c r="R63" s="4">
        <v>0</v>
      </c>
      <c r="S63" s="4" t="s">
        <v>156</v>
      </c>
      <c r="T63" s="4" t="s">
        <v>353</v>
      </c>
      <c r="U63" s="4">
        <v>0</v>
      </c>
      <c r="V63" s="4">
        <v>18</v>
      </c>
      <c r="W63" s="4">
        <v>69</v>
      </c>
    </row>
    <row r="64" spans="1:23" ht="11.25" customHeight="1" x14ac:dyDescent="0.25">
      <c r="A64" s="4" t="s">
        <v>21</v>
      </c>
      <c r="B64" s="4" t="s">
        <v>38</v>
      </c>
      <c r="C64" s="4" t="s">
        <v>39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33</v>
      </c>
      <c r="I64" s="5">
        <v>44470</v>
      </c>
      <c r="J64" s="6">
        <v>0</v>
      </c>
      <c r="K64" s="6">
        <v>0</v>
      </c>
      <c r="L64" s="6">
        <v>20.298999999999999</v>
      </c>
      <c r="M64" s="6">
        <v>20.298999999999999</v>
      </c>
      <c r="N64" s="6">
        <v>20.298999999999999</v>
      </c>
      <c r="O64" s="6">
        <v>20.298999999999999</v>
      </c>
      <c r="P64" s="6">
        <v>0</v>
      </c>
      <c r="Q64" s="4" t="s">
        <v>26</v>
      </c>
      <c r="R64" s="4">
        <v>0</v>
      </c>
      <c r="S64" s="4" t="s">
        <v>157</v>
      </c>
      <c r="T64" s="4" t="s">
        <v>354</v>
      </c>
      <c r="U64" s="4">
        <v>0</v>
      </c>
      <c r="V64" s="4">
        <v>18</v>
      </c>
      <c r="W64" s="4">
        <v>69</v>
      </c>
    </row>
    <row r="65" spans="1:23" ht="11.25" customHeight="1" x14ac:dyDescent="0.25">
      <c r="A65" s="4" t="s">
        <v>21</v>
      </c>
      <c r="B65" s="4" t="s">
        <v>38</v>
      </c>
      <c r="C65" s="4" t="s">
        <v>39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33</v>
      </c>
      <c r="I65" s="5">
        <v>44501</v>
      </c>
      <c r="J65" s="6">
        <v>0</v>
      </c>
      <c r="K65" s="6">
        <v>0</v>
      </c>
      <c r="L65" s="6">
        <v>13.86</v>
      </c>
      <c r="M65" s="6">
        <v>13.86</v>
      </c>
      <c r="N65" s="6">
        <v>13.86</v>
      </c>
      <c r="O65" s="6">
        <v>13.86</v>
      </c>
      <c r="P65" s="6">
        <v>0</v>
      </c>
      <c r="Q65" s="4" t="s">
        <v>26</v>
      </c>
      <c r="R65" s="4">
        <v>0</v>
      </c>
      <c r="S65" s="4" t="s">
        <v>158</v>
      </c>
      <c r="T65" s="4" t="s">
        <v>355</v>
      </c>
      <c r="U65" s="4">
        <v>0</v>
      </c>
      <c r="V65" s="4">
        <v>18</v>
      </c>
      <c r="W65" s="4">
        <v>69</v>
      </c>
    </row>
    <row r="66" spans="1:23" ht="11.25" customHeight="1" x14ac:dyDescent="0.25">
      <c r="A66" s="4" t="s">
        <v>21</v>
      </c>
      <c r="B66" s="4" t="s">
        <v>38</v>
      </c>
      <c r="C66" s="4" t="s">
        <v>39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33</v>
      </c>
      <c r="I66" s="5">
        <v>44531</v>
      </c>
      <c r="J66" s="6">
        <v>0</v>
      </c>
      <c r="K66" s="6">
        <v>0</v>
      </c>
      <c r="L66" s="6">
        <v>18.306999999999999</v>
      </c>
      <c r="M66" s="6">
        <v>18.306999999999999</v>
      </c>
      <c r="N66" s="6">
        <v>18.306999999999999</v>
      </c>
      <c r="O66" s="6">
        <v>18.306999999999999</v>
      </c>
      <c r="P66" s="6">
        <v>0</v>
      </c>
      <c r="Q66" s="4" t="s">
        <v>26</v>
      </c>
      <c r="R66" s="4">
        <v>0</v>
      </c>
      <c r="S66" s="4" t="s">
        <v>159</v>
      </c>
      <c r="T66" s="4" t="s">
        <v>356</v>
      </c>
      <c r="U66" s="4">
        <v>0</v>
      </c>
      <c r="V66" s="4">
        <v>18</v>
      </c>
      <c r="W66" s="4">
        <v>69</v>
      </c>
    </row>
    <row r="67" spans="1:23" ht="11.25" customHeight="1" x14ac:dyDescent="0.25">
      <c r="A67" s="4" t="s">
        <v>21</v>
      </c>
      <c r="B67" s="4" t="s">
        <v>38</v>
      </c>
      <c r="C67" s="4" t="s">
        <v>39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33</v>
      </c>
      <c r="I67" s="5">
        <v>44562</v>
      </c>
      <c r="J67" s="6">
        <v>0</v>
      </c>
      <c r="K67" s="6">
        <v>0</v>
      </c>
      <c r="L67" s="6">
        <v>16.87</v>
      </c>
      <c r="M67" s="6">
        <v>16.87</v>
      </c>
      <c r="N67" s="6">
        <v>16.87</v>
      </c>
      <c r="O67" s="6">
        <v>16.87</v>
      </c>
      <c r="P67" s="6">
        <v>0</v>
      </c>
      <c r="Q67" s="4" t="s">
        <v>26</v>
      </c>
      <c r="R67" s="4">
        <v>0</v>
      </c>
      <c r="S67" s="4" t="s">
        <v>160</v>
      </c>
      <c r="T67" s="4" t="s">
        <v>357</v>
      </c>
      <c r="U67" s="4">
        <v>0</v>
      </c>
      <c r="V67" s="4">
        <v>18</v>
      </c>
      <c r="W67" s="4">
        <v>69</v>
      </c>
    </row>
    <row r="68" spans="1:23" ht="11.25" customHeight="1" x14ac:dyDescent="0.25">
      <c r="A68" s="4" t="s">
        <v>21</v>
      </c>
      <c r="B68" s="4" t="s">
        <v>38</v>
      </c>
      <c r="C68" s="4" t="s">
        <v>39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33</v>
      </c>
      <c r="I68" s="5">
        <v>44593</v>
      </c>
      <c r="J68" s="6">
        <v>0</v>
      </c>
      <c r="K68" s="6">
        <v>0</v>
      </c>
      <c r="L68" s="6">
        <v>16.728000000000002</v>
      </c>
      <c r="M68" s="6">
        <v>16.728000000000002</v>
      </c>
      <c r="N68" s="6">
        <v>16.728000000000002</v>
      </c>
      <c r="O68" s="6">
        <v>16.728000000000002</v>
      </c>
      <c r="P68" s="6">
        <v>0</v>
      </c>
      <c r="Q68" s="4" t="s">
        <v>26</v>
      </c>
      <c r="R68" s="4">
        <v>0</v>
      </c>
      <c r="S68" s="4" t="s">
        <v>161</v>
      </c>
      <c r="T68" s="4" t="s">
        <v>358</v>
      </c>
      <c r="U68" s="4">
        <v>0</v>
      </c>
      <c r="V68" s="4">
        <v>18</v>
      </c>
      <c r="W68" s="4">
        <v>69</v>
      </c>
    </row>
    <row r="69" spans="1:23" ht="11.25" customHeight="1" x14ac:dyDescent="0.25">
      <c r="A69" s="4" t="s">
        <v>21</v>
      </c>
      <c r="B69" s="4" t="s">
        <v>38</v>
      </c>
      <c r="C69" s="4" t="s">
        <v>39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33</v>
      </c>
      <c r="I69" s="5">
        <v>44621</v>
      </c>
      <c r="J69" s="6">
        <v>0</v>
      </c>
      <c r="K69" s="6">
        <v>0</v>
      </c>
      <c r="L69" s="6">
        <v>19.248999999999999</v>
      </c>
      <c r="M69" s="6">
        <v>19.248999999999999</v>
      </c>
      <c r="N69" s="6">
        <v>19.248999999999999</v>
      </c>
      <c r="O69" s="6">
        <v>19.248999999999999</v>
      </c>
      <c r="P69" s="6">
        <v>0</v>
      </c>
      <c r="Q69" s="4" t="s">
        <v>26</v>
      </c>
      <c r="R69" s="4">
        <v>0</v>
      </c>
      <c r="S69" s="4" t="s">
        <v>162</v>
      </c>
      <c r="T69" s="4" t="s">
        <v>359</v>
      </c>
      <c r="U69" s="4">
        <v>0</v>
      </c>
      <c r="V69" s="4">
        <v>18</v>
      </c>
      <c r="W69" s="4">
        <v>69</v>
      </c>
    </row>
    <row r="70" spans="1:23" ht="11.25" customHeight="1" x14ac:dyDescent="0.25">
      <c r="A70" s="4" t="s">
        <v>21</v>
      </c>
      <c r="B70" s="4" t="s">
        <v>38</v>
      </c>
      <c r="C70" s="4" t="s">
        <v>39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33</v>
      </c>
      <c r="I70" s="5">
        <v>44652</v>
      </c>
      <c r="J70" s="6">
        <v>0</v>
      </c>
      <c r="K70" s="6">
        <v>0</v>
      </c>
      <c r="L70" s="6">
        <v>12.563000000000001</v>
      </c>
      <c r="M70" s="6">
        <v>12.563000000000001</v>
      </c>
      <c r="N70" s="6">
        <v>12.563000000000001</v>
      </c>
      <c r="O70" s="6">
        <v>12.563000000000001</v>
      </c>
      <c r="P70" s="6">
        <v>0</v>
      </c>
      <c r="Q70" s="4" t="s">
        <v>26</v>
      </c>
      <c r="R70" s="4">
        <v>0</v>
      </c>
      <c r="S70" s="4" t="s">
        <v>163</v>
      </c>
      <c r="T70" s="4" t="s">
        <v>360</v>
      </c>
      <c r="U70" s="4">
        <v>0</v>
      </c>
      <c r="V70" s="4">
        <v>18</v>
      </c>
      <c r="W70" s="4">
        <v>69</v>
      </c>
    </row>
    <row r="71" spans="1:23" ht="11.25" customHeight="1" x14ac:dyDescent="0.25">
      <c r="A71" s="4" t="s">
        <v>21</v>
      </c>
      <c r="B71" s="4" t="s">
        <v>38</v>
      </c>
      <c r="C71" s="4" t="s">
        <v>39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33</v>
      </c>
      <c r="I71" s="5">
        <v>44682</v>
      </c>
      <c r="J71" s="6">
        <v>0</v>
      </c>
      <c r="K71" s="6">
        <v>0</v>
      </c>
      <c r="L71" s="6">
        <v>13.327999999999999</v>
      </c>
      <c r="M71" s="6">
        <v>13.327999999999999</v>
      </c>
      <c r="N71" s="6">
        <v>13.327999999999999</v>
      </c>
      <c r="O71" s="6">
        <v>13.327999999999999</v>
      </c>
      <c r="P71" s="6">
        <v>0</v>
      </c>
      <c r="Q71" s="4" t="s">
        <v>26</v>
      </c>
      <c r="R71" s="4">
        <v>0</v>
      </c>
      <c r="S71" s="4" t="s">
        <v>164</v>
      </c>
      <c r="T71" s="4" t="s">
        <v>361</v>
      </c>
      <c r="U71" s="4">
        <v>0</v>
      </c>
      <c r="V71" s="4">
        <v>18</v>
      </c>
      <c r="W71" s="4">
        <v>69</v>
      </c>
    </row>
    <row r="72" spans="1:23" ht="11.25" customHeight="1" x14ac:dyDescent="0.25">
      <c r="A72" s="4" t="s">
        <v>21</v>
      </c>
      <c r="B72" s="4" t="s">
        <v>38</v>
      </c>
      <c r="C72" s="4" t="s">
        <v>39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33</v>
      </c>
      <c r="I72" s="5">
        <v>44713</v>
      </c>
      <c r="J72" s="6">
        <v>0</v>
      </c>
      <c r="K72" s="6">
        <v>0</v>
      </c>
      <c r="L72" s="6">
        <v>12.855</v>
      </c>
      <c r="M72" s="6">
        <v>12.855</v>
      </c>
      <c r="N72" s="6">
        <v>12.855</v>
      </c>
      <c r="O72" s="6">
        <v>12.855</v>
      </c>
      <c r="P72" s="6">
        <v>0</v>
      </c>
      <c r="Q72" s="4" t="s">
        <v>26</v>
      </c>
      <c r="R72" s="4">
        <v>0</v>
      </c>
      <c r="S72" s="4" t="s">
        <v>165</v>
      </c>
      <c r="T72" s="4" t="s">
        <v>362</v>
      </c>
      <c r="U72" s="4">
        <v>0</v>
      </c>
      <c r="V72" s="4">
        <v>18</v>
      </c>
      <c r="W72" s="4">
        <v>69</v>
      </c>
    </row>
    <row r="73" spans="1:23" ht="11.25" customHeight="1" x14ac:dyDescent="0.25">
      <c r="A73" s="4" t="s">
        <v>55</v>
      </c>
      <c r="B73" s="4" t="s">
        <v>38</v>
      </c>
      <c r="C73" s="4" t="s">
        <v>39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33</v>
      </c>
      <c r="I73" s="5">
        <v>44743</v>
      </c>
      <c r="J73" s="6">
        <v>0</v>
      </c>
      <c r="K73" s="6">
        <v>0</v>
      </c>
      <c r="L73" s="6">
        <v>12.855</v>
      </c>
      <c r="M73" s="6">
        <v>12.855</v>
      </c>
      <c r="N73" s="6">
        <v>12.855</v>
      </c>
      <c r="O73" s="6">
        <v>12.855</v>
      </c>
      <c r="P73" s="6">
        <v>0</v>
      </c>
      <c r="Q73" s="4" t="s">
        <v>26</v>
      </c>
      <c r="R73" s="4">
        <v>0</v>
      </c>
      <c r="S73" s="4" t="s">
        <v>166</v>
      </c>
      <c r="T73" s="4" t="s">
        <v>363</v>
      </c>
      <c r="U73" s="4">
        <v>0</v>
      </c>
      <c r="V73" s="4">
        <v>18</v>
      </c>
      <c r="W73" s="4">
        <v>69</v>
      </c>
    </row>
    <row r="74" spans="1:23" ht="11.25" customHeight="1" x14ac:dyDescent="0.25">
      <c r="A74" s="4" t="s">
        <v>21</v>
      </c>
      <c r="B74" s="4" t="s">
        <v>38</v>
      </c>
      <c r="C74" s="4" t="s">
        <v>39</v>
      </c>
      <c r="D74" s="4" t="s">
        <v>37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44409</v>
      </c>
      <c r="J74" s="6">
        <v>0</v>
      </c>
      <c r="K74" s="6">
        <v>0</v>
      </c>
      <c r="L74" s="6">
        <v>303.74400000000003</v>
      </c>
      <c r="M74" s="6">
        <v>303.74400000000003</v>
      </c>
      <c r="N74" s="6">
        <v>303.74400000000003</v>
      </c>
      <c r="O74" s="6">
        <v>303.74400000000003</v>
      </c>
      <c r="P74" s="6">
        <v>0</v>
      </c>
      <c r="Q74" s="4" t="s">
        <v>26</v>
      </c>
      <c r="R74" s="4">
        <v>0</v>
      </c>
      <c r="S74" s="4" t="s">
        <v>131</v>
      </c>
      <c r="T74" s="4" t="s">
        <v>336</v>
      </c>
      <c r="U74" s="4">
        <v>0</v>
      </c>
      <c r="V74" s="4">
        <v>21</v>
      </c>
      <c r="W74" s="4">
        <v>70</v>
      </c>
    </row>
    <row r="75" spans="1:23" ht="11.25" customHeight="1" x14ac:dyDescent="0.25">
      <c r="A75" s="4" t="s">
        <v>21</v>
      </c>
      <c r="B75" s="4" t="s">
        <v>38</v>
      </c>
      <c r="C75" s="4" t="s">
        <v>39</v>
      </c>
      <c r="D75" s="4" t="s">
        <v>37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44440</v>
      </c>
      <c r="J75" s="6">
        <v>0</v>
      </c>
      <c r="K75" s="6">
        <v>0</v>
      </c>
      <c r="L75" s="6">
        <v>289.48399999999998</v>
      </c>
      <c r="M75" s="6">
        <v>289.48399999999998</v>
      </c>
      <c r="N75" s="6">
        <v>289.48399999999998</v>
      </c>
      <c r="O75" s="6">
        <v>289.48399999999998</v>
      </c>
      <c r="P75" s="6">
        <v>0</v>
      </c>
      <c r="Q75" s="4" t="s">
        <v>26</v>
      </c>
      <c r="R75" s="4">
        <v>0</v>
      </c>
      <c r="S75" s="4" t="s">
        <v>132</v>
      </c>
      <c r="T75" s="4" t="s">
        <v>337</v>
      </c>
      <c r="U75" s="4">
        <v>0</v>
      </c>
      <c r="V75" s="4">
        <v>21</v>
      </c>
      <c r="W75" s="4">
        <v>70</v>
      </c>
    </row>
    <row r="76" spans="1:23" ht="11.25" customHeight="1" x14ac:dyDescent="0.25">
      <c r="A76" s="4" t="s">
        <v>21</v>
      </c>
      <c r="B76" s="4" t="s">
        <v>38</v>
      </c>
      <c r="C76" s="4" t="s">
        <v>39</v>
      </c>
      <c r="D76" s="4" t="s">
        <v>37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44470</v>
      </c>
      <c r="J76" s="6">
        <v>0</v>
      </c>
      <c r="K76" s="6">
        <v>0</v>
      </c>
      <c r="L76" s="6">
        <v>272.87900000000002</v>
      </c>
      <c r="M76" s="6">
        <v>272.87900000000002</v>
      </c>
      <c r="N76" s="6">
        <v>272.87900000000002</v>
      </c>
      <c r="O76" s="6">
        <v>272.87900000000002</v>
      </c>
      <c r="P76" s="6">
        <v>0</v>
      </c>
      <c r="Q76" s="4" t="s">
        <v>26</v>
      </c>
      <c r="R76" s="4">
        <v>0</v>
      </c>
      <c r="S76" s="4" t="s">
        <v>133</v>
      </c>
      <c r="T76" s="4" t="s">
        <v>338</v>
      </c>
      <c r="U76" s="4">
        <v>0</v>
      </c>
      <c r="V76" s="4">
        <v>21</v>
      </c>
      <c r="W76" s="4">
        <v>70</v>
      </c>
    </row>
    <row r="77" spans="1:23" ht="11.25" customHeight="1" x14ac:dyDescent="0.25">
      <c r="A77" s="4" t="s">
        <v>21</v>
      </c>
      <c r="B77" s="4" t="s">
        <v>38</v>
      </c>
      <c r="C77" s="4" t="s">
        <v>39</v>
      </c>
      <c r="D77" s="4" t="s">
        <v>37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44501</v>
      </c>
      <c r="J77" s="6">
        <v>0</v>
      </c>
      <c r="K77" s="6">
        <v>0</v>
      </c>
      <c r="L77" s="6">
        <v>281.43900000000002</v>
      </c>
      <c r="M77" s="6">
        <v>281.43900000000002</v>
      </c>
      <c r="N77" s="6">
        <v>281.43900000000002</v>
      </c>
      <c r="O77" s="6">
        <v>281.43900000000002</v>
      </c>
      <c r="P77" s="6">
        <v>0</v>
      </c>
      <c r="Q77" s="4" t="s">
        <v>26</v>
      </c>
      <c r="R77" s="4">
        <v>0</v>
      </c>
      <c r="S77" s="4" t="s">
        <v>134</v>
      </c>
      <c r="T77" s="4" t="s">
        <v>339</v>
      </c>
      <c r="U77" s="4">
        <v>0</v>
      </c>
      <c r="V77" s="4">
        <v>21</v>
      </c>
      <c r="W77" s="4">
        <v>70</v>
      </c>
    </row>
    <row r="78" spans="1:23" ht="11.25" customHeight="1" x14ac:dyDescent="0.25">
      <c r="A78" s="4" t="s">
        <v>21</v>
      </c>
      <c r="B78" s="4" t="s">
        <v>38</v>
      </c>
      <c r="C78" s="4" t="s">
        <v>39</v>
      </c>
      <c r="D78" s="4" t="s">
        <v>37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44531</v>
      </c>
      <c r="J78" s="6">
        <v>0</v>
      </c>
      <c r="K78" s="6">
        <v>0</v>
      </c>
      <c r="L78" s="6">
        <v>267.35599999999999</v>
      </c>
      <c r="M78" s="6">
        <v>267.35599999999999</v>
      </c>
      <c r="N78" s="6">
        <v>267.35599999999999</v>
      </c>
      <c r="O78" s="6">
        <v>267.35599999999999</v>
      </c>
      <c r="P78" s="6">
        <v>0</v>
      </c>
      <c r="Q78" s="4" t="s">
        <v>26</v>
      </c>
      <c r="R78" s="4">
        <v>0</v>
      </c>
      <c r="S78" s="4" t="s">
        <v>135</v>
      </c>
      <c r="T78" s="4" t="s">
        <v>340</v>
      </c>
      <c r="U78" s="4">
        <v>0</v>
      </c>
      <c r="V78" s="4">
        <v>21</v>
      </c>
      <c r="W78" s="4">
        <v>70</v>
      </c>
    </row>
    <row r="79" spans="1:23" ht="11.25" customHeight="1" x14ac:dyDescent="0.25">
      <c r="A79" s="4" t="s">
        <v>21</v>
      </c>
      <c r="B79" s="4" t="s">
        <v>38</v>
      </c>
      <c r="C79" s="4" t="s">
        <v>39</v>
      </c>
      <c r="D79" s="4" t="s">
        <v>37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0</v>
      </c>
      <c r="K79" s="6">
        <v>0</v>
      </c>
      <c r="L79" s="6">
        <v>243.958</v>
      </c>
      <c r="M79" s="6">
        <v>243.958</v>
      </c>
      <c r="N79" s="6">
        <v>243.958</v>
      </c>
      <c r="O79" s="6">
        <v>243.958</v>
      </c>
      <c r="P79" s="6">
        <v>0</v>
      </c>
      <c r="Q79" s="4" t="s">
        <v>26</v>
      </c>
      <c r="R79" s="4">
        <v>0</v>
      </c>
      <c r="S79" s="4" t="s">
        <v>136</v>
      </c>
      <c r="T79" s="4" t="s">
        <v>341</v>
      </c>
      <c r="U79" s="4">
        <v>0</v>
      </c>
      <c r="V79" s="4">
        <v>21</v>
      </c>
      <c r="W79" s="4">
        <v>70</v>
      </c>
    </row>
    <row r="80" spans="1:23" ht="11.25" customHeight="1" x14ac:dyDescent="0.25">
      <c r="A80" s="4" t="s">
        <v>21</v>
      </c>
      <c r="B80" s="4" t="s">
        <v>38</v>
      </c>
      <c r="C80" s="4" t="s">
        <v>39</v>
      </c>
      <c r="D80" s="4" t="s">
        <v>37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0</v>
      </c>
      <c r="K80" s="6">
        <v>0</v>
      </c>
      <c r="L80" s="6">
        <v>279.60899999999998</v>
      </c>
      <c r="M80" s="6">
        <v>279.60899999999998</v>
      </c>
      <c r="N80" s="6">
        <v>279.60899999999998</v>
      </c>
      <c r="O80" s="6">
        <v>279.60899999999998</v>
      </c>
      <c r="P80" s="6">
        <v>0</v>
      </c>
      <c r="Q80" s="4" t="s">
        <v>26</v>
      </c>
      <c r="R80" s="4">
        <v>0</v>
      </c>
      <c r="S80" s="4" t="s">
        <v>137</v>
      </c>
      <c r="T80" s="4" t="s">
        <v>342</v>
      </c>
      <c r="U80" s="4">
        <v>0</v>
      </c>
      <c r="V80" s="4">
        <v>21</v>
      </c>
      <c r="W80" s="4">
        <v>70</v>
      </c>
    </row>
    <row r="81" spans="1:23" ht="11.25" customHeight="1" x14ac:dyDescent="0.25">
      <c r="A81" s="4" t="s">
        <v>21</v>
      </c>
      <c r="B81" s="4" t="s">
        <v>38</v>
      </c>
      <c r="C81" s="4" t="s">
        <v>39</v>
      </c>
      <c r="D81" s="4" t="s">
        <v>37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44621</v>
      </c>
      <c r="J81" s="6">
        <v>0</v>
      </c>
      <c r="K81" s="6">
        <v>0</v>
      </c>
      <c r="L81" s="6">
        <v>312.495</v>
      </c>
      <c r="M81" s="6">
        <v>312.495</v>
      </c>
      <c r="N81" s="6">
        <v>312.495</v>
      </c>
      <c r="O81" s="6">
        <v>312.495</v>
      </c>
      <c r="P81" s="6">
        <v>0</v>
      </c>
      <c r="Q81" s="4" t="s">
        <v>26</v>
      </c>
      <c r="R81" s="4">
        <v>0</v>
      </c>
      <c r="S81" s="4" t="s">
        <v>138</v>
      </c>
      <c r="T81" s="4" t="s">
        <v>343</v>
      </c>
      <c r="U81" s="4">
        <v>0</v>
      </c>
      <c r="V81" s="4">
        <v>21</v>
      </c>
      <c r="W81" s="4">
        <v>70</v>
      </c>
    </row>
    <row r="82" spans="1:23" ht="11.25" customHeight="1" x14ac:dyDescent="0.25">
      <c r="A82" s="4" t="s">
        <v>21</v>
      </c>
      <c r="B82" s="4" t="s">
        <v>38</v>
      </c>
      <c r="C82" s="4" t="s">
        <v>39</v>
      </c>
      <c r="D82" s="4" t="s">
        <v>37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44652</v>
      </c>
      <c r="J82" s="6">
        <v>0</v>
      </c>
      <c r="K82" s="6">
        <v>0</v>
      </c>
      <c r="L82" s="6">
        <v>284.56400000000002</v>
      </c>
      <c r="M82" s="6">
        <v>284.56400000000002</v>
      </c>
      <c r="N82" s="6">
        <v>284.56400000000002</v>
      </c>
      <c r="O82" s="6">
        <v>284.56400000000002</v>
      </c>
      <c r="P82" s="6">
        <v>0</v>
      </c>
      <c r="Q82" s="4" t="s">
        <v>26</v>
      </c>
      <c r="R82" s="4">
        <v>0</v>
      </c>
      <c r="S82" s="4" t="s">
        <v>139</v>
      </c>
      <c r="T82" s="4" t="s">
        <v>344</v>
      </c>
      <c r="U82" s="4">
        <v>0</v>
      </c>
      <c r="V82" s="4">
        <v>21</v>
      </c>
      <c r="W82" s="4">
        <v>70</v>
      </c>
    </row>
    <row r="83" spans="1:23" ht="11.25" customHeight="1" x14ac:dyDescent="0.25">
      <c r="A83" s="4" t="s">
        <v>21</v>
      </c>
      <c r="B83" s="4" t="s">
        <v>38</v>
      </c>
      <c r="C83" s="4" t="s">
        <v>39</v>
      </c>
      <c r="D83" s="4" t="s">
        <v>37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44682</v>
      </c>
      <c r="J83" s="6">
        <v>0</v>
      </c>
      <c r="K83" s="6">
        <v>0</v>
      </c>
      <c r="L83" s="6">
        <v>324.16500000000002</v>
      </c>
      <c r="M83" s="6">
        <v>324.16500000000002</v>
      </c>
      <c r="N83" s="6">
        <v>324.16500000000002</v>
      </c>
      <c r="O83" s="6">
        <v>324.16500000000002</v>
      </c>
      <c r="P83" s="6">
        <v>0</v>
      </c>
      <c r="Q83" s="4" t="s">
        <v>26</v>
      </c>
      <c r="R83" s="4">
        <v>0</v>
      </c>
      <c r="S83" s="4" t="s">
        <v>140</v>
      </c>
      <c r="T83" s="4" t="s">
        <v>345</v>
      </c>
      <c r="U83" s="4">
        <v>0</v>
      </c>
      <c r="V83" s="4">
        <v>21</v>
      </c>
      <c r="W83" s="4">
        <v>70</v>
      </c>
    </row>
    <row r="84" spans="1:23" ht="11.25" customHeight="1" x14ac:dyDescent="0.25">
      <c r="A84" s="4" t="s">
        <v>21</v>
      </c>
      <c r="B84" s="4" t="s">
        <v>38</v>
      </c>
      <c r="C84" s="4" t="s">
        <v>39</v>
      </c>
      <c r="D84" s="4" t="s">
        <v>37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44713</v>
      </c>
      <c r="J84" s="6">
        <v>0</v>
      </c>
      <c r="K84" s="6">
        <v>0</v>
      </c>
      <c r="L84" s="6">
        <v>287.36500000000001</v>
      </c>
      <c r="M84" s="6">
        <v>287.36500000000001</v>
      </c>
      <c r="N84" s="6">
        <v>287.36500000000001</v>
      </c>
      <c r="O84" s="6">
        <v>287.36500000000001</v>
      </c>
      <c r="P84" s="6">
        <v>0</v>
      </c>
      <c r="Q84" s="4" t="s">
        <v>26</v>
      </c>
      <c r="R84" s="4">
        <v>0</v>
      </c>
      <c r="S84" s="4" t="s">
        <v>141</v>
      </c>
      <c r="T84" s="4" t="s">
        <v>346</v>
      </c>
      <c r="U84" s="4">
        <v>0</v>
      </c>
      <c r="V84" s="4">
        <v>21</v>
      </c>
      <c r="W84" s="4">
        <v>70</v>
      </c>
    </row>
    <row r="85" spans="1:23" ht="11.25" customHeight="1" x14ac:dyDescent="0.25">
      <c r="A85" s="4" t="s">
        <v>55</v>
      </c>
      <c r="B85" s="4" t="s">
        <v>38</v>
      </c>
      <c r="C85" s="4" t="s">
        <v>39</v>
      </c>
      <c r="D85" s="4" t="s">
        <v>37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44743</v>
      </c>
      <c r="J85" s="6">
        <v>0</v>
      </c>
      <c r="K85" s="6">
        <v>0</v>
      </c>
      <c r="L85" s="6">
        <v>287.36500000000001</v>
      </c>
      <c r="M85" s="6">
        <v>287.36500000000001</v>
      </c>
      <c r="N85" s="6">
        <v>287.36500000000001</v>
      </c>
      <c r="O85" s="6">
        <v>287.36500000000001</v>
      </c>
      <c r="P85" s="6">
        <v>0</v>
      </c>
      <c r="Q85" s="4" t="s">
        <v>26</v>
      </c>
      <c r="R85" s="4">
        <v>0</v>
      </c>
      <c r="S85" s="4" t="s">
        <v>142</v>
      </c>
      <c r="T85" s="4" t="s">
        <v>347</v>
      </c>
      <c r="U85" s="4">
        <v>0</v>
      </c>
      <c r="V85" s="4">
        <v>21</v>
      </c>
      <c r="W85" s="4">
        <v>70</v>
      </c>
    </row>
    <row r="86" spans="1:23" ht="11.25" customHeight="1" x14ac:dyDescent="0.25">
      <c r="A86" s="4" t="s">
        <v>21</v>
      </c>
      <c r="B86" s="4" t="s">
        <v>38</v>
      </c>
      <c r="C86" s="4" t="s">
        <v>39</v>
      </c>
      <c r="D86" s="4" t="s">
        <v>37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44409</v>
      </c>
      <c r="J86" s="6">
        <v>1735</v>
      </c>
      <c r="K86" s="6">
        <v>1735</v>
      </c>
      <c r="L86" s="6">
        <v>0</v>
      </c>
      <c r="M86" s="6">
        <v>0</v>
      </c>
      <c r="N86" s="6">
        <v>0</v>
      </c>
      <c r="O86" s="6">
        <v>0</v>
      </c>
      <c r="P86" s="6">
        <v>10</v>
      </c>
      <c r="Q86" s="4" t="s">
        <v>26</v>
      </c>
      <c r="R86" s="4">
        <v>0</v>
      </c>
      <c r="S86" s="4" t="s">
        <v>143</v>
      </c>
      <c r="U86" s="4">
        <v>15</v>
      </c>
      <c r="V86" s="4">
        <v>0</v>
      </c>
      <c r="W86" s="4">
        <v>0</v>
      </c>
    </row>
    <row r="87" spans="1:23" ht="11.25" customHeight="1" x14ac:dyDescent="0.25">
      <c r="A87" s="4" t="s">
        <v>21</v>
      </c>
      <c r="B87" s="4" t="s">
        <v>38</v>
      </c>
      <c r="C87" s="4" t="s">
        <v>39</v>
      </c>
      <c r="D87" s="4" t="s">
        <v>37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44440</v>
      </c>
      <c r="J87" s="6">
        <v>1718</v>
      </c>
      <c r="K87" s="6">
        <v>1718</v>
      </c>
      <c r="L87" s="6">
        <v>0</v>
      </c>
      <c r="M87" s="6">
        <v>0</v>
      </c>
      <c r="N87" s="6">
        <v>0</v>
      </c>
      <c r="O87" s="6">
        <v>0</v>
      </c>
      <c r="P87" s="6">
        <v>10</v>
      </c>
      <c r="Q87" s="4" t="s">
        <v>26</v>
      </c>
      <c r="R87" s="4">
        <v>0</v>
      </c>
      <c r="S87" s="4" t="s">
        <v>144</v>
      </c>
      <c r="U87" s="4">
        <v>15</v>
      </c>
      <c r="V87" s="4">
        <v>0</v>
      </c>
      <c r="W87" s="4">
        <v>0</v>
      </c>
    </row>
    <row r="88" spans="1:23" ht="11.25" customHeight="1" x14ac:dyDescent="0.25">
      <c r="A88" s="4" t="s">
        <v>21</v>
      </c>
      <c r="B88" s="4" t="s">
        <v>38</v>
      </c>
      <c r="C88" s="4" t="s">
        <v>39</v>
      </c>
      <c r="D88" s="4" t="s">
        <v>37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44470</v>
      </c>
      <c r="J88" s="6">
        <v>1701</v>
      </c>
      <c r="K88" s="6">
        <v>1701</v>
      </c>
      <c r="L88" s="6">
        <v>0</v>
      </c>
      <c r="M88" s="6">
        <v>0</v>
      </c>
      <c r="N88" s="6">
        <v>0</v>
      </c>
      <c r="O88" s="6">
        <v>0</v>
      </c>
      <c r="P88" s="6">
        <v>10</v>
      </c>
      <c r="Q88" s="4" t="s">
        <v>26</v>
      </c>
      <c r="R88" s="4">
        <v>0</v>
      </c>
      <c r="S88" s="4" t="s">
        <v>145</v>
      </c>
      <c r="U88" s="4">
        <v>15</v>
      </c>
      <c r="V88" s="4">
        <v>0</v>
      </c>
      <c r="W88" s="4">
        <v>0</v>
      </c>
    </row>
    <row r="89" spans="1:23" ht="11.25" customHeight="1" x14ac:dyDescent="0.25">
      <c r="A89" s="4" t="s">
        <v>21</v>
      </c>
      <c r="B89" s="4" t="s">
        <v>38</v>
      </c>
      <c r="C89" s="4" t="s">
        <v>39</v>
      </c>
      <c r="D89" s="4" t="s">
        <v>37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44501</v>
      </c>
      <c r="J89" s="6">
        <v>1707</v>
      </c>
      <c r="K89" s="6">
        <v>1707</v>
      </c>
      <c r="L89" s="6">
        <v>0</v>
      </c>
      <c r="M89" s="6">
        <v>0</v>
      </c>
      <c r="N89" s="6">
        <v>0</v>
      </c>
      <c r="O89" s="6">
        <v>0</v>
      </c>
      <c r="P89" s="6">
        <v>10</v>
      </c>
      <c r="Q89" s="4" t="s">
        <v>26</v>
      </c>
      <c r="R89" s="4">
        <v>0</v>
      </c>
      <c r="S89" s="4" t="s">
        <v>146</v>
      </c>
      <c r="U89" s="4">
        <v>15</v>
      </c>
      <c r="V89" s="4">
        <v>0</v>
      </c>
      <c r="W89" s="4">
        <v>0</v>
      </c>
    </row>
    <row r="90" spans="1:23" ht="11.25" customHeight="1" x14ac:dyDescent="0.25">
      <c r="A90" s="4" t="s">
        <v>21</v>
      </c>
      <c r="B90" s="4" t="s">
        <v>38</v>
      </c>
      <c r="C90" s="4" t="s">
        <v>39</v>
      </c>
      <c r="D90" s="4" t="s">
        <v>37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44531</v>
      </c>
      <c r="J90" s="6">
        <v>1732</v>
      </c>
      <c r="K90" s="6">
        <v>1732</v>
      </c>
      <c r="L90" s="6">
        <v>0</v>
      </c>
      <c r="M90" s="6">
        <v>0</v>
      </c>
      <c r="N90" s="6">
        <v>0</v>
      </c>
      <c r="O90" s="6">
        <v>0</v>
      </c>
      <c r="P90" s="6">
        <v>10</v>
      </c>
      <c r="Q90" s="4" t="s">
        <v>26</v>
      </c>
      <c r="R90" s="4">
        <v>0</v>
      </c>
      <c r="S90" s="4" t="s">
        <v>147</v>
      </c>
      <c r="U90" s="4">
        <v>15</v>
      </c>
      <c r="V90" s="4">
        <v>0</v>
      </c>
      <c r="W90" s="4">
        <v>0</v>
      </c>
    </row>
    <row r="91" spans="1:23" ht="11.25" customHeight="1" x14ac:dyDescent="0.25">
      <c r="A91" s="4" t="s">
        <v>21</v>
      </c>
      <c r="B91" s="4" t="s">
        <v>38</v>
      </c>
      <c r="C91" s="4" t="s">
        <v>39</v>
      </c>
      <c r="D91" s="4" t="s">
        <v>37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44562</v>
      </c>
      <c r="J91" s="6">
        <v>1740</v>
      </c>
      <c r="K91" s="6">
        <v>1740</v>
      </c>
      <c r="L91" s="6">
        <v>0</v>
      </c>
      <c r="M91" s="6">
        <v>0</v>
      </c>
      <c r="N91" s="6">
        <v>0</v>
      </c>
      <c r="O91" s="6">
        <v>0</v>
      </c>
      <c r="P91" s="6">
        <v>10</v>
      </c>
      <c r="Q91" s="4" t="s">
        <v>26</v>
      </c>
      <c r="R91" s="4">
        <v>0</v>
      </c>
      <c r="S91" s="4" t="s">
        <v>148</v>
      </c>
      <c r="U91" s="4">
        <v>15</v>
      </c>
      <c r="V91" s="4">
        <v>0</v>
      </c>
      <c r="W91" s="4">
        <v>0</v>
      </c>
    </row>
    <row r="92" spans="1:23" ht="11.25" customHeight="1" x14ac:dyDescent="0.25">
      <c r="A92" s="4" t="s">
        <v>21</v>
      </c>
      <c r="B92" s="4" t="s">
        <v>38</v>
      </c>
      <c r="C92" s="4" t="s">
        <v>39</v>
      </c>
      <c r="D92" s="4" t="s">
        <v>37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44593</v>
      </c>
      <c r="J92" s="6">
        <v>1747</v>
      </c>
      <c r="K92" s="6">
        <v>1747</v>
      </c>
      <c r="L92" s="6">
        <v>0</v>
      </c>
      <c r="M92" s="6">
        <v>0</v>
      </c>
      <c r="N92" s="6">
        <v>0</v>
      </c>
      <c r="O92" s="6">
        <v>0</v>
      </c>
      <c r="P92" s="6">
        <v>10</v>
      </c>
      <c r="Q92" s="4" t="s">
        <v>26</v>
      </c>
      <c r="R92" s="4">
        <v>0</v>
      </c>
      <c r="S92" s="4" t="s">
        <v>149</v>
      </c>
      <c r="U92" s="4">
        <v>15</v>
      </c>
      <c r="V92" s="4">
        <v>0</v>
      </c>
      <c r="W92" s="4">
        <v>0</v>
      </c>
    </row>
    <row r="93" spans="1:23" ht="11.25" customHeight="1" x14ac:dyDescent="0.25">
      <c r="A93" s="4" t="s">
        <v>21</v>
      </c>
      <c r="B93" s="4" t="s">
        <v>38</v>
      </c>
      <c r="C93" s="4" t="s">
        <v>39</v>
      </c>
      <c r="D93" s="4" t="s">
        <v>37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44621</v>
      </c>
      <c r="J93" s="6">
        <v>1748</v>
      </c>
      <c r="K93" s="6">
        <v>1748</v>
      </c>
      <c r="L93" s="6">
        <v>0</v>
      </c>
      <c r="M93" s="6">
        <v>0</v>
      </c>
      <c r="N93" s="6">
        <v>0</v>
      </c>
      <c r="O93" s="6">
        <v>0</v>
      </c>
      <c r="P93" s="6">
        <v>10</v>
      </c>
      <c r="Q93" s="4" t="s">
        <v>26</v>
      </c>
      <c r="R93" s="4">
        <v>0</v>
      </c>
      <c r="S93" s="4" t="s">
        <v>150</v>
      </c>
      <c r="U93" s="4">
        <v>15</v>
      </c>
      <c r="V93" s="4">
        <v>0</v>
      </c>
      <c r="W93" s="4">
        <v>0</v>
      </c>
    </row>
    <row r="94" spans="1:23" ht="11.25" customHeight="1" x14ac:dyDescent="0.25">
      <c r="A94" s="4" t="s">
        <v>21</v>
      </c>
      <c r="B94" s="4" t="s">
        <v>38</v>
      </c>
      <c r="C94" s="4" t="s">
        <v>39</v>
      </c>
      <c r="D94" s="4" t="s">
        <v>37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44652</v>
      </c>
      <c r="J94" s="6">
        <v>1724</v>
      </c>
      <c r="K94" s="6">
        <v>1724</v>
      </c>
      <c r="L94" s="6">
        <v>0</v>
      </c>
      <c r="M94" s="6">
        <v>0</v>
      </c>
      <c r="N94" s="6">
        <v>0</v>
      </c>
      <c r="O94" s="6">
        <v>0</v>
      </c>
      <c r="P94" s="6">
        <v>10</v>
      </c>
      <c r="Q94" s="4" t="s">
        <v>26</v>
      </c>
      <c r="R94" s="4">
        <v>0</v>
      </c>
      <c r="S94" s="4" t="s">
        <v>151</v>
      </c>
      <c r="U94" s="4">
        <v>15</v>
      </c>
      <c r="V94" s="4">
        <v>0</v>
      </c>
      <c r="W94" s="4">
        <v>0</v>
      </c>
    </row>
    <row r="95" spans="1:23" ht="11.25" customHeight="1" x14ac:dyDescent="0.25">
      <c r="A95" s="4" t="s">
        <v>21</v>
      </c>
      <c r="B95" s="4" t="s">
        <v>38</v>
      </c>
      <c r="C95" s="4" t="s">
        <v>39</v>
      </c>
      <c r="D95" s="4" t="s">
        <v>37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44682</v>
      </c>
      <c r="J95" s="6">
        <v>1734</v>
      </c>
      <c r="K95" s="6">
        <v>1734</v>
      </c>
      <c r="L95" s="6">
        <v>0</v>
      </c>
      <c r="M95" s="6">
        <v>0</v>
      </c>
      <c r="N95" s="6">
        <v>0</v>
      </c>
      <c r="O95" s="6">
        <v>0</v>
      </c>
      <c r="P95" s="6">
        <v>10</v>
      </c>
      <c r="Q95" s="4" t="s">
        <v>26</v>
      </c>
      <c r="R95" s="4">
        <v>0</v>
      </c>
      <c r="S95" s="4" t="s">
        <v>152</v>
      </c>
      <c r="U95" s="4">
        <v>15</v>
      </c>
      <c r="V95" s="4">
        <v>0</v>
      </c>
      <c r="W95" s="4">
        <v>0</v>
      </c>
    </row>
    <row r="96" spans="1:23" ht="11.25" customHeight="1" x14ac:dyDescent="0.25">
      <c r="A96" s="4" t="s">
        <v>21</v>
      </c>
      <c r="B96" s="4" t="s">
        <v>38</v>
      </c>
      <c r="C96" s="4" t="s">
        <v>39</v>
      </c>
      <c r="D96" s="4" t="s">
        <v>37</v>
      </c>
      <c r="E96" s="4" t="s">
        <v>25</v>
      </c>
      <c r="F96" s="4" t="s">
        <v>25</v>
      </c>
      <c r="G96" s="4" t="s">
        <v>25</v>
      </c>
      <c r="H96" s="4" t="s">
        <v>25</v>
      </c>
      <c r="I96" s="5">
        <v>44713</v>
      </c>
      <c r="J96" s="6">
        <v>1748</v>
      </c>
      <c r="K96" s="6">
        <v>1748</v>
      </c>
      <c r="L96" s="6">
        <v>0</v>
      </c>
      <c r="M96" s="6">
        <v>0</v>
      </c>
      <c r="N96" s="6">
        <v>0</v>
      </c>
      <c r="O96" s="6">
        <v>0</v>
      </c>
      <c r="P96" s="6">
        <v>10</v>
      </c>
      <c r="Q96" s="4" t="s">
        <v>26</v>
      </c>
      <c r="R96" s="4">
        <v>0</v>
      </c>
      <c r="S96" s="4" t="s">
        <v>153</v>
      </c>
      <c r="U96" s="4">
        <v>15</v>
      </c>
      <c r="V96" s="4">
        <v>0</v>
      </c>
      <c r="W96" s="4">
        <v>0</v>
      </c>
    </row>
    <row r="97" spans="1:23" ht="11.25" customHeight="1" x14ac:dyDescent="0.25">
      <c r="A97" s="4" t="s">
        <v>55</v>
      </c>
      <c r="B97" s="4" t="s">
        <v>38</v>
      </c>
      <c r="C97" s="4" t="s">
        <v>39</v>
      </c>
      <c r="D97" s="4" t="s">
        <v>37</v>
      </c>
      <c r="E97" s="4" t="s">
        <v>25</v>
      </c>
      <c r="F97" s="4" t="s">
        <v>25</v>
      </c>
      <c r="G97" s="4" t="s">
        <v>25</v>
      </c>
      <c r="H97" s="4" t="s">
        <v>25</v>
      </c>
      <c r="I97" s="5">
        <v>44743</v>
      </c>
      <c r="J97" s="6">
        <v>1748</v>
      </c>
      <c r="K97" s="6">
        <v>1748</v>
      </c>
      <c r="L97" s="6">
        <v>0</v>
      </c>
      <c r="M97" s="6">
        <v>0</v>
      </c>
      <c r="N97" s="6">
        <v>0</v>
      </c>
      <c r="O97" s="6">
        <v>0</v>
      </c>
      <c r="P97" s="6">
        <v>10</v>
      </c>
      <c r="Q97" s="4" t="s">
        <v>26</v>
      </c>
      <c r="R97" s="4">
        <v>0</v>
      </c>
      <c r="S97" s="4" t="s">
        <v>154</v>
      </c>
      <c r="U97" s="4">
        <v>15</v>
      </c>
      <c r="V97" s="4">
        <v>0</v>
      </c>
      <c r="W97" s="4">
        <v>0</v>
      </c>
    </row>
    <row r="98" spans="1:23" ht="11.25" customHeight="1" x14ac:dyDescent="0.25">
      <c r="A98" s="4" t="s">
        <v>21</v>
      </c>
      <c r="B98" s="4" t="s">
        <v>38</v>
      </c>
      <c r="C98" s="4" t="s">
        <v>39</v>
      </c>
      <c r="D98" s="4" t="s">
        <v>37</v>
      </c>
      <c r="E98" s="4" t="s">
        <v>25</v>
      </c>
      <c r="F98" s="4" t="s">
        <v>25</v>
      </c>
      <c r="G98" s="4" t="s">
        <v>25</v>
      </c>
      <c r="H98" s="4" t="s">
        <v>33</v>
      </c>
      <c r="I98" s="5">
        <v>44409</v>
      </c>
      <c r="J98" s="6">
        <v>0</v>
      </c>
      <c r="K98" s="6">
        <v>0</v>
      </c>
      <c r="L98" s="6">
        <v>6.9489999999999998</v>
      </c>
      <c r="M98" s="6">
        <v>6.9489999999999998</v>
      </c>
      <c r="N98" s="6">
        <v>6.9489999999999998</v>
      </c>
      <c r="O98" s="6">
        <v>6.9489999999999998</v>
      </c>
      <c r="P98" s="6">
        <v>0</v>
      </c>
      <c r="Q98" s="4" t="s">
        <v>26</v>
      </c>
      <c r="R98" s="4">
        <v>0</v>
      </c>
      <c r="S98" s="4" t="s">
        <v>155</v>
      </c>
      <c r="T98" s="4" t="s">
        <v>352</v>
      </c>
      <c r="U98" s="4">
        <v>0</v>
      </c>
      <c r="V98" s="4">
        <v>18</v>
      </c>
      <c r="W98" s="4">
        <v>69</v>
      </c>
    </row>
    <row r="99" spans="1:23" ht="11.25" customHeight="1" x14ac:dyDescent="0.25">
      <c r="A99" s="4" t="s">
        <v>21</v>
      </c>
      <c r="B99" s="4" t="s">
        <v>38</v>
      </c>
      <c r="C99" s="4" t="s">
        <v>39</v>
      </c>
      <c r="D99" s="4" t="s">
        <v>37</v>
      </c>
      <c r="E99" s="4" t="s">
        <v>25</v>
      </c>
      <c r="F99" s="4" t="s">
        <v>25</v>
      </c>
      <c r="G99" s="4" t="s">
        <v>25</v>
      </c>
      <c r="H99" s="4" t="s">
        <v>33</v>
      </c>
      <c r="I99" s="5">
        <v>44440</v>
      </c>
      <c r="J99" s="6">
        <v>0</v>
      </c>
      <c r="K99" s="6">
        <v>0</v>
      </c>
      <c r="L99" s="6">
        <v>5.7329999999999997</v>
      </c>
      <c r="M99" s="6">
        <v>5.7329999999999997</v>
      </c>
      <c r="N99" s="6">
        <v>5.7329999999999997</v>
      </c>
      <c r="O99" s="6">
        <v>5.7329999999999997</v>
      </c>
      <c r="P99" s="6">
        <v>0</v>
      </c>
      <c r="Q99" s="4" t="s">
        <v>26</v>
      </c>
      <c r="R99" s="4">
        <v>0</v>
      </c>
      <c r="S99" s="4" t="s">
        <v>156</v>
      </c>
      <c r="T99" s="4" t="s">
        <v>353</v>
      </c>
      <c r="U99" s="4">
        <v>0</v>
      </c>
      <c r="V99" s="4">
        <v>18</v>
      </c>
      <c r="W99" s="4">
        <v>69</v>
      </c>
    </row>
    <row r="100" spans="1:23" ht="11.25" customHeight="1" x14ac:dyDescent="0.25">
      <c r="A100" s="4" t="s">
        <v>21</v>
      </c>
      <c r="B100" s="4" t="s">
        <v>38</v>
      </c>
      <c r="C100" s="4" t="s">
        <v>39</v>
      </c>
      <c r="D100" s="4" t="s">
        <v>37</v>
      </c>
      <c r="E100" s="4" t="s">
        <v>25</v>
      </c>
      <c r="F100" s="4" t="s">
        <v>25</v>
      </c>
      <c r="G100" s="4" t="s">
        <v>25</v>
      </c>
      <c r="H100" s="4" t="s">
        <v>33</v>
      </c>
      <c r="I100" s="5">
        <v>44470</v>
      </c>
      <c r="J100" s="6">
        <v>0</v>
      </c>
      <c r="K100" s="6">
        <v>0</v>
      </c>
      <c r="L100" s="6">
        <v>5.7930000000000001</v>
      </c>
      <c r="M100" s="6">
        <v>5.7930000000000001</v>
      </c>
      <c r="N100" s="6">
        <v>5.7930000000000001</v>
      </c>
      <c r="O100" s="6">
        <v>5.7930000000000001</v>
      </c>
      <c r="P100" s="6">
        <v>0</v>
      </c>
      <c r="Q100" s="4" t="s">
        <v>26</v>
      </c>
      <c r="R100" s="4">
        <v>0</v>
      </c>
      <c r="S100" s="4" t="s">
        <v>157</v>
      </c>
      <c r="T100" s="4" t="s">
        <v>354</v>
      </c>
      <c r="U100" s="4">
        <v>0</v>
      </c>
      <c r="V100" s="4">
        <v>18</v>
      </c>
      <c r="W100" s="4">
        <v>69</v>
      </c>
    </row>
    <row r="101" spans="1:23" ht="11.25" customHeight="1" x14ac:dyDescent="0.25">
      <c r="A101" s="4" t="s">
        <v>21</v>
      </c>
      <c r="B101" s="4" t="s">
        <v>38</v>
      </c>
      <c r="C101" s="4" t="s">
        <v>39</v>
      </c>
      <c r="D101" s="4" t="s">
        <v>37</v>
      </c>
      <c r="E101" s="4" t="s">
        <v>25</v>
      </c>
      <c r="F101" s="4" t="s">
        <v>25</v>
      </c>
      <c r="G101" s="4" t="s">
        <v>25</v>
      </c>
      <c r="H101" s="4" t="s">
        <v>33</v>
      </c>
      <c r="I101" s="5">
        <v>44501</v>
      </c>
      <c r="J101" s="6">
        <v>0</v>
      </c>
      <c r="K101" s="6">
        <v>0</v>
      </c>
      <c r="L101" s="6">
        <v>5.2130000000000001</v>
      </c>
      <c r="M101" s="6">
        <v>5.2130000000000001</v>
      </c>
      <c r="N101" s="6">
        <v>5.2130000000000001</v>
      </c>
      <c r="O101" s="6">
        <v>5.2130000000000001</v>
      </c>
      <c r="P101" s="6">
        <v>0</v>
      </c>
      <c r="Q101" s="4" t="s">
        <v>26</v>
      </c>
      <c r="R101" s="4">
        <v>0</v>
      </c>
      <c r="S101" s="4" t="s">
        <v>158</v>
      </c>
      <c r="T101" s="4" t="s">
        <v>355</v>
      </c>
      <c r="U101" s="4">
        <v>0</v>
      </c>
      <c r="V101" s="4">
        <v>18</v>
      </c>
      <c r="W101" s="4">
        <v>69</v>
      </c>
    </row>
    <row r="102" spans="1:23" ht="11.25" customHeight="1" x14ac:dyDescent="0.25">
      <c r="A102" s="4" t="s">
        <v>21</v>
      </c>
      <c r="B102" s="4" t="s">
        <v>38</v>
      </c>
      <c r="C102" s="4" t="s">
        <v>39</v>
      </c>
      <c r="D102" s="4" t="s">
        <v>37</v>
      </c>
      <c r="E102" s="4" t="s">
        <v>25</v>
      </c>
      <c r="F102" s="4" t="s">
        <v>25</v>
      </c>
      <c r="G102" s="4" t="s">
        <v>25</v>
      </c>
      <c r="H102" s="4" t="s">
        <v>33</v>
      </c>
      <c r="I102" s="5">
        <v>44531</v>
      </c>
      <c r="J102" s="6">
        <v>0</v>
      </c>
      <c r="K102" s="6">
        <v>0</v>
      </c>
      <c r="L102" s="6">
        <v>6.1479999999999997</v>
      </c>
      <c r="M102" s="6">
        <v>6.1479999999999997</v>
      </c>
      <c r="N102" s="6">
        <v>6.1479999999999997</v>
      </c>
      <c r="O102" s="6">
        <v>6.1479999999999997</v>
      </c>
      <c r="P102" s="6">
        <v>0</v>
      </c>
      <c r="Q102" s="4" t="s">
        <v>26</v>
      </c>
      <c r="R102" s="4">
        <v>0</v>
      </c>
      <c r="S102" s="4" t="s">
        <v>159</v>
      </c>
      <c r="T102" s="4" t="s">
        <v>356</v>
      </c>
      <c r="U102" s="4">
        <v>0</v>
      </c>
      <c r="V102" s="4">
        <v>18</v>
      </c>
      <c r="W102" s="4">
        <v>69</v>
      </c>
    </row>
    <row r="103" spans="1:23" ht="11.25" customHeight="1" x14ac:dyDescent="0.25">
      <c r="A103" s="4" t="s">
        <v>21</v>
      </c>
      <c r="B103" s="4" t="s">
        <v>38</v>
      </c>
      <c r="C103" s="4" t="s">
        <v>39</v>
      </c>
      <c r="D103" s="4" t="s">
        <v>37</v>
      </c>
      <c r="E103" s="4" t="s">
        <v>25</v>
      </c>
      <c r="F103" s="4" t="s">
        <v>25</v>
      </c>
      <c r="G103" s="4" t="s">
        <v>25</v>
      </c>
      <c r="H103" s="4" t="s">
        <v>33</v>
      </c>
      <c r="I103" s="5">
        <v>44562</v>
      </c>
      <c r="J103" s="6">
        <v>0</v>
      </c>
      <c r="K103" s="6">
        <v>0</v>
      </c>
      <c r="L103" s="6">
        <v>5.6349999999999998</v>
      </c>
      <c r="M103" s="6">
        <v>5.6349999999999998</v>
      </c>
      <c r="N103" s="6">
        <v>5.6349999999999998</v>
      </c>
      <c r="O103" s="6">
        <v>5.6349999999999998</v>
      </c>
      <c r="P103" s="6">
        <v>0</v>
      </c>
      <c r="Q103" s="4" t="s">
        <v>26</v>
      </c>
      <c r="R103" s="4">
        <v>0</v>
      </c>
      <c r="S103" s="4" t="s">
        <v>160</v>
      </c>
      <c r="T103" s="4" t="s">
        <v>357</v>
      </c>
      <c r="U103" s="4">
        <v>0</v>
      </c>
      <c r="V103" s="4">
        <v>18</v>
      </c>
      <c r="W103" s="4">
        <v>69</v>
      </c>
    </row>
    <row r="104" spans="1:23" ht="11.25" customHeight="1" x14ac:dyDescent="0.25">
      <c r="A104" s="4" t="s">
        <v>21</v>
      </c>
      <c r="B104" s="4" t="s">
        <v>38</v>
      </c>
      <c r="C104" s="4" t="s">
        <v>39</v>
      </c>
      <c r="D104" s="4" t="s">
        <v>37</v>
      </c>
      <c r="E104" s="4" t="s">
        <v>25</v>
      </c>
      <c r="F104" s="4" t="s">
        <v>25</v>
      </c>
      <c r="G104" s="4" t="s">
        <v>25</v>
      </c>
      <c r="H104" s="4" t="s">
        <v>33</v>
      </c>
      <c r="I104" s="5">
        <v>44593</v>
      </c>
      <c r="J104" s="6">
        <v>0</v>
      </c>
      <c r="K104" s="6">
        <v>0</v>
      </c>
      <c r="L104" s="6">
        <v>6.2969999999999997</v>
      </c>
      <c r="M104" s="6">
        <v>6.2969999999999997</v>
      </c>
      <c r="N104" s="6">
        <v>6.2969999999999997</v>
      </c>
      <c r="O104" s="6">
        <v>6.2969999999999997</v>
      </c>
      <c r="P104" s="6">
        <v>0</v>
      </c>
      <c r="Q104" s="4" t="s">
        <v>26</v>
      </c>
      <c r="R104" s="4">
        <v>0</v>
      </c>
      <c r="S104" s="4" t="s">
        <v>161</v>
      </c>
      <c r="T104" s="4" t="s">
        <v>358</v>
      </c>
      <c r="U104" s="4">
        <v>0</v>
      </c>
      <c r="V104" s="4">
        <v>18</v>
      </c>
      <c r="W104" s="4">
        <v>69</v>
      </c>
    </row>
    <row r="105" spans="1:23" ht="11.25" customHeight="1" x14ac:dyDescent="0.25">
      <c r="A105" s="4" t="s">
        <v>21</v>
      </c>
      <c r="B105" s="4" t="s">
        <v>38</v>
      </c>
      <c r="C105" s="4" t="s">
        <v>39</v>
      </c>
      <c r="D105" s="4" t="s">
        <v>37</v>
      </c>
      <c r="E105" s="4" t="s">
        <v>25</v>
      </c>
      <c r="F105" s="4" t="s">
        <v>25</v>
      </c>
      <c r="G105" s="4" t="s">
        <v>25</v>
      </c>
      <c r="H105" s="4" t="s">
        <v>33</v>
      </c>
      <c r="I105" s="5">
        <v>44621</v>
      </c>
      <c r="J105" s="6">
        <v>0</v>
      </c>
      <c r="K105" s="6">
        <v>0</v>
      </c>
      <c r="L105" s="6">
        <v>6.0910000000000002</v>
      </c>
      <c r="M105" s="6">
        <v>6.0910000000000002</v>
      </c>
      <c r="N105" s="6">
        <v>6.0910000000000002</v>
      </c>
      <c r="O105" s="6">
        <v>6.0910000000000002</v>
      </c>
      <c r="P105" s="6">
        <v>0</v>
      </c>
      <c r="Q105" s="4" t="s">
        <v>26</v>
      </c>
      <c r="R105" s="4">
        <v>0</v>
      </c>
      <c r="S105" s="4" t="s">
        <v>162</v>
      </c>
      <c r="T105" s="4" t="s">
        <v>359</v>
      </c>
      <c r="U105" s="4">
        <v>0</v>
      </c>
      <c r="V105" s="4">
        <v>18</v>
      </c>
      <c r="W105" s="4">
        <v>69</v>
      </c>
    </row>
    <row r="106" spans="1:23" ht="11.25" customHeight="1" x14ac:dyDescent="0.25">
      <c r="A106" s="4" t="s">
        <v>21</v>
      </c>
      <c r="B106" s="4" t="s">
        <v>38</v>
      </c>
      <c r="C106" s="4" t="s">
        <v>39</v>
      </c>
      <c r="D106" s="4" t="s">
        <v>37</v>
      </c>
      <c r="E106" s="4" t="s">
        <v>25</v>
      </c>
      <c r="F106" s="4" t="s">
        <v>25</v>
      </c>
      <c r="G106" s="4" t="s">
        <v>25</v>
      </c>
      <c r="H106" s="4" t="s">
        <v>33</v>
      </c>
      <c r="I106" s="5">
        <v>44652</v>
      </c>
      <c r="J106" s="6">
        <v>0</v>
      </c>
      <c r="K106" s="6">
        <v>0</v>
      </c>
      <c r="L106" s="6">
        <v>4.9980000000000002</v>
      </c>
      <c r="M106" s="6">
        <v>4.9980000000000002</v>
      </c>
      <c r="N106" s="6">
        <v>4.9980000000000002</v>
      </c>
      <c r="O106" s="6">
        <v>4.9980000000000002</v>
      </c>
      <c r="P106" s="6">
        <v>0</v>
      </c>
      <c r="Q106" s="4" t="s">
        <v>26</v>
      </c>
      <c r="R106" s="4">
        <v>0</v>
      </c>
      <c r="S106" s="4" t="s">
        <v>163</v>
      </c>
      <c r="T106" s="4" t="s">
        <v>360</v>
      </c>
      <c r="U106" s="4">
        <v>0</v>
      </c>
      <c r="V106" s="4">
        <v>18</v>
      </c>
      <c r="W106" s="4">
        <v>69</v>
      </c>
    </row>
    <row r="107" spans="1:23" ht="11.25" customHeight="1" x14ac:dyDescent="0.25">
      <c r="A107" s="4" t="s">
        <v>21</v>
      </c>
      <c r="B107" s="4" t="s">
        <v>38</v>
      </c>
      <c r="C107" s="4" t="s">
        <v>39</v>
      </c>
      <c r="D107" s="4" t="s">
        <v>37</v>
      </c>
      <c r="E107" s="4" t="s">
        <v>25</v>
      </c>
      <c r="F107" s="4" t="s">
        <v>25</v>
      </c>
      <c r="G107" s="4" t="s">
        <v>25</v>
      </c>
      <c r="H107" s="4" t="s">
        <v>33</v>
      </c>
      <c r="I107" s="5">
        <v>44682</v>
      </c>
      <c r="J107" s="6">
        <v>0</v>
      </c>
      <c r="K107" s="6">
        <v>0</v>
      </c>
      <c r="L107" s="6">
        <v>5.8559999999999999</v>
      </c>
      <c r="M107" s="6">
        <v>5.8559999999999999</v>
      </c>
      <c r="N107" s="6">
        <v>5.8559999999999999</v>
      </c>
      <c r="O107" s="6">
        <v>5.8559999999999999</v>
      </c>
      <c r="P107" s="6">
        <v>0</v>
      </c>
      <c r="Q107" s="4" t="s">
        <v>26</v>
      </c>
      <c r="R107" s="4">
        <v>0</v>
      </c>
      <c r="S107" s="4" t="s">
        <v>164</v>
      </c>
      <c r="T107" s="4" t="s">
        <v>361</v>
      </c>
      <c r="U107" s="4">
        <v>0</v>
      </c>
      <c r="V107" s="4">
        <v>18</v>
      </c>
      <c r="W107" s="4">
        <v>69</v>
      </c>
    </row>
    <row r="108" spans="1:23" ht="11.25" customHeight="1" x14ac:dyDescent="0.25">
      <c r="A108" s="4" t="s">
        <v>21</v>
      </c>
      <c r="B108" s="4" t="s">
        <v>38</v>
      </c>
      <c r="C108" s="4" t="s">
        <v>39</v>
      </c>
      <c r="D108" s="4" t="s">
        <v>37</v>
      </c>
      <c r="E108" s="4" t="s">
        <v>25</v>
      </c>
      <c r="F108" s="4" t="s">
        <v>25</v>
      </c>
      <c r="G108" s="4" t="s">
        <v>25</v>
      </c>
      <c r="H108" s="4" t="s">
        <v>33</v>
      </c>
      <c r="I108" s="5">
        <v>44713</v>
      </c>
      <c r="J108" s="6">
        <v>0</v>
      </c>
      <c r="K108" s="6">
        <v>0</v>
      </c>
      <c r="L108" s="6">
        <v>6.7539999999999996</v>
      </c>
      <c r="M108" s="6">
        <v>6.7539999999999996</v>
      </c>
      <c r="N108" s="6">
        <v>6.7539999999999996</v>
      </c>
      <c r="O108" s="6">
        <v>6.7539999999999996</v>
      </c>
      <c r="P108" s="6">
        <v>0</v>
      </c>
      <c r="Q108" s="4" t="s">
        <v>26</v>
      </c>
      <c r="R108" s="4">
        <v>0</v>
      </c>
      <c r="S108" s="4" t="s">
        <v>165</v>
      </c>
      <c r="T108" s="4" t="s">
        <v>362</v>
      </c>
      <c r="U108" s="4">
        <v>0</v>
      </c>
      <c r="V108" s="4">
        <v>18</v>
      </c>
      <c r="W108" s="4">
        <v>69</v>
      </c>
    </row>
    <row r="109" spans="1:23" ht="11.25" customHeight="1" x14ac:dyDescent="0.25">
      <c r="A109" s="4" t="s">
        <v>55</v>
      </c>
      <c r="B109" s="4" t="s">
        <v>38</v>
      </c>
      <c r="C109" s="4" t="s">
        <v>39</v>
      </c>
      <c r="D109" s="4" t="s">
        <v>37</v>
      </c>
      <c r="E109" s="4" t="s">
        <v>25</v>
      </c>
      <c r="F109" s="4" t="s">
        <v>25</v>
      </c>
      <c r="G109" s="4" t="s">
        <v>25</v>
      </c>
      <c r="H109" s="4" t="s">
        <v>33</v>
      </c>
      <c r="I109" s="5">
        <v>44743</v>
      </c>
      <c r="J109" s="6">
        <v>0</v>
      </c>
      <c r="K109" s="6">
        <v>0</v>
      </c>
      <c r="L109" s="6">
        <v>6.7539999999999996</v>
      </c>
      <c r="M109" s="6">
        <v>6.7539999999999996</v>
      </c>
      <c r="N109" s="6">
        <v>6.7539999999999996</v>
      </c>
      <c r="O109" s="6">
        <v>6.7539999999999996</v>
      </c>
      <c r="P109" s="6">
        <v>0</v>
      </c>
      <c r="Q109" s="4" t="s">
        <v>26</v>
      </c>
      <c r="R109" s="4">
        <v>0</v>
      </c>
      <c r="S109" s="4" t="s">
        <v>166</v>
      </c>
      <c r="T109" s="4" t="s">
        <v>363</v>
      </c>
      <c r="U109" s="4">
        <v>0</v>
      </c>
      <c r="V109" s="4">
        <v>18</v>
      </c>
      <c r="W109" s="4">
        <v>69</v>
      </c>
    </row>
    <row r="110" spans="1:23" ht="11.25" customHeight="1" x14ac:dyDescent="0.25">
      <c r="A110" s="4" t="s">
        <v>21</v>
      </c>
      <c r="B110" s="4" t="s">
        <v>38</v>
      </c>
      <c r="C110" s="4" t="s">
        <v>39</v>
      </c>
      <c r="D110" s="4" t="s">
        <v>43</v>
      </c>
      <c r="E110" s="4" t="s">
        <v>25</v>
      </c>
      <c r="F110" s="4" t="s">
        <v>25</v>
      </c>
      <c r="G110" s="4" t="s">
        <v>25</v>
      </c>
      <c r="H110" s="4" t="s">
        <v>34</v>
      </c>
      <c r="I110" s="5">
        <v>44409</v>
      </c>
      <c r="J110" s="6">
        <v>0</v>
      </c>
      <c r="K110" s="6">
        <v>0</v>
      </c>
      <c r="L110" s="6">
        <v>7.9420000000000002</v>
      </c>
      <c r="M110" s="6">
        <v>7.9420000000000002</v>
      </c>
      <c r="N110" s="6">
        <v>7.9420000000000002</v>
      </c>
      <c r="O110" s="6">
        <v>7.9420000000000002</v>
      </c>
      <c r="P110" s="6">
        <v>0</v>
      </c>
      <c r="Q110" s="4" t="s">
        <v>26</v>
      </c>
      <c r="R110" s="4">
        <v>0</v>
      </c>
      <c r="S110" s="4" t="s">
        <v>131</v>
      </c>
      <c r="T110" s="4" t="s">
        <v>336</v>
      </c>
      <c r="U110" s="4">
        <v>0</v>
      </c>
      <c r="V110" s="4">
        <v>21</v>
      </c>
      <c r="W110" s="4">
        <v>70</v>
      </c>
    </row>
    <row r="111" spans="1:23" ht="11.25" customHeight="1" x14ac:dyDescent="0.25">
      <c r="A111" s="4" t="s">
        <v>21</v>
      </c>
      <c r="B111" s="4" t="s">
        <v>38</v>
      </c>
      <c r="C111" s="4" t="s">
        <v>39</v>
      </c>
      <c r="D111" s="4" t="s">
        <v>43</v>
      </c>
      <c r="E111" s="4" t="s">
        <v>25</v>
      </c>
      <c r="F111" s="4" t="s">
        <v>25</v>
      </c>
      <c r="G111" s="4" t="s">
        <v>25</v>
      </c>
      <c r="H111" s="4" t="s">
        <v>34</v>
      </c>
      <c r="I111" s="5">
        <v>44440</v>
      </c>
      <c r="J111" s="6">
        <v>0</v>
      </c>
      <c r="K111" s="6">
        <v>0</v>
      </c>
      <c r="L111" s="6">
        <v>6.1440000000000001</v>
      </c>
      <c r="M111" s="6">
        <v>6.1440000000000001</v>
      </c>
      <c r="N111" s="6">
        <v>6.1440000000000001</v>
      </c>
      <c r="O111" s="6">
        <v>6.1440000000000001</v>
      </c>
      <c r="P111" s="6">
        <v>0</v>
      </c>
      <c r="Q111" s="4" t="s">
        <v>26</v>
      </c>
      <c r="R111" s="4">
        <v>0</v>
      </c>
      <c r="S111" s="4" t="s">
        <v>132</v>
      </c>
      <c r="T111" s="4" t="s">
        <v>337</v>
      </c>
      <c r="U111" s="4">
        <v>0</v>
      </c>
      <c r="V111" s="4">
        <v>21</v>
      </c>
      <c r="W111" s="4">
        <v>70</v>
      </c>
    </row>
    <row r="112" spans="1:23" ht="11.25" customHeight="1" x14ac:dyDescent="0.25">
      <c r="A112" s="4" t="s">
        <v>21</v>
      </c>
      <c r="B112" s="4" t="s">
        <v>38</v>
      </c>
      <c r="C112" s="4" t="s">
        <v>39</v>
      </c>
      <c r="D112" s="4" t="s">
        <v>43</v>
      </c>
      <c r="E112" s="4" t="s">
        <v>25</v>
      </c>
      <c r="F112" s="4" t="s">
        <v>25</v>
      </c>
      <c r="G112" s="4" t="s">
        <v>25</v>
      </c>
      <c r="H112" s="4" t="s">
        <v>34</v>
      </c>
      <c r="I112" s="5">
        <v>44470</v>
      </c>
      <c r="J112" s="6">
        <v>0</v>
      </c>
      <c r="K112" s="6">
        <v>0</v>
      </c>
      <c r="L112" s="6">
        <v>5.9240000000000004</v>
      </c>
      <c r="M112" s="6">
        <v>5.9240000000000004</v>
      </c>
      <c r="N112" s="6">
        <v>5.9240000000000004</v>
      </c>
      <c r="O112" s="6">
        <v>5.9240000000000004</v>
      </c>
      <c r="P112" s="6">
        <v>0</v>
      </c>
      <c r="Q112" s="4" t="s">
        <v>26</v>
      </c>
      <c r="R112" s="4">
        <v>0</v>
      </c>
      <c r="S112" s="4" t="s">
        <v>133</v>
      </c>
      <c r="T112" s="4" t="s">
        <v>338</v>
      </c>
      <c r="U112" s="4">
        <v>0</v>
      </c>
      <c r="V112" s="4">
        <v>21</v>
      </c>
      <c r="W112" s="4">
        <v>70</v>
      </c>
    </row>
    <row r="113" spans="1:23" ht="11.25" customHeight="1" x14ac:dyDescent="0.25">
      <c r="A113" s="4" t="s">
        <v>21</v>
      </c>
      <c r="B113" s="4" t="s">
        <v>38</v>
      </c>
      <c r="C113" s="4" t="s">
        <v>39</v>
      </c>
      <c r="D113" s="4" t="s">
        <v>43</v>
      </c>
      <c r="E113" s="4" t="s">
        <v>25</v>
      </c>
      <c r="F113" s="4" t="s">
        <v>25</v>
      </c>
      <c r="G113" s="4" t="s">
        <v>25</v>
      </c>
      <c r="H113" s="4" t="s">
        <v>34</v>
      </c>
      <c r="I113" s="5">
        <v>44501</v>
      </c>
      <c r="J113" s="6">
        <v>0</v>
      </c>
      <c r="K113" s="6">
        <v>0</v>
      </c>
      <c r="L113" s="6">
        <v>8.7520000000000007</v>
      </c>
      <c r="M113" s="6">
        <v>8.7520000000000007</v>
      </c>
      <c r="N113" s="6">
        <v>8.7520000000000007</v>
      </c>
      <c r="O113" s="6">
        <v>8.7520000000000007</v>
      </c>
      <c r="P113" s="6">
        <v>0</v>
      </c>
      <c r="Q113" s="4" t="s">
        <v>26</v>
      </c>
      <c r="R113" s="4">
        <v>0</v>
      </c>
      <c r="S113" s="4" t="s">
        <v>134</v>
      </c>
      <c r="T113" s="4" t="s">
        <v>339</v>
      </c>
      <c r="U113" s="4">
        <v>0</v>
      </c>
      <c r="V113" s="4">
        <v>21</v>
      </c>
      <c r="W113" s="4">
        <v>70</v>
      </c>
    </row>
    <row r="114" spans="1:23" ht="11.25" customHeight="1" x14ac:dyDescent="0.25">
      <c r="A114" s="4" t="s">
        <v>21</v>
      </c>
      <c r="B114" s="4" t="s">
        <v>38</v>
      </c>
      <c r="C114" s="4" t="s">
        <v>39</v>
      </c>
      <c r="D114" s="4" t="s">
        <v>43</v>
      </c>
      <c r="E114" s="4" t="s">
        <v>25</v>
      </c>
      <c r="F114" s="4" t="s">
        <v>25</v>
      </c>
      <c r="G114" s="4" t="s">
        <v>25</v>
      </c>
      <c r="H114" s="4" t="s">
        <v>34</v>
      </c>
      <c r="I114" s="5">
        <v>44531</v>
      </c>
      <c r="J114" s="6">
        <v>0</v>
      </c>
      <c r="K114" s="6">
        <v>0</v>
      </c>
      <c r="L114" s="6">
        <v>8.3049999999999997</v>
      </c>
      <c r="M114" s="6">
        <v>8.3049999999999997</v>
      </c>
      <c r="N114" s="6">
        <v>8.3049999999999997</v>
      </c>
      <c r="O114" s="6">
        <v>8.3049999999999997</v>
      </c>
      <c r="P114" s="6">
        <v>0</v>
      </c>
      <c r="Q114" s="4" t="s">
        <v>26</v>
      </c>
      <c r="R114" s="4">
        <v>0</v>
      </c>
      <c r="S114" s="4" t="s">
        <v>135</v>
      </c>
      <c r="T114" s="4" t="s">
        <v>340</v>
      </c>
      <c r="U114" s="4">
        <v>0</v>
      </c>
      <c r="V114" s="4">
        <v>21</v>
      </c>
      <c r="W114" s="4">
        <v>70</v>
      </c>
    </row>
    <row r="115" spans="1:23" ht="11.25" customHeight="1" x14ac:dyDescent="0.25">
      <c r="A115" s="4" t="s">
        <v>21</v>
      </c>
      <c r="B115" s="4" t="s">
        <v>38</v>
      </c>
      <c r="C115" s="4" t="s">
        <v>39</v>
      </c>
      <c r="D115" s="4" t="s">
        <v>43</v>
      </c>
      <c r="E115" s="4" t="s">
        <v>25</v>
      </c>
      <c r="F115" s="4" t="s">
        <v>25</v>
      </c>
      <c r="G115" s="4" t="s">
        <v>25</v>
      </c>
      <c r="H115" s="4" t="s">
        <v>34</v>
      </c>
      <c r="I115" s="5">
        <v>44562</v>
      </c>
      <c r="J115" s="6">
        <v>0</v>
      </c>
      <c r="K115" s="6">
        <v>0</v>
      </c>
      <c r="L115" s="6">
        <v>8.02</v>
      </c>
      <c r="M115" s="6">
        <v>8.02</v>
      </c>
      <c r="N115" s="6">
        <v>8.02</v>
      </c>
      <c r="O115" s="6">
        <v>8.02</v>
      </c>
      <c r="P115" s="6">
        <v>0</v>
      </c>
      <c r="Q115" s="4" t="s">
        <v>26</v>
      </c>
      <c r="R115" s="4">
        <v>0</v>
      </c>
      <c r="S115" s="4" t="s">
        <v>136</v>
      </c>
      <c r="T115" s="4" t="s">
        <v>341</v>
      </c>
      <c r="U115" s="4">
        <v>0</v>
      </c>
      <c r="V115" s="4">
        <v>21</v>
      </c>
      <c r="W115" s="4">
        <v>70</v>
      </c>
    </row>
    <row r="116" spans="1:23" ht="11.25" customHeight="1" x14ac:dyDescent="0.25">
      <c r="A116" s="4" t="s">
        <v>21</v>
      </c>
      <c r="B116" s="4" t="s">
        <v>38</v>
      </c>
      <c r="C116" s="4" t="s">
        <v>39</v>
      </c>
      <c r="D116" s="4" t="s">
        <v>43</v>
      </c>
      <c r="E116" s="4" t="s">
        <v>25</v>
      </c>
      <c r="F116" s="4" t="s">
        <v>25</v>
      </c>
      <c r="G116" s="4" t="s">
        <v>25</v>
      </c>
      <c r="H116" s="4" t="s">
        <v>34</v>
      </c>
      <c r="I116" s="5">
        <v>44593</v>
      </c>
      <c r="J116" s="6">
        <v>0</v>
      </c>
      <c r="K116" s="6">
        <v>0</v>
      </c>
      <c r="L116" s="6">
        <v>9.1739999999999995</v>
      </c>
      <c r="M116" s="6">
        <v>9.1739999999999995</v>
      </c>
      <c r="N116" s="6">
        <v>9.1739999999999995</v>
      </c>
      <c r="O116" s="6">
        <v>9.1739999999999995</v>
      </c>
      <c r="P116" s="6">
        <v>0</v>
      </c>
      <c r="Q116" s="4" t="s">
        <v>26</v>
      </c>
      <c r="R116" s="4">
        <v>0</v>
      </c>
      <c r="S116" s="4" t="s">
        <v>137</v>
      </c>
      <c r="T116" s="4" t="s">
        <v>342</v>
      </c>
      <c r="U116" s="4">
        <v>0</v>
      </c>
      <c r="V116" s="4">
        <v>21</v>
      </c>
      <c r="W116" s="4">
        <v>70</v>
      </c>
    </row>
    <row r="117" spans="1:23" ht="11.25" customHeight="1" x14ac:dyDescent="0.25">
      <c r="A117" s="4" t="s">
        <v>21</v>
      </c>
      <c r="B117" s="4" t="s">
        <v>38</v>
      </c>
      <c r="C117" s="4" t="s">
        <v>39</v>
      </c>
      <c r="D117" s="4" t="s">
        <v>43</v>
      </c>
      <c r="E117" s="4" t="s">
        <v>25</v>
      </c>
      <c r="F117" s="4" t="s">
        <v>25</v>
      </c>
      <c r="G117" s="4" t="s">
        <v>25</v>
      </c>
      <c r="H117" s="4" t="s">
        <v>34</v>
      </c>
      <c r="I117" s="5">
        <v>44621</v>
      </c>
      <c r="J117" s="6">
        <v>0</v>
      </c>
      <c r="K117" s="6">
        <v>0</v>
      </c>
      <c r="L117" s="6">
        <v>7.5529999999999999</v>
      </c>
      <c r="M117" s="6">
        <v>7.5529999999999999</v>
      </c>
      <c r="N117" s="6">
        <v>7.5529999999999999</v>
      </c>
      <c r="O117" s="6">
        <v>7.5529999999999999</v>
      </c>
      <c r="P117" s="6">
        <v>0</v>
      </c>
      <c r="Q117" s="4" t="s">
        <v>26</v>
      </c>
      <c r="R117" s="4">
        <v>0</v>
      </c>
      <c r="S117" s="4" t="s">
        <v>138</v>
      </c>
      <c r="T117" s="4" t="s">
        <v>343</v>
      </c>
      <c r="U117" s="4">
        <v>0</v>
      </c>
      <c r="V117" s="4">
        <v>21</v>
      </c>
      <c r="W117" s="4">
        <v>70</v>
      </c>
    </row>
    <row r="118" spans="1:23" ht="11.25" customHeight="1" x14ac:dyDescent="0.25">
      <c r="A118" s="4" t="s">
        <v>21</v>
      </c>
      <c r="B118" s="4" t="s">
        <v>38</v>
      </c>
      <c r="C118" s="4" t="s">
        <v>39</v>
      </c>
      <c r="D118" s="4" t="s">
        <v>43</v>
      </c>
      <c r="E118" s="4" t="s">
        <v>25</v>
      </c>
      <c r="F118" s="4" t="s">
        <v>25</v>
      </c>
      <c r="G118" s="4" t="s">
        <v>25</v>
      </c>
      <c r="H118" s="4" t="s">
        <v>34</v>
      </c>
      <c r="I118" s="5">
        <v>44652</v>
      </c>
      <c r="J118" s="6">
        <v>0</v>
      </c>
      <c r="K118" s="6">
        <v>0</v>
      </c>
      <c r="L118" s="6">
        <v>5.3319999999999999</v>
      </c>
      <c r="M118" s="6">
        <v>5.3319999999999999</v>
      </c>
      <c r="N118" s="6">
        <v>5.3319999999999999</v>
      </c>
      <c r="O118" s="6">
        <v>5.3319999999999999</v>
      </c>
      <c r="P118" s="6">
        <v>0</v>
      </c>
      <c r="Q118" s="4" t="s">
        <v>26</v>
      </c>
      <c r="R118" s="4">
        <v>0</v>
      </c>
      <c r="S118" s="4" t="s">
        <v>139</v>
      </c>
      <c r="T118" s="4" t="s">
        <v>344</v>
      </c>
      <c r="U118" s="4">
        <v>0</v>
      </c>
      <c r="V118" s="4">
        <v>21</v>
      </c>
      <c r="W118" s="4">
        <v>70</v>
      </c>
    </row>
    <row r="119" spans="1:23" ht="11.25" customHeight="1" x14ac:dyDescent="0.25">
      <c r="A119" s="4" t="s">
        <v>21</v>
      </c>
      <c r="B119" s="4" t="s">
        <v>38</v>
      </c>
      <c r="C119" s="4" t="s">
        <v>39</v>
      </c>
      <c r="D119" s="4" t="s">
        <v>43</v>
      </c>
      <c r="E119" s="4" t="s">
        <v>25</v>
      </c>
      <c r="F119" s="4" t="s">
        <v>25</v>
      </c>
      <c r="G119" s="4" t="s">
        <v>25</v>
      </c>
      <c r="H119" s="4" t="s">
        <v>34</v>
      </c>
      <c r="I119" s="5">
        <v>44682</v>
      </c>
      <c r="J119" s="6">
        <v>0</v>
      </c>
      <c r="K119" s="6">
        <v>0</v>
      </c>
      <c r="L119" s="6">
        <v>7.4889999999999999</v>
      </c>
      <c r="M119" s="6">
        <v>7.4889999999999999</v>
      </c>
      <c r="N119" s="6">
        <v>7.4889999999999999</v>
      </c>
      <c r="O119" s="6">
        <v>7.4889999999999999</v>
      </c>
      <c r="P119" s="6">
        <v>0</v>
      </c>
      <c r="Q119" s="4" t="s">
        <v>26</v>
      </c>
      <c r="R119" s="4">
        <v>0</v>
      </c>
      <c r="S119" s="4" t="s">
        <v>140</v>
      </c>
      <c r="T119" s="4" t="s">
        <v>345</v>
      </c>
      <c r="U119" s="4">
        <v>0</v>
      </c>
      <c r="V119" s="4">
        <v>21</v>
      </c>
      <c r="W119" s="4">
        <v>70</v>
      </c>
    </row>
    <row r="120" spans="1:23" ht="11.25" customHeight="1" x14ac:dyDescent="0.25">
      <c r="A120" s="4" t="s">
        <v>21</v>
      </c>
      <c r="B120" s="4" t="s">
        <v>38</v>
      </c>
      <c r="C120" s="4" t="s">
        <v>39</v>
      </c>
      <c r="D120" s="4" t="s">
        <v>43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44713</v>
      </c>
      <c r="J120" s="6">
        <v>0</v>
      </c>
      <c r="K120" s="6">
        <v>0</v>
      </c>
      <c r="L120" s="6">
        <v>7.5709999999999997</v>
      </c>
      <c r="M120" s="6">
        <v>7.5709999999999997</v>
      </c>
      <c r="N120" s="6">
        <v>7.5709999999999997</v>
      </c>
      <c r="O120" s="6">
        <v>7.5709999999999997</v>
      </c>
      <c r="P120" s="6">
        <v>0</v>
      </c>
      <c r="Q120" s="4" t="s">
        <v>26</v>
      </c>
      <c r="R120" s="4">
        <v>0</v>
      </c>
      <c r="S120" s="4" t="s">
        <v>141</v>
      </c>
      <c r="T120" s="4" t="s">
        <v>346</v>
      </c>
      <c r="U120" s="4">
        <v>0</v>
      </c>
      <c r="V120" s="4">
        <v>21</v>
      </c>
      <c r="W120" s="4">
        <v>70</v>
      </c>
    </row>
    <row r="121" spans="1:23" ht="11.25" customHeight="1" x14ac:dyDescent="0.25">
      <c r="A121" s="4" t="s">
        <v>55</v>
      </c>
      <c r="B121" s="4" t="s">
        <v>38</v>
      </c>
      <c r="C121" s="4" t="s">
        <v>39</v>
      </c>
      <c r="D121" s="4" t="s">
        <v>43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44743</v>
      </c>
      <c r="J121" s="6">
        <v>0</v>
      </c>
      <c r="K121" s="6">
        <v>0</v>
      </c>
      <c r="L121" s="6">
        <v>7.5709999999999997</v>
      </c>
      <c r="M121" s="6">
        <v>7.5709999999999997</v>
      </c>
      <c r="N121" s="6">
        <v>7.5709999999999997</v>
      </c>
      <c r="O121" s="6">
        <v>7.5709999999999997</v>
      </c>
      <c r="P121" s="6">
        <v>0</v>
      </c>
      <c r="Q121" s="4" t="s">
        <v>26</v>
      </c>
      <c r="R121" s="4">
        <v>0</v>
      </c>
      <c r="S121" s="4" t="s">
        <v>142</v>
      </c>
      <c r="T121" s="4" t="s">
        <v>347</v>
      </c>
      <c r="U121" s="4">
        <v>0</v>
      </c>
      <c r="V121" s="4">
        <v>21</v>
      </c>
      <c r="W121" s="4">
        <v>70</v>
      </c>
    </row>
    <row r="122" spans="1:23" ht="11.25" customHeight="1" x14ac:dyDescent="0.25">
      <c r="A122" s="4" t="s">
        <v>21</v>
      </c>
      <c r="B122" s="4" t="s">
        <v>38</v>
      </c>
      <c r="C122" s="4" t="s">
        <v>39</v>
      </c>
      <c r="D122" s="4" t="s">
        <v>43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44409</v>
      </c>
      <c r="J122" s="6">
        <v>70</v>
      </c>
      <c r="K122" s="6">
        <v>70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4" t="s">
        <v>26</v>
      </c>
      <c r="R122" s="4">
        <v>0</v>
      </c>
      <c r="S122" s="4" t="s">
        <v>143</v>
      </c>
      <c r="U122" s="4">
        <v>15</v>
      </c>
      <c r="V122" s="4">
        <v>0</v>
      </c>
      <c r="W122" s="4">
        <v>0</v>
      </c>
    </row>
    <row r="123" spans="1:23" ht="11.25" customHeight="1" x14ac:dyDescent="0.25">
      <c r="A123" s="4" t="s">
        <v>21</v>
      </c>
      <c r="B123" s="4" t="s">
        <v>38</v>
      </c>
      <c r="C123" s="4" t="s">
        <v>39</v>
      </c>
      <c r="D123" s="4" t="s">
        <v>43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44440</v>
      </c>
      <c r="J123" s="6">
        <v>70</v>
      </c>
      <c r="K123" s="6">
        <v>70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4" t="s">
        <v>26</v>
      </c>
      <c r="R123" s="4">
        <v>0</v>
      </c>
      <c r="S123" s="4" t="s">
        <v>144</v>
      </c>
      <c r="U123" s="4">
        <v>15</v>
      </c>
      <c r="V123" s="4">
        <v>0</v>
      </c>
      <c r="W123" s="4">
        <v>0</v>
      </c>
    </row>
    <row r="124" spans="1:23" ht="11.25" customHeight="1" x14ac:dyDescent="0.25">
      <c r="A124" s="4" t="s">
        <v>21</v>
      </c>
      <c r="B124" s="4" t="s">
        <v>38</v>
      </c>
      <c r="C124" s="4" t="s">
        <v>39</v>
      </c>
      <c r="D124" s="4" t="s">
        <v>43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44470</v>
      </c>
      <c r="J124" s="6">
        <v>70</v>
      </c>
      <c r="K124" s="6">
        <v>70</v>
      </c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4" t="s">
        <v>26</v>
      </c>
      <c r="R124" s="4">
        <v>0</v>
      </c>
      <c r="S124" s="4" t="s">
        <v>145</v>
      </c>
      <c r="U124" s="4">
        <v>15</v>
      </c>
      <c r="V124" s="4">
        <v>0</v>
      </c>
      <c r="W124" s="4">
        <v>0</v>
      </c>
    </row>
    <row r="125" spans="1:23" ht="11.25" customHeight="1" x14ac:dyDescent="0.25">
      <c r="A125" s="4" t="s">
        <v>21</v>
      </c>
      <c r="B125" s="4" t="s">
        <v>38</v>
      </c>
      <c r="C125" s="4" t="s">
        <v>39</v>
      </c>
      <c r="D125" s="4" t="s">
        <v>43</v>
      </c>
      <c r="E125" s="4" t="s">
        <v>25</v>
      </c>
      <c r="F125" s="4" t="s">
        <v>25</v>
      </c>
      <c r="G125" s="4" t="s">
        <v>25</v>
      </c>
      <c r="H125" s="4" t="s">
        <v>25</v>
      </c>
      <c r="I125" s="5">
        <v>44501</v>
      </c>
      <c r="J125" s="6">
        <v>70</v>
      </c>
      <c r="K125" s="6">
        <v>70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4" t="s">
        <v>26</v>
      </c>
      <c r="R125" s="4">
        <v>0</v>
      </c>
      <c r="S125" s="4" t="s">
        <v>146</v>
      </c>
      <c r="U125" s="4">
        <v>15</v>
      </c>
      <c r="V125" s="4">
        <v>0</v>
      </c>
      <c r="W125" s="4">
        <v>0</v>
      </c>
    </row>
    <row r="126" spans="1:23" ht="11.25" customHeight="1" x14ac:dyDescent="0.25">
      <c r="A126" s="4" t="s">
        <v>21</v>
      </c>
      <c r="B126" s="4" t="s">
        <v>38</v>
      </c>
      <c r="C126" s="4" t="s">
        <v>39</v>
      </c>
      <c r="D126" s="4" t="s">
        <v>43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44531</v>
      </c>
      <c r="J126" s="6">
        <v>70</v>
      </c>
      <c r="K126" s="6">
        <v>70</v>
      </c>
      <c r="L126" s="6">
        <v>0</v>
      </c>
      <c r="M126" s="6">
        <v>0</v>
      </c>
      <c r="N126" s="6">
        <v>0</v>
      </c>
      <c r="O126" s="6">
        <v>0</v>
      </c>
      <c r="P126" s="6">
        <v>1</v>
      </c>
      <c r="Q126" s="4" t="s">
        <v>26</v>
      </c>
      <c r="R126" s="4">
        <v>0</v>
      </c>
      <c r="S126" s="4" t="s">
        <v>147</v>
      </c>
      <c r="U126" s="4">
        <v>15</v>
      </c>
      <c r="V126" s="4">
        <v>0</v>
      </c>
      <c r="W126" s="4">
        <v>0</v>
      </c>
    </row>
    <row r="127" spans="1:23" ht="11.25" customHeight="1" x14ac:dyDescent="0.25">
      <c r="A127" s="4" t="s">
        <v>21</v>
      </c>
      <c r="B127" s="4" t="s">
        <v>38</v>
      </c>
      <c r="C127" s="4" t="s">
        <v>39</v>
      </c>
      <c r="D127" s="4" t="s">
        <v>43</v>
      </c>
      <c r="E127" s="4" t="s">
        <v>25</v>
      </c>
      <c r="F127" s="4" t="s">
        <v>25</v>
      </c>
      <c r="G127" s="4" t="s">
        <v>25</v>
      </c>
      <c r="H127" s="4" t="s">
        <v>25</v>
      </c>
      <c r="I127" s="5">
        <v>44562</v>
      </c>
      <c r="J127" s="6">
        <v>70</v>
      </c>
      <c r="K127" s="6">
        <v>70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4" t="s">
        <v>26</v>
      </c>
      <c r="R127" s="4">
        <v>0</v>
      </c>
      <c r="S127" s="4" t="s">
        <v>148</v>
      </c>
      <c r="U127" s="4">
        <v>15</v>
      </c>
      <c r="V127" s="4">
        <v>0</v>
      </c>
      <c r="W127" s="4">
        <v>0</v>
      </c>
    </row>
    <row r="128" spans="1:23" ht="11.25" customHeight="1" x14ac:dyDescent="0.25">
      <c r="A128" s="4" t="s">
        <v>21</v>
      </c>
      <c r="B128" s="4" t="s">
        <v>38</v>
      </c>
      <c r="C128" s="4" t="s">
        <v>39</v>
      </c>
      <c r="D128" s="4" t="s">
        <v>43</v>
      </c>
      <c r="E128" s="4" t="s">
        <v>25</v>
      </c>
      <c r="F128" s="4" t="s">
        <v>25</v>
      </c>
      <c r="G128" s="4" t="s">
        <v>25</v>
      </c>
      <c r="H128" s="4" t="s">
        <v>25</v>
      </c>
      <c r="I128" s="5">
        <v>44593</v>
      </c>
      <c r="J128" s="6">
        <v>100</v>
      </c>
      <c r="K128" s="6">
        <v>100</v>
      </c>
      <c r="L128" s="6">
        <v>0</v>
      </c>
      <c r="M128" s="6">
        <v>0</v>
      </c>
      <c r="N128" s="6">
        <v>0</v>
      </c>
      <c r="O128" s="6">
        <v>0</v>
      </c>
      <c r="P128" s="6">
        <v>1</v>
      </c>
      <c r="Q128" s="4" t="s">
        <v>26</v>
      </c>
      <c r="R128" s="4">
        <v>0</v>
      </c>
      <c r="S128" s="4" t="s">
        <v>149</v>
      </c>
      <c r="U128" s="4">
        <v>15</v>
      </c>
      <c r="V128" s="4">
        <v>0</v>
      </c>
      <c r="W128" s="4">
        <v>0</v>
      </c>
    </row>
    <row r="129" spans="1:23" ht="11.25" customHeight="1" x14ac:dyDescent="0.25">
      <c r="A129" s="4" t="s">
        <v>21</v>
      </c>
      <c r="B129" s="4" t="s">
        <v>38</v>
      </c>
      <c r="C129" s="4" t="s">
        <v>39</v>
      </c>
      <c r="D129" s="4" t="s">
        <v>43</v>
      </c>
      <c r="E129" s="4" t="s">
        <v>25</v>
      </c>
      <c r="F129" s="4" t="s">
        <v>25</v>
      </c>
      <c r="G129" s="4" t="s">
        <v>25</v>
      </c>
      <c r="H129" s="4" t="s">
        <v>25</v>
      </c>
      <c r="I129" s="5">
        <v>44621</v>
      </c>
      <c r="J129" s="6">
        <v>70</v>
      </c>
      <c r="K129" s="6">
        <v>70</v>
      </c>
      <c r="L129" s="6">
        <v>0</v>
      </c>
      <c r="M129" s="6">
        <v>0</v>
      </c>
      <c r="N129" s="6">
        <v>0</v>
      </c>
      <c r="O129" s="6">
        <v>0</v>
      </c>
      <c r="P129" s="6">
        <v>1</v>
      </c>
      <c r="Q129" s="4" t="s">
        <v>26</v>
      </c>
      <c r="R129" s="4">
        <v>0</v>
      </c>
      <c r="S129" s="4" t="s">
        <v>150</v>
      </c>
      <c r="U129" s="4">
        <v>15</v>
      </c>
      <c r="V129" s="4">
        <v>0</v>
      </c>
      <c r="W129" s="4">
        <v>0</v>
      </c>
    </row>
    <row r="130" spans="1:23" ht="11.25" customHeight="1" x14ac:dyDescent="0.25">
      <c r="A130" s="4" t="s">
        <v>21</v>
      </c>
      <c r="B130" s="4" t="s">
        <v>38</v>
      </c>
      <c r="C130" s="4" t="s">
        <v>39</v>
      </c>
      <c r="D130" s="4" t="s">
        <v>43</v>
      </c>
      <c r="E130" s="4" t="s">
        <v>25</v>
      </c>
      <c r="F130" s="4" t="s">
        <v>25</v>
      </c>
      <c r="G130" s="4" t="s">
        <v>25</v>
      </c>
      <c r="H130" s="4" t="s">
        <v>25</v>
      </c>
      <c r="I130" s="5">
        <v>44652</v>
      </c>
      <c r="J130" s="6">
        <v>70</v>
      </c>
      <c r="K130" s="6">
        <v>70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4" t="s">
        <v>26</v>
      </c>
      <c r="R130" s="4">
        <v>0</v>
      </c>
      <c r="S130" s="4" t="s">
        <v>151</v>
      </c>
      <c r="U130" s="4">
        <v>15</v>
      </c>
      <c r="V130" s="4">
        <v>0</v>
      </c>
      <c r="W130" s="4">
        <v>0</v>
      </c>
    </row>
    <row r="131" spans="1:23" ht="11.25" customHeight="1" x14ac:dyDescent="0.25">
      <c r="A131" s="4" t="s">
        <v>21</v>
      </c>
      <c r="B131" s="4" t="s">
        <v>38</v>
      </c>
      <c r="C131" s="4" t="s">
        <v>39</v>
      </c>
      <c r="D131" s="4" t="s">
        <v>43</v>
      </c>
      <c r="E131" s="4" t="s">
        <v>25</v>
      </c>
      <c r="F131" s="4" t="s">
        <v>25</v>
      </c>
      <c r="G131" s="4" t="s">
        <v>25</v>
      </c>
      <c r="H131" s="4" t="s">
        <v>25</v>
      </c>
      <c r="I131" s="5">
        <v>44682</v>
      </c>
      <c r="J131" s="6">
        <v>70</v>
      </c>
      <c r="K131" s="6">
        <v>70</v>
      </c>
      <c r="L131" s="6">
        <v>0</v>
      </c>
      <c r="M131" s="6">
        <v>0</v>
      </c>
      <c r="N131" s="6">
        <v>0</v>
      </c>
      <c r="O131" s="6">
        <v>0</v>
      </c>
      <c r="P131" s="6">
        <v>1</v>
      </c>
      <c r="Q131" s="4" t="s">
        <v>26</v>
      </c>
      <c r="R131" s="4">
        <v>0</v>
      </c>
      <c r="S131" s="4" t="s">
        <v>152</v>
      </c>
      <c r="U131" s="4">
        <v>15</v>
      </c>
      <c r="V131" s="4">
        <v>0</v>
      </c>
      <c r="W131" s="4">
        <v>0</v>
      </c>
    </row>
    <row r="132" spans="1:23" ht="11.25" customHeight="1" x14ac:dyDescent="0.25">
      <c r="A132" s="4" t="s">
        <v>21</v>
      </c>
      <c r="B132" s="4" t="s">
        <v>38</v>
      </c>
      <c r="C132" s="4" t="s">
        <v>39</v>
      </c>
      <c r="D132" s="4" t="s">
        <v>43</v>
      </c>
      <c r="E132" s="4" t="s">
        <v>25</v>
      </c>
      <c r="F132" s="4" t="s">
        <v>25</v>
      </c>
      <c r="G132" s="4" t="s">
        <v>25</v>
      </c>
      <c r="H132" s="4" t="s">
        <v>25</v>
      </c>
      <c r="I132" s="5">
        <v>44713</v>
      </c>
      <c r="J132" s="6">
        <v>70</v>
      </c>
      <c r="K132" s="6">
        <v>70</v>
      </c>
      <c r="L132" s="6">
        <v>0</v>
      </c>
      <c r="M132" s="6">
        <v>0</v>
      </c>
      <c r="N132" s="6">
        <v>0</v>
      </c>
      <c r="O132" s="6">
        <v>0</v>
      </c>
      <c r="P132" s="6">
        <v>1</v>
      </c>
      <c r="Q132" s="4" t="s">
        <v>26</v>
      </c>
      <c r="R132" s="4">
        <v>0</v>
      </c>
      <c r="S132" s="4" t="s">
        <v>153</v>
      </c>
      <c r="U132" s="4">
        <v>15</v>
      </c>
      <c r="V132" s="4">
        <v>0</v>
      </c>
      <c r="W132" s="4">
        <v>0</v>
      </c>
    </row>
    <row r="133" spans="1:23" ht="11.25" customHeight="1" x14ac:dyDescent="0.25">
      <c r="A133" s="4" t="s">
        <v>55</v>
      </c>
      <c r="B133" s="4" t="s">
        <v>38</v>
      </c>
      <c r="C133" s="4" t="s">
        <v>39</v>
      </c>
      <c r="D133" s="4" t="s">
        <v>43</v>
      </c>
      <c r="E133" s="4" t="s">
        <v>25</v>
      </c>
      <c r="F133" s="4" t="s">
        <v>25</v>
      </c>
      <c r="G133" s="4" t="s">
        <v>25</v>
      </c>
      <c r="H133" s="4" t="s">
        <v>25</v>
      </c>
      <c r="I133" s="5">
        <v>44743</v>
      </c>
      <c r="J133" s="6">
        <v>70</v>
      </c>
      <c r="K133" s="6">
        <v>70</v>
      </c>
      <c r="L133" s="6">
        <v>0</v>
      </c>
      <c r="M133" s="6">
        <v>0</v>
      </c>
      <c r="N133" s="6">
        <v>0</v>
      </c>
      <c r="O133" s="6">
        <v>0</v>
      </c>
      <c r="P133" s="6">
        <v>1</v>
      </c>
      <c r="Q133" s="4" t="s">
        <v>26</v>
      </c>
      <c r="R133" s="4">
        <v>0</v>
      </c>
      <c r="S133" s="4" t="s">
        <v>154</v>
      </c>
      <c r="U133" s="4">
        <v>15</v>
      </c>
      <c r="V133" s="4">
        <v>0</v>
      </c>
      <c r="W133" s="4">
        <v>0</v>
      </c>
    </row>
    <row r="134" spans="1:23" ht="11.25" customHeight="1" x14ac:dyDescent="0.25">
      <c r="A134" s="4" t="s">
        <v>21</v>
      </c>
      <c r="B134" s="4" t="s">
        <v>38</v>
      </c>
      <c r="C134" s="4" t="s">
        <v>39</v>
      </c>
      <c r="D134" s="4" t="s">
        <v>43</v>
      </c>
      <c r="E134" s="4" t="s">
        <v>25</v>
      </c>
      <c r="F134" s="4" t="s">
        <v>25</v>
      </c>
      <c r="G134" s="4" t="s">
        <v>25</v>
      </c>
      <c r="H134" s="4" t="s">
        <v>33</v>
      </c>
      <c r="I134" s="5">
        <v>44409</v>
      </c>
      <c r="J134" s="6">
        <v>0</v>
      </c>
      <c r="K134" s="6">
        <v>0</v>
      </c>
      <c r="L134" s="6">
        <v>0.80200000000000005</v>
      </c>
      <c r="M134" s="6">
        <v>0.80200000000000005</v>
      </c>
      <c r="N134" s="6">
        <v>0.80200000000000005</v>
      </c>
      <c r="O134" s="6">
        <v>0.80200000000000005</v>
      </c>
      <c r="P134" s="6">
        <v>0</v>
      </c>
      <c r="Q134" s="4" t="s">
        <v>26</v>
      </c>
      <c r="R134" s="4">
        <v>0</v>
      </c>
      <c r="S134" s="4" t="s">
        <v>155</v>
      </c>
      <c r="T134" s="4" t="s">
        <v>352</v>
      </c>
      <c r="U134" s="4">
        <v>0</v>
      </c>
      <c r="V134" s="4">
        <v>18</v>
      </c>
      <c r="W134" s="4">
        <v>69</v>
      </c>
    </row>
    <row r="135" spans="1:23" ht="11.25" customHeight="1" x14ac:dyDescent="0.25">
      <c r="A135" s="4" t="s">
        <v>21</v>
      </c>
      <c r="B135" s="4" t="s">
        <v>38</v>
      </c>
      <c r="C135" s="4" t="s">
        <v>39</v>
      </c>
      <c r="D135" s="4" t="s">
        <v>43</v>
      </c>
      <c r="E135" s="4" t="s">
        <v>25</v>
      </c>
      <c r="F135" s="4" t="s">
        <v>25</v>
      </c>
      <c r="G135" s="4" t="s">
        <v>25</v>
      </c>
      <c r="H135" s="4" t="s">
        <v>33</v>
      </c>
      <c r="I135" s="5">
        <v>44440</v>
      </c>
      <c r="J135" s="6">
        <v>0</v>
      </c>
      <c r="K135" s="6">
        <v>0</v>
      </c>
      <c r="L135" s="6">
        <v>0.61099999999999999</v>
      </c>
      <c r="M135" s="6">
        <v>0.61099999999999999</v>
      </c>
      <c r="N135" s="6">
        <v>0.61099999999999999</v>
      </c>
      <c r="O135" s="6">
        <v>0.61099999999999999</v>
      </c>
      <c r="P135" s="6">
        <v>0</v>
      </c>
      <c r="Q135" s="4" t="s">
        <v>26</v>
      </c>
      <c r="R135" s="4">
        <v>0</v>
      </c>
      <c r="S135" s="4" t="s">
        <v>156</v>
      </c>
      <c r="T135" s="4" t="s">
        <v>353</v>
      </c>
      <c r="U135" s="4">
        <v>0</v>
      </c>
      <c r="V135" s="4">
        <v>18</v>
      </c>
      <c r="W135" s="4">
        <v>69</v>
      </c>
    </row>
    <row r="136" spans="1:23" ht="11.25" customHeight="1" x14ac:dyDescent="0.25">
      <c r="A136" s="4" t="s">
        <v>21</v>
      </c>
      <c r="B136" s="4" t="s">
        <v>38</v>
      </c>
      <c r="C136" s="4" t="s">
        <v>39</v>
      </c>
      <c r="D136" s="4" t="s">
        <v>43</v>
      </c>
      <c r="E136" s="4" t="s">
        <v>25</v>
      </c>
      <c r="F136" s="4" t="s">
        <v>25</v>
      </c>
      <c r="G136" s="4" t="s">
        <v>25</v>
      </c>
      <c r="H136" s="4" t="s">
        <v>33</v>
      </c>
      <c r="I136" s="5">
        <v>44470</v>
      </c>
      <c r="J136" s="6">
        <v>0</v>
      </c>
      <c r="K136" s="6">
        <v>0</v>
      </c>
      <c r="L136" s="6">
        <v>0.59399999999999997</v>
      </c>
      <c r="M136" s="6">
        <v>0.59399999999999997</v>
      </c>
      <c r="N136" s="6">
        <v>0.59399999999999997</v>
      </c>
      <c r="O136" s="6">
        <v>0.59399999999999997</v>
      </c>
      <c r="P136" s="6">
        <v>0</v>
      </c>
      <c r="Q136" s="4" t="s">
        <v>26</v>
      </c>
      <c r="R136" s="4">
        <v>0</v>
      </c>
      <c r="S136" s="4" t="s">
        <v>157</v>
      </c>
      <c r="T136" s="4" t="s">
        <v>354</v>
      </c>
      <c r="U136" s="4">
        <v>0</v>
      </c>
      <c r="V136" s="4">
        <v>18</v>
      </c>
      <c r="W136" s="4">
        <v>69</v>
      </c>
    </row>
    <row r="137" spans="1:23" ht="11.25" customHeight="1" x14ac:dyDescent="0.25">
      <c r="A137" s="4" t="s">
        <v>21</v>
      </c>
      <c r="B137" s="4" t="s">
        <v>38</v>
      </c>
      <c r="C137" s="4" t="s">
        <v>39</v>
      </c>
      <c r="D137" s="4" t="s">
        <v>43</v>
      </c>
      <c r="E137" s="4" t="s">
        <v>25</v>
      </c>
      <c r="F137" s="4" t="s">
        <v>25</v>
      </c>
      <c r="G137" s="4" t="s">
        <v>25</v>
      </c>
      <c r="H137" s="4" t="s">
        <v>33</v>
      </c>
      <c r="I137" s="5">
        <v>44501</v>
      </c>
      <c r="J137" s="6">
        <v>0</v>
      </c>
      <c r="K137" s="6">
        <v>0</v>
      </c>
      <c r="L137" s="6">
        <v>0.72</v>
      </c>
      <c r="M137" s="6">
        <v>0.72</v>
      </c>
      <c r="N137" s="6">
        <v>0.72</v>
      </c>
      <c r="O137" s="6">
        <v>0.72</v>
      </c>
      <c r="P137" s="6">
        <v>0</v>
      </c>
      <c r="Q137" s="4" t="s">
        <v>26</v>
      </c>
      <c r="R137" s="4">
        <v>0</v>
      </c>
      <c r="S137" s="4" t="s">
        <v>158</v>
      </c>
      <c r="T137" s="4" t="s">
        <v>355</v>
      </c>
      <c r="U137" s="4">
        <v>0</v>
      </c>
      <c r="V137" s="4">
        <v>18</v>
      </c>
      <c r="W137" s="4">
        <v>69</v>
      </c>
    </row>
    <row r="138" spans="1:23" ht="11.25" customHeight="1" x14ac:dyDescent="0.25">
      <c r="A138" s="4" t="s">
        <v>21</v>
      </c>
      <c r="B138" s="4" t="s">
        <v>38</v>
      </c>
      <c r="C138" s="4" t="s">
        <v>39</v>
      </c>
      <c r="D138" s="4" t="s">
        <v>43</v>
      </c>
      <c r="E138" s="4" t="s">
        <v>25</v>
      </c>
      <c r="F138" s="4" t="s">
        <v>25</v>
      </c>
      <c r="G138" s="4" t="s">
        <v>25</v>
      </c>
      <c r="H138" s="4" t="s">
        <v>33</v>
      </c>
      <c r="I138" s="5">
        <v>44531</v>
      </c>
      <c r="J138" s="6">
        <v>0</v>
      </c>
      <c r="K138" s="6">
        <v>0</v>
      </c>
      <c r="L138" s="6">
        <v>0.77300000000000002</v>
      </c>
      <c r="M138" s="6">
        <v>0.77300000000000002</v>
      </c>
      <c r="N138" s="6">
        <v>0.77300000000000002</v>
      </c>
      <c r="O138" s="6">
        <v>0.77300000000000002</v>
      </c>
      <c r="P138" s="6">
        <v>0</v>
      </c>
      <c r="Q138" s="4" t="s">
        <v>26</v>
      </c>
      <c r="R138" s="4">
        <v>0</v>
      </c>
      <c r="S138" s="4" t="s">
        <v>159</v>
      </c>
      <c r="T138" s="4" t="s">
        <v>356</v>
      </c>
      <c r="U138" s="4">
        <v>0</v>
      </c>
      <c r="V138" s="4">
        <v>18</v>
      </c>
      <c r="W138" s="4">
        <v>69</v>
      </c>
    </row>
    <row r="139" spans="1:23" ht="11.25" customHeight="1" x14ac:dyDescent="0.25">
      <c r="A139" s="4" t="s">
        <v>21</v>
      </c>
      <c r="B139" s="4" t="s">
        <v>38</v>
      </c>
      <c r="C139" s="4" t="s">
        <v>39</v>
      </c>
      <c r="D139" s="4" t="s">
        <v>43</v>
      </c>
      <c r="E139" s="4" t="s">
        <v>25</v>
      </c>
      <c r="F139" s="4" t="s">
        <v>25</v>
      </c>
      <c r="G139" s="4" t="s">
        <v>25</v>
      </c>
      <c r="H139" s="4" t="s">
        <v>33</v>
      </c>
      <c r="I139" s="5">
        <v>44562</v>
      </c>
      <c r="J139" s="6">
        <v>0</v>
      </c>
      <c r="K139" s="6">
        <v>0</v>
      </c>
      <c r="L139" s="6">
        <v>0.74099999999999999</v>
      </c>
      <c r="M139" s="6">
        <v>0.74099999999999999</v>
      </c>
      <c r="N139" s="6">
        <v>0.74099999999999999</v>
      </c>
      <c r="O139" s="6">
        <v>0.74099999999999999</v>
      </c>
      <c r="P139" s="6">
        <v>0</v>
      </c>
      <c r="Q139" s="4" t="s">
        <v>26</v>
      </c>
      <c r="R139" s="4">
        <v>0</v>
      </c>
      <c r="S139" s="4" t="s">
        <v>160</v>
      </c>
      <c r="T139" s="4" t="s">
        <v>357</v>
      </c>
      <c r="U139" s="4">
        <v>0</v>
      </c>
      <c r="V139" s="4">
        <v>18</v>
      </c>
      <c r="W139" s="4">
        <v>69</v>
      </c>
    </row>
    <row r="140" spans="1:23" ht="11.25" customHeight="1" x14ac:dyDescent="0.25">
      <c r="A140" s="4" t="s">
        <v>21</v>
      </c>
      <c r="B140" s="4" t="s">
        <v>38</v>
      </c>
      <c r="C140" s="4" t="s">
        <v>39</v>
      </c>
      <c r="D140" s="4" t="s">
        <v>43</v>
      </c>
      <c r="E140" s="4" t="s">
        <v>25</v>
      </c>
      <c r="F140" s="4" t="s">
        <v>25</v>
      </c>
      <c r="G140" s="4" t="s">
        <v>25</v>
      </c>
      <c r="H140" s="4" t="s">
        <v>33</v>
      </c>
      <c r="I140" s="5">
        <v>44593</v>
      </c>
      <c r="J140" s="6">
        <v>0</v>
      </c>
      <c r="K140" s="6">
        <v>0</v>
      </c>
      <c r="L140" s="6">
        <v>0.89</v>
      </c>
      <c r="M140" s="6">
        <v>0.89</v>
      </c>
      <c r="N140" s="6">
        <v>0.89</v>
      </c>
      <c r="O140" s="6">
        <v>0.89</v>
      </c>
      <c r="P140" s="6">
        <v>0</v>
      </c>
      <c r="Q140" s="4" t="s">
        <v>26</v>
      </c>
      <c r="R140" s="4">
        <v>0</v>
      </c>
      <c r="S140" s="4" t="s">
        <v>161</v>
      </c>
      <c r="T140" s="4" t="s">
        <v>358</v>
      </c>
      <c r="U140" s="4">
        <v>0</v>
      </c>
      <c r="V140" s="4">
        <v>18</v>
      </c>
      <c r="W140" s="4">
        <v>69</v>
      </c>
    </row>
    <row r="141" spans="1:23" ht="11.25" customHeight="1" x14ac:dyDescent="0.25">
      <c r="A141" s="4" t="s">
        <v>21</v>
      </c>
      <c r="B141" s="4" t="s">
        <v>38</v>
      </c>
      <c r="C141" s="4" t="s">
        <v>39</v>
      </c>
      <c r="D141" s="4" t="s">
        <v>43</v>
      </c>
      <c r="E141" s="4" t="s">
        <v>25</v>
      </c>
      <c r="F141" s="4" t="s">
        <v>25</v>
      </c>
      <c r="G141" s="4" t="s">
        <v>25</v>
      </c>
      <c r="H141" s="4" t="s">
        <v>33</v>
      </c>
      <c r="I141" s="5">
        <v>44621</v>
      </c>
      <c r="J141" s="6">
        <v>0</v>
      </c>
      <c r="K141" s="6">
        <v>0</v>
      </c>
      <c r="L141" s="6">
        <v>0.70899999999999996</v>
      </c>
      <c r="M141" s="6">
        <v>0.70899999999999996</v>
      </c>
      <c r="N141" s="6">
        <v>0.70899999999999996</v>
      </c>
      <c r="O141" s="6">
        <v>0.70899999999999996</v>
      </c>
      <c r="P141" s="6">
        <v>0</v>
      </c>
      <c r="Q141" s="4" t="s">
        <v>26</v>
      </c>
      <c r="R141" s="4">
        <v>0</v>
      </c>
      <c r="S141" s="4" t="s">
        <v>162</v>
      </c>
      <c r="T141" s="4" t="s">
        <v>359</v>
      </c>
      <c r="U141" s="4">
        <v>0</v>
      </c>
      <c r="V141" s="4">
        <v>18</v>
      </c>
      <c r="W141" s="4">
        <v>69</v>
      </c>
    </row>
    <row r="142" spans="1:23" ht="11.25" customHeight="1" x14ac:dyDescent="0.25">
      <c r="A142" s="4" t="s">
        <v>21</v>
      </c>
      <c r="B142" s="4" t="s">
        <v>38</v>
      </c>
      <c r="C142" s="4" t="s">
        <v>39</v>
      </c>
      <c r="D142" s="4" t="s">
        <v>43</v>
      </c>
      <c r="E142" s="4" t="s">
        <v>25</v>
      </c>
      <c r="F142" s="4" t="s">
        <v>25</v>
      </c>
      <c r="G142" s="4" t="s">
        <v>25</v>
      </c>
      <c r="H142" s="4" t="s">
        <v>33</v>
      </c>
      <c r="I142" s="5">
        <v>44652</v>
      </c>
      <c r="J142" s="6">
        <v>0</v>
      </c>
      <c r="K142" s="6">
        <v>0</v>
      </c>
      <c r="L142" s="6">
        <v>0.49099999999999999</v>
      </c>
      <c r="M142" s="6">
        <v>0.49099999999999999</v>
      </c>
      <c r="N142" s="6">
        <v>0.49099999999999999</v>
      </c>
      <c r="O142" s="6">
        <v>0.49099999999999999</v>
      </c>
      <c r="P142" s="6">
        <v>0</v>
      </c>
      <c r="Q142" s="4" t="s">
        <v>26</v>
      </c>
      <c r="R142" s="4">
        <v>0</v>
      </c>
      <c r="S142" s="4" t="s">
        <v>163</v>
      </c>
      <c r="T142" s="4" t="s">
        <v>360</v>
      </c>
      <c r="U142" s="4">
        <v>0</v>
      </c>
      <c r="V142" s="4">
        <v>18</v>
      </c>
      <c r="W142" s="4">
        <v>69</v>
      </c>
    </row>
    <row r="143" spans="1:23" ht="11.25" customHeight="1" x14ac:dyDescent="0.25">
      <c r="A143" s="4" t="s">
        <v>21</v>
      </c>
      <c r="B143" s="4" t="s">
        <v>38</v>
      </c>
      <c r="C143" s="4" t="s">
        <v>39</v>
      </c>
      <c r="D143" s="4" t="s">
        <v>43</v>
      </c>
      <c r="E143" s="4" t="s">
        <v>25</v>
      </c>
      <c r="F143" s="4" t="s">
        <v>25</v>
      </c>
      <c r="G143" s="4" t="s">
        <v>25</v>
      </c>
      <c r="H143" s="4" t="s">
        <v>33</v>
      </c>
      <c r="I143" s="5">
        <v>44682</v>
      </c>
      <c r="J143" s="6">
        <v>0</v>
      </c>
      <c r="K143" s="6">
        <v>0</v>
      </c>
      <c r="L143" s="6">
        <v>0.73699999999999999</v>
      </c>
      <c r="M143" s="6">
        <v>0.73699999999999999</v>
      </c>
      <c r="N143" s="6">
        <v>0.73699999999999999</v>
      </c>
      <c r="O143" s="6">
        <v>0.73699999999999999</v>
      </c>
      <c r="P143" s="6">
        <v>0</v>
      </c>
      <c r="Q143" s="4" t="s">
        <v>26</v>
      </c>
      <c r="R143" s="4">
        <v>0</v>
      </c>
      <c r="S143" s="4" t="s">
        <v>164</v>
      </c>
      <c r="T143" s="4" t="s">
        <v>361</v>
      </c>
      <c r="U143" s="4">
        <v>0</v>
      </c>
      <c r="V143" s="4">
        <v>18</v>
      </c>
      <c r="W143" s="4">
        <v>69</v>
      </c>
    </row>
    <row r="144" spans="1:23" ht="11.25" customHeight="1" x14ac:dyDescent="0.25">
      <c r="A144" s="4" t="s">
        <v>21</v>
      </c>
      <c r="B144" s="4" t="s">
        <v>38</v>
      </c>
      <c r="C144" s="4" t="s">
        <v>39</v>
      </c>
      <c r="D144" s="4" t="s">
        <v>43</v>
      </c>
      <c r="E144" s="4" t="s">
        <v>25</v>
      </c>
      <c r="F144" s="4" t="s">
        <v>25</v>
      </c>
      <c r="G144" s="4" t="s">
        <v>25</v>
      </c>
      <c r="H144" s="4" t="s">
        <v>33</v>
      </c>
      <c r="I144" s="5">
        <v>44713</v>
      </c>
      <c r="J144" s="6">
        <v>0</v>
      </c>
      <c r="K144" s="6">
        <v>0</v>
      </c>
      <c r="L144" s="6">
        <v>0.69099999999999995</v>
      </c>
      <c r="M144" s="6">
        <v>0.69099999999999995</v>
      </c>
      <c r="N144" s="6">
        <v>0.69099999999999995</v>
      </c>
      <c r="O144" s="6">
        <v>0.69099999999999995</v>
      </c>
      <c r="P144" s="6">
        <v>0</v>
      </c>
      <c r="Q144" s="4" t="s">
        <v>26</v>
      </c>
      <c r="R144" s="4">
        <v>0</v>
      </c>
      <c r="S144" s="4" t="s">
        <v>165</v>
      </c>
      <c r="T144" s="4" t="s">
        <v>362</v>
      </c>
      <c r="U144" s="4">
        <v>0</v>
      </c>
      <c r="V144" s="4">
        <v>18</v>
      </c>
      <c r="W144" s="4">
        <v>69</v>
      </c>
    </row>
    <row r="145" spans="1:23" ht="11.25" customHeight="1" x14ac:dyDescent="0.25">
      <c r="A145" s="4" t="s">
        <v>55</v>
      </c>
      <c r="B145" s="4" t="s">
        <v>38</v>
      </c>
      <c r="C145" s="4" t="s">
        <v>39</v>
      </c>
      <c r="D145" s="4" t="s">
        <v>43</v>
      </c>
      <c r="E145" s="4" t="s">
        <v>25</v>
      </c>
      <c r="F145" s="4" t="s">
        <v>25</v>
      </c>
      <c r="G145" s="4" t="s">
        <v>25</v>
      </c>
      <c r="H145" s="4" t="s">
        <v>33</v>
      </c>
      <c r="I145" s="5">
        <v>44743</v>
      </c>
      <c r="J145" s="6">
        <v>0</v>
      </c>
      <c r="K145" s="6">
        <v>0</v>
      </c>
      <c r="L145" s="6">
        <v>0.69099999999999995</v>
      </c>
      <c r="M145" s="6">
        <v>0.69099999999999995</v>
      </c>
      <c r="N145" s="6">
        <v>0.69099999999999995</v>
      </c>
      <c r="O145" s="6">
        <v>0.69099999999999995</v>
      </c>
      <c r="P145" s="6">
        <v>0</v>
      </c>
      <c r="Q145" s="4" t="s">
        <v>26</v>
      </c>
      <c r="R145" s="4">
        <v>0</v>
      </c>
      <c r="S145" s="4" t="s">
        <v>166</v>
      </c>
      <c r="T145" s="4" t="s">
        <v>363</v>
      </c>
      <c r="U145" s="4">
        <v>0</v>
      </c>
      <c r="V145" s="4">
        <v>18</v>
      </c>
      <c r="W145" s="4">
        <v>69</v>
      </c>
    </row>
    <row r="146" spans="1:23" ht="11.25" customHeight="1" x14ac:dyDescent="0.25">
      <c r="A146" s="4" t="s">
        <v>21</v>
      </c>
      <c r="B146" s="4" t="s">
        <v>38</v>
      </c>
      <c r="C146" s="4" t="s">
        <v>39</v>
      </c>
      <c r="D146" s="4" t="s">
        <v>47</v>
      </c>
      <c r="E146" s="4" t="s">
        <v>48</v>
      </c>
      <c r="F146" s="4" t="s">
        <v>25</v>
      </c>
      <c r="G146" s="4" t="s">
        <v>25</v>
      </c>
      <c r="H146" s="4" t="s">
        <v>34</v>
      </c>
      <c r="I146" s="5">
        <v>44409</v>
      </c>
      <c r="J146" s="6">
        <v>0</v>
      </c>
      <c r="K146" s="6">
        <v>0</v>
      </c>
      <c r="L146" s="6">
        <v>91.888999999999996</v>
      </c>
      <c r="M146" s="6">
        <v>86.375659999999996</v>
      </c>
      <c r="N146" s="6">
        <v>91.888999999999996</v>
      </c>
      <c r="O146" s="6">
        <v>86.375659999999996</v>
      </c>
      <c r="P146" s="6">
        <v>0</v>
      </c>
      <c r="Q146" s="4" t="s">
        <v>26</v>
      </c>
      <c r="R146" s="4">
        <v>0</v>
      </c>
      <c r="S146" s="4" t="s">
        <v>131</v>
      </c>
      <c r="T146" s="4" t="s">
        <v>336</v>
      </c>
      <c r="U146" s="4">
        <v>0</v>
      </c>
      <c r="V146" s="4">
        <v>21</v>
      </c>
      <c r="W146" s="4">
        <v>70</v>
      </c>
    </row>
    <row r="147" spans="1:23" ht="11.25" customHeight="1" x14ac:dyDescent="0.25">
      <c r="A147" s="4" t="s">
        <v>21</v>
      </c>
      <c r="B147" s="4" t="s">
        <v>38</v>
      </c>
      <c r="C147" s="4" t="s">
        <v>39</v>
      </c>
      <c r="D147" s="4" t="s">
        <v>47</v>
      </c>
      <c r="E147" s="4" t="s">
        <v>48</v>
      </c>
      <c r="F147" s="4" t="s">
        <v>25</v>
      </c>
      <c r="G147" s="4" t="s">
        <v>25</v>
      </c>
      <c r="H147" s="4" t="s">
        <v>34</v>
      </c>
      <c r="I147" s="5">
        <v>44440</v>
      </c>
      <c r="J147" s="6">
        <v>0</v>
      </c>
      <c r="K147" s="6">
        <v>0</v>
      </c>
      <c r="L147" s="6">
        <v>105.346</v>
      </c>
      <c r="M147" s="6">
        <v>99.025239999999997</v>
      </c>
      <c r="N147" s="6">
        <v>105.346</v>
      </c>
      <c r="O147" s="6">
        <v>99.025239999999997</v>
      </c>
      <c r="P147" s="6">
        <v>0</v>
      </c>
      <c r="Q147" s="4" t="s">
        <v>26</v>
      </c>
      <c r="R147" s="4">
        <v>0</v>
      </c>
      <c r="S147" s="4" t="s">
        <v>132</v>
      </c>
      <c r="T147" s="4" t="s">
        <v>337</v>
      </c>
      <c r="U147" s="4">
        <v>0</v>
      </c>
      <c r="V147" s="4">
        <v>21</v>
      </c>
      <c r="W147" s="4">
        <v>70</v>
      </c>
    </row>
    <row r="148" spans="1:23" ht="11.25" customHeight="1" x14ac:dyDescent="0.25">
      <c r="A148" s="4" t="s">
        <v>21</v>
      </c>
      <c r="B148" s="4" t="s">
        <v>38</v>
      </c>
      <c r="C148" s="4" t="s">
        <v>39</v>
      </c>
      <c r="D148" s="4" t="s">
        <v>47</v>
      </c>
      <c r="E148" s="4" t="s">
        <v>48</v>
      </c>
      <c r="F148" s="4" t="s">
        <v>25</v>
      </c>
      <c r="G148" s="4" t="s">
        <v>25</v>
      </c>
      <c r="H148" s="4" t="s">
        <v>34</v>
      </c>
      <c r="I148" s="5">
        <v>44470</v>
      </c>
      <c r="J148" s="6">
        <v>0</v>
      </c>
      <c r="K148" s="6">
        <v>0</v>
      </c>
      <c r="L148" s="6">
        <v>91.350999999999999</v>
      </c>
      <c r="M148" s="6">
        <v>85.86994</v>
      </c>
      <c r="N148" s="6">
        <v>91.350999999999999</v>
      </c>
      <c r="O148" s="6">
        <v>85.86994</v>
      </c>
      <c r="P148" s="6">
        <v>0</v>
      </c>
      <c r="Q148" s="4" t="s">
        <v>26</v>
      </c>
      <c r="R148" s="4">
        <v>0</v>
      </c>
      <c r="S148" s="4" t="s">
        <v>133</v>
      </c>
      <c r="T148" s="4" t="s">
        <v>338</v>
      </c>
      <c r="U148" s="4">
        <v>0</v>
      </c>
      <c r="V148" s="4">
        <v>21</v>
      </c>
      <c r="W148" s="4">
        <v>70</v>
      </c>
    </row>
    <row r="149" spans="1:23" ht="11.25" customHeight="1" x14ac:dyDescent="0.25">
      <c r="A149" s="4" t="s">
        <v>21</v>
      </c>
      <c r="B149" s="4" t="s">
        <v>38</v>
      </c>
      <c r="C149" s="4" t="s">
        <v>39</v>
      </c>
      <c r="D149" s="4" t="s">
        <v>47</v>
      </c>
      <c r="E149" s="4" t="s">
        <v>48</v>
      </c>
      <c r="F149" s="4" t="s">
        <v>25</v>
      </c>
      <c r="G149" s="4" t="s">
        <v>25</v>
      </c>
      <c r="H149" s="4" t="s">
        <v>34</v>
      </c>
      <c r="I149" s="5">
        <v>44501</v>
      </c>
      <c r="J149" s="6">
        <v>0</v>
      </c>
      <c r="K149" s="6">
        <v>0</v>
      </c>
      <c r="L149" s="6">
        <v>104.70699999999999</v>
      </c>
      <c r="M149" s="6">
        <v>98.424580000000006</v>
      </c>
      <c r="N149" s="6">
        <v>104.70699999999999</v>
      </c>
      <c r="O149" s="6">
        <v>98.424580000000006</v>
      </c>
      <c r="P149" s="6">
        <v>0</v>
      </c>
      <c r="Q149" s="4" t="s">
        <v>26</v>
      </c>
      <c r="R149" s="4">
        <v>0</v>
      </c>
      <c r="S149" s="4" t="s">
        <v>134</v>
      </c>
      <c r="T149" s="4" t="s">
        <v>339</v>
      </c>
      <c r="U149" s="4">
        <v>0</v>
      </c>
      <c r="V149" s="4">
        <v>21</v>
      </c>
      <c r="W149" s="4">
        <v>70</v>
      </c>
    </row>
    <row r="150" spans="1:23" ht="11.25" customHeight="1" x14ac:dyDescent="0.25">
      <c r="A150" s="4" t="s">
        <v>21</v>
      </c>
      <c r="B150" s="4" t="s">
        <v>38</v>
      </c>
      <c r="C150" s="4" t="s">
        <v>39</v>
      </c>
      <c r="D150" s="4" t="s">
        <v>47</v>
      </c>
      <c r="E150" s="4" t="s">
        <v>48</v>
      </c>
      <c r="F150" s="4" t="s">
        <v>25</v>
      </c>
      <c r="G150" s="4" t="s">
        <v>25</v>
      </c>
      <c r="H150" s="4" t="s">
        <v>34</v>
      </c>
      <c r="I150" s="5">
        <v>44531</v>
      </c>
      <c r="J150" s="6">
        <v>0</v>
      </c>
      <c r="K150" s="6">
        <v>0</v>
      </c>
      <c r="L150" s="6">
        <v>120.598</v>
      </c>
      <c r="M150" s="6">
        <v>113.36212</v>
      </c>
      <c r="N150" s="6">
        <v>120.598</v>
      </c>
      <c r="O150" s="6">
        <v>113.36212</v>
      </c>
      <c r="P150" s="6">
        <v>0</v>
      </c>
      <c r="Q150" s="4" t="s">
        <v>26</v>
      </c>
      <c r="R150" s="4">
        <v>0</v>
      </c>
      <c r="S150" s="4" t="s">
        <v>135</v>
      </c>
      <c r="T150" s="4" t="s">
        <v>340</v>
      </c>
      <c r="U150" s="4">
        <v>0</v>
      </c>
      <c r="V150" s="4">
        <v>21</v>
      </c>
      <c r="W150" s="4">
        <v>70</v>
      </c>
    </row>
    <row r="151" spans="1:23" ht="11.25" customHeight="1" x14ac:dyDescent="0.25">
      <c r="A151" s="4" t="s">
        <v>21</v>
      </c>
      <c r="B151" s="4" t="s">
        <v>38</v>
      </c>
      <c r="C151" s="4" t="s">
        <v>39</v>
      </c>
      <c r="D151" s="4" t="s">
        <v>47</v>
      </c>
      <c r="E151" s="4" t="s">
        <v>48</v>
      </c>
      <c r="F151" s="4" t="s">
        <v>25</v>
      </c>
      <c r="G151" s="4" t="s">
        <v>25</v>
      </c>
      <c r="H151" s="4" t="s">
        <v>34</v>
      </c>
      <c r="I151" s="5">
        <v>44562</v>
      </c>
      <c r="J151" s="6">
        <v>0</v>
      </c>
      <c r="K151" s="6">
        <v>0</v>
      </c>
      <c r="L151" s="6">
        <v>111.91200000000001</v>
      </c>
      <c r="M151" s="6">
        <v>105.19728000000001</v>
      </c>
      <c r="N151" s="6">
        <v>111.91200000000001</v>
      </c>
      <c r="O151" s="6">
        <v>105.19728000000001</v>
      </c>
      <c r="P151" s="6">
        <v>0</v>
      </c>
      <c r="Q151" s="4" t="s">
        <v>26</v>
      </c>
      <c r="R151" s="4">
        <v>0</v>
      </c>
      <c r="S151" s="4" t="s">
        <v>136</v>
      </c>
      <c r="T151" s="4" t="s">
        <v>341</v>
      </c>
      <c r="U151" s="4">
        <v>0</v>
      </c>
      <c r="V151" s="4">
        <v>21</v>
      </c>
      <c r="W151" s="4">
        <v>70</v>
      </c>
    </row>
    <row r="152" spans="1:23" ht="11.25" customHeight="1" x14ac:dyDescent="0.25">
      <c r="A152" s="4" t="s">
        <v>21</v>
      </c>
      <c r="B152" s="4" t="s">
        <v>38</v>
      </c>
      <c r="C152" s="4" t="s">
        <v>39</v>
      </c>
      <c r="D152" s="4" t="s">
        <v>47</v>
      </c>
      <c r="E152" s="4" t="s">
        <v>48</v>
      </c>
      <c r="F152" s="4" t="s">
        <v>25</v>
      </c>
      <c r="G152" s="4" t="s">
        <v>25</v>
      </c>
      <c r="H152" s="4" t="s">
        <v>34</v>
      </c>
      <c r="I152" s="5">
        <v>44593</v>
      </c>
      <c r="J152" s="6">
        <v>0</v>
      </c>
      <c r="K152" s="6">
        <v>0</v>
      </c>
      <c r="L152" s="6">
        <v>101.56</v>
      </c>
      <c r="M152" s="6">
        <v>95.466399999999993</v>
      </c>
      <c r="N152" s="6">
        <v>101.56</v>
      </c>
      <c r="O152" s="6">
        <v>95.466399999999993</v>
      </c>
      <c r="P152" s="6">
        <v>0</v>
      </c>
      <c r="Q152" s="4" t="s">
        <v>26</v>
      </c>
      <c r="R152" s="4">
        <v>0</v>
      </c>
      <c r="S152" s="4" t="s">
        <v>137</v>
      </c>
      <c r="T152" s="4" t="s">
        <v>342</v>
      </c>
      <c r="U152" s="4">
        <v>0</v>
      </c>
      <c r="V152" s="4">
        <v>21</v>
      </c>
      <c r="W152" s="4">
        <v>70</v>
      </c>
    </row>
    <row r="153" spans="1:23" ht="11.25" customHeight="1" x14ac:dyDescent="0.25">
      <c r="A153" s="4" t="s">
        <v>21</v>
      </c>
      <c r="B153" s="4" t="s">
        <v>38</v>
      </c>
      <c r="C153" s="4" t="s">
        <v>39</v>
      </c>
      <c r="D153" s="4" t="s">
        <v>47</v>
      </c>
      <c r="E153" s="4" t="s">
        <v>48</v>
      </c>
      <c r="F153" s="4" t="s">
        <v>25</v>
      </c>
      <c r="G153" s="4" t="s">
        <v>25</v>
      </c>
      <c r="H153" s="4" t="s">
        <v>34</v>
      </c>
      <c r="I153" s="5">
        <v>44621</v>
      </c>
      <c r="J153" s="6">
        <v>0</v>
      </c>
      <c r="K153" s="6">
        <v>0</v>
      </c>
      <c r="L153" s="6">
        <v>116.85</v>
      </c>
      <c r="M153" s="6">
        <v>109.839</v>
      </c>
      <c r="N153" s="6">
        <v>116.85</v>
      </c>
      <c r="O153" s="6">
        <v>109.839</v>
      </c>
      <c r="P153" s="6">
        <v>0</v>
      </c>
      <c r="Q153" s="4" t="s">
        <v>26</v>
      </c>
      <c r="R153" s="4">
        <v>0</v>
      </c>
      <c r="S153" s="4" t="s">
        <v>138</v>
      </c>
      <c r="T153" s="4" t="s">
        <v>343</v>
      </c>
      <c r="U153" s="4">
        <v>0</v>
      </c>
      <c r="V153" s="4">
        <v>21</v>
      </c>
      <c r="W153" s="4">
        <v>70</v>
      </c>
    </row>
    <row r="154" spans="1:23" ht="11.25" customHeight="1" x14ac:dyDescent="0.25">
      <c r="A154" s="4" t="s">
        <v>21</v>
      </c>
      <c r="B154" s="4" t="s">
        <v>38</v>
      </c>
      <c r="C154" s="4" t="s">
        <v>39</v>
      </c>
      <c r="D154" s="4" t="s">
        <v>47</v>
      </c>
      <c r="E154" s="4" t="s">
        <v>48</v>
      </c>
      <c r="F154" s="4" t="s">
        <v>25</v>
      </c>
      <c r="G154" s="4" t="s">
        <v>25</v>
      </c>
      <c r="H154" s="4" t="s">
        <v>34</v>
      </c>
      <c r="I154" s="5">
        <v>44652</v>
      </c>
      <c r="J154" s="6">
        <v>0</v>
      </c>
      <c r="K154" s="6">
        <v>0</v>
      </c>
      <c r="L154" s="6">
        <v>105.839</v>
      </c>
      <c r="M154" s="6">
        <v>99.488659999999996</v>
      </c>
      <c r="N154" s="6">
        <v>105.839</v>
      </c>
      <c r="O154" s="6">
        <v>99.488659999999996</v>
      </c>
      <c r="P154" s="6">
        <v>0</v>
      </c>
      <c r="Q154" s="4" t="s">
        <v>26</v>
      </c>
      <c r="R154" s="4">
        <v>0</v>
      </c>
      <c r="S154" s="4" t="s">
        <v>139</v>
      </c>
      <c r="T154" s="4" t="s">
        <v>344</v>
      </c>
      <c r="U154" s="4">
        <v>0</v>
      </c>
      <c r="V154" s="4">
        <v>21</v>
      </c>
      <c r="W154" s="4">
        <v>70</v>
      </c>
    </row>
    <row r="155" spans="1:23" ht="11.25" customHeight="1" x14ac:dyDescent="0.25">
      <c r="A155" s="4" t="s">
        <v>21</v>
      </c>
      <c r="B155" s="4" t="s">
        <v>38</v>
      </c>
      <c r="C155" s="4" t="s">
        <v>39</v>
      </c>
      <c r="D155" s="4" t="s">
        <v>47</v>
      </c>
      <c r="E155" s="4" t="s">
        <v>48</v>
      </c>
      <c r="F155" s="4" t="s">
        <v>25</v>
      </c>
      <c r="G155" s="4" t="s">
        <v>25</v>
      </c>
      <c r="H155" s="4" t="s">
        <v>34</v>
      </c>
      <c r="I155" s="5">
        <v>44682</v>
      </c>
      <c r="J155" s="6">
        <v>0</v>
      </c>
      <c r="K155" s="6">
        <v>0</v>
      </c>
      <c r="L155" s="6">
        <v>110.95099999999999</v>
      </c>
      <c r="M155" s="6">
        <v>104.29394000000001</v>
      </c>
      <c r="N155" s="6">
        <v>110.95099999999999</v>
      </c>
      <c r="O155" s="6">
        <v>104.29394000000001</v>
      </c>
      <c r="P155" s="6">
        <v>0</v>
      </c>
      <c r="Q155" s="4" t="s">
        <v>26</v>
      </c>
      <c r="R155" s="4">
        <v>0</v>
      </c>
      <c r="S155" s="4" t="s">
        <v>140</v>
      </c>
      <c r="T155" s="4" t="s">
        <v>345</v>
      </c>
      <c r="U155" s="4">
        <v>0</v>
      </c>
      <c r="V155" s="4">
        <v>21</v>
      </c>
      <c r="W155" s="4">
        <v>70</v>
      </c>
    </row>
    <row r="156" spans="1:23" ht="11.25" customHeight="1" x14ac:dyDescent="0.25">
      <c r="A156" s="4" t="s">
        <v>21</v>
      </c>
      <c r="B156" s="4" t="s">
        <v>38</v>
      </c>
      <c r="C156" s="4" t="s">
        <v>39</v>
      </c>
      <c r="D156" s="4" t="s">
        <v>47</v>
      </c>
      <c r="E156" s="4" t="s">
        <v>48</v>
      </c>
      <c r="F156" s="4" t="s">
        <v>25</v>
      </c>
      <c r="G156" s="4" t="s">
        <v>25</v>
      </c>
      <c r="H156" s="4" t="s">
        <v>34</v>
      </c>
      <c r="I156" s="5">
        <v>44713</v>
      </c>
      <c r="J156" s="6">
        <v>0</v>
      </c>
      <c r="K156" s="6">
        <v>0</v>
      </c>
      <c r="L156" s="6">
        <v>106.52</v>
      </c>
      <c r="M156" s="6">
        <v>100.1288</v>
      </c>
      <c r="N156" s="6">
        <v>106.52</v>
      </c>
      <c r="O156" s="6">
        <v>100.1288</v>
      </c>
      <c r="P156" s="6">
        <v>0</v>
      </c>
      <c r="Q156" s="4" t="s">
        <v>26</v>
      </c>
      <c r="R156" s="4">
        <v>0</v>
      </c>
      <c r="S156" s="4" t="s">
        <v>141</v>
      </c>
      <c r="T156" s="4" t="s">
        <v>346</v>
      </c>
      <c r="U156" s="4">
        <v>0</v>
      </c>
      <c r="V156" s="4">
        <v>21</v>
      </c>
      <c r="W156" s="4">
        <v>70</v>
      </c>
    </row>
    <row r="157" spans="1:23" ht="11.25" customHeight="1" x14ac:dyDescent="0.25">
      <c r="A157" s="4" t="s">
        <v>55</v>
      </c>
      <c r="B157" s="4" t="s">
        <v>38</v>
      </c>
      <c r="C157" s="4" t="s">
        <v>39</v>
      </c>
      <c r="D157" s="4" t="s">
        <v>47</v>
      </c>
      <c r="E157" s="4" t="s">
        <v>48</v>
      </c>
      <c r="F157" s="4" t="s">
        <v>25</v>
      </c>
      <c r="G157" s="4" t="s">
        <v>25</v>
      </c>
      <c r="H157" s="4" t="s">
        <v>34</v>
      </c>
      <c r="I157" s="5">
        <v>44743</v>
      </c>
      <c r="J157" s="6">
        <v>0</v>
      </c>
      <c r="K157" s="6">
        <v>0</v>
      </c>
      <c r="L157" s="6">
        <v>106.52</v>
      </c>
      <c r="M157" s="6">
        <v>100.1288</v>
      </c>
      <c r="N157" s="6">
        <v>106.52</v>
      </c>
      <c r="O157" s="6">
        <v>100.1288</v>
      </c>
      <c r="P157" s="6">
        <v>0</v>
      </c>
      <c r="Q157" s="4" t="s">
        <v>26</v>
      </c>
      <c r="R157" s="4">
        <v>0</v>
      </c>
      <c r="S157" s="4" t="s">
        <v>142</v>
      </c>
      <c r="T157" s="4" t="s">
        <v>347</v>
      </c>
      <c r="U157" s="4">
        <v>0</v>
      </c>
      <c r="V157" s="4">
        <v>21</v>
      </c>
      <c r="W157" s="4">
        <v>70</v>
      </c>
    </row>
    <row r="158" spans="1:23" ht="11.25" customHeight="1" x14ac:dyDescent="0.25">
      <c r="A158" s="4" t="s">
        <v>21</v>
      </c>
      <c r="B158" s="4" t="s">
        <v>38</v>
      </c>
      <c r="C158" s="4" t="s">
        <v>39</v>
      </c>
      <c r="D158" s="4" t="s">
        <v>47</v>
      </c>
      <c r="E158" s="4" t="s">
        <v>48</v>
      </c>
      <c r="F158" s="4" t="s">
        <v>25</v>
      </c>
      <c r="G158" s="4" t="s">
        <v>25</v>
      </c>
      <c r="H158" s="4" t="s">
        <v>25</v>
      </c>
      <c r="I158" s="5">
        <v>44409</v>
      </c>
      <c r="J158" s="6">
        <v>244</v>
      </c>
      <c r="K158" s="6">
        <v>229.35999999999999</v>
      </c>
      <c r="L158" s="6">
        <v>0</v>
      </c>
      <c r="M158" s="6">
        <v>0</v>
      </c>
      <c r="N158" s="6">
        <v>0</v>
      </c>
      <c r="O158" s="6">
        <v>0</v>
      </c>
      <c r="P158" s="6">
        <v>2</v>
      </c>
      <c r="Q158" s="4" t="s">
        <v>26</v>
      </c>
      <c r="R158" s="4">
        <v>0</v>
      </c>
      <c r="S158" s="4" t="s">
        <v>143</v>
      </c>
      <c r="U158" s="4">
        <v>15</v>
      </c>
      <c r="V158" s="4">
        <v>0</v>
      </c>
      <c r="W158" s="4">
        <v>0</v>
      </c>
    </row>
    <row r="159" spans="1:23" ht="11.25" customHeight="1" x14ac:dyDescent="0.25">
      <c r="A159" s="4" t="s">
        <v>21</v>
      </c>
      <c r="B159" s="4" t="s">
        <v>38</v>
      </c>
      <c r="C159" s="4" t="s">
        <v>39</v>
      </c>
      <c r="D159" s="4" t="s">
        <v>47</v>
      </c>
      <c r="E159" s="4" t="s">
        <v>48</v>
      </c>
      <c r="F159" s="4" t="s">
        <v>25</v>
      </c>
      <c r="G159" s="4" t="s">
        <v>25</v>
      </c>
      <c r="H159" s="4" t="s">
        <v>25</v>
      </c>
      <c r="I159" s="5">
        <v>44440</v>
      </c>
      <c r="J159" s="6">
        <v>244</v>
      </c>
      <c r="K159" s="6">
        <v>229.36</v>
      </c>
      <c r="L159" s="6">
        <v>0</v>
      </c>
      <c r="M159" s="6">
        <v>0</v>
      </c>
      <c r="N159" s="6">
        <v>0</v>
      </c>
      <c r="O159" s="6">
        <v>0</v>
      </c>
      <c r="P159" s="6">
        <v>2</v>
      </c>
      <c r="Q159" s="4" t="s">
        <v>26</v>
      </c>
      <c r="R159" s="4">
        <v>0</v>
      </c>
      <c r="S159" s="4" t="s">
        <v>144</v>
      </c>
      <c r="U159" s="4">
        <v>15</v>
      </c>
      <c r="V159" s="4">
        <v>0</v>
      </c>
      <c r="W159" s="4">
        <v>0</v>
      </c>
    </row>
    <row r="160" spans="1:23" ht="11.25" customHeight="1" x14ac:dyDescent="0.25">
      <c r="A160" s="4" t="s">
        <v>21</v>
      </c>
      <c r="B160" s="4" t="s">
        <v>38</v>
      </c>
      <c r="C160" s="4" t="s">
        <v>39</v>
      </c>
      <c r="D160" s="4" t="s">
        <v>47</v>
      </c>
      <c r="E160" s="4" t="s">
        <v>48</v>
      </c>
      <c r="F160" s="4" t="s">
        <v>25</v>
      </c>
      <c r="G160" s="4" t="s">
        <v>25</v>
      </c>
      <c r="H160" s="4" t="s">
        <v>25</v>
      </c>
      <c r="I160" s="5">
        <v>44470</v>
      </c>
      <c r="J160" s="6">
        <v>245</v>
      </c>
      <c r="K160" s="6">
        <v>230.3</v>
      </c>
      <c r="L160" s="6">
        <v>0</v>
      </c>
      <c r="M160" s="6">
        <v>0</v>
      </c>
      <c r="N160" s="6">
        <v>0</v>
      </c>
      <c r="O160" s="6">
        <v>0</v>
      </c>
      <c r="P160" s="6">
        <v>2</v>
      </c>
      <c r="Q160" s="4" t="s">
        <v>26</v>
      </c>
      <c r="R160" s="4">
        <v>0</v>
      </c>
      <c r="S160" s="4" t="s">
        <v>145</v>
      </c>
      <c r="U160" s="4">
        <v>15</v>
      </c>
      <c r="V160" s="4">
        <v>0</v>
      </c>
      <c r="W160" s="4">
        <v>0</v>
      </c>
    </row>
    <row r="161" spans="1:23" ht="11.25" customHeight="1" x14ac:dyDescent="0.25">
      <c r="A161" s="4" t="s">
        <v>21</v>
      </c>
      <c r="B161" s="4" t="s">
        <v>38</v>
      </c>
      <c r="C161" s="4" t="s">
        <v>39</v>
      </c>
      <c r="D161" s="4" t="s">
        <v>47</v>
      </c>
      <c r="E161" s="4" t="s">
        <v>48</v>
      </c>
      <c r="F161" s="4" t="s">
        <v>25</v>
      </c>
      <c r="G161" s="4" t="s">
        <v>25</v>
      </c>
      <c r="H161" s="4" t="s">
        <v>25</v>
      </c>
      <c r="I161" s="5">
        <v>44501</v>
      </c>
      <c r="J161" s="6">
        <v>245</v>
      </c>
      <c r="K161" s="6">
        <v>230.3</v>
      </c>
      <c r="L161" s="6">
        <v>0</v>
      </c>
      <c r="M161" s="6">
        <v>0</v>
      </c>
      <c r="N161" s="6">
        <v>0</v>
      </c>
      <c r="O161" s="6">
        <v>0</v>
      </c>
      <c r="P161" s="6">
        <v>2</v>
      </c>
      <c r="Q161" s="4" t="s">
        <v>26</v>
      </c>
      <c r="R161" s="4">
        <v>0</v>
      </c>
      <c r="S161" s="4" t="s">
        <v>146</v>
      </c>
      <c r="U161" s="4">
        <v>15</v>
      </c>
      <c r="V161" s="4">
        <v>0</v>
      </c>
      <c r="W161" s="4">
        <v>0</v>
      </c>
    </row>
    <row r="162" spans="1:23" ht="11.25" customHeight="1" x14ac:dyDescent="0.25">
      <c r="A162" s="4" t="s">
        <v>21</v>
      </c>
      <c r="B162" s="4" t="s">
        <v>38</v>
      </c>
      <c r="C162" s="4" t="s">
        <v>39</v>
      </c>
      <c r="D162" s="4" t="s">
        <v>47</v>
      </c>
      <c r="E162" s="4" t="s">
        <v>48</v>
      </c>
      <c r="F162" s="4" t="s">
        <v>25</v>
      </c>
      <c r="G162" s="4" t="s">
        <v>25</v>
      </c>
      <c r="H162" s="4" t="s">
        <v>25</v>
      </c>
      <c r="I162" s="5">
        <v>44531</v>
      </c>
      <c r="J162" s="6">
        <v>254</v>
      </c>
      <c r="K162" s="6">
        <v>238.76</v>
      </c>
      <c r="L162" s="6">
        <v>0</v>
      </c>
      <c r="M162" s="6">
        <v>0</v>
      </c>
      <c r="N162" s="6">
        <v>0</v>
      </c>
      <c r="O162" s="6">
        <v>0</v>
      </c>
      <c r="P162" s="6">
        <v>2</v>
      </c>
      <c r="Q162" s="4" t="s">
        <v>26</v>
      </c>
      <c r="R162" s="4">
        <v>0</v>
      </c>
      <c r="S162" s="4" t="s">
        <v>147</v>
      </c>
      <c r="U162" s="4">
        <v>15</v>
      </c>
      <c r="V162" s="4">
        <v>0</v>
      </c>
      <c r="W162" s="4">
        <v>0</v>
      </c>
    </row>
    <row r="163" spans="1:23" ht="11.25" customHeight="1" x14ac:dyDescent="0.25">
      <c r="A163" s="4" t="s">
        <v>21</v>
      </c>
      <c r="B163" s="4" t="s">
        <v>38</v>
      </c>
      <c r="C163" s="4" t="s">
        <v>39</v>
      </c>
      <c r="D163" s="4" t="s">
        <v>47</v>
      </c>
      <c r="E163" s="4" t="s">
        <v>48</v>
      </c>
      <c r="F163" s="4" t="s">
        <v>25</v>
      </c>
      <c r="G163" s="4" t="s">
        <v>25</v>
      </c>
      <c r="H163" s="4" t="s">
        <v>25</v>
      </c>
      <c r="I163" s="5">
        <v>44562</v>
      </c>
      <c r="J163" s="6">
        <v>265</v>
      </c>
      <c r="K163" s="6">
        <v>249.1</v>
      </c>
      <c r="L163" s="6">
        <v>0</v>
      </c>
      <c r="M163" s="6">
        <v>0</v>
      </c>
      <c r="N163" s="6">
        <v>0</v>
      </c>
      <c r="O163" s="6">
        <v>0</v>
      </c>
      <c r="P163" s="6">
        <v>2</v>
      </c>
      <c r="Q163" s="4" t="s">
        <v>26</v>
      </c>
      <c r="R163" s="4">
        <v>0</v>
      </c>
      <c r="S163" s="4" t="s">
        <v>148</v>
      </c>
      <c r="U163" s="4">
        <v>15</v>
      </c>
      <c r="V163" s="4">
        <v>0</v>
      </c>
      <c r="W163" s="4">
        <v>0</v>
      </c>
    </row>
    <row r="164" spans="1:23" ht="11.25" customHeight="1" x14ac:dyDescent="0.25">
      <c r="A164" s="4" t="s">
        <v>21</v>
      </c>
      <c r="B164" s="4" t="s">
        <v>38</v>
      </c>
      <c r="C164" s="4" t="s">
        <v>39</v>
      </c>
      <c r="D164" s="4" t="s">
        <v>47</v>
      </c>
      <c r="E164" s="4" t="s">
        <v>48</v>
      </c>
      <c r="F164" s="4" t="s">
        <v>25</v>
      </c>
      <c r="G164" s="4" t="s">
        <v>25</v>
      </c>
      <c r="H164" s="4" t="s">
        <v>25</v>
      </c>
      <c r="I164" s="5">
        <v>44593</v>
      </c>
      <c r="J164" s="6">
        <v>256</v>
      </c>
      <c r="K164" s="6">
        <v>240.64</v>
      </c>
      <c r="L164" s="6">
        <v>0</v>
      </c>
      <c r="M164" s="6">
        <v>0</v>
      </c>
      <c r="N164" s="6">
        <v>0</v>
      </c>
      <c r="O164" s="6">
        <v>0</v>
      </c>
      <c r="P164" s="6">
        <v>2</v>
      </c>
      <c r="Q164" s="4" t="s">
        <v>26</v>
      </c>
      <c r="R164" s="4">
        <v>0</v>
      </c>
      <c r="S164" s="4" t="s">
        <v>149</v>
      </c>
      <c r="U164" s="4">
        <v>15</v>
      </c>
      <c r="V164" s="4">
        <v>0</v>
      </c>
      <c r="W164" s="4">
        <v>0</v>
      </c>
    </row>
    <row r="165" spans="1:23" ht="11.25" customHeight="1" x14ac:dyDescent="0.25">
      <c r="A165" s="4" t="s">
        <v>21</v>
      </c>
      <c r="B165" s="4" t="s">
        <v>38</v>
      </c>
      <c r="C165" s="4" t="s">
        <v>39</v>
      </c>
      <c r="D165" s="4" t="s">
        <v>47</v>
      </c>
      <c r="E165" s="4" t="s">
        <v>48</v>
      </c>
      <c r="F165" s="4" t="s">
        <v>25</v>
      </c>
      <c r="G165" s="4" t="s">
        <v>25</v>
      </c>
      <c r="H165" s="4" t="s">
        <v>25</v>
      </c>
      <c r="I165" s="5">
        <v>44621</v>
      </c>
      <c r="J165" s="6">
        <v>246</v>
      </c>
      <c r="K165" s="6">
        <v>231.24</v>
      </c>
      <c r="L165" s="6">
        <v>0</v>
      </c>
      <c r="M165" s="6">
        <v>0</v>
      </c>
      <c r="N165" s="6">
        <v>0</v>
      </c>
      <c r="O165" s="6">
        <v>0</v>
      </c>
      <c r="P165" s="6">
        <v>2</v>
      </c>
      <c r="Q165" s="4" t="s">
        <v>26</v>
      </c>
      <c r="R165" s="4">
        <v>0</v>
      </c>
      <c r="S165" s="4" t="s">
        <v>150</v>
      </c>
      <c r="U165" s="4">
        <v>15</v>
      </c>
      <c r="V165" s="4">
        <v>0</v>
      </c>
      <c r="W165" s="4">
        <v>0</v>
      </c>
    </row>
    <row r="166" spans="1:23" ht="11.25" customHeight="1" x14ac:dyDescent="0.25">
      <c r="A166" s="4" t="s">
        <v>21</v>
      </c>
      <c r="B166" s="4" t="s">
        <v>38</v>
      </c>
      <c r="C166" s="4" t="s">
        <v>39</v>
      </c>
      <c r="D166" s="4" t="s">
        <v>47</v>
      </c>
      <c r="E166" s="4" t="s">
        <v>48</v>
      </c>
      <c r="F166" s="4" t="s">
        <v>25</v>
      </c>
      <c r="G166" s="4" t="s">
        <v>25</v>
      </c>
      <c r="H166" s="4" t="s">
        <v>25</v>
      </c>
      <c r="I166" s="5">
        <v>44652</v>
      </c>
      <c r="J166" s="6">
        <v>247</v>
      </c>
      <c r="K166" s="6">
        <v>232.18</v>
      </c>
      <c r="L166" s="6">
        <v>0</v>
      </c>
      <c r="M166" s="6">
        <v>0</v>
      </c>
      <c r="N166" s="6">
        <v>0</v>
      </c>
      <c r="O166" s="6">
        <v>0</v>
      </c>
      <c r="P166" s="6">
        <v>2</v>
      </c>
      <c r="Q166" s="4" t="s">
        <v>26</v>
      </c>
      <c r="R166" s="4">
        <v>0</v>
      </c>
      <c r="S166" s="4" t="s">
        <v>151</v>
      </c>
      <c r="U166" s="4">
        <v>15</v>
      </c>
      <c r="V166" s="4">
        <v>0</v>
      </c>
      <c r="W166" s="4">
        <v>0</v>
      </c>
    </row>
    <row r="167" spans="1:23" ht="11.25" customHeight="1" x14ac:dyDescent="0.25">
      <c r="A167" s="4" t="s">
        <v>21</v>
      </c>
      <c r="B167" s="4" t="s">
        <v>38</v>
      </c>
      <c r="C167" s="4" t="s">
        <v>39</v>
      </c>
      <c r="D167" s="4" t="s">
        <v>47</v>
      </c>
      <c r="E167" s="4" t="s">
        <v>48</v>
      </c>
      <c r="F167" s="4" t="s">
        <v>25</v>
      </c>
      <c r="G167" s="4" t="s">
        <v>25</v>
      </c>
      <c r="H167" s="4" t="s">
        <v>25</v>
      </c>
      <c r="I167" s="5">
        <v>44682</v>
      </c>
      <c r="J167" s="6">
        <v>243</v>
      </c>
      <c r="K167" s="6">
        <v>228.42</v>
      </c>
      <c r="L167" s="6">
        <v>0</v>
      </c>
      <c r="M167" s="6">
        <v>0</v>
      </c>
      <c r="N167" s="6">
        <v>0</v>
      </c>
      <c r="O167" s="6">
        <v>0</v>
      </c>
      <c r="P167" s="6">
        <v>2</v>
      </c>
      <c r="Q167" s="4" t="s">
        <v>26</v>
      </c>
      <c r="R167" s="4">
        <v>0</v>
      </c>
      <c r="S167" s="4" t="s">
        <v>152</v>
      </c>
      <c r="U167" s="4">
        <v>15</v>
      </c>
      <c r="V167" s="4">
        <v>0</v>
      </c>
      <c r="W167" s="4">
        <v>0</v>
      </c>
    </row>
    <row r="168" spans="1:23" ht="11.25" customHeight="1" x14ac:dyDescent="0.25">
      <c r="A168" s="4" t="s">
        <v>21</v>
      </c>
      <c r="B168" s="4" t="s">
        <v>38</v>
      </c>
      <c r="C168" s="4" t="s">
        <v>39</v>
      </c>
      <c r="D168" s="4" t="s">
        <v>47</v>
      </c>
      <c r="E168" s="4" t="s">
        <v>48</v>
      </c>
      <c r="F168" s="4" t="s">
        <v>25</v>
      </c>
      <c r="G168" s="4" t="s">
        <v>25</v>
      </c>
      <c r="H168" s="4" t="s">
        <v>25</v>
      </c>
      <c r="I168" s="5">
        <v>44713</v>
      </c>
      <c r="J168" s="6">
        <v>244</v>
      </c>
      <c r="K168" s="6">
        <v>229.36</v>
      </c>
      <c r="L168" s="6">
        <v>0</v>
      </c>
      <c r="M168" s="6">
        <v>0</v>
      </c>
      <c r="N168" s="6">
        <v>0</v>
      </c>
      <c r="O168" s="6">
        <v>0</v>
      </c>
      <c r="P168" s="6">
        <v>2</v>
      </c>
      <c r="Q168" s="4" t="s">
        <v>26</v>
      </c>
      <c r="R168" s="4">
        <v>0</v>
      </c>
      <c r="S168" s="4" t="s">
        <v>153</v>
      </c>
      <c r="U168" s="4">
        <v>15</v>
      </c>
      <c r="V168" s="4">
        <v>0</v>
      </c>
      <c r="W168" s="4">
        <v>0</v>
      </c>
    </row>
    <row r="169" spans="1:23" ht="11.25" customHeight="1" x14ac:dyDescent="0.25">
      <c r="A169" s="4" t="s">
        <v>55</v>
      </c>
      <c r="B169" s="4" t="s">
        <v>38</v>
      </c>
      <c r="C169" s="4" t="s">
        <v>39</v>
      </c>
      <c r="D169" s="4" t="s">
        <v>47</v>
      </c>
      <c r="E169" s="4" t="s">
        <v>48</v>
      </c>
      <c r="F169" s="4" t="s">
        <v>25</v>
      </c>
      <c r="G169" s="4" t="s">
        <v>25</v>
      </c>
      <c r="H169" s="4" t="s">
        <v>25</v>
      </c>
      <c r="I169" s="5">
        <v>44743</v>
      </c>
      <c r="J169" s="6">
        <v>244</v>
      </c>
      <c r="K169" s="6">
        <v>229.36</v>
      </c>
      <c r="L169" s="6">
        <v>0</v>
      </c>
      <c r="M169" s="6">
        <v>0</v>
      </c>
      <c r="N169" s="6">
        <v>0</v>
      </c>
      <c r="O169" s="6">
        <v>0</v>
      </c>
      <c r="P169" s="6">
        <v>2</v>
      </c>
      <c r="Q169" s="4" t="s">
        <v>26</v>
      </c>
      <c r="R169" s="4">
        <v>0</v>
      </c>
      <c r="S169" s="4" t="s">
        <v>154</v>
      </c>
      <c r="U169" s="4">
        <v>15</v>
      </c>
      <c r="V169" s="4">
        <v>0</v>
      </c>
      <c r="W169" s="4">
        <v>0</v>
      </c>
    </row>
    <row r="170" spans="1:23" ht="11.25" customHeight="1" x14ac:dyDescent="0.25">
      <c r="A170" s="4" t="s">
        <v>21</v>
      </c>
      <c r="B170" s="4" t="s">
        <v>38</v>
      </c>
      <c r="C170" s="4" t="s">
        <v>39</v>
      </c>
      <c r="D170" s="4" t="s">
        <v>47</v>
      </c>
      <c r="E170" s="4" t="s">
        <v>48</v>
      </c>
      <c r="F170" s="4" t="s">
        <v>25</v>
      </c>
      <c r="G170" s="4" t="s">
        <v>25</v>
      </c>
      <c r="H170" s="4" t="s">
        <v>33</v>
      </c>
      <c r="I170" s="5">
        <v>44409</v>
      </c>
      <c r="J170" s="6">
        <v>0</v>
      </c>
      <c r="K170" s="6">
        <v>0</v>
      </c>
      <c r="L170" s="6">
        <v>0.41399999999999998</v>
      </c>
      <c r="M170" s="6">
        <v>0.38915999999999995</v>
      </c>
      <c r="N170" s="6">
        <v>0.41399999999999998</v>
      </c>
      <c r="O170" s="6">
        <v>0.38915999999999995</v>
      </c>
      <c r="P170" s="6">
        <v>0</v>
      </c>
      <c r="Q170" s="4" t="s">
        <v>26</v>
      </c>
      <c r="R170" s="4">
        <v>0</v>
      </c>
      <c r="S170" s="4" t="s">
        <v>155</v>
      </c>
      <c r="T170" s="4" t="s">
        <v>352</v>
      </c>
      <c r="U170" s="4">
        <v>0</v>
      </c>
      <c r="V170" s="4">
        <v>18</v>
      </c>
      <c r="W170" s="4">
        <v>69</v>
      </c>
    </row>
    <row r="171" spans="1:23" ht="11.25" customHeight="1" x14ac:dyDescent="0.25">
      <c r="A171" s="4" t="s">
        <v>21</v>
      </c>
      <c r="B171" s="4" t="s">
        <v>38</v>
      </c>
      <c r="C171" s="4" t="s">
        <v>39</v>
      </c>
      <c r="D171" s="4" t="s">
        <v>47</v>
      </c>
      <c r="E171" s="4" t="s">
        <v>48</v>
      </c>
      <c r="F171" s="4" t="s">
        <v>25</v>
      </c>
      <c r="G171" s="4" t="s">
        <v>25</v>
      </c>
      <c r="H171" s="4" t="s">
        <v>33</v>
      </c>
      <c r="I171" s="5">
        <v>44440</v>
      </c>
      <c r="J171" s="6">
        <v>0</v>
      </c>
      <c r="K171" s="6">
        <v>0</v>
      </c>
      <c r="L171" s="6">
        <v>1.6830000000000001</v>
      </c>
      <c r="M171" s="6">
        <v>1.58202</v>
      </c>
      <c r="N171" s="6">
        <v>1.6830000000000001</v>
      </c>
      <c r="O171" s="6">
        <v>1.58202</v>
      </c>
      <c r="P171" s="6">
        <v>0</v>
      </c>
      <c r="Q171" s="4" t="s">
        <v>26</v>
      </c>
      <c r="R171" s="4">
        <v>0</v>
      </c>
      <c r="S171" s="4" t="s">
        <v>156</v>
      </c>
      <c r="T171" s="4" t="s">
        <v>353</v>
      </c>
      <c r="U171" s="4">
        <v>0</v>
      </c>
      <c r="V171" s="4">
        <v>18</v>
      </c>
      <c r="W171" s="4">
        <v>69</v>
      </c>
    </row>
    <row r="172" spans="1:23" ht="11.25" customHeight="1" x14ac:dyDescent="0.25">
      <c r="A172" s="4" t="s">
        <v>21</v>
      </c>
      <c r="B172" s="4" t="s">
        <v>38</v>
      </c>
      <c r="C172" s="4" t="s">
        <v>39</v>
      </c>
      <c r="D172" s="4" t="s">
        <v>47</v>
      </c>
      <c r="E172" s="4" t="s">
        <v>48</v>
      </c>
      <c r="F172" s="4" t="s">
        <v>25</v>
      </c>
      <c r="G172" s="4" t="s">
        <v>25</v>
      </c>
      <c r="H172" s="4" t="s">
        <v>33</v>
      </c>
      <c r="I172" s="5">
        <v>44470</v>
      </c>
      <c r="J172" s="6">
        <v>0</v>
      </c>
      <c r="K172" s="6">
        <v>0</v>
      </c>
      <c r="L172" s="6">
        <v>1.395</v>
      </c>
      <c r="M172" s="6">
        <v>1.3112999999999999</v>
      </c>
      <c r="N172" s="6">
        <v>1.395</v>
      </c>
      <c r="O172" s="6">
        <v>1.3112999999999999</v>
      </c>
      <c r="P172" s="6">
        <v>0</v>
      </c>
      <c r="Q172" s="4" t="s">
        <v>26</v>
      </c>
      <c r="R172" s="4">
        <v>0</v>
      </c>
      <c r="S172" s="4" t="s">
        <v>157</v>
      </c>
      <c r="T172" s="4" t="s">
        <v>354</v>
      </c>
      <c r="U172" s="4">
        <v>0</v>
      </c>
      <c r="V172" s="4">
        <v>18</v>
      </c>
      <c r="W172" s="4">
        <v>69</v>
      </c>
    </row>
    <row r="173" spans="1:23" ht="11.25" customHeight="1" x14ac:dyDescent="0.25">
      <c r="A173" s="4" t="s">
        <v>21</v>
      </c>
      <c r="B173" s="4" t="s">
        <v>38</v>
      </c>
      <c r="C173" s="4" t="s">
        <v>39</v>
      </c>
      <c r="D173" s="4" t="s">
        <v>47</v>
      </c>
      <c r="E173" s="4" t="s">
        <v>48</v>
      </c>
      <c r="F173" s="4" t="s">
        <v>25</v>
      </c>
      <c r="G173" s="4" t="s">
        <v>25</v>
      </c>
      <c r="H173" s="4" t="s">
        <v>33</v>
      </c>
      <c r="I173" s="5">
        <v>44501</v>
      </c>
      <c r="J173" s="6">
        <v>0</v>
      </c>
      <c r="K173" s="6">
        <v>0</v>
      </c>
      <c r="L173" s="6">
        <v>1.407</v>
      </c>
      <c r="M173" s="6">
        <v>1.3225800000000001</v>
      </c>
      <c r="N173" s="6">
        <v>1.407</v>
      </c>
      <c r="O173" s="6">
        <v>1.3225800000000001</v>
      </c>
      <c r="P173" s="6">
        <v>0</v>
      </c>
      <c r="Q173" s="4" t="s">
        <v>26</v>
      </c>
      <c r="R173" s="4">
        <v>0</v>
      </c>
      <c r="S173" s="4" t="s">
        <v>158</v>
      </c>
      <c r="T173" s="4" t="s">
        <v>355</v>
      </c>
      <c r="U173" s="4">
        <v>0</v>
      </c>
      <c r="V173" s="4">
        <v>18</v>
      </c>
      <c r="W173" s="4">
        <v>69</v>
      </c>
    </row>
    <row r="174" spans="1:23" ht="11.25" customHeight="1" x14ac:dyDescent="0.25">
      <c r="A174" s="4" t="s">
        <v>21</v>
      </c>
      <c r="B174" s="4" t="s">
        <v>38</v>
      </c>
      <c r="C174" s="4" t="s">
        <v>39</v>
      </c>
      <c r="D174" s="4" t="s">
        <v>47</v>
      </c>
      <c r="E174" s="4" t="s">
        <v>48</v>
      </c>
      <c r="F174" s="4" t="s">
        <v>25</v>
      </c>
      <c r="G174" s="4" t="s">
        <v>25</v>
      </c>
      <c r="H174" s="4" t="s">
        <v>33</v>
      </c>
      <c r="I174" s="5">
        <v>44531</v>
      </c>
      <c r="J174" s="6">
        <v>0</v>
      </c>
      <c r="K174" s="6">
        <v>0</v>
      </c>
      <c r="L174" s="6">
        <v>1.752</v>
      </c>
      <c r="M174" s="6">
        <v>1.6468799999999999</v>
      </c>
      <c r="N174" s="6">
        <v>1.752</v>
      </c>
      <c r="O174" s="6">
        <v>1.6468799999999999</v>
      </c>
      <c r="P174" s="6">
        <v>0</v>
      </c>
      <c r="Q174" s="4" t="s">
        <v>26</v>
      </c>
      <c r="R174" s="4">
        <v>0</v>
      </c>
      <c r="S174" s="4" t="s">
        <v>159</v>
      </c>
      <c r="T174" s="4" t="s">
        <v>356</v>
      </c>
      <c r="U174" s="4">
        <v>0</v>
      </c>
      <c r="V174" s="4">
        <v>18</v>
      </c>
      <c r="W174" s="4">
        <v>69</v>
      </c>
    </row>
    <row r="175" spans="1:23" ht="11.25" customHeight="1" x14ac:dyDescent="0.25">
      <c r="A175" s="4" t="s">
        <v>21</v>
      </c>
      <c r="B175" s="4" t="s">
        <v>38</v>
      </c>
      <c r="C175" s="4" t="s">
        <v>39</v>
      </c>
      <c r="D175" s="4" t="s">
        <v>47</v>
      </c>
      <c r="E175" s="4" t="s">
        <v>48</v>
      </c>
      <c r="F175" s="4" t="s">
        <v>25</v>
      </c>
      <c r="G175" s="4" t="s">
        <v>25</v>
      </c>
      <c r="H175" s="4" t="s">
        <v>33</v>
      </c>
      <c r="I175" s="5">
        <v>44562</v>
      </c>
      <c r="J175" s="6">
        <v>0</v>
      </c>
      <c r="K175" s="6">
        <v>0</v>
      </c>
      <c r="L175" s="6">
        <v>0.41399999999999998</v>
      </c>
      <c r="M175" s="6">
        <v>0.38916000000000001</v>
      </c>
      <c r="N175" s="6">
        <v>0.41399999999999998</v>
      </c>
      <c r="O175" s="6">
        <v>0.38916000000000001</v>
      </c>
      <c r="P175" s="6">
        <v>0</v>
      </c>
      <c r="Q175" s="4" t="s">
        <v>26</v>
      </c>
      <c r="R175" s="4">
        <v>0</v>
      </c>
      <c r="S175" s="4" t="s">
        <v>160</v>
      </c>
      <c r="T175" s="4" t="s">
        <v>357</v>
      </c>
      <c r="U175" s="4">
        <v>0</v>
      </c>
      <c r="V175" s="4">
        <v>18</v>
      </c>
      <c r="W175" s="4">
        <v>69</v>
      </c>
    </row>
    <row r="176" spans="1:23" ht="11.25" customHeight="1" x14ac:dyDescent="0.25">
      <c r="A176" s="4" t="s">
        <v>21</v>
      </c>
      <c r="B176" s="4" t="s">
        <v>38</v>
      </c>
      <c r="C176" s="4" t="s">
        <v>39</v>
      </c>
      <c r="D176" s="4" t="s">
        <v>47</v>
      </c>
      <c r="E176" s="4" t="s">
        <v>48</v>
      </c>
      <c r="F176" s="4" t="s">
        <v>25</v>
      </c>
      <c r="G176" s="4" t="s">
        <v>25</v>
      </c>
      <c r="H176" s="4" t="s">
        <v>33</v>
      </c>
      <c r="I176" s="5">
        <v>44593</v>
      </c>
      <c r="J176" s="6">
        <v>0</v>
      </c>
      <c r="K176" s="6">
        <v>0</v>
      </c>
      <c r="L176" s="6">
        <v>0.432</v>
      </c>
      <c r="M176" s="6">
        <v>0.40608</v>
      </c>
      <c r="N176" s="6">
        <v>0.432</v>
      </c>
      <c r="O176" s="6">
        <v>0.40608</v>
      </c>
      <c r="P176" s="6">
        <v>0</v>
      </c>
      <c r="Q176" s="4" t="s">
        <v>26</v>
      </c>
      <c r="R176" s="4">
        <v>0</v>
      </c>
      <c r="S176" s="4" t="s">
        <v>161</v>
      </c>
      <c r="T176" s="4" t="s">
        <v>358</v>
      </c>
      <c r="U176" s="4">
        <v>0</v>
      </c>
      <c r="V176" s="4">
        <v>18</v>
      </c>
      <c r="W176" s="4">
        <v>69</v>
      </c>
    </row>
    <row r="177" spans="1:23" ht="11.25" customHeight="1" x14ac:dyDescent="0.25">
      <c r="A177" s="4" t="s">
        <v>21</v>
      </c>
      <c r="B177" s="4" t="s">
        <v>38</v>
      </c>
      <c r="C177" s="4" t="s">
        <v>39</v>
      </c>
      <c r="D177" s="4" t="s">
        <v>47</v>
      </c>
      <c r="E177" s="4" t="s">
        <v>48</v>
      </c>
      <c r="F177" s="4" t="s">
        <v>25</v>
      </c>
      <c r="G177" s="4" t="s">
        <v>25</v>
      </c>
      <c r="H177" s="4" t="s">
        <v>33</v>
      </c>
      <c r="I177" s="5">
        <v>44621</v>
      </c>
      <c r="J177" s="6">
        <v>0</v>
      </c>
      <c r="K177" s="6">
        <v>0</v>
      </c>
      <c r="L177" s="6">
        <v>1.669</v>
      </c>
      <c r="M177" s="6">
        <v>1.5688599999999999</v>
      </c>
      <c r="N177" s="6">
        <v>1.669</v>
      </c>
      <c r="O177" s="6">
        <v>1.5688599999999999</v>
      </c>
      <c r="P177" s="6">
        <v>0</v>
      </c>
      <c r="Q177" s="4" t="s">
        <v>26</v>
      </c>
      <c r="R177" s="4">
        <v>0</v>
      </c>
      <c r="S177" s="4" t="s">
        <v>162</v>
      </c>
      <c r="T177" s="4" t="s">
        <v>359</v>
      </c>
      <c r="U177" s="4">
        <v>0</v>
      </c>
      <c r="V177" s="4">
        <v>18</v>
      </c>
      <c r="W177" s="4">
        <v>69</v>
      </c>
    </row>
    <row r="178" spans="1:23" ht="11.25" customHeight="1" x14ac:dyDescent="0.25">
      <c r="A178" s="4" t="s">
        <v>21</v>
      </c>
      <c r="B178" s="4" t="s">
        <v>38</v>
      </c>
      <c r="C178" s="4" t="s">
        <v>39</v>
      </c>
      <c r="D178" s="4" t="s">
        <v>47</v>
      </c>
      <c r="E178" s="4" t="s">
        <v>48</v>
      </c>
      <c r="F178" s="4" t="s">
        <v>25</v>
      </c>
      <c r="G178" s="4" t="s">
        <v>25</v>
      </c>
      <c r="H178" s="4" t="s">
        <v>33</v>
      </c>
      <c r="I178" s="5">
        <v>44652</v>
      </c>
      <c r="J178" s="6">
        <v>0</v>
      </c>
      <c r="K178" s="6">
        <v>0</v>
      </c>
      <c r="L178" s="6">
        <v>1.6120000000000001</v>
      </c>
      <c r="M178" s="6">
        <v>1.51528</v>
      </c>
      <c r="N178" s="6">
        <v>1.6120000000000001</v>
      </c>
      <c r="O178" s="6">
        <v>1.51528</v>
      </c>
      <c r="P178" s="6">
        <v>0</v>
      </c>
      <c r="Q178" s="4" t="s">
        <v>26</v>
      </c>
      <c r="R178" s="4">
        <v>0</v>
      </c>
      <c r="S178" s="4" t="s">
        <v>163</v>
      </c>
      <c r="T178" s="4" t="s">
        <v>360</v>
      </c>
      <c r="U178" s="4">
        <v>0</v>
      </c>
      <c r="V178" s="4">
        <v>18</v>
      </c>
      <c r="W178" s="4">
        <v>69</v>
      </c>
    </row>
    <row r="179" spans="1:23" ht="11.25" customHeight="1" x14ac:dyDescent="0.25">
      <c r="A179" s="4" t="s">
        <v>21</v>
      </c>
      <c r="B179" s="4" t="s">
        <v>38</v>
      </c>
      <c r="C179" s="4" t="s">
        <v>39</v>
      </c>
      <c r="D179" s="4" t="s">
        <v>47</v>
      </c>
      <c r="E179" s="4" t="s">
        <v>48</v>
      </c>
      <c r="F179" s="4" t="s">
        <v>25</v>
      </c>
      <c r="G179" s="4" t="s">
        <v>25</v>
      </c>
      <c r="H179" s="4" t="s">
        <v>33</v>
      </c>
      <c r="I179" s="5">
        <v>44682</v>
      </c>
      <c r="J179" s="6">
        <v>0</v>
      </c>
      <c r="K179" s="6">
        <v>0</v>
      </c>
      <c r="L179" s="6">
        <v>1.198</v>
      </c>
      <c r="M179" s="6">
        <v>1.12612</v>
      </c>
      <c r="N179" s="6">
        <v>1.198</v>
      </c>
      <c r="O179" s="6">
        <v>1.12612</v>
      </c>
      <c r="P179" s="6">
        <v>0</v>
      </c>
      <c r="Q179" s="4" t="s">
        <v>26</v>
      </c>
      <c r="R179" s="4">
        <v>0</v>
      </c>
      <c r="S179" s="4" t="s">
        <v>164</v>
      </c>
      <c r="T179" s="4" t="s">
        <v>361</v>
      </c>
      <c r="U179" s="4">
        <v>0</v>
      </c>
      <c r="V179" s="4">
        <v>18</v>
      </c>
      <c r="W179" s="4">
        <v>69</v>
      </c>
    </row>
    <row r="180" spans="1:23" ht="11.25" customHeight="1" x14ac:dyDescent="0.25">
      <c r="A180" s="4" t="s">
        <v>21</v>
      </c>
      <c r="B180" s="4" t="s">
        <v>38</v>
      </c>
      <c r="C180" s="4" t="s">
        <v>39</v>
      </c>
      <c r="D180" s="4" t="s">
        <v>47</v>
      </c>
      <c r="E180" s="4" t="s">
        <v>48</v>
      </c>
      <c r="F180" s="4" t="s">
        <v>25</v>
      </c>
      <c r="G180" s="4" t="s">
        <v>25</v>
      </c>
      <c r="H180" s="4" t="s">
        <v>33</v>
      </c>
      <c r="I180" s="5">
        <v>44713</v>
      </c>
      <c r="J180" s="6">
        <v>0</v>
      </c>
      <c r="K180" s="6">
        <v>0</v>
      </c>
      <c r="L180" s="6">
        <v>1.851</v>
      </c>
      <c r="M180" s="6">
        <v>1.73994</v>
      </c>
      <c r="N180" s="6">
        <v>1.851</v>
      </c>
      <c r="O180" s="6">
        <v>1.73994</v>
      </c>
      <c r="P180" s="6">
        <v>0</v>
      </c>
      <c r="Q180" s="4" t="s">
        <v>26</v>
      </c>
      <c r="R180" s="4">
        <v>0</v>
      </c>
      <c r="S180" s="4" t="s">
        <v>165</v>
      </c>
      <c r="T180" s="4" t="s">
        <v>362</v>
      </c>
      <c r="U180" s="4">
        <v>0</v>
      </c>
      <c r="V180" s="4">
        <v>18</v>
      </c>
      <c r="W180" s="4">
        <v>69</v>
      </c>
    </row>
    <row r="181" spans="1:23" ht="11.25" customHeight="1" x14ac:dyDescent="0.25">
      <c r="A181" s="4" t="s">
        <v>55</v>
      </c>
      <c r="B181" s="4" t="s">
        <v>38</v>
      </c>
      <c r="C181" s="4" t="s">
        <v>39</v>
      </c>
      <c r="D181" s="4" t="s">
        <v>47</v>
      </c>
      <c r="E181" s="4" t="s">
        <v>48</v>
      </c>
      <c r="F181" s="4" t="s">
        <v>25</v>
      </c>
      <c r="G181" s="4" t="s">
        <v>25</v>
      </c>
      <c r="H181" s="4" t="s">
        <v>33</v>
      </c>
      <c r="I181" s="5">
        <v>44743</v>
      </c>
      <c r="J181" s="6">
        <v>0</v>
      </c>
      <c r="K181" s="6">
        <v>0</v>
      </c>
      <c r="L181" s="6">
        <v>1.851</v>
      </c>
      <c r="M181" s="6">
        <v>1.73994</v>
      </c>
      <c r="N181" s="6">
        <v>1.851</v>
      </c>
      <c r="O181" s="6">
        <v>1.73994</v>
      </c>
      <c r="P181" s="6">
        <v>0</v>
      </c>
      <c r="Q181" s="4" t="s">
        <v>26</v>
      </c>
      <c r="R181" s="4">
        <v>0</v>
      </c>
      <c r="S181" s="4" t="s">
        <v>166</v>
      </c>
      <c r="T181" s="4" t="s">
        <v>363</v>
      </c>
      <c r="U181" s="4">
        <v>0</v>
      </c>
      <c r="V181" s="4">
        <v>18</v>
      </c>
      <c r="W181" s="4">
        <v>69</v>
      </c>
    </row>
    <row r="182" spans="1:23" ht="11.25" customHeight="1" x14ac:dyDescent="0.25">
      <c r="A182" s="4" t="s">
        <v>21</v>
      </c>
      <c r="B182" s="4" t="s">
        <v>22</v>
      </c>
      <c r="C182" s="4" t="s">
        <v>32</v>
      </c>
      <c r="D182" s="4" t="s">
        <v>24</v>
      </c>
      <c r="E182" s="4" t="s">
        <v>24</v>
      </c>
      <c r="F182" s="4" t="s">
        <v>25</v>
      </c>
      <c r="G182" s="4" t="s">
        <v>25</v>
      </c>
      <c r="H182" s="4" t="s">
        <v>34</v>
      </c>
      <c r="I182" s="5">
        <v>44409</v>
      </c>
      <c r="J182" s="6">
        <v>0</v>
      </c>
      <c r="K182" s="6">
        <v>0</v>
      </c>
      <c r="L182" s="6">
        <v>0.20899999999999999</v>
      </c>
      <c r="M182" s="6">
        <v>0.20899999999999999</v>
      </c>
      <c r="N182" s="6">
        <v>0.20899999999999999</v>
      </c>
      <c r="O182" s="6">
        <v>0.20899999999999999</v>
      </c>
      <c r="P182" s="6">
        <v>0</v>
      </c>
      <c r="Q182" s="4" t="s">
        <v>26</v>
      </c>
      <c r="R182" s="4">
        <v>0</v>
      </c>
      <c r="S182" s="4" t="s">
        <v>167</v>
      </c>
      <c r="T182" s="4" t="s">
        <v>364</v>
      </c>
      <c r="U182" s="4">
        <v>0</v>
      </c>
      <c r="V182" s="4">
        <v>36</v>
      </c>
      <c r="W182" s="4">
        <v>74</v>
      </c>
    </row>
    <row r="183" spans="1:23" ht="11.25" customHeight="1" x14ac:dyDescent="0.25">
      <c r="A183" s="4" t="s">
        <v>21</v>
      </c>
      <c r="B183" s="4" t="s">
        <v>22</v>
      </c>
      <c r="C183" s="4" t="s">
        <v>32</v>
      </c>
      <c r="D183" s="4" t="s">
        <v>24</v>
      </c>
      <c r="E183" s="4" t="s">
        <v>24</v>
      </c>
      <c r="F183" s="4" t="s">
        <v>25</v>
      </c>
      <c r="G183" s="4" t="s">
        <v>25</v>
      </c>
      <c r="H183" s="4" t="s">
        <v>34</v>
      </c>
      <c r="I183" s="5">
        <v>44440</v>
      </c>
      <c r="J183" s="6">
        <v>0</v>
      </c>
      <c r="K183" s="6">
        <v>0</v>
      </c>
      <c r="L183" s="6">
        <v>0.16200000000000001</v>
      </c>
      <c r="M183" s="6">
        <v>0.16200000000000001</v>
      </c>
      <c r="N183" s="6">
        <v>0.16200000000000001</v>
      </c>
      <c r="O183" s="6">
        <v>0.16200000000000001</v>
      </c>
      <c r="P183" s="6">
        <v>0</v>
      </c>
      <c r="Q183" s="4" t="s">
        <v>26</v>
      </c>
      <c r="R183" s="4">
        <v>0</v>
      </c>
      <c r="S183" s="4" t="s">
        <v>168</v>
      </c>
      <c r="T183" s="4" t="s">
        <v>365</v>
      </c>
      <c r="U183" s="4">
        <v>0</v>
      </c>
      <c r="V183" s="4">
        <v>36</v>
      </c>
      <c r="W183" s="4">
        <v>74</v>
      </c>
    </row>
    <row r="184" spans="1:23" ht="11.25" customHeight="1" x14ac:dyDescent="0.25">
      <c r="A184" s="4" t="s">
        <v>21</v>
      </c>
      <c r="B184" s="4" t="s">
        <v>22</v>
      </c>
      <c r="C184" s="4" t="s">
        <v>32</v>
      </c>
      <c r="D184" s="4" t="s">
        <v>24</v>
      </c>
      <c r="E184" s="4" t="s">
        <v>24</v>
      </c>
      <c r="F184" s="4" t="s">
        <v>25</v>
      </c>
      <c r="G184" s="4" t="s">
        <v>25</v>
      </c>
      <c r="H184" s="4" t="s">
        <v>34</v>
      </c>
      <c r="I184" s="5">
        <v>44470</v>
      </c>
      <c r="J184" s="6">
        <v>0</v>
      </c>
      <c r="K184" s="6">
        <v>0</v>
      </c>
      <c r="L184" s="6">
        <v>0.20200000000000001</v>
      </c>
      <c r="M184" s="6">
        <v>0.20200000000000001</v>
      </c>
      <c r="N184" s="6">
        <v>0.20200000000000001</v>
      </c>
      <c r="O184" s="6">
        <v>0.20200000000000001</v>
      </c>
      <c r="P184" s="6">
        <v>0</v>
      </c>
      <c r="Q184" s="4" t="s">
        <v>26</v>
      </c>
      <c r="R184" s="4">
        <v>0</v>
      </c>
      <c r="S184" s="4" t="s">
        <v>169</v>
      </c>
      <c r="T184" s="4" t="s">
        <v>366</v>
      </c>
      <c r="U184" s="4">
        <v>0</v>
      </c>
      <c r="V184" s="4">
        <v>36</v>
      </c>
      <c r="W184" s="4">
        <v>74</v>
      </c>
    </row>
    <row r="185" spans="1:23" ht="11.25" customHeight="1" x14ac:dyDescent="0.25">
      <c r="A185" s="4" t="s">
        <v>21</v>
      </c>
      <c r="B185" s="4" t="s">
        <v>22</v>
      </c>
      <c r="C185" s="4" t="s">
        <v>32</v>
      </c>
      <c r="D185" s="4" t="s">
        <v>24</v>
      </c>
      <c r="E185" s="4" t="s">
        <v>24</v>
      </c>
      <c r="F185" s="4" t="s">
        <v>25</v>
      </c>
      <c r="G185" s="4" t="s">
        <v>25</v>
      </c>
      <c r="H185" s="4" t="s">
        <v>34</v>
      </c>
      <c r="I185" s="5">
        <v>44501</v>
      </c>
      <c r="J185" s="6">
        <v>0</v>
      </c>
      <c r="K185" s="6">
        <v>0</v>
      </c>
      <c r="L185" s="6">
        <v>0.182</v>
      </c>
      <c r="M185" s="6">
        <v>0.182</v>
      </c>
      <c r="N185" s="6">
        <v>0.182</v>
      </c>
      <c r="O185" s="6">
        <v>0.182</v>
      </c>
      <c r="P185" s="6">
        <v>0</v>
      </c>
      <c r="Q185" s="4" t="s">
        <v>26</v>
      </c>
      <c r="R185" s="4">
        <v>0</v>
      </c>
      <c r="S185" s="4" t="s">
        <v>170</v>
      </c>
      <c r="T185" s="4" t="s">
        <v>367</v>
      </c>
      <c r="U185" s="4">
        <v>0</v>
      </c>
      <c r="V185" s="4">
        <v>36</v>
      </c>
      <c r="W185" s="4">
        <v>74</v>
      </c>
    </row>
    <row r="186" spans="1:23" ht="11.25" customHeight="1" x14ac:dyDescent="0.25">
      <c r="A186" s="4" t="s">
        <v>21</v>
      </c>
      <c r="B186" s="4" t="s">
        <v>22</v>
      </c>
      <c r="C186" s="4" t="s">
        <v>32</v>
      </c>
      <c r="D186" s="4" t="s">
        <v>24</v>
      </c>
      <c r="E186" s="4" t="s">
        <v>24</v>
      </c>
      <c r="F186" s="4" t="s">
        <v>25</v>
      </c>
      <c r="G186" s="4" t="s">
        <v>25</v>
      </c>
      <c r="H186" s="4" t="s">
        <v>34</v>
      </c>
      <c r="I186" s="5">
        <v>44531</v>
      </c>
      <c r="J186" s="6">
        <v>0</v>
      </c>
      <c r="K186" s="6">
        <v>0</v>
      </c>
      <c r="L186" s="6">
        <v>0.28599999999999998</v>
      </c>
      <c r="M186" s="6">
        <v>0.28599999999999998</v>
      </c>
      <c r="N186" s="6">
        <v>0.28599999999999998</v>
      </c>
      <c r="O186" s="6">
        <v>0.28599999999999998</v>
      </c>
      <c r="P186" s="6">
        <v>0</v>
      </c>
      <c r="Q186" s="4" t="s">
        <v>26</v>
      </c>
      <c r="R186" s="4">
        <v>0</v>
      </c>
      <c r="S186" s="4" t="s">
        <v>171</v>
      </c>
      <c r="T186" s="4" t="s">
        <v>368</v>
      </c>
      <c r="U186" s="4">
        <v>0</v>
      </c>
      <c r="V186" s="4">
        <v>36</v>
      </c>
      <c r="W186" s="4">
        <v>74</v>
      </c>
    </row>
    <row r="187" spans="1:23" ht="11.25" customHeight="1" x14ac:dyDescent="0.25">
      <c r="A187" s="4" t="s">
        <v>21</v>
      </c>
      <c r="B187" s="4" t="s">
        <v>22</v>
      </c>
      <c r="C187" s="4" t="s">
        <v>32</v>
      </c>
      <c r="D187" s="4" t="s">
        <v>24</v>
      </c>
      <c r="E187" s="4" t="s">
        <v>24</v>
      </c>
      <c r="F187" s="4" t="s">
        <v>25</v>
      </c>
      <c r="G187" s="4" t="s">
        <v>25</v>
      </c>
      <c r="H187" s="4" t="s">
        <v>34</v>
      </c>
      <c r="I187" s="5">
        <v>44562</v>
      </c>
      <c r="J187" s="6">
        <v>0</v>
      </c>
      <c r="K187" s="6">
        <v>0</v>
      </c>
      <c r="L187" s="6">
        <v>0.47099999999999997</v>
      </c>
      <c r="M187" s="6">
        <v>0.47099999999999997</v>
      </c>
      <c r="N187" s="6">
        <v>0.47099999999999997</v>
      </c>
      <c r="O187" s="6">
        <v>0.47099999999999997</v>
      </c>
      <c r="P187" s="6">
        <v>0</v>
      </c>
      <c r="Q187" s="4" t="s">
        <v>26</v>
      </c>
      <c r="R187" s="4">
        <v>0</v>
      </c>
      <c r="S187" s="4" t="s">
        <v>172</v>
      </c>
      <c r="T187" s="4" t="s">
        <v>369</v>
      </c>
      <c r="U187" s="4">
        <v>0</v>
      </c>
      <c r="V187" s="4">
        <v>36</v>
      </c>
      <c r="W187" s="4">
        <v>74</v>
      </c>
    </row>
    <row r="188" spans="1:23" ht="11.25" customHeight="1" x14ac:dyDescent="0.25">
      <c r="A188" s="4" t="s">
        <v>21</v>
      </c>
      <c r="B188" s="4" t="s">
        <v>22</v>
      </c>
      <c r="C188" s="4" t="s">
        <v>32</v>
      </c>
      <c r="D188" s="4" t="s">
        <v>24</v>
      </c>
      <c r="E188" s="4" t="s">
        <v>24</v>
      </c>
      <c r="F188" s="4" t="s">
        <v>25</v>
      </c>
      <c r="G188" s="4" t="s">
        <v>25</v>
      </c>
      <c r="H188" s="4" t="s">
        <v>34</v>
      </c>
      <c r="I188" s="5">
        <v>44593</v>
      </c>
      <c r="J188" s="6">
        <v>0</v>
      </c>
      <c r="K188" s="6">
        <v>0</v>
      </c>
      <c r="L188" s="6">
        <v>0.20799999999999999</v>
      </c>
      <c r="M188" s="6">
        <v>0.20799999999999999</v>
      </c>
      <c r="N188" s="6">
        <v>0.20799999999999999</v>
      </c>
      <c r="O188" s="6">
        <v>0.20799999999999999</v>
      </c>
      <c r="P188" s="6">
        <v>0</v>
      </c>
      <c r="Q188" s="4" t="s">
        <v>26</v>
      </c>
      <c r="R188" s="4">
        <v>0</v>
      </c>
      <c r="S188" s="4" t="s">
        <v>173</v>
      </c>
      <c r="T188" s="4" t="s">
        <v>370</v>
      </c>
      <c r="U188" s="4">
        <v>0</v>
      </c>
      <c r="V188" s="4">
        <v>36</v>
      </c>
      <c r="W188" s="4">
        <v>74</v>
      </c>
    </row>
    <row r="189" spans="1:23" ht="11.25" customHeight="1" x14ac:dyDescent="0.25">
      <c r="A189" s="4" t="s">
        <v>21</v>
      </c>
      <c r="B189" s="4" t="s">
        <v>22</v>
      </c>
      <c r="C189" s="4" t="s">
        <v>32</v>
      </c>
      <c r="D189" s="4" t="s">
        <v>24</v>
      </c>
      <c r="E189" s="4" t="s">
        <v>24</v>
      </c>
      <c r="F189" s="4" t="s">
        <v>25</v>
      </c>
      <c r="G189" s="4" t="s">
        <v>25</v>
      </c>
      <c r="H189" s="4" t="s">
        <v>34</v>
      </c>
      <c r="I189" s="5">
        <v>44621</v>
      </c>
      <c r="J189" s="6">
        <v>0</v>
      </c>
      <c r="K189" s="6">
        <v>0</v>
      </c>
      <c r="L189" s="6">
        <v>0.36099999999999999</v>
      </c>
      <c r="M189" s="6">
        <v>0.36099999999999999</v>
      </c>
      <c r="N189" s="6">
        <v>0.36099999999999999</v>
      </c>
      <c r="O189" s="6">
        <v>0.36099999999999999</v>
      </c>
      <c r="P189" s="6">
        <v>0</v>
      </c>
      <c r="Q189" s="4" t="s">
        <v>26</v>
      </c>
      <c r="R189" s="4">
        <v>0</v>
      </c>
      <c r="S189" s="4" t="s">
        <v>174</v>
      </c>
      <c r="T189" s="4" t="s">
        <v>371</v>
      </c>
      <c r="U189" s="4">
        <v>0</v>
      </c>
      <c r="V189" s="4">
        <v>36</v>
      </c>
      <c r="W189" s="4">
        <v>74</v>
      </c>
    </row>
    <row r="190" spans="1:23" ht="11.25" customHeight="1" x14ac:dyDescent="0.25">
      <c r="A190" s="4" t="s">
        <v>21</v>
      </c>
      <c r="B190" s="4" t="s">
        <v>22</v>
      </c>
      <c r="C190" s="4" t="s">
        <v>32</v>
      </c>
      <c r="D190" s="4" t="s">
        <v>24</v>
      </c>
      <c r="E190" s="4" t="s">
        <v>24</v>
      </c>
      <c r="F190" s="4" t="s">
        <v>25</v>
      </c>
      <c r="G190" s="4" t="s">
        <v>25</v>
      </c>
      <c r="H190" s="4" t="s">
        <v>34</v>
      </c>
      <c r="I190" s="5">
        <v>44652</v>
      </c>
      <c r="J190" s="6">
        <v>0</v>
      </c>
      <c r="K190" s="6">
        <v>0</v>
      </c>
      <c r="L190" s="6">
        <v>0.12</v>
      </c>
      <c r="M190" s="6">
        <v>0.12</v>
      </c>
      <c r="N190" s="6">
        <v>0.12</v>
      </c>
      <c r="O190" s="6">
        <v>0.12</v>
      </c>
      <c r="P190" s="6">
        <v>0</v>
      </c>
      <c r="Q190" s="4" t="s">
        <v>26</v>
      </c>
      <c r="R190" s="4">
        <v>0</v>
      </c>
      <c r="S190" s="4" t="s">
        <v>175</v>
      </c>
      <c r="T190" s="4" t="s">
        <v>372</v>
      </c>
      <c r="U190" s="4">
        <v>0</v>
      </c>
      <c r="V190" s="4">
        <v>36</v>
      </c>
      <c r="W190" s="4">
        <v>74</v>
      </c>
    </row>
    <row r="191" spans="1:23" ht="11.25" customHeight="1" x14ac:dyDescent="0.25">
      <c r="A191" s="4" t="s">
        <v>21</v>
      </c>
      <c r="B191" s="4" t="s">
        <v>22</v>
      </c>
      <c r="C191" s="4" t="s">
        <v>32</v>
      </c>
      <c r="D191" s="4" t="s">
        <v>24</v>
      </c>
      <c r="E191" s="4" t="s">
        <v>24</v>
      </c>
      <c r="F191" s="4" t="s">
        <v>25</v>
      </c>
      <c r="G191" s="4" t="s">
        <v>25</v>
      </c>
      <c r="H191" s="4" t="s">
        <v>34</v>
      </c>
      <c r="I191" s="5">
        <v>44682</v>
      </c>
      <c r="J191" s="6">
        <v>0</v>
      </c>
      <c r="K191" s="6">
        <v>0</v>
      </c>
      <c r="L191" s="6">
        <v>7.2999999999999995E-2</v>
      </c>
      <c r="M191" s="6">
        <v>7.2999999999999995E-2</v>
      </c>
      <c r="N191" s="6">
        <v>7.2999999999999995E-2</v>
      </c>
      <c r="O191" s="6">
        <v>7.2999999999999995E-2</v>
      </c>
      <c r="P191" s="6">
        <v>0</v>
      </c>
      <c r="Q191" s="4" t="s">
        <v>26</v>
      </c>
      <c r="R191" s="4">
        <v>0</v>
      </c>
      <c r="S191" s="4" t="s">
        <v>176</v>
      </c>
      <c r="T191" s="4" t="s">
        <v>373</v>
      </c>
      <c r="U191" s="4">
        <v>0</v>
      </c>
      <c r="V191" s="4">
        <v>36</v>
      </c>
      <c r="W191" s="4">
        <v>74</v>
      </c>
    </row>
    <row r="192" spans="1:23" ht="11.25" customHeight="1" x14ac:dyDescent="0.25">
      <c r="A192" s="4" t="s">
        <v>21</v>
      </c>
      <c r="B192" s="4" t="s">
        <v>22</v>
      </c>
      <c r="C192" s="4" t="s">
        <v>32</v>
      </c>
      <c r="D192" s="4" t="s">
        <v>24</v>
      </c>
      <c r="E192" s="4" t="s">
        <v>24</v>
      </c>
      <c r="F192" s="4" t="s">
        <v>25</v>
      </c>
      <c r="G192" s="4" t="s">
        <v>25</v>
      </c>
      <c r="H192" s="4" t="s">
        <v>34</v>
      </c>
      <c r="I192" s="5">
        <v>44713</v>
      </c>
      <c r="J192" s="6">
        <v>0</v>
      </c>
      <c r="K192" s="6">
        <v>0</v>
      </c>
      <c r="L192" s="6">
        <v>0.09</v>
      </c>
      <c r="M192" s="6">
        <v>0.09</v>
      </c>
      <c r="N192" s="6">
        <v>0.09</v>
      </c>
      <c r="O192" s="6">
        <v>0.09</v>
      </c>
      <c r="P192" s="6">
        <v>0</v>
      </c>
      <c r="Q192" s="4" t="s">
        <v>26</v>
      </c>
      <c r="R192" s="4">
        <v>0</v>
      </c>
      <c r="S192" s="4" t="s">
        <v>177</v>
      </c>
      <c r="T192" s="4" t="s">
        <v>374</v>
      </c>
      <c r="U192" s="4">
        <v>0</v>
      </c>
      <c r="V192" s="4">
        <v>36</v>
      </c>
      <c r="W192" s="4">
        <v>74</v>
      </c>
    </row>
    <row r="193" spans="1:23" ht="11.25" customHeight="1" x14ac:dyDescent="0.25">
      <c r="A193" s="4" t="s">
        <v>55</v>
      </c>
      <c r="B193" s="4" t="s">
        <v>22</v>
      </c>
      <c r="C193" s="4" t="s">
        <v>32</v>
      </c>
      <c r="D193" s="4" t="s">
        <v>24</v>
      </c>
      <c r="E193" s="4" t="s">
        <v>24</v>
      </c>
      <c r="F193" s="4" t="s">
        <v>25</v>
      </c>
      <c r="G193" s="4" t="s">
        <v>25</v>
      </c>
      <c r="H193" s="4" t="s">
        <v>34</v>
      </c>
      <c r="I193" s="5">
        <v>44743</v>
      </c>
      <c r="J193" s="6">
        <v>0</v>
      </c>
      <c r="K193" s="6">
        <v>0</v>
      </c>
      <c r="L193" s="6">
        <v>0.09</v>
      </c>
      <c r="M193" s="6">
        <v>0.09</v>
      </c>
      <c r="N193" s="6">
        <v>0.09</v>
      </c>
      <c r="O193" s="6">
        <v>0.09</v>
      </c>
      <c r="P193" s="6">
        <v>0</v>
      </c>
      <c r="Q193" s="4" t="s">
        <v>26</v>
      </c>
      <c r="R193" s="4">
        <v>0</v>
      </c>
      <c r="S193" s="4" t="s">
        <v>178</v>
      </c>
      <c r="T193" s="4" t="s">
        <v>375</v>
      </c>
      <c r="U193" s="4">
        <v>0</v>
      </c>
      <c r="V193" s="4">
        <v>36</v>
      </c>
      <c r="W193" s="4">
        <v>74</v>
      </c>
    </row>
    <row r="194" spans="1:23" ht="11.25" customHeight="1" x14ac:dyDescent="0.25">
      <c r="A194" s="4" t="s">
        <v>21</v>
      </c>
      <c r="B194" s="4" t="s">
        <v>22</v>
      </c>
      <c r="C194" s="4" t="s">
        <v>32</v>
      </c>
      <c r="D194" s="4" t="s">
        <v>24</v>
      </c>
      <c r="E194" s="4" t="s">
        <v>24</v>
      </c>
      <c r="F194" s="4" t="s">
        <v>25</v>
      </c>
      <c r="G194" s="4" t="s">
        <v>25</v>
      </c>
      <c r="H194" s="4" t="s">
        <v>35</v>
      </c>
      <c r="I194" s="5">
        <v>44409</v>
      </c>
      <c r="J194" s="6">
        <v>0</v>
      </c>
      <c r="K194" s="6">
        <v>0</v>
      </c>
      <c r="L194" s="6">
        <v>1.0999999999999999E-2</v>
      </c>
      <c r="M194" s="6">
        <v>1.0999999999999999E-2</v>
      </c>
      <c r="N194" s="6">
        <v>1.0999999999999999E-2</v>
      </c>
      <c r="O194" s="6">
        <v>1.0999999999999999E-2</v>
      </c>
      <c r="P194" s="6">
        <v>0</v>
      </c>
      <c r="Q194" s="4" t="s">
        <v>26</v>
      </c>
      <c r="R194" s="4">
        <v>0</v>
      </c>
      <c r="S194" s="4" t="s">
        <v>179</v>
      </c>
      <c r="T194" s="4" t="s">
        <v>376</v>
      </c>
      <c r="U194" s="4">
        <v>0</v>
      </c>
      <c r="V194" s="4">
        <v>35</v>
      </c>
      <c r="W194" s="4">
        <v>73</v>
      </c>
    </row>
    <row r="195" spans="1:23" ht="11.25" customHeight="1" x14ac:dyDescent="0.25">
      <c r="A195" s="4" t="s">
        <v>21</v>
      </c>
      <c r="B195" s="4" t="s">
        <v>22</v>
      </c>
      <c r="C195" s="4" t="s">
        <v>32</v>
      </c>
      <c r="D195" s="4" t="s">
        <v>24</v>
      </c>
      <c r="E195" s="4" t="s">
        <v>24</v>
      </c>
      <c r="F195" s="4" t="s">
        <v>25</v>
      </c>
      <c r="G195" s="4" t="s">
        <v>25</v>
      </c>
      <c r="H195" s="4" t="s">
        <v>35</v>
      </c>
      <c r="I195" s="5">
        <v>44440</v>
      </c>
      <c r="J195" s="6">
        <v>0</v>
      </c>
      <c r="K195" s="6">
        <v>0</v>
      </c>
      <c r="L195" s="6">
        <v>8.9999999999999993E-3</v>
      </c>
      <c r="M195" s="6">
        <v>8.9999999999999993E-3</v>
      </c>
      <c r="N195" s="6">
        <v>8.9999999999999993E-3</v>
      </c>
      <c r="O195" s="6">
        <v>8.9999999999999993E-3</v>
      </c>
      <c r="P195" s="6">
        <v>0</v>
      </c>
      <c r="Q195" s="4" t="s">
        <v>26</v>
      </c>
      <c r="R195" s="4">
        <v>0</v>
      </c>
      <c r="S195" s="4" t="s">
        <v>180</v>
      </c>
      <c r="T195" s="4" t="s">
        <v>377</v>
      </c>
      <c r="U195" s="4">
        <v>0</v>
      </c>
      <c r="V195" s="4">
        <v>35</v>
      </c>
      <c r="W195" s="4">
        <v>73</v>
      </c>
    </row>
    <row r="196" spans="1:23" ht="11.25" customHeight="1" x14ac:dyDescent="0.25">
      <c r="A196" s="4" t="s">
        <v>21</v>
      </c>
      <c r="B196" s="4" t="s">
        <v>22</v>
      </c>
      <c r="C196" s="4" t="s">
        <v>32</v>
      </c>
      <c r="D196" s="4" t="s">
        <v>24</v>
      </c>
      <c r="E196" s="4" t="s">
        <v>24</v>
      </c>
      <c r="F196" s="4" t="s">
        <v>25</v>
      </c>
      <c r="G196" s="4" t="s">
        <v>25</v>
      </c>
      <c r="H196" s="4" t="s">
        <v>35</v>
      </c>
      <c r="I196" s="5">
        <v>44470</v>
      </c>
      <c r="J196" s="6">
        <v>0</v>
      </c>
      <c r="K196" s="6">
        <v>0</v>
      </c>
      <c r="L196" s="6">
        <v>1.6E-2</v>
      </c>
      <c r="M196" s="6">
        <v>1.6E-2</v>
      </c>
      <c r="N196" s="6">
        <v>1.6E-2</v>
      </c>
      <c r="O196" s="6">
        <v>1.6E-2</v>
      </c>
      <c r="P196" s="6">
        <v>0</v>
      </c>
      <c r="Q196" s="4" t="s">
        <v>26</v>
      </c>
      <c r="R196" s="4">
        <v>0</v>
      </c>
      <c r="S196" s="4" t="s">
        <v>181</v>
      </c>
      <c r="T196" s="4" t="s">
        <v>378</v>
      </c>
      <c r="U196" s="4">
        <v>0</v>
      </c>
      <c r="V196" s="4">
        <v>35</v>
      </c>
      <c r="W196" s="4">
        <v>73</v>
      </c>
    </row>
    <row r="197" spans="1:23" ht="11.25" customHeight="1" x14ac:dyDescent="0.25">
      <c r="A197" s="4" t="s">
        <v>21</v>
      </c>
      <c r="B197" s="4" t="s">
        <v>22</v>
      </c>
      <c r="C197" s="4" t="s">
        <v>32</v>
      </c>
      <c r="D197" s="4" t="s">
        <v>24</v>
      </c>
      <c r="E197" s="4" t="s">
        <v>24</v>
      </c>
      <c r="F197" s="4" t="s">
        <v>25</v>
      </c>
      <c r="G197" s="4" t="s">
        <v>25</v>
      </c>
      <c r="H197" s="4" t="s">
        <v>35</v>
      </c>
      <c r="I197" s="5">
        <v>44501</v>
      </c>
      <c r="J197" s="6">
        <v>0</v>
      </c>
      <c r="K197" s="6">
        <v>0</v>
      </c>
      <c r="L197" s="6">
        <v>8.9999999999999993E-3</v>
      </c>
      <c r="M197" s="6">
        <v>8.9999999999999993E-3</v>
      </c>
      <c r="N197" s="6">
        <v>8.9999999999999993E-3</v>
      </c>
      <c r="O197" s="6">
        <v>8.9999999999999993E-3</v>
      </c>
      <c r="P197" s="6">
        <v>0</v>
      </c>
      <c r="Q197" s="4" t="s">
        <v>26</v>
      </c>
      <c r="R197" s="4">
        <v>0</v>
      </c>
      <c r="S197" s="4" t="s">
        <v>182</v>
      </c>
      <c r="T197" s="4" t="s">
        <v>379</v>
      </c>
      <c r="U197" s="4">
        <v>0</v>
      </c>
      <c r="V197" s="4">
        <v>35</v>
      </c>
      <c r="W197" s="4">
        <v>73</v>
      </c>
    </row>
    <row r="198" spans="1:23" ht="11.25" customHeight="1" x14ac:dyDescent="0.25">
      <c r="A198" s="4" t="s">
        <v>21</v>
      </c>
      <c r="B198" s="4" t="s">
        <v>22</v>
      </c>
      <c r="C198" s="4" t="s">
        <v>32</v>
      </c>
      <c r="D198" s="4" t="s">
        <v>24</v>
      </c>
      <c r="E198" s="4" t="s">
        <v>24</v>
      </c>
      <c r="F198" s="4" t="s">
        <v>25</v>
      </c>
      <c r="G198" s="4" t="s">
        <v>25</v>
      </c>
      <c r="H198" s="4" t="s">
        <v>35</v>
      </c>
      <c r="I198" s="5">
        <v>44531</v>
      </c>
      <c r="J198" s="6">
        <v>0</v>
      </c>
      <c r="K198" s="6">
        <v>0</v>
      </c>
      <c r="L198" s="6">
        <v>1.6E-2</v>
      </c>
      <c r="M198" s="6">
        <v>1.6E-2</v>
      </c>
      <c r="N198" s="6">
        <v>1.6E-2</v>
      </c>
      <c r="O198" s="6">
        <v>1.6E-2</v>
      </c>
      <c r="P198" s="6">
        <v>0</v>
      </c>
      <c r="Q198" s="4" t="s">
        <v>26</v>
      </c>
      <c r="R198" s="4">
        <v>0</v>
      </c>
      <c r="S198" s="4" t="s">
        <v>183</v>
      </c>
      <c r="T198" s="4" t="s">
        <v>380</v>
      </c>
      <c r="U198" s="4">
        <v>0</v>
      </c>
      <c r="V198" s="4">
        <v>35</v>
      </c>
      <c r="W198" s="4">
        <v>73</v>
      </c>
    </row>
    <row r="199" spans="1:23" ht="11.25" customHeight="1" x14ac:dyDescent="0.25">
      <c r="A199" s="4" t="s">
        <v>21</v>
      </c>
      <c r="B199" s="4" t="s">
        <v>22</v>
      </c>
      <c r="C199" s="4" t="s">
        <v>32</v>
      </c>
      <c r="D199" s="4" t="s">
        <v>24</v>
      </c>
      <c r="E199" s="4" t="s">
        <v>24</v>
      </c>
      <c r="F199" s="4" t="s">
        <v>25</v>
      </c>
      <c r="G199" s="4" t="s">
        <v>25</v>
      </c>
      <c r="H199" s="4" t="s">
        <v>35</v>
      </c>
      <c r="I199" s="5">
        <v>44562</v>
      </c>
      <c r="J199" s="6">
        <v>0</v>
      </c>
      <c r="K199" s="6">
        <v>0</v>
      </c>
      <c r="L199" s="6">
        <v>0.02</v>
      </c>
      <c r="M199" s="6">
        <v>0.02</v>
      </c>
      <c r="N199" s="6">
        <v>0.02</v>
      </c>
      <c r="O199" s="6">
        <v>0.02</v>
      </c>
      <c r="P199" s="6">
        <v>0</v>
      </c>
      <c r="Q199" s="4" t="s">
        <v>26</v>
      </c>
      <c r="R199" s="4">
        <v>0</v>
      </c>
      <c r="S199" s="4" t="s">
        <v>184</v>
      </c>
      <c r="T199" s="4" t="s">
        <v>381</v>
      </c>
      <c r="U199" s="4">
        <v>0</v>
      </c>
      <c r="V199" s="4">
        <v>35</v>
      </c>
      <c r="W199" s="4">
        <v>73</v>
      </c>
    </row>
    <row r="200" spans="1:23" ht="11.25" customHeight="1" x14ac:dyDescent="0.25">
      <c r="A200" s="4" t="s">
        <v>21</v>
      </c>
      <c r="B200" s="4" t="s">
        <v>22</v>
      </c>
      <c r="C200" s="4" t="s">
        <v>32</v>
      </c>
      <c r="D200" s="4" t="s">
        <v>24</v>
      </c>
      <c r="E200" s="4" t="s">
        <v>24</v>
      </c>
      <c r="F200" s="4" t="s">
        <v>25</v>
      </c>
      <c r="G200" s="4" t="s">
        <v>25</v>
      </c>
      <c r="H200" s="4" t="s">
        <v>35</v>
      </c>
      <c r="I200" s="5">
        <v>44593</v>
      </c>
      <c r="J200" s="6">
        <v>0</v>
      </c>
      <c r="K200" s="6">
        <v>0</v>
      </c>
      <c r="L200" s="6">
        <v>7.0000000000000001E-3</v>
      </c>
      <c r="M200" s="6">
        <v>7.0000000000000001E-3</v>
      </c>
      <c r="N200" s="6">
        <v>7.0000000000000001E-3</v>
      </c>
      <c r="O200" s="6">
        <v>7.0000000000000001E-3</v>
      </c>
      <c r="P200" s="6">
        <v>0</v>
      </c>
      <c r="Q200" s="4" t="s">
        <v>26</v>
      </c>
      <c r="R200" s="4">
        <v>0</v>
      </c>
      <c r="S200" s="4" t="s">
        <v>185</v>
      </c>
      <c r="T200" s="4" t="s">
        <v>382</v>
      </c>
      <c r="U200" s="4">
        <v>0</v>
      </c>
      <c r="V200" s="4">
        <v>35</v>
      </c>
      <c r="W200" s="4">
        <v>73</v>
      </c>
    </row>
    <row r="201" spans="1:23" ht="11.25" customHeight="1" x14ac:dyDescent="0.25">
      <c r="A201" s="4" t="s">
        <v>21</v>
      </c>
      <c r="B201" s="4" t="s">
        <v>22</v>
      </c>
      <c r="C201" s="4" t="s">
        <v>32</v>
      </c>
      <c r="D201" s="4" t="s">
        <v>24</v>
      </c>
      <c r="E201" s="4" t="s">
        <v>24</v>
      </c>
      <c r="F201" s="4" t="s">
        <v>25</v>
      </c>
      <c r="G201" s="4" t="s">
        <v>25</v>
      </c>
      <c r="H201" s="4" t="s">
        <v>35</v>
      </c>
      <c r="I201" s="5">
        <v>44621</v>
      </c>
      <c r="J201" s="6">
        <v>0</v>
      </c>
      <c r="K201" s="6">
        <v>0</v>
      </c>
      <c r="L201" s="6">
        <v>1.2999999999999999E-2</v>
      </c>
      <c r="M201" s="6">
        <v>1.2999999999999999E-2</v>
      </c>
      <c r="N201" s="6">
        <v>1.2999999999999999E-2</v>
      </c>
      <c r="O201" s="6">
        <v>1.2999999999999999E-2</v>
      </c>
      <c r="P201" s="6">
        <v>0</v>
      </c>
      <c r="Q201" s="4" t="s">
        <v>26</v>
      </c>
      <c r="R201" s="4">
        <v>0</v>
      </c>
      <c r="S201" s="4" t="s">
        <v>186</v>
      </c>
      <c r="T201" s="4" t="s">
        <v>383</v>
      </c>
      <c r="U201" s="4">
        <v>0</v>
      </c>
      <c r="V201" s="4">
        <v>35</v>
      </c>
      <c r="W201" s="4">
        <v>73</v>
      </c>
    </row>
    <row r="202" spans="1:23" ht="11.25" customHeight="1" x14ac:dyDescent="0.25">
      <c r="A202" s="4" t="s">
        <v>21</v>
      </c>
      <c r="B202" s="4" t="s">
        <v>22</v>
      </c>
      <c r="C202" s="4" t="s">
        <v>32</v>
      </c>
      <c r="D202" s="4" t="s">
        <v>24</v>
      </c>
      <c r="E202" s="4" t="s">
        <v>24</v>
      </c>
      <c r="F202" s="4" t="s">
        <v>25</v>
      </c>
      <c r="G202" s="4" t="s">
        <v>25</v>
      </c>
      <c r="H202" s="4" t="s">
        <v>35</v>
      </c>
      <c r="I202" s="5">
        <v>44652</v>
      </c>
      <c r="J202" s="6">
        <v>0</v>
      </c>
      <c r="K202" s="6">
        <v>0</v>
      </c>
      <c r="L202" s="6">
        <v>8.0000000000000002E-3</v>
      </c>
      <c r="M202" s="6">
        <v>8.0000000000000002E-3</v>
      </c>
      <c r="N202" s="6">
        <v>8.0000000000000002E-3</v>
      </c>
      <c r="O202" s="6">
        <v>8.0000000000000002E-3</v>
      </c>
      <c r="P202" s="6">
        <v>0</v>
      </c>
      <c r="Q202" s="4" t="s">
        <v>26</v>
      </c>
      <c r="R202" s="4">
        <v>0</v>
      </c>
      <c r="S202" s="4" t="s">
        <v>187</v>
      </c>
      <c r="T202" s="4" t="s">
        <v>384</v>
      </c>
      <c r="U202" s="4">
        <v>0</v>
      </c>
      <c r="V202" s="4">
        <v>35</v>
      </c>
      <c r="W202" s="4">
        <v>73</v>
      </c>
    </row>
    <row r="203" spans="1:23" ht="11.25" customHeight="1" x14ac:dyDescent="0.25">
      <c r="A203" s="4" t="s">
        <v>21</v>
      </c>
      <c r="B203" s="4" t="s">
        <v>22</v>
      </c>
      <c r="C203" s="4" t="s">
        <v>32</v>
      </c>
      <c r="D203" s="4" t="s">
        <v>24</v>
      </c>
      <c r="E203" s="4" t="s">
        <v>24</v>
      </c>
      <c r="F203" s="4" t="s">
        <v>25</v>
      </c>
      <c r="G203" s="4" t="s">
        <v>25</v>
      </c>
      <c r="H203" s="4" t="s">
        <v>35</v>
      </c>
      <c r="I203" s="5">
        <v>44682</v>
      </c>
      <c r="J203" s="6">
        <v>0</v>
      </c>
      <c r="K203" s="6">
        <v>0</v>
      </c>
      <c r="L203" s="6">
        <v>5.0000000000000001E-3</v>
      </c>
      <c r="M203" s="6">
        <v>5.0000000000000001E-3</v>
      </c>
      <c r="N203" s="6">
        <v>5.0000000000000001E-3</v>
      </c>
      <c r="O203" s="6">
        <v>5.0000000000000001E-3</v>
      </c>
      <c r="P203" s="6">
        <v>0</v>
      </c>
      <c r="Q203" s="4" t="s">
        <v>26</v>
      </c>
      <c r="R203" s="4">
        <v>0</v>
      </c>
      <c r="S203" s="4" t="s">
        <v>188</v>
      </c>
      <c r="T203" s="4" t="s">
        <v>385</v>
      </c>
      <c r="U203" s="4">
        <v>0</v>
      </c>
      <c r="V203" s="4">
        <v>35</v>
      </c>
      <c r="W203" s="4">
        <v>73</v>
      </c>
    </row>
    <row r="204" spans="1:23" ht="11.25" customHeight="1" x14ac:dyDescent="0.25">
      <c r="A204" s="4" t="s">
        <v>21</v>
      </c>
      <c r="B204" s="4" t="s">
        <v>22</v>
      </c>
      <c r="C204" s="4" t="s">
        <v>32</v>
      </c>
      <c r="D204" s="4" t="s">
        <v>24</v>
      </c>
      <c r="E204" s="4" t="s">
        <v>24</v>
      </c>
      <c r="F204" s="4" t="s">
        <v>25</v>
      </c>
      <c r="G204" s="4" t="s">
        <v>25</v>
      </c>
      <c r="H204" s="4" t="s">
        <v>35</v>
      </c>
      <c r="I204" s="5">
        <v>44713</v>
      </c>
      <c r="J204" s="6">
        <v>0</v>
      </c>
      <c r="K204" s="6">
        <v>0</v>
      </c>
      <c r="L204" s="6">
        <v>8.0000000000000002E-3</v>
      </c>
      <c r="M204" s="6">
        <v>8.0000000000000002E-3</v>
      </c>
      <c r="N204" s="6">
        <v>8.0000000000000002E-3</v>
      </c>
      <c r="O204" s="6">
        <v>8.0000000000000002E-3</v>
      </c>
      <c r="P204" s="6">
        <v>0</v>
      </c>
      <c r="Q204" s="4" t="s">
        <v>26</v>
      </c>
      <c r="R204" s="4">
        <v>0</v>
      </c>
      <c r="S204" s="4" t="s">
        <v>189</v>
      </c>
      <c r="T204" s="4" t="s">
        <v>386</v>
      </c>
      <c r="U204" s="4">
        <v>0</v>
      </c>
      <c r="V204" s="4">
        <v>35</v>
      </c>
      <c r="W204" s="4">
        <v>73</v>
      </c>
    </row>
    <row r="205" spans="1:23" ht="11.25" customHeight="1" x14ac:dyDescent="0.25">
      <c r="A205" s="4" t="s">
        <v>55</v>
      </c>
      <c r="B205" s="4" t="s">
        <v>22</v>
      </c>
      <c r="C205" s="4" t="s">
        <v>32</v>
      </c>
      <c r="D205" s="4" t="s">
        <v>24</v>
      </c>
      <c r="E205" s="4" t="s">
        <v>24</v>
      </c>
      <c r="F205" s="4" t="s">
        <v>25</v>
      </c>
      <c r="G205" s="4" t="s">
        <v>25</v>
      </c>
      <c r="H205" s="4" t="s">
        <v>35</v>
      </c>
      <c r="I205" s="5">
        <v>44743</v>
      </c>
      <c r="J205" s="6">
        <v>0</v>
      </c>
      <c r="K205" s="6">
        <v>0</v>
      </c>
      <c r="L205" s="6">
        <v>8.0000000000000002E-3</v>
      </c>
      <c r="M205" s="6">
        <v>8.0000000000000002E-3</v>
      </c>
      <c r="N205" s="6">
        <v>8.0000000000000002E-3</v>
      </c>
      <c r="O205" s="6">
        <v>8.0000000000000002E-3</v>
      </c>
      <c r="P205" s="6">
        <v>0</v>
      </c>
      <c r="Q205" s="4" t="s">
        <v>26</v>
      </c>
      <c r="R205" s="4">
        <v>0</v>
      </c>
      <c r="S205" s="4" t="s">
        <v>190</v>
      </c>
      <c r="T205" s="4" t="s">
        <v>387</v>
      </c>
      <c r="U205" s="4">
        <v>0</v>
      </c>
      <c r="V205" s="4">
        <v>35</v>
      </c>
      <c r="W205" s="4">
        <v>73</v>
      </c>
    </row>
    <row r="206" spans="1:23" ht="11.25" customHeight="1" x14ac:dyDescent="0.25">
      <c r="A206" s="4" t="s">
        <v>21</v>
      </c>
      <c r="B206" s="4" t="s">
        <v>22</v>
      </c>
      <c r="C206" s="4" t="s">
        <v>32</v>
      </c>
      <c r="D206" s="4" t="s">
        <v>24</v>
      </c>
      <c r="E206" s="4" t="s">
        <v>24</v>
      </c>
      <c r="F206" s="4" t="s">
        <v>25</v>
      </c>
      <c r="G206" s="4" t="s">
        <v>25</v>
      </c>
      <c r="H206" s="4" t="s">
        <v>33</v>
      </c>
      <c r="I206" s="5">
        <v>44409</v>
      </c>
      <c r="J206" s="6">
        <v>0</v>
      </c>
      <c r="K206" s="6">
        <v>0</v>
      </c>
      <c r="L206" s="6">
        <v>1.7999999999999999E-2</v>
      </c>
      <c r="M206" s="6">
        <v>1.7999999999999999E-2</v>
      </c>
      <c r="N206" s="6">
        <v>1.7999999999999999E-2</v>
      </c>
      <c r="O206" s="6">
        <v>1.7999999999999999E-2</v>
      </c>
      <c r="P206" s="6">
        <v>0</v>
      </c>
      <c r="Q206" s="4" t="s">
        <v>26</v>
      </c>
      <c r="R206" s="4">
        <v>0</v>
      </c>
      <c r="S206" s="4" t="s">
        <v>191</v>
      </c>
      <c r="T206" s="4" t="s">
        <v>388</v>
      </c>
      <c r="U206" s="4">
        <v>0</v>
      </c>
      <c r="V206" s="4">
        <v>34</v>
      </c>
      <c r="W206" s="4">
        <v>72</v>
      </c>
    </row>
    <row r="207" spans="1:23" ht="11.25" customHeight="1" x14ac:dyDescent="0.25">
      <c r="A207" s="4" t="s">
        <v>21</v>
      </c>
      <c r="B207" s="4" t="s">
        <v>22</v>
      </c>
      <c r="C207" s="4" t="s">
        <v>32</v>
      </c>
      <c r="D207" s="4" t="s">
        <v>24</v>
      </c>
      <c r="E207" s="4" t="s">
        <v>24</v>
      </c>
      <c r="F207" s="4" t="s">
        <v>25</v>
      </c>
      <c r="G207" s="4" t="s">
        <v>25</v>
      </c>
      <c r="H207" s="4" t="s">
        <v>33</v>
      </c>
      <c r="I207" s="5">
        <v>44440</v>
      </c>
      <c r="J207" s="6">
        <v>0</v>
      </c>
      <c r="K207" s="6">
        <v>0</v>
      </c>
      <c r="L207" s="6">
        <v>1.6E-2</v>
      </c>
      <c r="M207" s="6">
        <v>1.6E-2</v>
      </c>
      <c r="N207" s="6">
        <v>1.6E-2</v>
      </c>
      <c r="O207" s="6">
        <v>1.6E-2</v>
      </c>
      <c r="P207" s="6">
        <v>0</v>
      </c>
      <c r="Q207" s="4" t="s">
        <v>26</v>
      </c>
      <c r="R207" s="4">
        <v>0</v>
      </c>
      <c r="S207" s="4" t="s">
        <v>192</v>
      </c>
      <c r="T207" s="4" t="s">
        <v>389</v>
      </c>
      <c r="U207" s="4">
        <v>0</v>
      </c>
      <c r="V207" s="4">
        <v>34</v>
      </c>
      <c r="W207" s="4">
        <v>72</v>
      </c>
    </row>
    <row r="208" spans="1:23" ht="11.25" customHeight="1" x14ac:dyDescent="0.25">
      <c r="A208" s="4" t="s">
        <v>21</v>
      </c>
      <c r="B208" s="4" t="s">
        <v>22</v>
      </c>
      <c r="C208" s="4" t="s">
        <v>32</v>
      </c>
      <c r="D208" s="4" t="s">
        <v>24</v>
      </c>
      <c r="E208" s="4" t="s">
        <v>24</v>
      </c>
      <c r="F208" s="4" t="s">
        <v>25</v>
      </c>
      <c r="G208" s="4" t="s">
        <v>25</v>
      </c>
      <c r="H208" s="4" t="s">
        <v>33</v>
      </c>
      <c r="I208" s="5">
        <v>44470</v>
      </c>
      <c r="J208" s="6">
        <v>0</v>
      </c>
      <c r="K208" s="6">
        <v>0</v>
      </c>
      <c r="L208" s="6">
        <v>1.7999999999999999E-2</v>
      </c>
      <c r="M208" s="6">
        <v>1.7999999999999999E-2</v>
      </c>
      <c r="N208" s="6">
        <v>1.7999999999999999E-2</v>
      </c>
      <c r="O208" s="6">
        <v>1.7999999999999999E-2</v>
      </c>
      <c r="P208" s="6">
        <v>0</v>
      </c>
      <c r="Q208" s="4" t="s">
        <v>26</v>
      </c>
      <c r="R208" s="4">
        <v>0</v>
      </c>
      <c r="S208" s="4" t="s">
        <v>193</v>
      </c>
      <c r="T208" s="4" t="s">
        <v>390</v>
      </c>
      <c r="U208" s="4">
        <v>0</v>
      </c>
      <c r="V208" s="4">
        <v>34</v>
      </c>
      <c r="W208" s="4">
        <v>72</v>
      </c>
    </row>
    <row r="209" spans="1:23" ht="11.25" customHeight="1" x14ac:dyDescent="0.25">
      <c r="A209" s="4" t="s">
        <v>21</v>
      </c>
      <c r="B209" s="4" t="s">
        <v>22</v>
      </c>
      <c r="C209" s="4" t="s">
        <v>32</v>
      </c>
      <c r="D209" s="4" t="s">
        <v>24</v>
      </c>
      <c r="E209" s="4" t="s">
        <v>24</v>
      </c>
      <c r="F209" s="4" t="s">
        <v>25</v>
      </c>
      <c r="G209" s="4" t="s">
        <v>25</v>
      </c>
      <c r="H209" s="4" t="s">
        <v>33</v>
      </c>
      <c r="I209" s="5">
        <v>44501</v>
      </c>
      <c r="J209" s="6">
        <v>0</v>
      </c>
      <c r="K209" s="6">
        <v>0</v>
      </c>
      <c r="L209" s="6">
        <v>1.4E-2</v>
      </c>
      <c r="M209" s="6">
        <v>1.4E-2</v>
      </c>
      <c r="N209" s="6">
        <v>1.4E-2</v>
      </c>
      <c r="O209" s="6">
        <v>1.4E-2</v>
      </c>
      <c r="P209" s="6">
        <v>0</v>
      </c>
      <c r="Q209" s="4" t="s">
        <v>26</v>
      </c>
      <c r="R209" s="4">
        <v>0</v>
      </c>
      <c r="S209" s="4" t="s">
        <v>194</v>
      </c>
      <c r="T209" s="4" t="s">
        <v>391</v>
      </c>
      <c r="U209" s="4">
        <v>0</v>
      </c>
      <c r="V209" s="4">
        <v>34</v>
      </c>
      <c r="W209" s="4">
        <v>72</v>
      </c>
    </row>
    <row r="210" spans="1:23" ht="11.25" customHeight="1" x14ac:dyDescent="0.25">
      <c r="A210" s="4" t="s">
        <v>21</v>
      </c>
      <c r="B210" s="4" t="s">
        <v>22</v>
      </c>
      <c r="C210" s="4" t="s">
        <v>32</v>
      </c>
      <c r="D210" s="4" t="s">
        <v>24</v>
      </c>
      <c r="E210" s="4" t="s">
        <v>24</v>
      </c>
      <c r="F210" s="4" t="s">
        <v>25</v>
      </c>
      <c r="G210" s="4" t="s">
        <v>25</v>
      </c>
      <c r="H210" s="4" t="s">
        <v>33</v>
      </c>
      <c r="I210" s="5">
        <v>44531</v>
      </c>
      <c r="J210" s="6">
        <v>0</v>
      </c>
      <c r="K210" s="6">
        <v>0</v>
      </c>
      <c r="L210" s="6">
        <v>1.7000000000000001E-2</v>
      </c>
      <c r="M210" s="6">
        <v>1.7000000000000001E-2</v>
      </c>
      <c r="N210" s="6">
        <v>1.7000000000000001E-2</v>
      </c>
      <c r="O210" s="6">
        <v>1.7000000000000001E-2</v>
      </c>
      <c r="P210" s="6">
        <v>0</v>
      </c>
      <c r="Q210" s="4" t="s">
        <v>26</v>
      </c>
      <c r="R210" s="4">
        <v>0</v>
      </c>
      <c r="S210" s="4" t="s">
        <v>195</v>
      </c>
      <c r="T210" s="4" t="s">
        <v>392</v>
      </c>
      <c r="U210" s="4">
        <v>0</v>
      </c>
      <c r="V210" s="4">
        <v>34</v>
      </c>
      <c r="W210" s="4">
        <v>72</v>
      </c>
    </row>
    <row r="211" spans="1:23" ht="11.25" customHeight="1" x14ac:dyDescent="0.25">
      <c r="A211" s="4" t="s">
        <v>21</v>
      </c>
      <c r="B211" s="4" t="s">
        <v>22</v>
      </c>
      <c r="C211" s="4" t="s">
        <v>32</v>
      </c>
      <c r="D211" s="4" t="s">
        <v>24</v>
      </c>
      <c r="E211" s="4" t="s">
        <v>24</v>
      </c>
      <c r="F211" s="4" t="s">
        <v>25</v>
      </c>
      <c r="G211" s="4" t="s">
        <v>25</v>
      </c>
      <c r="H211" s="4" t="s">
        <v>33</v>
      </c>
      <c r="I211" s="5">
        <v>44562</v>
      </c>
      <c r="J211" s="6">
        <v>0</v>
      </c>
      <c r="K211" s="6">
        <v>0</v>
      </c>
      <c r="L211" s="6">
        <v>2.5999999999999999E-2</v>
      </c>
      <c r="M211" s="6">
        <v>2.5999999999999999E-2</v>
      </c>
      <c r="N211" s="6">
        <v>2.5999999999999999E-2</v>
      </c>
      <c r="O211" s="6">
        <v>2.5999999999999999E-2</v>
      </c>
      <c r="P211" s="6">
        <v>0</v>
      </c>
      <c r="Q211" s="4" t="s">
        <v>26</v>
      </c>
      <c r="R211" s="4">
        <v>0</v>
      </c>
      <c r="S211" s="4" t="s">
        <v>196</v>
      </c>
      <c r="T211" s="4" t="s">
        <v>393</v>
      </c>
      <c r="U211" s="4">
        <v>0</v>
      </c>
      <c r="V211" s="4">
        <v>34</v>
      </c>
      <c r="W211" s="4">
        <v>72</v>
      </c>
    </row>
    <row r="212" spans="1:23" ht="11.25" customHeight="1" x14ac:dyDescent="0.25">
      <c r="A212" s="4" t="s">
        <v>21</v>
      </c>
      <c r="B212" s="4" t="s">
        <v>22</v>
      </c>
      <c r="C212" s="4" t="s">
        <v>32</v>
      </c>
      <c r="D212" s="4" t="s">
        <v>24</v>
      </c>
      <c r="E212" s="4" t="s">
        <v>24</v>
      </c>
      <c r="F212" s="4" t="s">
        <v>25</v>
      </c>
      <c r="G212" s="4" t="s">
        <v>25</v>
      </c>
      <c r="H212" s="4" t="s">
        <v>33</v>
      </c>
      <c r="I212" s="5">
        <v>44593</v>
      </c>
      <c r="J212" s="6">
        <v>0</v>
      </c>
      <c r="K212" s="6">
        <v>0</v>
      </c>
      <c r="L212" s="6">
        <v>0.01</v>
      </c>
      <c r="M212" s="6">
        <v>0.01</v>
      </c>
      <c r="N212" s="6">
        <v>0.01</v>
      </c>
      <c r="O212" s="6">
        <v>0.01</v>
      </c>
      <c r="P212" s="6">
        <v>0</v>
      </c>
      <c r="Q212" s="4" t="s">
        <v>26</v>
      </c>
      <c r="R212" s="4">
        <v>0</v>
      </c>
      <c r="S212" s="4" t="s">
        <v>197</v>
      </c>
      <c r="T212" s="4" t="s">
        <v>394</v>
      </c>
      <c r="U212" s="4">
        <v>0</v>
      </c>
      <c r="V212" s="4">
        <v>34</v>
      </c>
      <c r="W212" s="4">
        <v>72</v>
      </c>
    </row>
    <row r="213" spans="1:23" ht="11.25" customHeight="1" x14ac:dyDescent="0.25">
      <c r="A213" s="4" t="s">
        <v>21</v>
      </c>
      <c r="B213" s="4" t="s">
        <v>22</v>
      </c>
      <c r="C213" s="4" t="s">
        <v>32</v>
      </c>
      <c r="D213" s="4" t="s">
        <v>24</v>
      </c>
      <c r="E213" s="4" t="s">
        <v>24</v>
      </c>
      <c r="F213" s="4" t="s">
        <v>25</v>
      </c>
      <c r="G213" s="4" t="s">
        <v>25</v>
      </c>
      <c r="H213" s="4" t="s">
        <v>33</v>
      </c>
      <c r="I213" s="5">
        <v>44621</v>
      </c>
      <c r="J213" s="6">
        <v>0</v>
      </c>
      <c r="K213" s="6">
        <v>0</v>
      </c>
      <c r="L213" s="6">
        <v>0.01</v>
      </c>
      <c r="M213" s="6">
        <v>0.01</v>
      </c>
      <c r="N213" s="6">
        <v>0.01</v>
      </c>
      <c r="O213" s="6">
        <v>0.01</v>
      </c>
      <c r="P213" s="6">
        <v>0</v>
      </c>
      <c r="Q213" s="4" t="s">
        <v>26</v>
      </c>
      <c r="R213" s="4">
        <v>0</v>
      </c>
      <c r="S213" s="4" t="s">
        <v>198</v>
      </c>
      <c r="T213" s="4" t="s">
        <v>395</v>
      </c>
      <c r="U213" s="4">
        <v>0</v>
      </c>
      <c r="V213" s="4">
        <v>34</v>
      </c>
      <c r="W213" s="4">
        <v>72</v>
      </c>
    </row>
    <row r="214" spans="1:23" ht="11.25" customHeight="1" x14ac:dyDescent="0.25">
      <c r="A214" s="4" t="s">
        <v>21</v>
      </c>
      <c r="B214" s="4" t="s">
        <v>22</v>
      </c>
      <c r="C214" s="4" t="s">
        <v>32</v>
      </c>
      <c r="D214" s="4" t="s">
        <v>24</v>
      </c>
      <c r="E214" s="4" t="s">
        <v>24</v>
      </c>
      <c r="F214" s="4" t="s">
        <v>25</v>
      </c>
      <c r="G214" s="4" t="s">
        <v>25</v>
      </c>
      <c r="H214" s="4" t="s">
        <v>33</v>
      </c>
      <c r="I214" s="5">
        <v>44652</v>
      </c>
      <c r="J214" s="6">
        <v>0</v>
      </c>
      <c r="K214" s="6">
        <v>0</v>
      </c>
      <c r="L214" s="6">
        <v>0.01</v>
      </c>
      <c r="M214" s="6">
        <v>0.01</v>
      </c>
      <c r="N214" s="6">
        <v>0.01</v>
      </c>
      <c r="O214" s="6">
        <v>0.01</v>
      </c>
      <c r="P214" s="6">
        <v>0</v>
      </c>
      <c r="Q214" s="4" t="s">
        <v>26</v>
      </c>
      <c r="R214" s="4">
        <v>0</v>
      </c>
      <c r="S214" s="4" t="s">
        <v>199</v>
      </c>
      <c r="T214" s="4" t="s">
        <v>396</v>
      </c>
      <c r="U214" s="4">
        <v>0</v>
      </c>
      <c r="V214" s="4">
        <v>34</v>
      </c>
      <c r="W214" s="4">
        <v>72</v>
      </c>
    </row>
    <row r="215" spans="1:23" ht="11.25" customHeight="1" x14ac:dyDescent="0.25">
      <c r="A215" s="4" t="s">
        <v>21</v>
      </c>
      <c r="B215" s="4" t="s">
        <v>22</v>
      </c>
      <c r="C215" s="4" t="s">
        <v>32</v>
      </c>
      <c r="D215" s="4" t="s">
        <v>24</v>
      </c>
      <c r="E215" s="4" t="s">
        <v>24</v>
      </c>
      <c r="F215" s="4" t="s">
        <v>25</v>
      </c>
      <c r="G215" s="4" t="s">
        <v>25</v>
      </c>
      <c r="H215" s="4" t="s">
        <v>33</v>
      </c>
      <c r="I215" s="5">
        <v>44682</v>
      </c>
      <c r="J215" s="6">
        <v>0</v>
      </c>
      <c r="K215" s="6">
        <v>0</v>
      </c>
      <c r="L215" s="6">
        <v>8.9999999999999993E-3</v>
      </c>
      <c r="M215" s="6">
        <v>8.9999999999999993E-3</v>
      </c>
      <c r="N215" s="6">
        <v>8.9999999999999993E-3</v>
      </c>
      <c r="O215" s="6">
        <v>8.9999999999999993E-3</v>
      </c>
      <c r="P215" s="6">
        <v>0</v>
      </c>
      <c r="Q215" s="4" t="s">
        <v>26</v>
      </c>
      <c r="R215" s="4">
        <v>0</v>
      </c>
      <c r="S215" s="4" t="s">
        <v>200</v>
      </c>
      <c r="T215" s="4" t="s">
        <v>397</v>
      </c>
      <c r="U215" s="4">
        <v>0</v>
      </c>
      <c r="V215" s="4">
        <v>34</v>
      </c>
      <c r="W215" s="4">
        <v>72</v>
      </c>
    </row>
    <row r="216" spans="1:23" ht="11.25" customHeight="1" x14ac:dyDescent="0.25">
      <c r="A216" s="4" t="s">
        <v>21</v>
      </c>
      <c r="B216" s="4" t="s">
        <v>22</v>
      </c>
      <c r="C216" s="4" t="s">
        <v>32</v>
      </c>
      <c r="D216" s="4" t="s">
        <v>24</v>
      </c>
      <c r="E216" s="4" t="s">
        <v>24</v>
      </c>
      <c r="F216" s="4" t="s">
        <v>25</v>
      </c>
      <c r="G216" s="4" t="s">
        <v>25</v>
      </c>
      <c r="H216" s="4" t="s">
        <v>33</v>
      </c>
      <c r="I216" s="5">
        <v>44713</v>
      </c>
      <c r="J216" s="6">
        <v>0</v>
      </c>
      <c r="K216" s="6">
        <v>0</v>
      </c>
      <c r="L216" s="6">
        <v>1.0999999999999999E-2</v>
      </c>
      <c r="M216" s="6">
        <v>1.0999999999999999E-2</v>
      </c>
      <c r="N216" s="6">
        <v>1.0999999999999999E-2</v>
      </c>
      <c r="O216" s="6">
        <v>1.0999999999999999E-2</v>
      </c>
      <c r="P216" s="6">
        <v>0</v>
      </c>
      <c r="Q216" s="4" t="s">
        <v>26</v>
      </c>
      <c r="R216" s="4">
        <v>0</v>
      </c>
      <c r="S216" s="4" t="s">
        <v>201</v>
      </c>
      <c r="T216" s="4" t="s">
        <v>398</v>
      </c>
      <c r="U216" s="4">
        <v>0</v>
      </c>
      <c r="V216" s="4">
        <v>34</v>
      </c>
      <c r="W216" s="4">
        <v>72</v>
      </c>
    </row>
    <row r="217" spans="1:23" ht="11.25" customHeight="1" x14ac:dyDescent="0.25">
      <c r="A217" s="4" t="s">
        <v>55</v>
      </c>
      <c r="B217" s="4" t="s">
        <v>22</v>
      </c>
      <c r="C217" s="4" t="s">
        <v>32</v>
      </c>
      <c r="D217" s="4" t="s">
        <v>24</v>
      </c>
      <c r="E217" s="4" t="s">
        <v>24</v>
      </c>
      <c r="F217" s="4" t="s">
        <v>25</v>
      </c>
      <c r="G217" s="4" t="s">
        <v>25</v>
      </c>
      <c r="H217" s="4" t="s">
        <v>33</v>
      </c>
      <c r="I217" s="5">
        <v>44743</v>
      </c>
      <c r="J217" s="6">
        <v>0</v>
      </c>
      <c r="K217" s="6">
        <v>0</v>
      </c>
      <c r="L217" s="6">
        <v>1.0999999999999999E-2</v>
      </c>
      <c r="M217" s="6">
        <v>1.0999999999999999E-2</v>
      </c>
      <c r="N217" s="6">
        <v>1.0999999999999999E-2</v>
      </c>
      <c r="O217" s="6">
        <v>1.0999999999999999E-2</v>
      </c>
      <c r="P217" s="6">
        <v>0</v>
      </c>
      <c r="Q217" s="4" t="s">
        <v>26</v>
      </c>
      <c r="R217" s="4">
        <v>0</v>
      </c>
      <c r="S217" s="4" t="s">
        <v>202</v>
      </c>
      <c r="T217" s="4" t="s">
        <v>399</v>
      </c>
      <c r="U217" s="4">
        <v>0</v>
      </c>
      <c r="V217" s="4">
        <v>34</v>
      </c>
      <c r="W217" s="4">
        <v>72</v>
      </c>
    </row>
    <row r="218" spans="1:23" ht="11.25" customHeight="1" x14ac:dyDescent="0.25">
      <c r="A218" s="4" t="s">
        <v>21</v>
      </c>
      <c r="B218" s="4" t="s">
        <v>22</v>
      </c>
      <c r="C218" s="4" t="s">
        <v>23</v>
      </c>
      <c r="D218" s="4" t="s">
        <v>24</v>
      </c>
      <c r="E218" s="4" t="s">
        <v>24</v>
      </c>
      <c r="F218" s="4" t="s">
        <v>25</v>
      </c>
      <c r="G218" s="4" t="s">
        <v>25</v>
      </c>
      <c r="H218" s="4" t="s">
        <v>25</v>
      </c>
      <c r="I218" s="5">
        <v>44409</v>
      </c>
      <c r="J218" s="6">
        <v>0</v>
      </c>
      <c r="K218" s="6">
        <v>0</v>
      </c>
      <c r="L218" s="6">
        <v>846.42</v>
      </c>
      <c r="M218" s="6">
        <v>846.42</v>
      </c>
      <c r="N218" s="6">
        <v>846.42</v>
      </c>
      <c r="O218" s="6">
        <v>846.42</v>
      </c>
      <c r="P218" s="6">
        <v>5673</v>
      </c>
      <c r="Q218" s="4" t="s">
        <v>26</v>
      </c>
      <c r="R218" s="4">
        <v>0</v>
      </c>
      <c r="S218" s="4" t="s">
        <v>203</v>
      </c>
      <c r="T218" s="4" t="s">
        <v>400</v>
      </c>
      <c r="U218" s="4">
        <v>0</v>
      </c>
      <c r="V218" s="4">
        <v>37</v>
      </c>
      <c r="W218" s="4">
        <v>75</v>
      </c>
    </row>
    <row r="219" spans="1:23" ht="11.25" customHeight="1" x14ac:dyDescent="0.25">
      <c r="A219" s="4" t="s">
        <v>27</v>
      </c>
      <c r="B219" s="4" t="s">
        <v>22</v>
      </c>
      <c r="C219" s="4" t="s">
        <v>23</v>
      </c>
      <c r="D219" s="4" t="s">
        <v>24</v>
      </c>
      <c r="E219" s="4" t="s">
        <v>24</v>
      </c>
      <c r="F219" s="4" t="s">
        <v>25</v>
      </c>
      <c r="G219" s="4" t="s">
        <v>25</v>
      </c>
      <c r="H219" s="4" t="s">
        <v>25</v>
      </c>
      <c r="I219" s="5">
        <v>44409</v>
      </c>
      <c r="J219" s="6">
        <v>0</v>
      </c>
      <c r="K219" s="6">
        <v>0</v>
      </c>
      <c r="L219" s="6">
        <v>17.163</v>
      </c>
      <c r="M219" s="6">
        <v>17.163</v>
      </c>
      <c r="N219" s="6">
        <v>17.163</v>
      </c>
      <c r="O219" s="6">
        <v>17.163</v>
      </c>
      <c r="P219" s="6">
        <v>160</v>
      </c>
      <c r="Q219" s="4" t="s">
        <v>26</v>
      </c>
      <c r="R219" s="4">
        <v>0</v>
      </c>
      <c r="S219" s="4" t="s">
        <v>203</v>
      </c>
      <c r="T219" s="4" t="s">
        <v>400</v>
      </c>
      <c r="U219" s="4">
        <v>0</v>
      </c>
      <c r="V219" s="4">
        <v>37</v>
      </c>
      <c r="W219" s="4">
        <v>75</v>
      </c>
    </row>
    <row r="220" spans="1:23" ht="11.25" customHeight="1" x14ac:dyDescent="0.25">
      <c r="A220" s="4" t="s">
        <v>21</v>
      </c>
      <c r="B220" s="4" t="s">
        <v>22</v>
      </c>
      <c r="C220" s="4" t="s">
        <v>23</v>
      </c>
      <c r="D220" s="4" t="s">
        <v>24</v>
      </c>
      <c r="E220" s="4" t="s">
        <v>24</v>
      </c>
      <c r="F220" s="4" t="s">
        <v>25</v>
      </c>
      <c r="G220" s="4" t="s">
        <v>25</v>
      </c>
      <c r="H220" s="4" t="s">
        <v>25</v>
      </c>
      <c r="I220" s="5">
        <v>44440</v>
      </c>
      <c r="J220" s="6">
        <v>0</v>
      </c>
      <c r="K220" s="6">
        <v>0</v>
      </c>
      <c r="L220" s="6">
        <v>898.92100000000005</v>
      </c>
      <c r="M220" s="6">
        <v>898.92100000000005</v>
      </c>
      <c r="N220" s="6">
        <v>898.92100000000005</v>
      </c>
      <c r="O220" s="6">
        <v>898.92100000000005</v>
      </c>
      <c r="P220" s="6">
        <v>5700</v>
      </c>
      <c r="Q220" s="4" t="s">
        <v>26</v>
      </c>
      <c r="R220" s="4">
        <v>0</v>
      </c>
      <c r="S220" s="4" t="s">
        <v>204</v>
      </c>
      <c r="T220" s="4" t="s">
        <v>401</v>
      </c>
      <c r="U220" s="4">
        <v>0</v>
      </c>
      <c r="V220" s="4">
        <v>37</v>
      </c>
      <c r="W220" s="4">
        <v>75</v>
      </c>
    </row>
    <row r="221" spans="1:23" ht="11.25" customHeight="1" x14ac:dyDescent="0.25">
      <c r="A221" s="4" t="s">
        <v>27</v>
      </c>
      <c r="B221" s="4" t="s">
        <v>22</v>
      </c>
      <c r="C221" s="4" t="s">
        <v>23</v>
      </c>
      <c r="D221" s="4" t="s">
        <v>24</v>
      </c>
      <c r="E221" s="4" t="s">
        <v>24</v>
      </c>
      <c r="F221" s="4" t="s">
        <v>25</v>
      </c>
      <c r="G221" s="4" t="s">
        <v>25</v>
      </c>
      <c r="H221" s="4" t="s">
        <v>25</v>
      </c>
      <c r="I221" s="5">
        <v>44440</v>
      </c>
      <c r="J221" s="6">
        <v>0</v>
      </c>
      <c r="K221" s="6">
        <v>0</v>
      </c>
      <c r="L221" s="6">
        <v>13.840999999999999</v>
      </c>
      <c r="M221" s="6">
        <v>13.840999999999999</v>
      </c>
      <c r="N221" s="6">
        <v>13.840999999999999</v>
      </c>
      <c r="O221" s="6">
        <v>13.840999999999999</v>
      </c>
      <c r="P221" s="6">
        <v>165</v>
      </c>
      <c r="Q221" s="4" t="s">
        <v>26</v>
      </c>
      <c r="R221" s="4">
        <v>0</v>
      </c>
      <c r="S221" s="4" t="s">
        <v>204</v>
      </c>
      <c r="T221" s="4" t="s">
        <v>401</v>
      </c>
      <c r="U221" s="4">
        <v>0</v>
      </c>
      <c r="V221" s="4">
        <v>37</v>
      </c>
      <c r="W221" s="4">
        <v>75</v>
      </c>
    </row>
    <row r="222" spans="1:23" ht="11.25" customHeight="1" x14ac:dyDescent="0.25">
      <c r="A222" s="4" t="s">
        <v>21</v>
      </c>
      <c r="B222" s="4" t="s">
        <v>22</v>
      </c>
      <c r="C222" s="4" t="s">
        <v>23</v>
      </c>
      <c r="D222" s="4" t="s">
        <v>24</v>
      </c>
      <c r="E222" s="4" t="s">
        <v>24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0</v>
      </c>
      <c r="K222" s="6">
        <v>0</v>
      </c>
      <c r="L222" s="6">
        <v>795.89800000000002</v>
      </c>
      <c r="M222" s="6">
        <v>795.89800000000002</v>
      </c>
      <c r="N222" s="6">
        <v>795.89800000000002</v>
      </c>
      <c r="O222" s="6">
        <v>795.89800000000002</v>
      </c>
      <c r="P222" s="6">
        <v>5685</v>
      </c>
      <c r="Q222" s="4" t="s">
        <v>26</v>
      </c>
      <c r="R222" s="4">
        <v>0</v>
      </c>
      <c r="S222" s="4" t="s">
        <v>205</v>
      </c>
      <c r="T222" s="4" t="s">
        <v>402</v>
      </c>
      <c r="U222" s="4">
        <v>0</v>
      </c>
      <c r="V222" s="4">
        <v>37</v>
      </c>
      <c r="W222" s="4">
        <v>75</v>
      </c>
    </row>
    <row r="223" spans="1:23" ht="11.25" customHeight="1" x14ac:dyDescent="0.25">
      <c r="A223" s="4" t="s">
        <v>27</v>
      </c>
      <c r="B223" s="4" t="s">
        <v>22</v>
      </c>
      <c r="C223" s="4" t="s">
        <v>23</v>
      </c>
      <c r="D223" s="4" t="s">
        <v>24</v>
      </c>
      <c r="E223" s="4" t="s">
        <v>24</v>
      </c>
      <c r="F223" s="4" t="s">
        <v>25</v>
      </c>
      <c r="G223" s="4" t="s">
        <v>25</v>
      </c>
      <c r="H223" s="4" t="s">
        <v>25</v>
      </c>
      <c r="I223" s="5">
        <v>44470</v>
      </c>
      <c r="J223" s="6">
        <v>0</v>
      </c>
      <c r="K223" s="6">
        <v>0</v>
      </c>
      <c r="L223" s="6">
        <v>18.109000000000002</v>
      </c>
      <c r="M223" s="6">
        <v>18.109000000000002</v>
      </c>
      <c r="N223" s="6">
        <v>18.109000000000002</v>
      </c>
      <c r="O223" s="6">
        <v>18.109000000000002</v>
      </c>
      <c r="P223" s="6">
        <v>187</v>
      </c>
      <c r="Q223" s="4" t="s">
        <v>26</v>
      </c>
      <c r="R223" s="4">
        <v>0</v>
      </c>
      <c r="S223" s="4" t="s">
        <v>205</v>
      </c>
      <c r="T223" s="4" t="s">
        <v>402</v>
      </c>
      <c r="U223" s="4">
        <v>0</v>
      </c>
      <c r="V223" s="4">
        <v>37</v>
      </c>
      <c r="W223" s="4">
        <v>75</v>
      </c>
    </row>
    <row r="224" spans="1:23" ht="11.25" customHeight="1" x14ac:dyDescent="0.25">
      <c r="A224" s="4" t="s">
        <v>21</v>
      </c>
      <c r="B224" s="4" t="s">
        <v>22</v>
      </c>
      <c r="C224" s="4" t="s">
        <v>23</v>
      </c>
      <c r="D224" s="4" t="s">
        <v>24</v>
      </c>
      <c r="E224" s="4" t="s">
        <v>24</v>
      </c>
      <c r="F224" s="4" t="s">
        <v>25</v>
      </c>
      <c r="G224" s="4" t="s">
        <v>25</v>
      </c>
      <c r="H224" s="4" t="s">
        <v>25</v>
      </c>
      <c r="I224" s="5">
        <v>44501</v>
      </c>
      <c r="J224" s="6">
        <v>0</v>
      </c>
      <c r="K224" s="6">
        <v>0</v>
      </c>
      <c r="L224" s="6">
        <v>870.99800000000005</v>
      </c>
      <c r="M224" s="6">
        <v>870.99800000000005</v>
      </c>
      <c r="N224" s="6">
        <v>870.99800000000005</v>
      </c>
      <c r="O224" s="6">
        <v>870.99800000000005</v>
      </c>
      <c r="P224" s="6">
        <v>5654</v>
      </c>
      <c r="Q224" s="4" t="s">
        <v>26</v>
      </c>
      <c r="R224" s="4">
        <v>0</v>
      </c>
      <c r="S224" s="4" t="s">
        <v>206</v>
      </c>
      <c r="T224" s="4" t="s">
        <v>403</v>
      </c>
      <c r="U224" s="4">
        <v>0</v>
      </c>
      <c r="V224" s="4">
        <v>37</v>
      </c>
      <c r="W224" s="4">
        <v>75</v>
      </c>
    </row>
    <row r="225" spans="1:23" ht="11.25" customHeight="1" x14ac:dyDescent="0.25">
      <c r="A225" s="4" t="s">
        <v>27</v>
      </c>
      <c r="B225" s="4" t="s">
        <v>22</v>
      </c>
      <c r="C225" s="4" t="s">
        <v>23</v>
      </c>
      <c r="D225" s="4" t="s">
        <v>24</v>
      </c>
      <c r="E225" s="4" t="s">
        <v>24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0</v>
      </c>
      <c r="K225" s="6">
        <v>0</v>
      </c>
      <c r="L225" s="6">
        <v>16.065000000000001</v>
      </c>
      <c r="M225" s="6">
        <v>16.065000000000001</v>
      </c>
      <c r="N225" s="6">
        <v>16.065000000000001</v>
      </c>
      <c r="O225" s="6">
        <v>16.065000000000001</v>
      </c>
      <c r="P225" s="6">
        <v>205</v>
      </c>
      <c r="Q225" s="4" t="s">
        <v>26</v>
      </c>
      <c r="R225" s="4">
        <v>0</v>
      </c>
      <c r="S225" s="4" t="s">
        <v>206</v>
      </c>
      <c r="T225" s="4" t="s">
        <v>403</v>
      </c>
      <c r="U225" s="4">
        <v>0</v>
      </c>
      <c r="V225" s="4">
        <v>37</v>
      </c>
      <c r="W225" s="4">
        <v>75</v>
      </c>
    </row>
    <row r="226" spans="1:23" ht="11.25" customHeight="1" x14ac:dyDescent="0.25">
      <c r="A226" s="4" t="s">
        <v>21</v>
      </c>
      <c r="B226" s="4" t="s">
        <v>22</v>
      </c>
      <c r="C226" s="4" t="s">
        <v>23</v>
      </c>
      <c r="D226" s="4" t="s">
        <v>24</v>
      </c>
      <c r="E226" s="4" t="s">
        <v>24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0</v>
      </c>
      <c r="K226" s="6">
        <v>0</v>
      </c>
      <c r="L226" s="6">
        <v>980.88699999999994</v>
      </c>
      <c r="M226" s="6">
        <v>980.88699999999994</v>
      </c>
      <c r="N226" s="6">
        <v>980.88699999999994</v>
      </c>
      <c r="O226" s="6">
        <v>980.88699999999994</v>
      </c>
      <c r="P226" s="6">
        <v>5635</v>
      </c>
      <c r="Q226" s="4" t="s">
        <v>26</v>
      </c>
      <c r="R226" s="4">
        <v>0</v>
      </c>
      <c r="S226" s="4" t="s">
        <v>207</v>
      </c>
      <c r="T226" s="4" t="s">
        <v>404</v>
      </c>
      <c r="U226" s="4">
        <v>0</v>
      </c>
      <c r="V226" s="4">
        <v>37</v>
      </c>
      <c r="W226" s="4">
        <v>75</v>
      </c>
    </row>
    <row r="227" spans="1:23" ht="11.25" customHeight="1" x14ac:dyDescent="0.25">
      <c r="A227" s="4" t="s">
        <v>27</v>
      </c>
      <c r="B227" s="4" t="s">
        <v>22</v>
      </c>
      <c r="C227" s="4" t="s">
        <v>23</v>
      </c>
      <c r="D227" s="4" t="s">
        <v>24</v>
      </c>
      <c r="E227" s="4" t="s">
        <v>24</v>
      </c>
      <c r="F227" s="4" t="s">
        <v>25</v>
      </c>
      <c r="G227" s="4" t="s">
        <v>25</v>
      </c>
      <c r="H227" s="4" t="s">
        <v>25</v>
      </c>
      <c r="I227" s="5">
        <v>44531</v>
      </c>
      <c r="J227" s="6">
        <v>0</v>
      </c>
      <c r="K227" s="6">
        <v>0</v>
      </c>
      <c r="L227" s="6">
        <v>19.164999999999999</v>
      </c>
      <c r="M227" s="6">
        <v>19.164999999999999</v>
      </c>
      <c r="N227" s="6">
        <v>19.164999999999999</v>
      </c>
      <c r="O227" s="6">
        <v>19.164999999999999</v>
      </c>
      <c r="P227" s="6">
        <v>223</v>
      </c>
      <c r="Q227" s="4" t="s">
        <v>26</v>
      </c>
      <c r="R227" s="4">
        <v>0</v>
      </c>
      <c r="S227" s="4" t="s">
        <v>207</v>
      </c>
      <c r="T227" s="4" t="s">
        <v>404</v>
      </c>
      <c r="U227" s="4">
        <v>0</v>
      </c>
      <c r="V227" s="4">
        <v>37</v>
      </c>
      <c r="W227" s="4">
        <v>75</v>
      </c>
    </row>
    <row r="228" spans="1:23" ht="11.25" customHeight="1" x14ac:dyDescent="0.25">
      <c r="A228" s="4" t="s">
        <v>21</v>
      </c>
      <c r="B228" s="4" t="s">
        <v>22</v>
      </c>
      <c r="C228" s="4" t="s">
        <v>23</v>
      </c>
      <c r="D228" s="4" t="s">
        <v>24</v>
      </c>
      <c r="E228" s="4" t="s">
        <v>24</v>
      </c>
      <c r="F228" s="4" t="s">
        <v>25</v>
      </c>
      <c r="G228" s="4" t="s">
        <v>25</v>
      </c>
      <c r="H228" s="4" t="s">
        <v>25</v>
      </c>
      <c r="I228" s="5">
        <v>44562</v>
      </c>
      <c r="J228" s="6">
        <v>0</v>
      </c>
      <c r="K228" s="6">
        <v>0</v>
      </c>
      <c r="L228" s="6">
        <v>952.029</v>
      </c>
      <c r="M228" s="6">
        <v>952.029</v>
      </c>
      <c r="N228" s="6">
        <v>952.029</v>
      </c>
      <c r="O228" s="6">
        <v>952.029</v>
      </c>
      <c r="P228" s="6">
        <v>5611</v>
      </c>
      <c r="Q228" s="4" t="s">
        <v>26</v>
      </c>
      <c r="R228" s="4">
        <v>0</v>
      </c>
      <c r="S228" s="4" t="s">
        <v>208</v>
      </c>
      <c r="T228" s="4" t="s">
        <v>405</v>
      </c>
      <c r="U228" s="4">
        <v>0</v>
      </c>
      <c r="V228" s="4">
        <v>37</v>
      </c>
      <c r="W228" s="4">
        <v>75</v>
      </c>
    </row>
    <row r="229" spans="1:23" ht="11.25" customHeight="1" x14ac:dyDescent="0.25">
      <c r="A229" s="4" t="s">
        <v>27</v>
      </c>
      <c r="B229" s="4" t="s">
        <v>22</v>
      </c>
      <c r="C229" s="4" t="s">
        <v>23</v>
      </c>
      <c r="D229" s="4" t="s">
        <v>24</v>
      </c>
      <c r="E229" s="4" t="s">
        <v>24</v>
      </c>
      <c r="F229" s="4" t="s">
        <v>25</v>
      </c>
      <c r="G229" s="4" t="s">
        <v>25</v>
      </c>
      <c r="H229" s="4" t="s">
        <v>25</v>
      </c>
      <c r="I229" s="5">
        <v>44562</v>
      </c>
      <c r="J229" s="6">
        <v>0</v>
      </c>
      <c r="K229" s="6">
        <v>0</v>
      </c>
      <c r="L229" s="6">
        <v>20.507000000000001</v>
      </c>
      <c r="M229" s="6">
        <v>20.507000000000001</v>
      </c>
      <c r="N229" s="6">
        <v>20.507000000000001</v>
      </c>
      <c r="O229" s="6">
        <v>20.507000000000001</v>
      </c>
      <c r="P229" s="6">
        <v>234</v>
      </c>
      <c r="Q229" s="4" t="s">
        <v>26</v>
      </c>
      <c r="R229" s="4">
        <v>0</v>
      </c>
      <c r="S229" s="4" t="s">
        <v>208</v>
      </c>
      <c r="T229" s="4" t="s">
        <v>405</v>
      </c>
      <c r="U229" s="4">
        <v>0</v>
      </c>
      <c r="V229" s="4">
        <v>37</v>
      </c>
      <c r="W229" s="4">
        <v>75</v>
      </c>
    </row>
    <row r="230" spans="1:23" ht="11.25" customHeight="1" x14ac:dyDescent="0.25">
      <c r="A230" s="4" t="s">
        <v>21</v>
      </c>
      <c r="B230" s="4" t="s">
        <v>22</v>
      </c>
      <c r="C230" s="4" t="s">
        <v>23</v>
      </c>
      <c r="D230" s="4" t="s">
        <v>24</v>
      </c>
      <c r="E230" s="4" t="s">
        <v>24</v>
      </c>
      <c r="F230" s="4" t="s">
        <v>25</v>
      </c>
      <c r="G230" s="4" t="s">
        <v>25</v>
      </c>
      <c r="H230" s="4" t="s">
        <v>25</v>
      </c>
      <c r="I230" s="5">
        <v>44593</v>
      </c>
      <c r="J230" s="6">
        <v>0</v>
      </c>
      <c r="K230" s="6">
        <v>0</v>
      </c>
      <c r="L230" s="6">
        <v>840.39200000000005</v>
      </c>
      <c r="M230" s="6">
        <v>840.39200000000005</v>
      </c>
      <c r="N230" s="6">
        <v>840.39200000000005</v>
      </c>
      <c r="O230" s="6">
        <v>840.39200000000005</v>
      </c>
      <c r="P230" s="6">
        <v>5585</v>
      </c>
      <c r="Q230" s="4" t="s">
        <v>26</v>
      </c>
      <c r="R230" s="4">
        <v>0</v>
      </c>
      <c r="S230" s="4" t="s">
        <v>209</v>
      </c>
      <c r="T230" s="4" t="s">
        <v>406</v>
      </c>
      <c r="U230" s="4">
        <v>0</v>
      </c>
      <c r="V230" s="4">
        <v>37</v>
      </c>
      <c r="W230" s="4">
        <v>75</v>
      </c>
    </row>
    <row r="231" spans="1:23" ht="11.25" customHeight="1" x14ac:dyDescent="0.25">
      <c r="A231" s="4" t="s">
        <v>27</v>
      </c>
      <c r="B231" s="4" t="s">
        <v>22</v>
      </c>
      <c r="C231" s="4" t="s">
        <v>23</v>
      </c>
      <c r="D231" s="4" t="s">
        <v>24</v>
      </c>
      <c r="E231" s="4" t="s">
        <v>24</v>
      </c>
      <c r="F231" s="4" t="s">
        <v>25</v>
      </c>
      <c r="G231" s="4" t="s">
        <v>25</v>
      </c>
      <c r="H231" s="4" t="s">
        <v>25</v>
      </c>
      <c r="I231" s="5">
        <v>44593</v>
      </c>
      <c r="J231" s="6">
        <v>0</v>
      </c>
      <c r="K231" s="6">
        <v>0</v>
      </c>
      <c r="L231" s="6">
        <v>20.370999999999999</v>
      </c>
      <c r="M231" s="6">
        <v>20.370999999999999</v>
      </c>
      <c r="N231" s="6">
        <v>20.370999999999999</v>
      </c>
      <c r="O231" s="6">
        <v>20.370999999999999</v>
      </c>
      <c r="P231" s="6">
        <v>247</v>
      </c>
      <c r="Q231" s="4" t="s">
        <v>26</v>
      </c>
      <c r="R231" s="4">
        <v>0</v>
      </c>
      <c r="S231" s="4" t="s">
        <v>209</v>
      </c>
      <c r="T231" s="4" t="s">
        <v>406</v>
      </c>
      <c r="U231" s="4">
        <v>0</v>
      </c>
      <c r="V231" s="4">
        <v>37</v>
      </c>
      <c r="W231" s="4">
        <v>75</v>
      </c>
    </row>
    <row r="232" spans="1:23" ht="11.25" customHeight="1" x14ac:dyDescent="0.25">
      <c r="A232" s="4" t="s">
        <v>21</v>
      </c>
      <c r="B232" s="4" t="s">
        <v>22</v>
      </c>
      <c r="C232" s="4" t="s">
        <v>23</v>
      </c>
      <c r="D232" s="4" t="s">
        <v>24</v>
      </c>
      <c r="E232" s="4" t="s">
        <v>24</v>
      </c>
      <c r="F232" s="4" t="s">
        <v>25</v>
      </c>
      <c r="G232" s="4" t="s">
        <v>25</v>
      </c>
      <c r="H232" s="4" t="s">
        <v>25</v>
      </c>
      <c r="I232" s="5">
        <v>44621</v>
      </c>
      <c r="J232" s="6">
        <v>0</v>
      </c>
      <c r="K232" s="6">
        <v>0</v>
      </c>
      <c r="L232" s="6">
        <v>915.86900000000003</v>
      </c>
      <c r="M232" s="6">
        <v>915.86900000000003</v>
      </c>
      <c r="N232" s="6">
        <v>915.86900000000003</v>
      </c>
      <c r="O232" s="6">
        <v>915.86900000000003</v>
      </c>
      <c r="P232" s="6">
        <v>5572</v>
      </c>
      <c r="Q232" s="4" t="s">
        <v>26</v>
      </c>
      <c r="R232" s="4">
        <v>0</v>
      </c>
      <c r="S232" s="4" t="s">
        <v>210</v>
      </c>
      <c r="T232" s="4" t="s">
        <v>407</v>
      </c>
      <c r="U232" s="4">
        <v>0</v>
      </c>
      <c r="V232" s="4">
        <v>37</v>
      </c>
      <c r="W232" s="4">
        <v>75</v>
      </c>
    </row>
    <row r="233" spans="1:23" ht="11.25" customHeight="1" x14ac:dyDescent="0.25">
      <c r="A233" s="4" t="s">
        <v>27</v>
      </c>
      <c r="B233" s="4" t="s">
        <v>22</v>
      </c>
      <c r="C233" s="4" t="s">
        <v>23</v>
      </c>
      <c r="D233" s="4" t="s">
        <v>24</v>
      </c>
      <c r="E233" s="4" t="s">
        <v>24</v>
      </c>
      <c r="F233" s="4" t="s">
        <v>25</v>
      </c>
      <c r="G233" s="4" t="s">
        <v>25</v>
      </c>
      <c r="H233" s="4" t="s">
        <v>25</v>
      </c>
      <c r="I233" s="5">
        <v>44621</v>
      </c>
      <c r="J233" s="6">
        <v>0</v>
      </c>
      <c r="K233" s="6">
        <v>0</v>
      </c>
      <c r="L233" s="6">
        <v>25.789000000000001</v>
      </c>
      <c r="M233" s="6">
        <v>25.789000000000001</v>
      </c>
      <c r="N233" s="6">
        <v>25.789000000000001</v>
      </c>
      <c r="O233" s="6">
        <v>25.789000000000001</v>
      </c>
      <c r="P233" s="6">
        <v>256</v>
      </c>
      <c r="Q233" s="4" t="s">
        <v>26</v>
      </c>
      <c r="R233" s="4">
        <v>0</v>
      </c>
      <c r="S233" s="4" t="s">
        <v>210</v>
      </c>
      <c r="T233" s="4" t="s">
        <v>407</v>
      </c>
      <c r="U233" s="4">
        <v>0</v>
      </c>
      <c r="V233" s="4">
        <v>37</v>
      </c>
      <c r="W233" s="4">
        <v>75</v>
      </c>
    </row>
    <row r="234" spans="1:23" ht="11.25" customHeight="1" x14ac:dyDescent="0.25">
      <c r="A234" s="4" t="s">
        <v>21</v>
      </c>
      <c r="B234" s="4" t="s">
        <v>22</v>
      </c>
      <c r="C234" s="4" t="s">
        <v>23</v>
      </c>
      <c r="D234" s="4" t="s">
        <v>24</v>
      </c>
      <c r="E234" s="4" t="s">
        <v>24</v>
      </c>
      <c r="F234" s="4" t="s">
        <v>25</v>
      </c>
      <c r="G234" s="4" t="s">
        <v>25</v>
      </c>
      <c r="H234" s="4" t="s">
        <v>25</v>
      </c>
      <c r="I234" s="5">
        <v>44652</v>
      </c>
      <c r="J234" s="6">
        <v>0</v>
      </c>
      <c r="K234" s="6">
        <v>0</v>
      </c>
      <c r="L234" s="6">
        <v>806.23099999999999</v>
      </c>
      <c r="M234" s="6">
        <v>806.23099999999999</v>
      </c>
      <c r="N234" s="6">
        <v>806.23099999999999</v>
      </c>
      <c r="O234" s="6">
        <v>806.23099999999999</v>
      </c>
      <c r="P234" s="6">
        <v>5559</v>
      </c>
      <c r="Q234" s="4" t="s">
        <v>26</v>
      </c>
      <c r="R234" s="4">
        <v>0</v>
      </c>
      <c r="S234" s="4" t="s">
        <v>211</v>
      </c>
      <c r="T234" s="4" t="s">
        <v>408</v>
      </c>
      <c r="U234" s="4">
        <v>0</v>
      </c>
      <c r="V234" s="4">
        <v>37</v>
      </c>
      <c r="W234" s="4">
        <v>75</v>
      </c>
    </row>
    <row r="235" spans="1:23" ht="11.25" customHeight="1" x14ac:dyDescent="0.25">
      <c r="A235" s="4" t="s">
        <v>27</v>
      </c>
      <c r="B235" s="4" t="s">
        <v>22</v>
      </c>
      <c r="C235" s="4" t="s">
        <v>23</v>
      </c>
      <c r="D235" s="4" t="s">
        <v>24</v>
      </c>
      <c r="E235" s="4" t="s">
        <v>24</v>
      </c>
      <c r="F235" s="4" t="s">
        <v>25</v>
      </c>
      <c r="G235" s="4" t="s">
        <v>25</v>
      </c>
      <c r="H235" s="4" t="s">
        <v>25</v>
      </c>
      <c r="I235" s="5">
        <v>44652</v>
      </c>
      <c r="J235" s="6">
        <v>0</v>
      </c>
      <c r="K235" s="6">
        <v>0</v>
      </c>
      <c r="L235" s="6">
        <v>23.277999999999999</v>
      </c>
      <c r="M235" s="6">
        <v>23.277999999999999</v>
      </c>
      <c r="N235" s="6">
        <v>23.277999999999999</v>
      </c>
      <c r="O235" s="6">
        <v>23.277999999999999</v>
      </c>
      <c r="P235" s="6">
        <v>269</v>
      </c>
      <c r="Q235" s="4" t="s">
        <v>26</v>
      </c>
      <c r="R235" s="4">
        <v>0</v>
      </c>
      <c r="S235" s="4" t="s">
        <v>211</v>
      </c>
      <c r="T235" s="4" t="s">
        <v>408</v>
      </c>
      <c r="U235" s="4">
        <v>0</v>
      </c>
      <c r="V235" s="4">
        <v>37</v>
      </c>
      <c r="W235" s="4">
        <v>75</v>
      </c>
    </row>
    <row r="236" spans="1:23" ht="11.25" customHeight="1" x14ac:dyDescent="0.25">
      <c r="A236" s="4" t="s">
        <v>21</v>
      </c>
      <c r="B236" s="4" t="s">
        <v>22</v>
      </c>
      <c r="C236" s="4" t="s">
        <v>23</v>
      </c>
      <c r="D236" s="4" t="s">
        <v>24</v>
      </c>
      <c r="E236" s="4" t="s">
        <v>24</v>
      </c>
      <c r="F236" s="4" t="s">
        <v>25</v>
      </c>
      <c r="G236" s="4" t="s">
        <v>25</v>
      </c>
      <c r="H236" s="4" t="s">
        <v>25</v>
      </c>
      <c r="I236" s="5">
        <v>44682</v>
      </c>
      <c r="J236" s="6">
        <v>0</v>
      </c>
      <c r="K236" s="6">
        <v>0</v>
      </c>
      <c r="L236" s="6">
        <v>778.399</v>
      </c>
      <c r="M236" s="6">
        <v>778.399</v>
      </c>
      <c r="N236" s="6">
        <v>778.399</v>
      </c>
      <c r="O236" s="6">
        <v>778.399</v>
      </c>
      <c r="P236" s="6">
        <v>5532</v>
      </c>
      <c r="Q236" s="4" t="s">
        <v>26</v>
      </c>
      <c r="R236" s="4">
        <v>0</v>
      </c>
      <c r="S236" s="4" t="s">
        <v>212</v>
      </c>
      <c r="T236" s="4" t="s">
        <v>409</v>
      </c>
      <c r="U236" s="4">
        <v>0</v>
      </c>
      <c r="V236" s="4">
        <v>37</v>
      </c>
      <c r="W236" s="4">
        <v>75</v>
      </c>
    </row>
    <row r="237" spans="1:23" ht="11.25" customHeight="1" x14ac:dyDescent="0.25">
      <c r="A237" s="4" t="s">
        <v>54</v>
      </c>
      <c r="B237" s="4" t="s">
        <v>22</v>
      </c>
      <c r="C237" s="4" t="s">
        <v>23</v>
      </c>
      <c r="D237" s="4" t="s">
        <v>24</v>
      </c>
      <c r="E237" s="4" t="s">
        <v>24</v>
      </c>
      <c r="F237" s="4" t="s">
        <v>25</v>
      </c>
      <c r="G237" s="4" t="s">
        <v>25</v>
      </c>
      <c r="H237" s="4" t="s">
        <v>25</v>
      </c>
      <c r="I237" s="5">
        <v>44682</v>
      </c>
      <c r="J237" s="6">
        <v>0</v>
      </c>
      <c r="K237" s="6">
        <v>0</v>
      </c>
      <c r="L237" s="6">
        <v>-0.35499999999999998</v>
      </c>
      <c r="M237" s="6">
        <v>-0.35499999999999998</v>
      </c>
      <c r="N237" s="6">
        <v>-0.35499999999999998</v>
      </c>
      <c r="O237" s="6">
        <v>-0.35499999999999998</v>
      </c>
      <c r="P237" s="6">
        <v>0</v>
      </c>
      <c r="Q237" s="4" t="s">
        <v>26</v>
      </c>
      <c r="R237" s="4">
        <v>0</v>
      </c>
      <c r="S237" s="4" t="s">
        <v>212</v>
      </c>
      <c r="T237" s="4" t="s">
        <v>409</v>
      </c>
      <c r="U237" s="4">
        <v>0</v>
      </c>
      <c r="V237" s="4">
        <v>37</v>
      </c>
      <c r="W237" s="4">
        <v>75</v>
      </c>
    </row>
    <row r="238" spans="1:23" ht="11.25" customHeight="1" x14ac:dyDescent="0.25">
      <c r="A238" s="4" t="s">
        <v>27</v>
      </c>
      <c r="B238" s="4" t="s">
        <v>22</v>
      </c>
      <c r="C238" s="4" t="s">
        <v>23</v>
      </c>
      <c r="D238" s="4" t="s">
        <v>24</v>
      </c>
      <c r="E238" s="4" t="s">
        <v>24</v>
      </c>
      <c r="F238" s="4" t="s">
        <v>25</v>
      </c>
      <c r="G238" s="4" t="s">
        <v>25</v>
      </c>
      <c r="H238" s="4" t="s">
        <v>25</v>
      </c>
      <c r="I238" s="5">
        <v>44682</v>
      </c>
      <c r="J238" s="6">
        <v>0</v>
      </c>
      <c r="K238" s="6">
        <v>0</v>
      </c>
      <c r="L238" s="6">
        <v>26.268000000000001</v>
      </c>
      <c r="M238" s="6">
        <v>26.268000000000001</v>
      </c>
      <c r="N238" s="6">
        <v>26.268000000000001</v>
      </c>
      <c r="O238" s="6">
        <v>26.268000000000001</v>
      </c>
      <c r="P238" s="6">
        <v>274</v>
      </c>
      <c r="Q238" s="4" t="s">
        <v>26</v>
      </c>
      <c r="R238" s="4">
        <v>0</v>
      </c>
      <c r="S238" s="4" t="s">
        <v>212</v>
      </c>
      <c r="T238" s="4" t="s">
        <v>409</v>
      </c>
      <c r="U238" s="4">
        <v>0</v>
      </c>
      <c r="V238" s="4">
        <v>37</v>
      </c>
      <c r="W238" s="4">
        <v>75</v>
      </c>
    </row>
    <row r="239" spans="1:23" ht="11.25" customHeight="1" x14ac:dyDescent="0.25">
      <c r="A239" s="4" t="s">
        <v>21</v>
      </c>
      <c r="B239" s="4" t="s">
        <v>22</v>
      </c>
      <c r="C239" s="4" t="s">
        <v>23</v>
      </c>
      <c r="D239" s="4" t="s">
        <v>24</v>
      </c>
      <c r="E239" s="4" t="s">
        <v>24</v>
      </c>
      <c r="F239" s="4" t="s">
        <v>25</v>
      </c>
      <c r="G239" s="4" t="s">
        <v>25</v>
      </c>
      <c r="H239" s="4" t="s">
        <v>25</v>
      </c>
      <c r="I239" s="5">
        <v>44713</v>
      </c>
      <c r="J239" s="6">
        <v>0</v>
      </c>
      <c r="K239" s="6">
        <v>0</v>
      </c>
      <c r="L239" s="6">
        <v>809.38900000000001</v>
      </c>
      <c r="M239" s="6">
        <v>809.38900000000001</v>
      </c>
      <c r="N239" s="6">
        <v>809.38900000000001</v>
      </c>
      <c r="O239" s="6">
        <v>809.38900000000001</v>
      </c>
      <c r="P239" s="6">
        <v>5556</v>
      </c>
      <c r="Q239" s="4" t="s">
        <v>26</v>
      </c>
      <c r="R239" s="4">
        <v>0</v>
      </c>
      <c r="S239" s="4" t="s">
        <v>213</v>
      </c>
      <c r="T239" s="4" t="s">
        <v>410</v>
      </c>
      <c r="U239" s="4">
        <v>0</v>
      </c>
      <c r="V239" s="4">
        <v>37</v>
      </c>
      <c r="W239" s="4">
        <v>75</v>
      </c>
    </row>
    <row r="240" spans="1:23" ht="11.25" customHeight="1" x14ac:dyDescent="0.25">
      <c r="A240" s="4" t="s">
        <v>27</v>
      </c>
      <c r="B240" s="4" t="s">
        <v>22</v>
      </c>
      <c r="C240" s="4" t="s">
        <v>23</v>
      </c>
      <c r="D240" s="4" t="s">
        <v>24</v>
      </c>
      <c r="E240" s="4" t="s">
        <v>24</v>
      </c>
      <c r="F240" s="4" t="s">
        <v>25</v>
      </c>
      <c r="G240" s="4" t="s">
        <v>25</v>
      </c>
      <c r="H240" s="4" t="s">
        <v>25</v>
      </c>
      <c r="I240" s="5">
        <v>44713</v>
      </c>
      <c r="J240" s="6">
        <v>0</v>
      </c>
      <c r="K240" s="6">
        <v>0</v>
      </c>
      <c r="L240" s="6">
        <v>34.978999999999999</v>
      </c>
      <c r="M240" s="6">
        <v>34.978999999999999</v>
      </c>
      <c r="N240" s="6">
        <v>34.978999999999999</v>
      </c>
      <c r="O240" s="6">
        <v>34.978999999999999</v>
      </c>
      <c r="P240" s="6">
        <v>283</v>
      </c>
      <c r="Q240" s="4" t="s">
        <v>26</v>
      </c>
      <c r="R240" s="4">
        <v>0</v>
      </c>
      <c r="S240" s="4" t="s">
        <v>213</v>
      </c>
      <c r="T240" s="4" t="s">
        <v>410</v>
      </c>
      <c r="U240" s="4">
        <v>0</v>
      </c>
      <c r="V240" s="4">
        <v>37</v>
      </c>
      <c r="W240" s="4">
        <v>75</v>
      </c>
    </row>
    <row r="241" spans="1:23" ht="11.25" customHeight="1" x14ac:dyDescent="0.25">
      <c r="A241" s="4" t="s">
        <v>55</v>
      </c>
      <c r="B241" s="4" t="s">
        <v>22</v>
      </c>
      <c r="C241" s="4" t="s">
        <v>23</v>
      </c>
      <c r="D241" s="4" t="s">
        <v>24</v>
      </c>
      <c r="E241" s="4" t="s">
        <v>24</v>
      </c>
      <c r="F241" s="4" t="s">
        <v>25</v>
      </c>
      <c r="G241" s="4" t="s">
        <v>25</v>
      </c>
      <c r="H241" s="4" t="s">
        <v>25</v>
      </c>
      <c r="I241" s="5">
        <v>44743</v>
      </c>
      <c r="J241" s="6">
        <v>0</v>
      </c>
      <c r="K241" s="6">
        <v>0</v>
      </c>
      <c r="L241" s="6">
        <v>809.38900000000001</v>
      </c>
      <c r="M241" s="6">
        <v>809.38900000000001</v>
      </c>
      <c r="N241" s="6">
        <v>809.38900000000001</v>
      </c>
      <c r="O241" s="6">
        <v>809.38900000000001</v>
      </c>
      <c r="P241" s="6">
        <v>5556</v>
      </c>
      <c r="Q241" s="4" t="s">
        <v>26</v>
      </c>
      <c r="R241" s="4">
        <v>0</v>
      </c>
      <c r="S241" s="4" t="s">
        <v>214</v>
      </c>
      <c r="T241" s="4" t="s">
        <v>411</v>
      </c>
      <c r="U241" s="4">
        <v>0</v>
      </c>
      <c r="V241" s="4">
        <v>37</v>
      </c>
      <c r="W241" s="4">
        <v>75</v>
      </c>
    </row>
    <row r="242" spans="1:23" ht="11.25" customHeight="1" x14ac:dyDescent="0.25">
      <c r="A242" s="4" t="s">
        <v>55</v>
      </c>
      <c r="B242" s="4" t="s">
        <v>22</v>
      </c>
      <c r="C242" s="4" t="s">
        <v>23</v>
      </c>
      <c r="D242" s="4" t="s">
        <v>24</v>
      </c>
      <c r="E242" s="4" t="s">
        <v>24</v>
      </c>
      <c r="F242" s="4" t="s">
        <v>25</v>
      </c>
      <c r="G242" s="4" t="s">
        <v>25</v>
      </c>
      <c r="H242" s="4" t="s">
        <v>25</v>
      </c>
      <c r="I242" s="5">
        <v>44743</v>
      </c>
      <c r="J242" s="6">
        <v>0</v>
      </c>
      <c r="K242" s="6">
        <v>0</v>
      </c>
      <c r="L242" s="6">
        <v>34.978999999999999</v>
      </c>
      <c r="M242" s="6">
        <v>34.978999999999999</v>
      </c>
      <c r="N242" s="6">
        <v>34.978999999999999</v>
      </c>
      <c r="O242" s="6">
        <v>34.978999999999999</v>
      </c>
      <c r="P242" s="6">
        <v>283</v>
      </c>
      <c r="Q242" s="4" t="s">
        <v>26</v>
      </c>
      <c r="R242" s="4">
        <v>0</v>
      </c>
      <c r="S242" s="4" t="s">
        <v>214</v>
      </c>
      <c r="T242" s="4" t="s">
        <v>411</v>
      </c>
      <c r="U242" s="4">
        <v>0</v>
      </c>
      <c r="V242" s="4">
        <v>37</v>
      </c>
      <c r="W242" s="4">
        <v>75</v>
      </c>
    </row>
    <row r="243" spans="1:23" ht="11.25" customHeight="1" x14ac:dyDescent="0.25">
      <c r="A243" s="4" t="s">
        <v>21</v>
      </c>
      <c r="B243" s="4" t="s">
        <v>22</v>
      </c>
      <c r="C243" s="4" t="s">
        <v>23</v>
      </c>
      <c r="D243" s="4" t="s">
        <v>24</v>
      </c>
      <c r="E243" s="4" t="s">
        <v>28</v>
      </c>
      <c r="F243" s="4" t="s">
        <v>25</v>
      </c>
      <c r="G243" s="4" t="s">
        <v>25</v>
      </c>
      <c r="H243" s="4" t="s">
        <v>25</v>
      </c>
      <c r="I243" s="5">
        <v>44409</v>
      </c>
      <c r="J243" s="6">
        <v>0</v>
      </c>
      <c r="K243" s="6">
        <v>0</v>
      </c>
      <c r="L243" s="6">
        <v>17.309999999999999</v>
      </c>
      <c r="M243" s="6">
        <v>17.309999999999999</v>
      </c>
      <c r="N243" s="6">
        <v>17.309999999999999</v>
      </c>
      <c r="O243" s="6">
        <v>17.309999999999999</v>
      </c>
      <c r="P243" s="6">
        <v>21</v>
      </c>
      <c r="Q243" s="4" t="s">
        <v>26</v>
      </c>
      <c r="R243" s="4">
        <v>0</v>
      </c>
      <c r="S243" s="4" t="s">
        <v>215</v>
      </c>
      <c r="T243" s="4" t="s">
        <v>412</v>
      </c>
      <c r="U243" s="4">
        <v>0</v>
      </c>
      <c r="V243" s="4">
        <v>38</v>
      </c>
      <c r="W243" s="4">
        <v>76</v>
      </c>
    </row>
    <row r="244" spans="1:23" ht="11.25" customHeight="1" x14ac:dyDescent="0.25">
      <c r="A244" s="4" t="s">
        <v>21</v>
      </c>
      <c r="B244" s="4" t="s">
        <v>22</v>
      </c>
      <c r="C244" s="4" t="s">
        <v>23</v>
      </c>
      <c r="D244" s="4" t="s">
        <v>24</v>
      </c>
      <c r="E244" s="4" t="s">
        <v>28</v>
      </c>
      <c r="F244" s="4" t="s">
        <v>25</v>
      </c>
      <c r="G244" s="4" t="s">
        <v>25</v>
      </c>
      <c r="H244" s="4" t="s">
        <v>25</v>
      </c>
      <c r="I244" s="5">
        <v>44440</v>
      </c>
      <c r="J244" s="6">
        <v>0</v>
      </c>
      <c r="K244" s="6">
        <v>0</v>
      </c>
      <c r="L244" s="6">
        <v>16.2</v>
      </c>
      <c r="M244" s="6">
        <v>16.2</v>
      </c>
      <c r="N244" s="6">
        <v>16.2</v>
      </c>
      <c r="O244" s="6">
        <v>16.2</v>
      </c>
      <c r="P244" s="6">
        <v>21</v>
      </c>
      <c r="Q244" s="4" t="s">
        <v>26</v>
      </c>
      <c r="R244" s="4">
        <v>0</v>
      </c>
      <c r="S244" s="4" t="s">
        <v>216</v>
      </c>
      <c r="T244" s="4" t="s">
        <v>413</v>
      </c>
      <c r="U244" s="4">
        <v>0</v>
      </c>
      <c r="V244" s="4">
        <v>38</v>
      </c>
      <c r="W244" s="4">
        <v>76</v>
      </c>
    </row>
    <row r="245" spans="1:23" ht="11.25" customHeight="1" x14ac:dyDescent="0.25">
      <c r="A245" s="4" t="s">
        <v>21</v>
      </c>
      <c r="B245" s="4" t="s">
        <v>22</v>
      </c>
      <c r="C245" s="4" t="s">
        <v>23</v>
      </c>
      <c r="D245" s="4" t="s">
        <v>24</v>
      </c>
      <c r="E245" s="4" t="s">
        <v>28</v>
      </c>
      <c r="F245" s="4" t="s">
        <v>25</v>
      </c>
      <c r="G245" s="4" t="s">
        <v>25</v>
      </c>
      <c r="H245" s="4" t="s">
        <v>25</v>
      </c>
      <c r="I245" s="5">
        <v>44470</v>
      </c>
      <c r="J245" s="6">
        <v>0</v>
      </c>
      <c r="K245" s="6">
        <v>0</v>
      </c>
      <c r="L245" s="6">
        <v>15.93</v>
      </c>
      <c r="M245" s="6">
        <v>15.93</v>
      </c>
      <c r="N245" s="6">
        <v>15.93</v>
      </c>
      <c r="O245" s="6">
        <v>15.93</v>
      </c>
      <c r="P245" s="6">
        <v>22</v>
      </c>
      <c r="Q245" s="4" t="s">
        <v>26</v>
      </c>
      <c r="R245" s="4">
        <v>0</v>
      </c>
      <c r="S245" s="4" t="s">
        <v>217</v>
      </c>
      <c r="T245" s="4" t="s">
        <v>414</v>
      </c>
      <c r="U245" s="4">
        <v>0</v>
      </c>
      <c r="V245" s="4">
        <v>38</v>
      </c>
      <c r="W245" s="4">
        <v>76</v>
      </c>
    </row>
    <row r="246" spans="1:23" ht="11.25" customHeight="1" x14ac:dyDescent="0.25">
      <c r="A246" s="4" t="s">
        <v>21</v>
      </c>
      <c r="B246" s="4" t="s">
        <v>22</v>
      </c>
      <c r="C246" s="4" t="s">
        <v>23</v>
      </c>
      <c r="D246" s="4" t="s">
        <v>24</v>
      </c>
      <c r="E246" s="4" t="s">
        <v>28</v>
      </c>
      <c r="F246" s="4" t="s">
        <v>25</v>
      </c>
      <c r="G246" s="4" t="s">
        <v>25</v>
      </c>
      <c r="H246" s="4" t="s">
        <v>25</v>
      </c>
      <c r="I246" s="5">
        <v>44501</v>
      </c>
      <c r="J246" s="6">
        <v>0</v>
      </c>
      <c r="K246" s="6">
        <v>0</v>
      </c>
      <c r="L246" s="6">
        <v>16.260000000000002</v>
      </c>
      <c r="M246" s="6">
        <v>16.260000000000002</v>
      </c>
      <c r="N246" s="6">
        <v>16.260000000000002</v>
      </c>
      <c r="O246" s="6">
        <v>16.260000000000002</v>
      </c>
      <c r="P246" s="6">
        <v>21</v>
      </c>
      <c r="Q246" s="4" t="s">
        <v>26</v>
      </c>
      <c r="R246" s="4">
        <v>0</v>
      </c>
      <c r="S246" s="4" t="s">
        <v>218</v>
      </c>
      <c r="T246" s="4" t="s">
        <v>415</v>
      </c>
      <c r="U246" s="4">
        <v>0</v>
      </c>
      <c r="V246" s="4">
        <v>38</v>
      </c>
      <c r="W246" s="4">
        <v>76</v>
      </c>
    </row>
    <row r="247" spans="1:23" ht="11.25" customHeight="1" x14ac:dyDescent="0.25">
      <c r="A247" s="4" t="s">
        <v>21</v>
      </c>
      <c r="B247" s="4" t="s">
        <v>22</v>
      </c>
      <c r="C247" s="4" t="s">
        <v>23</v>
      </c>
      <c r="D247" s="4" t="s">
        <v>24</v>
      </c>
      <c r="E247" s="4" t="s">
        <v>28</v>
      </c>
      <c r="F247" s="4" t="s">
        <v>25</v>
      </c>
      <c r="G247" s="4" t="s">
        <v>25</v>
      </c>
      <c r="H247" s="4" t="s">
        <v>25</v>
      </c>
      <c r="I247" s="5">
        <v>44531</v>
      </c>
      <c r="J247" s="6">
        <v>0</v>
      </c>
      <c r="K247" s="6">
        <v>0</v>
      </c>
      <c r="L247" s="6">
        <v>16.62</v>
      </c>
      <c r="M247" s="6">
        <v>16.62</v>
      </c>
      <c r="N247" s="6">
        <v>16.62</v>
      </c>
      <c r="O247" s="6">
        <v>16.62</v>
      </c>
      <c r="P247" s="6">
        <v>20</v>
      </c>
      <c r="Q247" s="4" t="s">
        <v>26</v>
      </c>
      <c r="R247" s="4">
        <v>0</v>
      </c>
      <c r="S247" s="4" t="s">
        <v>219</v>
      </c>
      <c r="T247" s="4" t="s">
        <v>416</v>
      </c>
      <c r="U247" s="4">
        <v>0</v>
      </c>
      <c r="V247" s="4">
        <v>38</v>
      </c>
      <c r="W247" s="4">
        <v>76</v>
      </c>
    </row>
    <row r="248" spans="1:23" ht="11.25" customHeight="1" x14ac:dyDescent="0.25">
      <c r="A248" s="4" t="s">
        <v>21</v>
      </c>
      <c r="B248" s="4" t="s">
        <v>22</v>
      </c>
      <c r="C248" s="4" t="s">
        <v>23</v>
      </c>
      <c r="D248" s="4" t="s">
        <v>24</v>
      </c>
      <c r="E248" s="4" t="s">
        <v>28</v>
      </c>
      <c r="F248" s="4" t="s">
        <v>25</v>
      </c>
      <c r="G248" s="4" t="s">
        <v>25</v>
      </c>
      <c r="H248" s="4" t="s">
        <v>25</v>
      </c>
      <c r="I248" s="5">
        <v>44562</v>
      </c>
      <c r="J248" s="6">
        <v>0</v>
      </c>
      <c r="K248" s="6">
        <v>0</v>
      </c>
      <c r="L248" s="6">
        <v>16.739999999999998</v>
      </c>
      <c r="M248" s="6">
        <v>16.739999999999998</v>
      </c>
      <c r="N248" s="6">
        <v>16.739999999999998</v>
      </c>
      <c r="O248" s="6">
        <v>16.739999999999998</v>
      </c>
      <c r="P248" s="6">
        <v>18</v>
      </c>
      <c r="Q248" s="4" t="s">
        <v>26</v>
      </c>
      <c r="R248" s="4">
        <v>0</v>
      </c>
      <c r="S248" s="4" t="s">
        <v>220</v>
      </c>
      <c r="T248" s="4" t="s">
        <v>417</v>
      </c>
      <c r="U248" s="4">
        <v>0</v>
      </c>
      <c r="V248" s="4">
        <v>38</v>
      </c>
      <c r="W248" s="4">
        <v>76</v>
      </c>
    </row>
    <row r="249" spans="1:23" ht="11.25" customHeight="1" x14ac:dyDescent="0.25">
      <c r="A249" s="4" t="s">
        <v>21</v>
      </c>
      <c r="B249" s="4" t="s">
        <v>22</v>
      </c>
      <c r="C249" s="4" t="s">
        <v>23</v>
      </c>
      <c r="D249" s="4" t="s">
        <v>24</v>
      </c>
      <c r="E249" s="4" t="s">
        <v>28</v>
      </c>
      <c r="F249" s="4" t="s">
        <v>25</v>
      </c>
      <c r="G249" s="4" t="s">
        <v>25</v>
      </c>
      <c r="H249" s="4" t="s">
        <v>25</v>
      </c>
      <c r="I249" s="5">
        <v>44593</v>
      </c>
      <c r="J249" s="6">
        <v>0</v>
      </c>
      <c r="K249" s="6">
        <v>0</v>
      </c>
      <c r="L249" s="6">
        <v>16.940000000000001</v>
      </c>
      <c r="M249" s="6">
        <v>16.940000000000001</v>
      </c>
      <c r="N249" s="6">
        <v>16.940000000000001</v>
      </c>
      <c r="O249" s="6">
        <v>16.940000000000001</v>
      </c>
      <c r="P249" s="6">
        <v>17</v>
      </c>
      <c r="Q249" s="4" t="s">
        <v>26</v>
      </c>
      <c r="R249" s="4">
        <v>0</v>
      </c>
      <c r="S249" s="4" t="s">
        <v>221</v>
      </c>
      <c r="T249" s="4" t="s">
        <v>418</v>
      </c>
      <c r="U249" s="4">
        <v>0</v>
      </c>
      <c r="V249" s="4">
        <v>38</v>
      </c>
      <c r="W249" s="4">
        <v>76</v>
      </c>
    </row>
    <row r="250" spans="1:23" ht="11.25" customHeight="1" x14ac:dyDescent="0.25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28</v>
      </c>
      <c r="F250" s="4" t="s">
        <v>25</v>
      </c>
      <c r="G250" s="4" t="s">
        <v>25</v>
      </c>
      <c r="H250" s="4" t="s">
        <v>25</v>
      </c>
      <c r="I250" s="5">
        <v>44621</v>
      </c>
      <c r="J250" s="6">
        <v>0</v>
      </c>
      <c r="K250" s="6">
        <v>0</v>
      </c>
      <c r="L250" s="6">
        <v>17.22</v>
      </c>
      <c r="M250" s="6">
        <v>17.22</v>
      </c>
      <c r="N250" s="6">
        <v>17.22</v>
      </c>
      <c r="O250" s="6">
        <v>17.22</v>
      </c>
      <c r="P250" s="6">
        <v>13</v>
      </c>
      <c r="Q250" s="4" t="s">
        <v>26</v>
      </c>
      <c r="R250" s="4">
        <v>0</v>
      </c>
      <c r="S250" s="4" t="s">
        <v>222</v>
      </c>
      <c r="T250" s="4" t="s">
        <v>419</v>
      </c>
      <c r="U250" s="4">
        <v>0</v>
      </c>
      <c r="V250" s="4">
        <v>38</v>
      </c>
      <c r="W250" s="4">
        <v>76</v>
      </c>
    </row>
    <row r="251" spans="1:23" ht="11.25" customHeight="1" x14ac:dyDescent="0.25">
      <c r="A251" s="4" t="s">
        <v>21</v>
      </c>
      <c r="B251" s="4" t="s">
        <v>22</v>
      </c>
      <c r="C251" s="4" t="s">
        <v>23</v>
      </c>
      <c r="D251" s="4" t="s">
        <v>24</v>
      </c>
      <c r="E251" s="4" t="s">
        <v>28</v>
      </c>
      <c r="F251" s="4" t="s">
        <v>25</v>
      </c>
      <c r="G251" s="4" t="s">
        <v>25</v>
      </c>
      <c r="H251" s="4" t="s">
        <v>25</v>
      </c>
      <c r="I251" s="5">
        <v>44652</v>
      </c>
      <c r="J251" s="6">
        <v>0</v>
      </c>
      <c r="K251" s="6">
        <v>0</v>
      </c>
      <c r="L251" s="6">
        <v>17.399999999999999</v>
      </c>
      <c r="M251" s="6">
        <v>17.399999999999999</v>
      </c>
      <c r="N251" s="6">
        <v>17.399999999999999</v>
      </c>
      <c r="O251" s="6">
        <v>17.399999999999999</v>
      </c>
      <c r="P251" s="6">
        <v>24</v>
      </c>
      <c r="Q251" s="4" t="s">
        <v>26</v>
      </c>
      <c r="R251" s="4">
        <v>0</v>
      </c>
      <c r="S251" s="4" t="s">
        <v>223</v>
      </c>
      <c r="T251" s="4" t="s">
        <v>420</v>
      </c>
      <c r="U251" s="4">
        <v>0</v>
      </c>
      <c r="V251" s="4">
        <v>38</v>
      </c>
      <c r="W251" s="4">
        <v>76</v>
      </c>
    </row>
    <row r="252" spans="1:23" ht="11.25" customHeight="1" x14ac:dyDescent="0.25">
      <c r="A252" s="4" t="s">
        <v>21</v>
      </c>
      <c r="B252" s="4" t="s">
        <v>22</v>
      </c>
      <c r="C252" s="4" t="s">
        <v>23</v>
      </c>
      <c r="D252" s="4" t="s">
        <v>24</v>
      </c>
      <c r="E252" s="4" t="s">
        <v>28</v>
      </c>
      <c r="F252" s="4" t="s">
        <v>25</v>
      </c>
      <c r="G252" s="4" t="s">
        <v>25</v>
      </c>
      <c r="H252" s="4" t="s">
        <v>25</v>
      </c>
      <c r="I252" s="5">
        <v>44682</v>
      </c>
      <c r="J252" s="6">
        <v>0</v>
      </c>
      <c r="K252" s="6">
        <v>0</v>
      </c>
      <c r="L252" s="6">
        <v>17.7</v>
      </c>
      <c r="M252" s="6">
        <v>17.7</v>
      </c>
      <c r="N252" s="6">
        <v>17.7</v>
      </c>
      <c r="O252" s="6">
        <v>17.7</v>
      </c>
      <c r="P252" s="6">
        <v>23</v>
      </c>
      <c r="Q252" s="4" t="s">
        <v>26</v>
      </c>
      <c r="R252" s="4">
        <v>0</v>
      </c>
      <c r="S252" s="4" t="s">
        <v>224</v>
      </c>
      <c r="T252" s="4" t="s">
        <v>421</v>
      </c>
      <c r="U252" s="4">
        <v>0</v>
      </c>
      <c r="V252" s="4">
        <v>38</v>
      </c>
      <c r="W252" s="4">
        <v>76</v>
      </c>
    </row>
    <row r="253" spans="1:23" ht="11.25" customHeight="1" x14ac:dyDescent="0.25">
      <c r="A253" s="4" t="s">
        <v>21</v>
      </c>
      <c r="B253" s="4" t="s">
        <v>22</v>
      </c>
      <c r="C253" s="4" t="s">
        <v>23</v>
      </c>
      <c r="D253" s="4" t="s">
        <v>24</v>
      </c>
      <c r="E253" s="4" t="s">
        <v>28</v>
      </c>
      <c r="F253" s="4" t="s">
        <v>25</v>
      </c>
      <c r="G253" s="4" t="s">
        <v>25</v>
      </c>
      <c r="H253" s="4" t="s">
        <v>25</v>
      </c>
      <c r="I253" s="5">
        <v>44713</v>
      </c>
      <c r="J253" s="6">
        <v>0</v>
      </c>
      <c r="K253" s="6">
        <v>0</v>
      </c>
      <c r="L253" s="6">
        <v>18.149999999999999</v>
      </c>
      <c r="M253" s="6">
        <v>18.149999999999999</v>
      </c>
      <c r="N253" s="6">
        <v>18.149999999999999</v>
      </c>
      <c r="O253" s="6">
        <v>18.149999999999999</v>
      </c>
      <c r="P253" s="6">
        <v>29</v>
      </c>
      <c r="Q253" s="4" t="s">
        <v>26</v>
      </c>
      <c r="R253" s="4">
        <v>0</v>
      </c>
      <c r="S253" s="4" t="s">
        <v>225</v>
      </c>
      <c r="T253" s="4" t="s">
        <v>422</v>
      </c>
      <c r="U253" s="4">
        <v>0</v>
      </c>
      <c r="V253" s="4">
        <v>38</v>
      </c>
      <c r="W253" s="4">
        <v>76</v>
      </c>
    </row>
    <row r="254" spans="1:23" ht="11.25" customHeight="1" x14ac:dyDescent="0.25">
      <c r="A254" s="4" t="s">
        <v>55</v>
      </c>
      <c r="B254" s="4" t="s">
        <v>22</v>
      </c>
      <c r="C254" s="4" t="s">
        <v>23</v>
      </c>
      <c r="D254" s="4" t="s">
        <v>24</v>
      </c>
      <c r="E254" s="4" t="s">
        <v>28</v>
      </c>
      <c r="F254" s="4" t="s">
        <v>25</v>
      </c>
      <c r="G254" s="4" t="s">
        <v>25</v>
      </c>
      <c r="H254" s="4" t="s">
        <v>25</v>
      </c>
      <c r="I254" s="5">
        <v>44743</v>
      </c>
      <c r="J254" s="6">
        <v>0</v>
      </c>
      <c r="K254" s="6">
        <v>0</v>
      </c>
      <c r="L254" s="6">
        <v>18.149999999999999</v>
      </c>
      <c r="M254" s="6">
        <v>18.149999999999999</v>
      </c>
      <c r="N254" s="6">
        <v>18.149999999999999</v>
      </c>
      <c r="O254" s="6">
        <v>18.149999999999999</v>
      </c>
      <c r="P254" s="6">
        <v>29</v>
      </c>
      <c r="Q254" s="4" t="s">
        <v>26</v>
      </c>
      <c r="R254" s="4">
        <v>0</v>
      </c>
      <c r="S254" s="4" t="s">
        <v>226</v>
      </c>
      <c r="T254" s="4" t="s">
        <v>423</v>
      </c>
      <c r="U254" s="4">
        <v>0</v>
      </c>
      <c r="V254" s="4">
        <v>38</v>
      </c>
      <c r="W254" s="4">
        <v>76</v>
      </c>
    </row>
    <row r="255" spans="1:23" ht="11.25" customHeight="1" x14ac:dyDescent="0.25">
      <c r="A255" s="4" t="s">
        <v>21</v>
      </c>
      <c r="B255" s="4" t="s">
        <v>22</v>
      </c>
      <c r="C255" s="4" t="s">
        <v>23</v>
      </c>
      <c r="D255" s="4" t="s">
        <v>24</v>
      </c>
      <c r="E255" s="4" t="s">
        <v>29</v>
      </c>
      <c r="F255" s="4" t="s">
        <v>25</v>
      </c>
      <c r="G255" s="4" t="s">
        <v>25</v>
      </c>
      <c r="H255" s="4" t="s">
        <v>25</v>
      </c>
      <c r="I255" s="5">
        <v>44409</v>
      </c>
      <c r="J255" s="6">
        <v>0</v>
      </c>
      <c r="K255" s="6">
        <v>0</v>
      </c>
      <c r="L255" s="6">
        <v>30.582999999999998</v>
      </c>
      <c r="M255" s="6">
        <v>30.582999999999998</v>
      </c>
      <c r="N255" s="6">
        <v>30.582999999999998</v>
      </c>
      <c r="O255" s="6">
        <v>30.582999999999998</v>
      </c>
      <c r="P255" s="6">
        <v>273</v>
      </c>
      <c r="Q255" s="4" t="s">
        <v>26</v>
      </c>
      <c r="R255" s="4">
        <v>0</v>
      </c>
      <c r="S255" s="4" t="s">
        <v>227</v>
      </c>
      <c r="T255" s="4" t="s">
        <v>424</v>
      </c>
      <c r="U255" s="4">
        <v>0</v>
      </c>
      <c r="V255" s="4">
        <v>39</v>
      </c>
      <c r="W255" s="4">
        <v>77</v>
      </c>
    </row>
    <row r="256" spans="1:23" ht="11.25" customHeight="1" x14ac:dyDescent="0.25">
      <c r="A256" s="4" t="s">
        <v>21</v>
      </c>
      <c r="B256" s="4" t="s">
        <v>22</v>
      </c>
      <c r="C256" s="4" t="s">
        <v>23</v>
      </c>
      <c r="D256" s="4" t="s">
        <v>24</v>
      </c>
      <c r="E256" s="4" t="s">
        <v>29</v>
      </c>
      <c r="F256" s="4" t="s">
        <v>25</v>
      </c>
      <c r="G256" s="4" t="s">
        <v>25</v>
      </c>
      <c r="H256" s="4" t="s">
        <v>25</v>
      </c>
      <c r="I256" s="5">
        <v>44440</v>
      </c>
      <c r="J256" s="6">
        <v>0</v>
      </c>
      <c r="K256" s="6">
        <v>0</v>
      </c>
      <c r="L256" s="6">
        <v>30.933</v>
      </c>
      <c r="M256" s="6">
        <v>30.933</v>
      </c>
      <c r="N256" s="6">
        <v>30.933</v>
      </c>
      <c r="O256" s="6">
        <v>30.933</v>
      </c>
      <c r="P256" s="6">
        <v>205</v>
      </c>
      <c r="Q256" s="4" t="s">
        <v>26</v>
      </c>
      <c r="R256" s="4">
        <v>0</v>
      </c>
      <c r="S256" s="4" t="s">
        <v>228</v>
      </c>
      <c r="T256" s="4" t="s">
        <v>425</v>
      </c>
      <c r="U256" s="4">
        <v>0</v>
      </c>
      <c r="V256" s="4">
        <v>39</v>
      </c>
      <c r="W256" s="4">
        <v>77</v>
      </c>
    </row>
    <row r="257" spans="1:23" ht="11.25" customHeight="1" x14ac:dyDescent="0.25">
      <c r="A257" s="4" t="s">
        <v>21</v>
      </c>
      <c r="B257" s="4" t="s">
        <v>22</v>
      </c>
      <c r="C257" s="4" t="s">
        <v>23</v>
      </c>
      <c r="D257" s="4" t="s">
        <v>24</v>
      </c>
      <c r="E257" s="4" t="s">
        <v>29</v>
      </c>
      <c r="F257" s="4" t="s">
        <v>25</v>
      </c>
      <c r="G257" s="4" t="s">
        <v>25</v>
      </c>
      <c r="H257" s="4" t="s">
        <v>25</v>
      </c>
      <c r="I257" s="5">
        <v>44470</v>
      </c>
      <c r="J257" s="6">
        <v>0</v>
      </c>
      <c r="K257" s="6">
        <v>0</v>
      </c>
      <c r="L257" s="6">
        <v>28.279</v>
      </c>
      <c r="M257" s="6">
        <v>28.279</v>
      </c>
      <c r="N257" s="6">
        <v>28.279</v>
      </c>
      <c r="O257" s="6">
        <v>28.279</v>
      </c>
      <c r="P257" s="6">
        <v>263</v>
      </c>
      <c r="Q257" s="4" t="s">
        <v>26</v>
      </c>
      <c r="R257" s="4">
        <v>0</v>
      </c>
      <c r="S257" s="4" t="s">
        <v>229</v>
      </c>
      <c r="T257" s="4" t="s">
        <v>426</v>
      </c>
      <c r="U257" s="4">
        <v>0</v>
      </c>
      <c r="V257" s="4">
        <v>39</v>
      </c>
      <c r="W257" s="4">
        <v>77</v>
      </c>
    </row>
    <row r="258" spans="1:23" ht="11.25" customHeight="1" x14ac:dyDescent="0.25">
      <c r="A258" s="4" t="s">
        <v>21</v>
      </c>
      <c r="B258" s="4" t="s">
        <v>22</v>
      </c>
      <c r="C258" s="4" t="s">
        <v>23</v>
      </c>
      <c r="D258" s="4" t="s">
        <v>24</v>
      </c>
      <c r="E258" s="4" t="s">
        <v>29</v>
      </c>
      <c r="F258" s="4" t="s">
        <v>25</v>
      </c>
      <c r="G258" s="4" t="s">
        <v>25</v>
      </c>
      <c r="H258" s="4" t="s">
        <v>25</v>
      </c>
      <c r="I258" s="5">
        <v>44501</v>
      </c>
      <c r="J258" s="6">
        <v>0</v>
      </c>
      <c r="K258" s="6">
        <v>0</v>
      </c>
      <c r="L258" s="6">
        <v>31.254000000000001</v>
      </c>
      <c r="M258" s="6">
        <v>31.254000000000001</v>
      </c>
      <c r="N258" s="6">
        <v>31.254000000000001</v>
      </c>
      <c r="O258" s="6">
        <v>31.254000000000001</v>
      </c>
      <c r="P258" s="6">
        <v>221</v>
      </c>
      <c r="Q258" s="4" t="s">
        <v>26</v>
      </c>
      <c r="R258" s="4">
        <v>0</v>
      </c>
      <c r="S258" s="4" t="s">
        <v>230</v>
      </c>
      <c r="T258" s="4" t="s">
        <v>427</v>
      </c>
      <c r="U258" s="4">
        <v>0</v>
      </c>
      <c r="V258" s="4">
        <v>39</v>
      </c>
      <c r="W258" s="4">
        <v>77</v>
      </c>
    </row>
    <row r="259" spans="1:23" ht="11.25" customHeight="1" x14ac:dyDescent="0.25">
      <c r="A259" s="4" t="s">
        <v>21</v>
      </c>
      <c r="B259" s="4" t="s">
        <v>22</v>
      </c>
      <c r="C259" s="4" t="s">
        <v>23</v>
      </c>
      <c r="D259" s="4" t="s">
        <v>24</v>
      </c>
      <c r="E259" s="4" t="s">
        <v>29</v>
      </c>
      <c r="F259" s="4" t="s">
        <v>25</v>
      </c>
      <c r="G259" s="4" t="s">
        <v>25</v>
      </c>
      <c r="H259" s="4" t="s">
        <v>25</v>
      </c>
      <c r="I259" s="5">
        <v>44531</v>
      </c>
      <c r="J259" s="6">
        <v>0</v>
      </c>
      <c r="K259" s="6">
        <v>0</v>
      </c>
      <c r="L259" s="6">
        <v>32.868000000000002</v>
      </c>
      <c r="M259" s="6">
        <v>32.868000000000002</v>
      </c>
      <c r="N259" s="6">
        <v>32.868000000000002</v>
      </c>
      <c r="O259" s="6">
        <v>32.868000000000002</v>
      </c>
      <c r="P259" s="6">
        <v>183</v>
      </c>
      <c r="Q259" s="4" t="s">
        <v>26</v>
      </c>
      <c r="R259" s="4">
        <v>0</v>
      </c>
      <c r="S259" s="4" t="s">
        <v>231</v>
      </c>
      <c r="T259" s="4" t="s">
        <v>428</v>
      </c>
      <c r="U259" s="4">
        <v>0</v>
      </c>
      <c r="V259" s="4">
        <v>39</v>
      </c>
      <c r="W259" s="4">
        <v>77</v>
      </c>
    </row>
    <row r="260" spans="1:23" ht="11.25" customHeight="1" x14ac:dyDescent="0.25">
      <c r="A260" s="4" t="s">
        <v>21</v>
      </c>
      <c r="B260" s="4" t="s">
        <v>22</v>
      </c>
      <c r="C260" s="4" t="s">
        <v>23</v>
      </c>
      <c r="D260" s="4" t="s">
        <v>24</v>
      </c>
      <c r="E260" s="4" t="s">
        <v>29</v>
      </c>
      <c r="F260" s="4" t="s">
        <v>25</v>
      </c>
      <c r="G260" s="4" t="s">
        <v>25</v>
      </c>
      <c r="H260" s="4" t="s">
        <v>25</v>
      </c>
      <c r="I260" s="5">
        <v>44562</v>
      </c>
      <c r="J260" s="6">
        <v>0</v>
      </c>
      <c r="K260" s="6">
        <v>0</v>
      </c>
      <c r="L260" s="6">
        <v>32.591999999999999</v>
      </c>
      <c r="M260" s="6">
        <v>32.591999999999999</v>
      </c>
      <c r="N260" s="6">
        <v>32.591999999999999</v>
      </c>
      <c r="O260" s="6">
        <v>32.591999999999999</v>
      </c>
      <c r="P260" s="6">
        <v>199</v>
      </c>
      <c r="Q260" s="4" t="s">
        <v>26</v>
      </c>
      <c r="R260" s="4">
        <v>0</v>
      </c>
      <c r="S260" s="4" t="s">
        <v>232</v>
      </c>
      <c r="T260" s="4" t="s">
        <v>429</v>
      </c>
      <c r="U260" s="4">
        <v>0</v>
      </c>
      <c r="V260" s="4">
        <v>39</v>
      </c>
      <c r="W260" s="4">
        <v>77</v>
      </c>
    </row>
    <row r="261" spans="1:23" ht="11.25" customHeight="1" x14ac:dyDescent="0.25">
      <c r="A261" s="4" t="s">
        <v>21</v>
      </c>
      <c r="B261" s="4" t="s">
        <v>22</v>
      </c>
      <c r="C261" s="4" t="s">
        <v>23</v>
      </c>
      <c r="D261" s="4" t="s">
        <v>24</v>
      </c>
      <c r="E261" s="4" t="s">
        <v>29</v>
      </c>
      <c r="F261" s="4" t="s">
        <v>25</v>
      </c>
      <c r="G261" s="4" t="s">
        <v>25</v>
      </c>
      <c r="H261" s="4" t="s">
        <v>25</v>
      </c>
      <c r="I261" s="5">
        <v>44593</v>
      </c>
      <c r="J261" s="6">
        <v>0</v>
      </c>
      <c r="K261" s="6">
        <v>0</v>
      </c>
      <c r="L261" s="6">
        <v>31.766999999999999</v>
      </c>
      <c r="M261" s="6">
        <v>31.766999999999999</v>
      </c>
      <c r="N261" s="6">
        <v>31.766999999999999</v>
      </c>
      <c r="O261" s="6">
        <v>31.766999999999999</v>
      </c>
      <c r="P261" s="6">
        <v>252</v>
      </c>
      <c r="Q261" s="4" t="s">
        <v>26</v>
      </c>
      <c r="R261" s="4">
        <v>0</v>
      </c>
      <c r="S261" s="4" t="s">
        <v>233</v>
      </c>
      <c r="T261" s="4" t="s">
        <v>430</v>
      </c>
      <c r="U261" s="4">
        <v>0</v>
      </c>
      <c r="V261" s="4">
        <v>39</v>
      </c>
      <c r="W261" s="4">
        <v>77</v>
      </c>
    </row>
    <row r="262" spans="1:23" ht="11.25" customHeight="1" x14ac:dyDescent="0.25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29</v>
      </c>
      <c r="F262" s="4" t="s">
        <v>25</v>
      </c>
      <c r="G262" s="4" t="s">
        <v>25</v>
      </c>
      <c r="H262" s="4" t="s">
        <v>25</v>
      </c>
      <c r="I262" s="5">
        <v>44621</v>
      </c>
      <c r="J262" s="6">
        <v>0</v>
      </c>
      <c r="K262" s="6">
        <v>0</v>
      </c>
      <c r="L262" s="6">
        <v>33.64</v>
      </c>
      <c r="M262" s="6">
        <v>33.64</v>
      </c>
      <c r="N262" s="6">
        <v>33.64</v>
      </c>
      <c r="O262" s="6">
        <v>33.64</v>
      </c>
      <c r="P262" s="6">
        <v>222</v>
      </c>
      <c r="Q262" s="4" t="s">
        <v>26</v>
      </c>
      <c r="R262" s="4">
        <v>0</v>
      </c>
      <c r="S262" s="4" t="s">
        <v>234</v>
      </c>
      <c r="T262" s="4" t="s">
        <v>431</v>
      </c>
      <c r="U262" s="4">
        <v>0</v>
      </c>
      <c r="V262" s="4">
        <v>39</v>
      </c>
      <c r="W262" s="4">
        <v>77</v>
      </c>
    </row>
    <row r="263" spans="1:23" ht="11.25" customHeight="1" x14ac:dyDescent="0.25">
      <c r="A263" s="4" t="s">
        <v>21</v>
      </c>
      <c r="B263" s="4" t="s">
        <v>22</v>
      </c>
      <c r="C263" s="4" t="s">
        <v>23</v>
      </c>
      <c r="D263" s="4" t="s">
        <v>24</v>
      </c>
      <c r="E263" s="4" t="s">
        <v>29</v>
      </c>
      <c r="F263" s="4" t="s">
        <v>25</v>
      </c>
      <c r="G263" s="4" t="s">
        <v>25</v>
      </c>
      <c r="H263" s="4" t="s">
        <v>25</v>
      </c>
      <c r="I263" s="5">
        <v>44652</v>
      </c>
      <c r="J263" s="6">
        <v>0</v>
      </c>
      <c r="K263" s="6">
        <v>0</v>
      </c>
      <c r="L263" s="6">
        <v>31.475999999999999</v>
      </c>
      <c r="M263" s="6">
        <v>31.475999999999999</v>
      </c>
      <c r="N263" s="6">
        <v>31.475999999999999</v>
      </c>
      <c r="O263" s="6">
        <v>31.475999999999999</v>
      </c>
      <c r="P263" s="6">
        <v>266</v>
      </c>
      <c r="Q263" s="4" t="s">
        <v>26</v>
      </c>
      <c r="R263" s="4">
        <v>0</v>
      </c>
      <c r="S263" s="4" t="s">
        <v>235</v>
      </c>
      <c r="T263" s="4" t="s">
        <v>432</v>
      </c>
      <c r="U263" s="4">
        <v>0</v>
      </c>
      <c r="V263" s="4">
        <v>39</v>
      </c>
      <c r="W263" s="4">
        <v>77</v>
      </c>
    </row>
    <row r="264" spans="1:23" ht="11.25" customHeight="1" x14ac:dyDescent="0.25">
      <c r="A264" s="4" t="s">
        <v>21</v>
      </c>
      <c r="B264" s="4" t="s">
        <v>22</v>
      </c>
      <c r="C264" s="4" t="s">
        <v>23</v>
      </c>
      <c r="D264" s="4" t="s">
        <v>24</v>
      </c>
      <c r="E264" s="4" t="s">
        <v>29</v>
      </c>
      <c r="F264" s="4" t="s">
        <v>25</v>
      </c>
      <c r="G264" s="4" t="s">
        <v>25</v>
      </c>
      <c r="H264" s="4" t="s">
        <v>25</v>
      </c>
      <c r="I264" s="5">
        <v>44682</v>
      </c>
      <c r="J264" s="6">
        <v>0</v>
      </c>
      <c r="K264" s="6">
        <v>0</v>
      </c>
      <c r="L264" s="6">
        <v>30.445</v>
      </c>
      <c r="M264" s="6">
        <v>30.445</v>
      </c>
      <c r="N264" s="6">
        <v>30.445</v>
      </c>
      <c r="O264" s="6">
        <v>30.445</v>
      </c>
      <c r="P264" s="6">
        <v>324</v>
      </c>
      <c r="Q264" s="4" t="s">
        <v>26</v>
      </c>
      <c r="R264" s="4">
        <v>0</v>
      </c>
      <c r="S264" s="4" t="s">
        <v>236</v>
      </c>
      <c r="T264" s="4" t="s">
        <v>433</v>
      </c>
      <c r="U264" s="4">
        <v>0</v>
      </c>
      <c r="V264" s="4">
        <v>39</v>
      </c>
      <c r="W264" s="4">
        <v>77</v>
      </c>
    </row>
    <row r="265" spans="1:23" ht="11.25" customHeight="1" x14ac:dyDescent="0.25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29</v>
      </c>
      <c r="F265" s="4" t="s">
        <v>25</v>
      </c>
      <c r="G265" s="4" t="s">
        <v>25</v>
      </c>
      <c r="H265" s="4" t="s">
        <v>25</v>
      </c>
      <c r="I265" s="5">
        <v>44713</v>
      </c>
      <c r="J265" s="6">
        <v>0</v>
      </c>
      <c r="K265" s="6">
        <v>0</v>
      </c>
      <c r="L265" s="6">
        <v>31.358000000000001</v>
      </c>
      <c r="M265" s="6">
        <v>31.358000000000001</v>
      </c>
      <c r="N265" s="6">
        <v>31.358000000000001</v>
      </c>
      <c r="O265" s="6">
        <v>31.358000000000001</v>
      </c>
      <c r="P265" s="6">
        <v>291</v>
      </c>
      <c r="Q265" s="4" t="s">
        <v>26</v>
      </c>
      <c r="R265" s="4">
        <v>0</v>
      </c>
      <c r="S265" s="4" t="s">
        <v>237</v>
      </c>
      <c r="T265" s="4" t="s">
        <v>434</v>
      </c>
      <c r="U265" s="4">
        <v>0</v>
      </c>
      <c r="V265" s="4">
        <v>39</v>
      </c>
      <c r="W265" s="4">
        <v>77</v>
      </c>
    </row>
    <row r="266" spans="1:23" ht="11.25" customHeight="1" x14ac:dyDescent="0.25">
      <c r="A266" s="4" t="s">
        <v>55</v>
      </c>
      <c r="B266" s="4" t="s">
        <v>22</v>
      </c>
      <c r="C266" s="4" t="s">
        <v>23</v>
      </c>
      <c r="D266" s="4" t="s">
        <v>24</v>
      </c>
      <c r="E266" s="4" t="s">
        <v>29</v>
      </c>
      <c r="F266" s="4" t="s">
        <v>25</v>
      </c>
      <c r="G266" s="4" t="s">
        <v>25</v>
      </c>
      <c r="H266" s="4" t="s">
        <v>25</v>
      </c>
      <c r="I266" s="5">
        <v>44743</v>
      </c>
      <c r="J266" s="6">
        <v>0</v>
      </c>
      <c r="K266" s="6">
        <v>0</v>
      </c>
      <c r="L266" s="6">
        <v>31.358000000000001</v>
      </c>
      <c r="M266" s="6">
        <v>31.358000000000001</v>
      </c>
      <c r="N266" s="6">
        <v>31.358000000000001</v>
      </c>
      <c r="O266" s="6">
        <v>31.358000000000001</v>
      </c>
      <c r="P266" s="6">
        <v>291</v>
      </c>
      <c r="Q266" s="4" t="s">
        <v>26</v>
      </c>
      <c r="R266" s="4">
        <v>0</v>
      </c>
      <c r="S266" s="4" t="s">
        <v>238</v>
      </c>
      <c r="T266" s="4" t="s">
        <v>435</v>
      </c>
      <c r="U266" s="4">
        <v>0</v>
      </c>
      <c r="V266" s="4">
        <v>39</v>
      </c>
      <c r="W266" s="4">
        <v>77</v>
      </c>
    </row>
    <row r="267" spans="1:23" ht="11.25" customHeight="1" x14ac:dyDescent="0.25">
      <c r="A267" s="4" t="s">
        <v>21</v>
      </c>
      <c r="B267" s="4" t="s">
        <v>22</v>
      </c>
      <c r="C267" s="4" t="s">
        <v>23</v>
      </c>
      <c r="D267" s="4" t="s">
        <v>24</v>
      </c>
      <c r="E267" s="4" t="s">
        <v>30</v>
      </c>
      <c r="F267" s="4" t="s">
        <v>25</v>
      </c>
      <c r="G267" s="4" t="s">
        <v>25</v>
      </c>
      <c r="H267" s="4" t="s">
        <v>25</v>
      </c>
      <c r="I267" s="5">
        <v>44409</v>
      </c>
      <c r="J267" s="6">
        <v>0</v>
      </c>
      <c r="K267" s="6">
        <v>0</v>
      </c>
      <c r="L267" s="6">
        <v>13.061</v>
      </c>
      <c r="M267" s="6">
        <v>13.061</v>
      </c>
      <c r="N267" s="6">
        <v>13.061</v>
      </c>
      <c r="O267" s="6">
        <v>13.061</v>
      </c>
      <c r="P267" s="6">
        <v>261</v>
      </c>
      <c r="Q267" s="4" t="s">
        <v>26</v>
      </c>
      <c r="R267" s="4">
        <v>0</v>
      </c>
      <c r="S267" s="4" t="s">
        <v>239</v>
      </c>
      <c r="T267" s="4" t="s">
        <v>436</v>
      </c>
      <c r="U267" s="4">
        <v>0</v>
      </c>
      <c r="V267" s="4">
        <v>40</v>
      </c>
      <c r="W267" s="4">
        <v>78</v>
      </c>
    </row>
    <row r="268" spans="1:23" ht="11.25" customHeight="1" x14ac:dyDescent="0.25">
      <c r="A268" s="4" t="s">
        <v>21</v>
      </c>
      <c r="B268" s="4" t="s">
        <v>22</v>
      </c>
      <c r="C268" s="4" t="s">
        <v>23</v>
      </c>
      <c r="D268" s="4" t="s">
        <v>24</v>
      </c>
      <c r="E268" s="4" t="s">
        <v>30</v>
      </c>
      <c r="F268" s="4" t="s">
        <v>25</v>
      </c>
      <c r="G268" s="4" t="s">
        <v>25</v>
      </c>
      <c r="H268" s="4" t="s">
        <v>25</v>
      </c>
      <c r="I268" s="5">
        <v>44440</v>
      </c>
      <c r="J268" s="6">
        <v>0</v>
      </c>
      <c r="K268" s="6">
        <v>0</v>
      </c>
      <c r="L268" s="6">
        <v>15.353999999999999</v>
      </c>
      <c r="M268" s="6">
        <v>15.353999999999999</v>
      </c>
      <c r="N268" s="6">
        <v>15.353999999999999</v>
      </c>
      <c r="O268" s="6">
        <v>15.353999999999999</v>
      </c>
      <c r="P268" s="6">
        <v>286</v>
      </c>
      <c r="Q268" s="4" t="s">
        <v>26</v>
      </c>
      <c r="R268" s="4">
        <v>0</v>
      </c>
      <c r="S268" s="4" t="s">
        <v>240</v>
      </c>
      <c r="T268" s="4" t="s">
        <v>437</v>
      </c>
      <c r="U268" s="4">
        <v>0</v>
      </c>
      <c r="V268" s="4">
        <v>40</v>
      </c>
      <c r="W268" s="4">
        <v>78</v>
      </c>
    </row>
    <row r="269" spans="1:23" ht="11.25" customHeight="1" x14ac:dyDescent="0.25">
      <c r="A269" s="4" t="s">
        <v>21</v>
      </c>
      <c r="B269" s="4" t="s">
        <v>22</v>
      </c>
      <c r="C269" s="4" t="s">
        <v>23</v>
      </c>
      <c r="D269" s="4" t="s">
        <v>24</v>
      </c>
      <c r="E269" s="4" t="s">
        <v>30</v>
      </c>
      <c r="F269" s="4" t="s">
        <v>25</v>
      </c>
      <c r="G269" s="4" t="s">
        <v>25</v>
      </c>
      <c r="H269" s="4" t="s">
        <v>25</v>
      </c>
      <c r="I269" s="5">
        <v>44470</v>
      </c>
      <c r="J269" s="6">
        <v>0</v>
      </c>
      <c r="K269" s="6">
        <v>0</v>
      </c>
      <c r="L269" s="6">
        <v>10.358000000000001</v>
      </c>
      <c r="M269" s="6">
        <v>10.358000000000001</v>
      </c>
      <c r="N269" s="6">
        <v>10.358000000000001</v>
      </c>
      <c r="O269" s="6">
        <v>10.358000000000001</v>
      </c>
      <c r="P269" s="6">
        <v>232</v>
      </c>
      <c r="Q269" s="4" t="s">
        <v>26</v>
      </c>
      <c r="R269" s="4">
        <v>0</v>
      </c>
      <c r="S269" s="4" t="s">
        <v>241</v>
      </c>
      <c r="T269" s="4" t="s">
        <v>438</v>
      </c>
      <c r="U269" s="4">
        <v>0</v>
      </c>
      <c r="V269" s="4">
        <v>40</v>
      </c>
      <c r="W269" s="4">
        <v>78</v>
      </c>
    </row>
    <row r="270" spans="1:23" ht="11.25" customHeight="1" x14ac:dyDescent="0.25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30</v>
      </c>
      <c r="F270" s="4" t="s">
        <v>25</v>
      </c>
      <c r="G270" s="4" t="s">
        <v>25</v>
      </c>
      <c r="H270" s="4" t="s">
        <v>25</v>
      </c>
      <c r="I270" s="5">
        <v>44501</v>
      </c>
      <c r="J270" s="6">
        <v>0</v>
      </c>
      <c r="K270" s="6">
        <v>0</v>
      </c>
      <c r="L270" s="6">
        <v>14.414</v>
      </c>
      <c r="M270" s="6">
        <v>14.414</v>
      </c>
      <c r="N270" s="6">
        <v>14.414</v>
      </c>
      <c r="O270" s="6">
        <v>14.414</v>
      </c>
      <c r="P270" s="6">
        <v>268</v>
      </c>
      <c r="Q270" s="4" t="s">
        <v>26</v>
      </c>
      <c r="R270" s="4">
        <v>0</v>
      </c>
      <c r="S270" s="4" t="s">
        <v>242</v>
      </c>
      <c r="T270" s="4" t="s">
        <v>439</v>
      </c>
      <c r="U270" s="4">
        <v>0</v>
      </c>
      <c r="V270" s="4">
        <v>40</v>
      </c>
      <c r="W270" s="4">
        <v>78</v>
      </c>
    </row>
    <row r="271" spans="1:23" ht="11.25" customHeight="1" x14ac:dyDescent="0.25">
      <c r="A271" s="4" t="s">
        <v>21</v>
      </c>
      <c r="B271" s="4" t="s">
        <v>22</v>
      </c>
      <c r="C271" s="4" t="s">
        <v>23</v>
      </c>
      <c r="D271" s="4" t="s">
        <v>24</v>
      </c>
      <c r="E271" s="4" t="s">
        <v>30</v>
      </c>
      <c r="F271" s="4" t="s">
        <v>25</v>
      </c>
      <c r="G271" s="4" t="s">
        <v>25</v>
      </c>
      <c r="H271" s="4" t="s">
        <v>25</v>
      </c>
      <c r="I271" s="5">
        <v>44531</v>
      </c>
      <c r="J271" s="6">
        <v>0</v>
      </c>
      <c r="K271" s="6">
        <v>0</v>
      </c>
      <c r="L271" s="6">
        <v>18.116</v>
      </c>
      <c r="M271" s="6">
        <v>18.116</v>
      </c>
      <c r="N271" s="6">
        <v>18.116</v>
      </c>
      <c r="O271" s="6">
        <v>18.116</v>
      </c>
      <c r="P271" s="6">
        <v>312</v>
      </c>
      <c r="Q271" s="4" t="s">
        <v>26</v>
      </c>
      <c r="R271" s="4">
        <v>0</v>
      </c>
      <c r="S271" s="4" t="s">
        <v>243</v>
      </c>
      <c r="T271" s="4" t="s">
        <v>440</v>
      </c>
      <c r="U271" s="4">
        <v>0</v>
      </c>
      <c r="V271" s="4">
        <v>40</v>
      </c>
      <c r="W271" s="4">
        <v>78</v>
      </c>
    </row>
    <row r="272" spans="1:23" ht="11.25" customHeight="1" x14ac:dyDescent="0.25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30</v>
      </c>
      <c r="F272" s="4" t="s">
        <v>25</v>
      </c>
      <c r="G272" s="4" t="s">
        <v>25</v>
      </c>
      <c r="H272" s="4" t="s">
        <v>25</v>
      </c>
      <c r="I272" s="5">
        <v>44562</v>
      </c>
      <c r="J272" s="6">
        <v>0</v>
      </c>
      <c r="K272" s="6">
        <v>0</v>
      </c>
      <c r="L272" s="6">
        <v>16.149999999999999</v>
      </c>
      <c r="M272" s="6">
        <v>16.149999999999999</v>
      </c>
      <c r="N272" s="6">
        <v>16.149999999999999</v>
      </c>
      <c r="O272" s="6">
        <v>16.149999999999999</v>
      </c>
      <c r="P272" s="6">
        <v>307</v>
      </c>
      <c r="Q272" s="4" t="s">
        <v>26</v>
      </c>
      <c r="R272" s="4">
        <v>0</v>
      </c>
      <c r="S272" s="4" t="s">
        <v>244</v>
      </c>
      <c r="T272" s="4" t="s">
        <v>441</v>
      </c>
      <c r="U272" s="4">
        <v>0</v>
      </c>
      <c r="V272" s="4">
        <v>40</v>
      </c>
      <c r="W272" s="4">
        <v>78</v>
      </c>
    </row>
    <row r="273" spans="1:23" ht="11.25" customHeight="1" x14ac:dyDescent="0.25">
      <c r="A273" s="4" t="s">
        <v>21</v>
      </c>
      <c r="B273" s="4" t="s">
        <v>22</v>
      </c>
      <c r="C273" s="4" t="s">
        <v>23</v>
      </c>
      <c r="D273" s="4" t="s">
        <v>24</v>
      </c>
      <c r="E273" s="4" t="s">
        <v>30</v>
      </c>
      <c r="F273" s="4" t="s">
        <v>25</v>
      </c>
      <c r="G273" s="4" t="s">
        <v>25</v>
      </c>
      <c r="H273" s="4" t="s">
        <v>25</v>
      </c>
      <c r="I273" s="5">
        <v>44593</v>
      </c>
      <c r="J273" s="6">
        <v>0</v>
      </c>
      <c r="K273" s="6">
        <v>0</v>
      </c>
      <c r="L273" s="6">
        <v>13.394</v>
      </c>
      <c r="M273" s="6">
        <v>13.394</v>
      </c>
      <c r="N273" s="6">
        <v>13.394</v>
      </c>
      <c r="O273" s="6">
        <v>13.394</v>
      </c>
      <c r="P273" s="6">
        <v>273</v>
      </c>
      <c r="Q273" s="4" t="s">
        <v>26</v>
      </c>
      <c r="R273" s="4">
        <v>0</v>
      </c>
      <c r="S273" s="4" t="s">
        <v>245</v>
      </c>
      <c r="T273" s="4" t="s">
        <v>442</v>
      </c>
      <c r="U273" s="4">
        <v>0</v>
      </c>
      <c r="V273" s="4">
        <v>40</v>
      </c>
      <c r="W273" s="4">
        <v>78</v>
      </c>
    </row>
    <row r="274" spans="1:23" ht="11.25" customHeight="1" x14ac:dyDescent="0.25">
      <c r="A274" s="4" t="s">
        <v>21</v>
      </c>
      <c r="B274" s="4" t="s">
        <v>22</v>
      </c>
      <c r="C274" s="4" t="s">
        <v>23</v>
      </c>
      <c r="D274" s="4" t="s">
        <v>24</v>
      </c>
      <c r="E274" s="4" t="s">
        <v>30</v>
      </c>
      <c r="F274" s="4" t="s">
        <v>25</v>
      </c>
      <c r="G274" s="4" t="s">
        <v>25</v>
      </c>
      <c r="H274" s="4" t="s">
        <v>25</v>
      </c>
      <c r="I274" s="5">
        <v>44621</v>
      </c>
      <c r="J274" s="6">
        <v>0</v>
      </c>
      <c r="K274" s="6">
        <v>0</v>
      </c>
      <c r="L274" s="6">
        <v>16.189</v>
      </c>
      <c r="M274" s="6">
        <v>16.189</v>
      </c>
      <c r="N274" s="6">
        <v>16.189</v>
      </c>
      <c r="O274" s="6">
        <v>16.189</v>
      </c>
      <c r="P274" s="6">
        <v>309</v>
      </c>
      <c r="Q274" s="4" t="s">
        <v>26</v>
      </c>
      <c r="R274" s="4">
        <v>0</v>
      </c>
      <c r="S274" s="4" t="s">
        <v>246</v>
      </c>
      <c r="T274" s="4" t="s">
        <v>443</v>
      </c>
      <c r="U274" s="4">
        <v>0</v>
      </c>
      <c r="V274" s="4">
        <v>40</v>
      </c>
      <c r="W274" s="4">
        <v>78</v>
      </c>
    </row>
    <row r="275" spans="1:23" ht="11.25" customHeight="1" x14ac:dyDescent="0.25">
      <c r="A275" s="4" t="s">
        <v>21</v>
      </c>
      <c r="B275" s="4" t="s">
        <v>22</v>
      </c>
      <c r="C275" s="4" t="s">
        <v>23</v>
      </c>
      <c r="D275" s="4" t="s">
        <v>24</v>
      </c>
      <c r="E275" s="4" t="s">
        <v>30</v>
      </c>
      <c r="F275" s="4" t="s">
        <v>25</v>
      </c>
      <c r="G275" s="4" t="s">
        <v>25</v>
      </c>
      <c r="H275" s="4" t="s">
        <v>25</v>
      </c>
      <c r="I275" s="5">
        <v>44652</v>
      </c>
      <c r="J275" s="6">
        <v>0</v>
      </c>
      <c r="K275" s="6">
        <v>0</v>
      </c>
      <c r="L275" s="6">
        <v>12.414999999999999</v>
      </c>
      <c r="M275" s="6">
        <v>12.414999999999999</v>
      </c>
      <c r="N275" s="6">
        <v>12.414999999999999</v>
      </c>
      <c r="O275" s="6">
        <v>12.414999999999999</v>
      </c>
      <c r="P275" s="6">
        <v>268</v>
      </c>
      <c r="Q275" s="4" t="s">
        <v>26</v>
      </c>
      <c r="R275" s="4">
        <v>0</v>
      </c>
      <c r="S275" s="4" t="s">
        <v>247</v>
      </c>
      <c r="T275" s="4" t="s">
        <v>444</v>
      </c>
      <c r="U275" s="4">
        <v>0</v>
      </c>
      <c r="V275" s="4">
        <v>40</v>
      </c>
      <c r="W275" s="4">
        <v>78</v>
      </c>
    </row>
    <row r="276" spans="1:23" ht="11.25" customHeight="1" x14ac:dyDescent="0.25">
      <c r="A276" s="4" t="s">
        <v>21</v>
      </c>
      <c r="B276" s="4" t="s">
        <v>22</v>
      </c>
      <c r="C276" s="4" t="s">
        <v>23</v>
      </c>
      <c r="D276" s="4" t="s">
        <v>24</v>
      </c>
      <c r="E276" s="4" t="s">
        <v>30</v>
      </c>
      <c r="F276" s="4" t="s">
        <v>25</v>
      </c>
      <c r="G276" s="4" t="s">
        <v>25</v>
      </c>
      <c r="H276" s="4" t="s">
        <v>25</v>
      </c>
      <c r="I276" s="5">
        <v>44682</v>
      </c>
      <c r="J276" s="6">
        <v>0</v>
      </c>
      <c r="K276" s="6">
        <v>0</v>
      </c>
      <c r="L276" s="6">
        <v>10.862</v>
      </c>
      <c r="M276" s="6">
        <v>10.862</v>
      </c>
      <c r="N276" s="6">
        <v>10.862</v>
      </c>
      <c r="O276" s="6">
        <v>10.862</v>
      </c>
      <c r="P276" s="6">
        <v>228</v>
      </c>
      <c r="Q276" s="4" t="s">
        <v>26</v>
      </c>
      <c r="R276" s="4">
        <v>0</v>
      </c>
      <c r="S276" s="4" t="s">
        <v>248</v>
      </c>
      <c r="T276" s="4" t="s">
        <v>445</v>
      </c>
      <c r="U276" s="4">
        <v>0</v>
      </c>
      <c r="V276" s="4">
        <v>40</v>
      </c>
      <c r="W276" s="4">
        <v>78</v>
      </c>
    </row>
    <row r="277" spans="1:23" ht="11.25" customHeight="1" x14ac:dyDescent="0.25">
      <c r="A277" s="4" t="s">
        <v>21</v>
      </c>
      <c r="B277" s="4" t="s">
        <v>22</v>
      </c>
      <c r="C277" s="4" t="s">
        <v>23</v>
      </c>
      <c r="D277" s="4" t="s">
        <v>24</v>
      </c>
      <c r="E277" s="4" t="s">
        <v>30</v>
      </c>
      <c r="F277" s="4" t="s">
        <v>25</v>
      </c>
      <c r="G277" s="4" t="s">
        <v>25</v>
      </c>
      <c r="H277" s="4" t="s">
        <v>25</v>
      </c>
      <c r="I277" s="5">
        <v>44713</v>
      </c>
      <c r="J277" s="6">
        <v>0</v>
      </c>
      <c r="K277" s="6">
        <v>0</v>
      </c>
      <c r="L277" s="6">
        <v>12.992000000000001</v>
      </c>
      <c r="M277" s="6">
        <v>12.992000000000001</v>
      </c>
      <c r="N277" s="6">
        <v>12.992000000000001</v>
      </c>
      <c r="O277" s="6">
        <v>12.992000000000001</v>
      </c>
      <c r="P277" s="6">
        <v>259</v>
      </c>
      <c r="Q277" s="4" t="s">
        <v>26</v>
      </c>
      <c r="R277" s="4">
        <v>0</v>
      </c>
      <c r="S277" s="4" t="s">
        <v>249</v>
      </c>
      <c r="T277" s="4" t="s">
        <v>446</v>
      </c>
      <c r="U277" s="4">
        <v>0</v>
      </c>
      <c r="V277" s="4">
        <v>40</v>
      </c>
      <c r="W277" s="4">
        <v>78</v>
      </c>
    </row>
    <row r="278" spans="1:23" ht="11.25" customHeight="1" x14ac:dyDescent="0.25">
      <c r="A278" s="4" t="s">
        <v>55</v>
      </c>
      <c r="B278" s="4" t="s">
        <v>22</v>
      </c>
      <c r="C278" s="4" t="s">
        <v>23</v>
      </c>
      <c r="D278" s="4" t="s">
        <v>24</v>
      </c>
      <c r="E278" s="4" t="s">
        <v>30</v>
      </c>
      <c r="F278" s="4" t="s">
        <v>25</v>
      </c>
      <c r="G278" s="4" t="s">
        <v>25</v>
      </c>
      <c r="H278" s="4" t="s">
        <v>25</v>
      </c>
      <c r="I278" s="5">
        <v>44743</v>
      </c>
      <c r="J278" s="6">
        <v>0</v>
      </c>
      <c r="K278" s="6">
        <v>0</v>
      </c>
      <c r="L278" s="6">
        <v>12.992000000000001</v>
      </c>
      <c r="M278" s="6">
        <v>12.992000000000001</v>
      </c>
      <c r="N278" s="6">
        <v>12.992000000000001</v>
      </c>
      <c r="O278" s="6">
        <v>12.992000000000001</v>
      </c>
      <c r="P278" s="6">
        <v>259</v>
      </c>
      <c r="Q278" s="4" t="s">
        <v>26</v>
      </c>
      <c r="R278" s="4">
        <v>0</v>
      </c>
      <c r="S278" s="4" t="s">
        <v>250</v>
      </c>
      <c r="T278" s="4" t="s">
        <v>447</v>
      </c>
      <c r="U278" s="4">
        <v>0</v>
      </c>
      <c r="V278" s="4">
        <v>40</v>
      </c>
      <c r="W278" s="4">
        <v>78</v>
      </c>
    </row>
    <row r="279" spans="1:23" ht="11.25" customHeight="1" x14ac:dyDescent="0.25">
      <c r="A279" s="4" t="s">
        <v>21</v>
      </c>
      <c r="B279" s="4" t="s">
        <v>22</v>
      </c>
      <c r="C279" s="4" t="s">
        <v>23</v>
      </c>
      <c r="D279" s="4" t="s">
        <v>24</v>
      </c>
      <c r="E279" s="4" t="s">
        <v>31</v>
      </c>
      <c r="F279" s="4" t="s">
        <v>25</v>
      </c>
      <c r="G279" s="4" t="s">
        <v>25</v>
      </c>
      <c r="H279" s="4" t="s">
        <v>25</v>
      </c>
      <c r="I279" s="5">
        <v>44409</v>
      </c>
      <c r="J279" s="6">
        <v>0</v>
      </c>
      <c r="K279" s="6">
        <v>0</v>
      </c>
      <c r="L279" s="6">
        <v>0.874</v>
      </c>
      <c r="M279" s="6">
        <v>0.874</v>
      </c>
      <c r="N279" s="6">
        <v>0.874</v>
      </c>
      <c r="O279" s="6">
        <v>0.874</v>
      </c>
      <c r="P279" s="6">
        <v>22</v>
      </c>
      <c r="Q279" s="4" t="s">
        <v>26</v>
      </c>
      <c r="R279" s="4">
        <v>0</v>
      </c>
      <c r="S279" s="4" t="s">
        <v>251</v>
      </c>
      <c r="T279" s="4" t="s">
        <v>448</v>
      </c>
      <c r="U279" s="4">
        <v>0</v>
      </c>
      <c r="V279" s="4">
        <v>41</v>
      </c>
      <c r="W279" s="4">
        <v>79</v>
      </c>
    </row>
    <row r="280" spans="1:23" ht="11.25" customHeight="1" x14ac:dyDescent="0.25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31</v>
      </c>
      <c r="F280" s="4" t="s">
        <v>25</v>
      </c>
      <c r="G280" s="4" t="s">
        <v>25</v>
      </c>
      <c r="H280" s="4" t="s">
        <v>25</v>
      </c>
      <c r="I280" s="5">
        <v>44440</v>
      </c>
      <c r="J280" s="6">
        <v>0</v>
      </c>
      <c r="K280" s="6">
        <v>0</v>
      </c>
      <c r="L280" s="6">
        <v>1.5940000000000001</v>
      </c>
      <c r="M280" s="6">
        <v>1.5940000000000001</v>
      </c>
      <c r="N280" s="6">
        <v>1.5940000000000001</v>
      </c>
      <c r="O280" s="6">
        <v>1.5940000000000001</v>
      </c>
      <c r="P280" s="6">
        <v>28</v>
      </c>
      <c r="Q280" s="4" t="s">
        <v>26</v>
      </c>
      <c r="R280" s="4">
        <v>0</v>
      </c>
      <c r="S280" s="4" t="s">
        <v>252</v>
      </c>
      <c r="T280" s="4" t="s">
        <v>449</v>
      </c>
      <c r="U280" s="4">
        <v>0</v>
      </c>
      <c r="V280" s="4">
        <v>41</v>
      </c>
      <c r="W280" s="4">
        <v>79</v>
      </c>
    </row>
    <row r="281" spans="1:23" ht="11.25" customHeight="1" x14ac:dyDescent="0.25">
      <c r="A281" s="4" t="s">
        <v>21</v>
      </c>
      <c r="B281" s="4" t="s">
        <v>22</v>
      </c>
      <c r="C281" s="4" t="s">
        <v>23</v>
      </c>
      <c r="D281" s="4" t="s">
        <v>24</v>
      </c>
      <c r="E281" s="4" t="s">
        <v>31</v>
      </c>
      <c r="F281" s="4" t="s">
        <v>25</v>
      </c>
      <c r="G281" s="4" t="s">
        <v>25</v>
      </c>
      <c r="H281" s="4" t="s">
        <v>25</v>
      </c>
      <c r="I281" s="5">
        <v>44470</v>
      </c>
      <c r="J281" s="6">
        <v>0</v>
      </c>
      <c r="K281" s="6">
        <v>0</v>
      </c>
      <c r="L281" s="6">
        <v>0.61299999999999999</v>
      </c>
      <c r="M281" s="6">
        <v>0.61299999999999999</v>
      </c>
      <c r="N281" s="6">
        <v>0.61299999999999999</v>
      </c>
      <c r="O281" s="6">
        <v>0.61299999999999999</v>
      </c>
      <c r="P281" s="6">
        <v>14</v>
      </c>
      <c r="Q281" s="4" t="s">
        <v>26</v>
      </c>
      <c r="R281" s="4">
        <v>0</v>
      </c>
      <c r="S281" s="4" t="s">
        <v>253</v>
      </c>
      <c r="T281" s="4" t="s">
        <v>450</v>
      </c>
      <c r="U281" s="4">
        <v>0</v>
      </c>
      <c r="V281" s="4">
        <v>41</v>
      </c>
      <c r="W281" s="4">
        <v>79</v>
      </c>
    </row>
    <row r="282" spans="1:23" ht="11.25" customHeight="1" x14ac:dyDescent="0.25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31</v>
      </c>
      <c r="F282" s="4" t="s">
        <v>25</v>
      </c>
      <c r="G282" s="4" t="s">
        <v>25</v>
      </c>
      <c r="H282" s="4" t="s">
        <v>25</v>
      </c>
      <c r="I282" s="5">
        <v>44501</v>
      </c>
      <c r="J282" s="6">
        <v>0</v>
      </c>
      <c r="K282" s="6">
        <v>0</v>
      </c>
      <c r="L282" s="6">
        <v>1.5680000000000001</v>
      </c>
      <c r="M282" s="6">
        <v>1.5680000000000001</v>
      </c>
      <c r="N282" s="6">
        <v>1.5680000000000001</v>
      </c>
      <c r="O282" s="6">
        <v>1.5680000000000001</v>
      </c>
      <c r="P282" s="6">
        <v>32</v>
      </c>
      <c r="Q282" s="4" t="s">
        <v>26</v>
      </c>
      <c r="R282" s="4">
        <v>0</v>
      </c>
      <c r="S282" s="4" t="s">
        <v>254</v>
      </c>
      <c r="T282" s="4" t="s">
        <v>451</v>
      </c>
      <c r="U282" s="4">
        <v>0</v>
      </c>
      <c r="V282" s="4">
        <v>41</v>
      </c>
      <c r="W282" s="4">
        <v>79</v>
      </c>
    </row>
    <row r="283" spans="1:23" ht="11.25" customHeight="1" x14ac:dyDescent="0.25">
      <c r="A283" s="4" t="s">
        <v>21</v>
      </c>
      <c r="B283" s="4" t="s">
        <v>22</v>
      </c>
      <c r="C283" s="4" t="s">
        <v>23</v>
      </c>
      <c r="D283" s="4" t="s">
        <v>24</v>
      </c>
      <c r="E283" s="4" t="s">
        <v>31</v>
      </c>
      <c r="F283" s="4" t="s">
        <v>25</v>
      </c>
      <c r="G283" s="4" t="s">
        <v>25</v>
      </c>
      <c r="H283" s="4" t="s">
        <v>25</v>
      </c>
      <c r="I283" s="5">
        <v>44531</v>
      </c>
      <c r="J283" s="6">
        <v>0</v>
      </c>
      <c r="K283" s="6">
        <v>0</v>
      </c>
      <c r="L283" s="6">
        <v>2.3109999999999999</v>
      </c>
      <c r="M283" s="6">
        <v>2.3109999999999999</v>
      </c>
      <c r="N283" s="6">
        <v>2.3109999999999999</v>
      </c>
      <c r="O283" s="6">
        <v>2.3109999999999999</v>
      </c>
      <c r="P283" s="6">
        <v>39</v>
      </c>
      <c r="Q283" s="4" t="s">
        <v>26</v>
      </c>
      <c r="R283" s="4">
        <v>0</v>
      </c>
      <c r="S283" s="4" t="s">
        <v>255</v>
      </c>
      <c r="T283" s="4" t="s">
        <v>452</v>
      </c>
      <c r="U283" s="4">
        <v>0</v>
      </c>
      <c r="V283" s="4">
        <v>41</v>
      </c>
      <c r="W283" s="4">
        <v>79</v>
      </c>
    </row>
    <row r="284" spans="1:23" ht="11.25" customHeight="1" x14ac:dyDescent="0.25">
      <c r="A284" s="4" t="s">
        <v>21</v>
      </c>
      <c r="B284" s="4" t="s">
        <v>22</v>
      </c>
      <c r="C284" s="4" t="s">
        <v>23</v>
      </c>
      <c r="D284" s="4" t="s">
        <v>24</v>
      </c>
      <c r="E284" s="4" t="s">
        <v>31</v>
      </c>
      <c r="F284" s="4" t="s">
        <v>25</v>
      </c>
      <c r="G284" s="4" t="s">
        <v>25</v>
      </c>
      <c r="H284" s="4" t="s">
        <v>25</v>
      </c>
      <c r="I284" s="5">
        <v>44562</v>
      </c>
      <c r="J284" s="6">
        <v>0</v>
      </c>
      <c r="K284" s="6">
        <v>0</v>
      </c>
      <c r="L284" s="6">
        <v>1.925</v>
      </c>
      <c r="M284" s="6">
        <v>1.925</v>
      </c>
      <c r="N284" s="6">
        <v>1.925</v>
      </c>
      <c r="O284" s="6">
        <v>1.925</v>
      </c>
      <c r="P284" s="6">
        <v>34</v>
      </c>
      <c r="Q284" s="4" t="s">
        <v>26</v>
      </c>
      <c r="R284" s="4">
        <v>0</v>
      </c>
      <c r="S284" s="4" t="s">
        <v>256</v>
      </c>
      <c r="T284" s="4" t="s">
        <v>453</v>
      </c>
      <c r="U284" s="4">
        <v>0</v>
      </c>
      <c r="V284" s="4">
        <v>41</v>
      </c>
      <c r="W284" s="4">
        <v>79</v>
      </c>
    </row>
    <row r="285" spans="1:23" ht="11.25" customHeight="1" x14ac:dyDescent="0.25">
      <c r="A285" s="4" t="s">
        <v>21</v>
      </c>
      <c r="B285" s="4" t="s">
        <v>22</v>
      </c>
      <c r="C285" s="4" t="s">
        <v>23</v>
      </c>
      <c r="D285" s="4" t="s">
        <v>24</v>
      </c>
      <c r="E285" s="4" t="s">
        <v>31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0</v>
      </c>
      <c r="K285" s="6">
        <v>0</v>
      </c>
      <c r="L285" s="6">
        <v>1.6319999999999999</v>
      </c>
      <c r="M285" s="6">
        <v>1.6319999999999999</v>
      </c>
      <c r="N285" s="6">
        <v>1.6319999999999999</v>
      </c>
      <c r="O285" s="6">
        <v>1.6319999999999999</v>
      </c>
      <c r="P285" s="6">
        <v>23</v>
      </c>
      <c r="Q285" s="4" t="s">
        <v>26</v>
      </c>
      <c r="R285" s="4">
        <v>0</v>
      </c>
      <c r="S285" s="4" t="s">
        <v>257</v>
      </c>
      <c r="T285" s="4" t="s">
        <v>454</v>
      </c>
      <c r="U285" s="4">
        <v>0</v>
      </c>
      <c r="V285" s="4">
        <v>41</v>
      </c>
      <c r="W285" s="4">
        <v>79</v>
      </c>
    </row>
    <row r="286" spans="1:23" ht="11.25" customHeight="1" x14ac:dyDescent="0.25">
      <c r="A286" s="4" t="s">
        <v>21</v>
      </c>
      <c r="B286" s="4" t="s">
        <v>22</v>
      </c>
      <c r="C286" s="4" t="s">
        <v>23</v>
      </c>
      <c r="D286" s="4" t="s">
        <v>24</v>
      </c>
      <c r="E286" s="4" t="s">
        <v>31</v>
      </c>
      <c r="F286" s="4" t="s">
        <v>25</v>
      </c>
      <c r="G286" s="4" t="s">
        <v>25</v>
      </c>
      <c r="H286" s="4" t="s">
        <v>25</v>
      </c>
      <c r="I286" s="5">
        <v>44621</v>
      </c>
      <c r="J286" s="6">
        <v>0</v>
      </c>
      <c r="K286" s="6">
        <v>0</v>
      </c>
      <c r="L286" s="6">
        <v>2.0339999999999998</v>
      </c>
      <c r="M286" s="6">
        <v>2.0339999999999998</v>
      </c>
      <c r="N286" s="6">
        <v>2.0339999999999998</v>
      </c>
      <c r="O286" s="6">
        <v>2.0339999999999998</v>
      </c>
      <c r="P286" s="6">
        <v>30</v>
      </c>
      <c r="Q286" s="4" t="s">
        <v>26</v>
      </c>
      <c r="R286" s="4">
        <v>0</v>
      </c>
      <c r="S286" s="4" t="s">
        <v>258</v>
      </c>
      <c r="T286" s="4" t="s">
        <v>455</v>
      </c>
      <c r="U286" s="4">
        <v>0</v>
      </c>
      <c r="V286" s="4">
        <v>41</v>
      </c>
      <c r="W286" s="4">
        <v>79</v>
      </c>
    </row>
    <row r="287" spans="1:23" ht="11.25" customHeight="1" x14ac:dyDescent="0.25">
      <c r="A287" s="4" t="s">
        <v>21</v>
      </c>
      <c r="B287" s="4" t="s">
        <v>22</v>
      </c>
      <c r="C287" s="4" t="s">
        <v>23</v>
      </c>
      <c r="D287" s="4" t="s">
        <v>24</v>
      </c>
      <c r="E287" s="4" t="s">
        <v>31</v>
      </c>
      <c r="F287" s="4" t="s">
        <v>25</v>
      </c>
      <c r="G287" s="4" t="s">
        <v>25</v>
      </c>
      <c r="H287" s="4" t="s">
        <v>25</v>
      </c>
      <c r="I287" s="5">
        <v>44652</v>
      </c>
      <c r="J287" s="6">
        <v>0</v>
      </c>
      <c r="K287" s="6">
        <v>0</v>
      </c>
      <c r="L287" s="6">
        <v>0.96599999999999997</v>
      </c>
      <c r="M287" s="6">
        <v>0.96599999999999997</v>
      </c>
      <c r="N287" s="6">
        <v>0.96599999999999997</v>
      </c>
      <c r="O287" s="6">
        <v>0.96599999999999997</v>
      </c>
      <c r="P287" s="6">
        <v>22</v>
      </c>
      <c r="Q287" s="4" t="s">
        <v>26</v>
      </c>
      <c r="R287" s="4">
        <v>0</v>
      </c>
      <c r="S287" s="4" t="s">
        <v>259</v>
      </c>
      <c r="T287" s="4" t="s">
        <v>456</v>
      </c>
      <c r="U287" s="4">
        <v>0</v>
      </c>
      <c r="V287" s="4">
        <v>41</v>
      </c>
      <c r="W287" s="4">
        <v>79</v>
      </c>
    </row>
    <row r="288" spans="1:23" ht="11.25" customHeight="1" x14ac:dyDescent="0.25">
      <c r="A288" s="4" t="s">
        <v>21</v>
      </c>
      <c r="B288" s="4" t="s">
        <v>22</v>
      </c>
      <c r="C288" s="4" t="s">
        <v>23</v>
      </c>
      <c r="D288" s="4" t="s">
        <v>24</v>
      </c>
      <c r="E288" s="4" t="s">
        <v>31</v>
      </c>
      <c r="F288" s="4" t="s">
        <v>25</v>
      </c>
      <c r="G288" s="4" t="s">
        <v>25</v>
      </c>
      <c r="H288" s="4" t="s">
        <v>25</v>
      </c>
      <c r="I288" s="5">
        <v>44682</v>
      </c>
      <c r="J288" s="6">
        <v>0</v>
      </c>
      <c r="K288" s="6">
        <v>0</v>
      </c>
      <c r="L288" s="6">
        <v>1.1439999999999999</v>
      </c>
      <c r="M288" s="6">
        <v>1.1439999999999999</v>
      </c>
      <c r="N288" s="6">
        <v>1.1439999999999999</v>
      </c>
      <c r="O288" s="6">
        <v>1.1439999999999999</v>
      </c>
      <c r="P288" s="6">
        <v>15</v>
      </c>
      <c r="Q288" s="4" t="s">
        <v>26</v>
      </c>
      <c r="R288" s="4">
        <v>0</v>
      </c>
      <c r="S288" s="4" t="s">
        <v>260</v>
      </c>
      <c r="T288" s="4" t="s">
        <v>457</v>
      </c>
      <c r="U288" s="4">
        <v>0</v>
      </c>
      <c r="V288" s="4">
        <v>41</v>
      </c>
      <c r="W288" s="4">
        <v>79</v>
      </c>
    </row>
    <row r="289" spans="1:23" ht="11.25" customHeight="1" x14ac:dyDescent="0.25">
      <c r="A289" s="4" t="s">
        <v>21</v>
      </c>
      <c r="B289" s="4" t="s">
        <v>22</v>
      </c>
      <c r="C289" s="4" t="s">
        <v>23</v>
      </c>
      <c r="D289" s="4" t="s">
        <v>24</v>
      </c>
      <c r="E289" s="4" t="s">
        <v>31</v>
      </c>
      <c r="F289" s="4" t="s">
        <v>25</v>
      </c>
      <c r="G289" s="4" t="s">
        <v>25</v>
      </c>
      <c r="H289" s="4" t="s">
        <v>25</v>
      </c>
      <c r="I289" s="5">
        <v>44713</v>
      </c>
      <c r="J289" s="6">
        <v>0</v>
      </c>
      <c r="K289" s="6">
        <v>0</v>
      </c>
      <c r="L289" s="6">
        <v>1.573</v>
      </c>
      <c r="M289" s="6">
        <v>1.573</v>
      </c>
      <c r="N289" s="6">
        <v>1.573</v>
      </c>
      <c r="O289" s="6">
        <v>1.573</v>
      </c>
      <c r="P289" s="6">
        <v>26</v>
      </c>
      <c r="Q289" s="4" t="s">
        <v>26</v>
      </c>
      <c r="R289" s="4">
        <v>0</v>
      </c>
      <c r="S289" s="4" t="s">
        <v>261</v>
      </c>
      <c r="T289" s="4" t="s">
        <v>458</v>
      </c>
      <c r="U289" s="4">
        <v>0</v>
      </c>
      <c r="V289" s="4">
        <v>41</v>
      </c>
      <c r="W289" s="4">
        <v>79</v>
      </c>
    </row>
    <row r="290" spans="1:23" ht="11.25" customHeight="1" x14ac:dyDescent="0.25">
      <c r="A290" s="4" t="s">
        <v>55</v>
      </c>
      <c r="B290" s="4" t="s">
        <v>22</v>
      </c>
      <c r="C290" s="4" t="s">
        <v>23</v>
      </c>
      <c r="D290" s="4" t="s">
        <v>24</v>
      </c>
      <c r="E290" s="4" t="s">
        <v>31</v>
      </c>
      <c r="F290" s="4" t="s">
        <v>25</v>
      </c>
      <c r="G290" s="4" t="s">
        <v>25</v>
      </c>
      <c r="H290" s="4" t="s">
        <v>25</v>
      </c>
      <c r="I290" s="5">
        <v>44743</v>
      </c>
      <c r="J290" s="6">
        <v>0</v>
      </c>
      <c r="K290" s="6">
        <v>0</v>
      </c>
      <c r="L290" s="6">
        <v>1.573</v>
      </c>
      <c r="M290" s="6">
        <v>1.573</v>
      </c>
      <c r="N290" s="6">
        <v>1.573</v>
      </c>
      <c r="O290" s="6">
        <v>1.573</v>
      </c>
      <c r="P290" s="6">
        <v>26</v>
      </c>
      <c r="Q290" s="4" t="s">
        <v>26</v>
      </c>
      <c r="R290" s="4">
        <v>0</v>
      </c>
      <c r="S290" s="4" t="s">
        <v>262</v>
      </c>
      <c r="T290" s="4" t="s">
        <v>459</v>
      </c>
      <c r="U290" s="4">
        <v>0</v>
      </c>
      <c r="V290" s="4">
        <v>41</v>
      </c>
      <c r="W290" s="4">
        <v>79</v>
      </c>
    </row>
    <row r="291" spans="1:23" ht="11.25" customHeight="1" x14ac:dyDescent="0.25">
      <c r="A291" s="4" t="s">
        <v>21</v>
      </c>
      <c r="B291" s="4" t="s">
        <v>41</v>
      </c>
      <c r="C291" s="4" t="s">
        <v>23</v>
      </c>
      <c r="D291" s="4" t="s">
        <v>42</v>
      </c>
      <c r="E291" s="4" t="s">
        <v>50</v>
      </c>
      <c r="F291" s="4" t="s">
        <v>51</v>
      </c>
      <c r="G291" s="4" t="s">
        <v>25</v>
      </c>
      <c r="H291" s="4" t="s">
        <v>25</v>
      </c>
      <c r="I291" s="5">
        <v>44409</v>
      </c>
      <c r="J291" s="6">
        <v>0</v>
      </c>
      <c r="K291" s="6">
        <v>0</v>
      </c>
      <c r="L291" s="6">
        <v>0.25800000000000001</v>
      </c>
      <c r="M291" s="6">
        <v>0.25800000000000001</v>
      </c>
      <c r="N291" s="6">
        <v>0.25800000000000001</v>
      </c>
      <c r="O291" s="6">
        <v>0.25800000000000001</v>
      </c>
      <c r="P291" s="6">
        <v>0</v>
      </c>
      <c r="Q291" s="4" t="s">
        <v>26</v>
      </c>
      <c r="R291" s="4">
        <v>0</v>
      </c>
      <c r="S291" s="4" t="s">
        <v>263</v>
      </c>
      <c r="T291" s="4" t="s">
        <v>460</v>
      </c>
      <c r="U291" s="4">
        <v>0</v>
      </c>
      <c r="V291" s="4">
        <v>50</v>
      </c>
      <c r="W291" s="4">
        <v>1</v>
      </c>
    </row>
    <row r="292" spans="1:23" ht="11.25" customHeight="1" x14ac:dyDescent="0.25">
      <c r="A292" s="4" t="s">
        <v>21</v>
      </c>
      <c r="B292" s="4" t="s">
        <v>41</v>
      </c>
      <c r="C292" s="4" t="s">
        <v>23</v>
      </c>
      <c r="D292" s="4" t="s">
        <v>42</v>
      </c>
      <c r="E292" s="4" t="s">
        <v>50</v>
      </c>
      <c r="F292" s="4" t="s">
        <v>51</v>
      </c>
      <c r="G292" s="4" t="s">
        <v>25</v>
      </c>
      <c r="H292" s="4" t="s">
        <v>25</v>
      </c>
      <c r="I292" s="5">
        <v>44440</v>
      </c>
      <c r="J292" s="6">
        <v>0</v>
      </c>
      <c r="K292" s="6">
        <v>0</v>
      </c>
      <c r="L292" s="6">
        <v>0.254</v>
      </c>
      <c r="M292" s="6">
        <v>0.254</v>
      </c>
      <c r="N292" s="6">
        <v>0.254</v>
      </c>
      <c r="O292" s="6">
        <v>0.254</v>
      </c>
      <c r="P292" s="6">
        <v>0</v>
      </c>
      <c r="Q292" s="4" t="s">
        <v>26</v>
      </c>
      <c r="R292" s="4">
        <v>0</v>
      </c>
      <c r="S292" s="4" t="s">
        <v>264</v>
      </c>
      <c r="T292" s="4" t="s">
        <v>461</v>
      </c>
      <c r="U292" s="4">
        <v>0</v>
      </c>
      <c r="V292" s="4">
        <v>50</v>
      </c>
      <c r="W292" s="4">
        <v>1</v>
      </c>
    </row>
    <row r="293" spans="1:23" ht="11.25" customHeight="1" x14ac:dyDescent="0.25">
      <c r="A293" s="4" t="s">
        <v>21</v>
      </c>
      <c r="B293" s="4" t="s">
        <v>41</v>
      </c>
      <c r="C293" s="4" t="s">
        <v>23</v>
      </c>
      <c r="D293" s="4" t="s">
        <v>42</v>
      </c>
      <c r="E293" s="4" t="s">
        <v>50</v>
      </c>
      <c r="F293" s="4" t="s">
        <v>51</v>
      </c>
      <c r="G293" s="4" t="s">
        <v>25</v>
      </c>
      <c r="H293" s="4" t="s">
        <v>25</v>
      </c>
      <c r="I293" s="5">
        <v>44470</v>
      </c>
      <c r="J293" s="6">
        <v>0</v>
      </c>
      <c r="K293" s="6">
        <v>0</v>
      </c>
      <c r="L293" s="6">
        <v>0.224</v>
      </c>
      <c r="M293" s="6">
        <v>0.224</v>
      </c>
      <c r="N293" s="6">
        <v>0.224</v>
      </c>
      <c r="O293" s="6">
        <v>0.224</v>
      </c>
      <c r="P293" s="6">
        <v>0</v>
      </c>
      <c r="Q293" s="4" t="s">
        <v>26</v>
      </c>
      <c r="R293" s="4">
        <v>0</v>
      </c>
      <c r="S293" s="4" t="s">
        <v>265</v>
      </c>
      <c r="T293" s="4" t="s">
        <v>462</v>
      </c>
      <c r="U293" s="4">
        <v>0</v>
      </c>
      <c r="V293" s="4">
        <v>50</v>
      </c>
      <c r="W293" s="4">
        <v>1</v>
      </c>
    </row>
    <row r="294" spans="1:23" ht="11.25" customHeight="1" x14ac:dyDescent="0.25">
      <c r="A294" s="4" t="s">
        <v>21</v>
      </c>
      <c r="B294" s="4" t="s">
        <v>41</v>
      </c>
      <c r="C294" s="4" t="s">
        <v>23</v>
      </c>
      <c r="D294" s="4" t="s">
        <v>42</v>
      </c>
      <c r="E294" s="4" t="s">
        <v>50</v>
      </c>
      <c r="F294" s="4" t="s">
        <v>51</v>
      </c>
      <c r="G294" s="4" t="s">
        <v>25</v>
      </c>
      <c r="H294" s="4" t="s">
        <v>25</v>
      </c>
      <c r="I294" s="5">
        <v>44501</v>
      </c>
      <c r="J294" s="6">
        <v>0</v>
      </c>
      <c r="K294" s="6">
        <v>0</v>
      </c>
      <c r="L294" s="6">
        <v>0.25800000000000001</v>
      </c>
      <c r="M294" s="6">
        <v>0.25800000000000001</v>
      </c>
      <c r="N294" s="6">
        <v>0.25800000000000001</v>
      </c>
      <c r="O294" s="6">
        <v>0.25800000000000001</v>
      </c>
      <c r="P294" s="6">
        <v>0</v>
      </c>
      <c r="Q294" s="4" t="s">
        <v>26</v>
      </c>
      <c r="R294" s="4">
        <v>0</v>
      </c>
      <c r="S294" s="4" t="s">
        <v>266</v>
      </c>
      <c r="T294" s="4" t="s">
        <v>463</v>
      </c>
      <c r="U294" s="4">
        <v>0</v>
      </c>
      <c r="V294" s="4">
        <v>50</v>
      </c>
      <c r="W294" s="4">
        <v>1</v>
      </c>
    </row>
    <row r="295" spans="1:23" ht="11.25" customHeight="1" x14ac:dyDescent="0.25">
      <c r="A295" s="4" t="s">
        <v>21</v>
      </c>
      <c r="B295" s="4" t="s">
        <v>41</v>
      </c>
      <c r="C295" s="4" t="s">
        <v>23</v>
      </c>
      <c r="D295" s="4" t="s">
        <v>42</v>
      </c>
      <c r="E295" s="4" t="s">
        <v>50</v>
      </c>
      <c r="F295" s="4" t="s">
        <v>51</v>
      </c>
      <c r="G295" s="4" t="s">
        <v>25</v>
      </c>
      <c r="H295" s="4" t="s">
        <v>25</v>
      </c>
      <c r="I295" s="5">
        <v>44531</v>
      </c>
      <c r="J295" s="6">
        <v>0</v>
      </c>
      <c r="K295" s="6">
        <v>0</v>
      </c>
      <c r="L295" s="6">
        <v>0.377</v>
      </c>
      <c r="M295" s="6">
        <v>0.377</v>
      </c>
      <c r="N295" s="6">
        <v>0.377</v>
      </c>
      <c r="O295" s="6">
        <v>0.377</v>
      </c>
      <c r="P295" s="6">
        <v>0</v>
      </c>
      <c r="Q295" s="4" t="s">
        <v>26</v>
      </c>
      <c r="R295" s="4">
        <v>0</v>
      </c>
      <c r="S295" s="4" t="s">
        <v>267</v>
      </c>
      <c r="T295" s="4" t="s">
        <v>464</v>
      </c>
      <c r="U295" s="4">
        <v>0</v>
      </c>
      <c r="V295" s="4">
        <v>50</v>
      </c>
      <c r="W295" s="4">
        <v>1</v>
      </c>
    </row>
    <row r="296" spans="1:23" ht="11.25" customHeight="1" x14ac:dyDescent="0.25">
      <c r="A296" s="4" t="s">
        <v>21</v>
      </c>
      <c r="B296" s="4" t="s">
        <v>41</v>
      </c>
      <c r="C296" s="4" t="s">
        <v>23</v>
      </c>
      <c r="D296" s="4" t="s">
        <v>42</v>
      </c>
      <c r="E296" s="4" t="s">
        <v>50</v>
      </c>
      <c r="F296" s="4" t="s">
        <v>51</v>
      </c>
      <c r="G296" s="4" t="s">
        <v>25</v>
      </c>
      <c r="H296" s="4" t="s">
        <v>25</v>
      </c>
      <c r="I296" s="5">
        <v>44562</v>
      </c>
      <c r="J296" s="6">
        <v>0</v>
      </c>
      <c r="K296" s="6">
        <v>0</v>
      </c>
      <c r="L296" s="6">
        <v>0.316</v>
      </c>
      <c r="M296" s="6">
        <v>0.316</v>
      </c>
      <c r="N296" s="6">
        <v>0.316</v>
      </c>
      <c r="O296" s="6">
        <v>0.316</v>
      </c>
      <c r="P296" s="6">
        <v>0</v>
      </c>
      <c r="Q296" s="4" t="s">
        <v>26</v>
      </c>
      <c r="R296" s="4">
        <v>0</v>
      </c>
      <c r="S296" s="4" t="s">
        <v>268</v>
      </c>
      <c r="T296" s="4" t="s">
        <v>465</v>
      </c>
      <c r="U296" s="4">
        <v>0</v>
      </c>
      <c r="V296" s="4">
        <v>50</v>
      </c>
      <c r="W296" s="4">
        <v>1</v>
      </c>
    </row>
    <row r="297" spans="1:23" ht="11.25" customHeight="1" x14ac:dyDescent="0.25">
      <c r="A297" s="4" t="s">
        <v>21</v>
      </c>
      <c r="B297" s="4" t="s">
        <v>41</v>
      </c>
      <c r="C297" s="4" t="s">
        <v>23</v>
      </c>
      <c r="D297" s="4" t="s">
        <v>42</v>
      </c>
      <c r="E297" s="4" t="s">
        <v>50</v>
      </c>
      <c r="F297" s="4" t="s">
        <v>51</v>
      </c>
      <c r="G297" s="4" t="s">
        <v>25</v>
      </c>
      <c r="H297" s="4" t="s">
        <v>25</v>
      </c>
      <c r="I297" s="5">
        <v>44593</v>
      </c>
      <c r="J297" s="6">
        <v>0</v>
      </c>
      <c r="K297" s="6">
        <v>0</v>
      </c>
      <c r="L297" s="6">
        <v>0.61</v>
      </c>
      <c r="M297" s="6">
        <v>0.61</v>
      </c>
      <c r="N297" s="6">
        <v>0.61</v>
      </c>
      <c r="O297" s="6">
        <v>0.61</v>
      </c>
      <c r="P297" s="6">
        <v>0</v>
      </c>
      <c r="Q297" s="4" t="s">
        <v>26</v>
      </c>
      <c r="R297" s="4">
        <v>0</v>
      </c>
      <c r="S297" s="4" t="s">
        <v>269</v>
      </c>
      <c r="T297" s="4" t="s">
        <v>466</v>
      </c>
      <c r="U297" s="4">
        <v>0</v>
      </c>
      <c r="V297" s="4">
        <v>50</v>
      </c>
      <c r="W297" s="4">
        <v>1</v>
      </c>
    </row>
    <row r="298" spans="1:23" ht="11.25" customHeight="1" x14ac:dyDescent="0.25">
      <c r="A298" s="4" t="s">
        <v>21</v>
      </c>
      <c r="B298" s="4" t="s">
        <v>41</v>
      </c>
      <c r="C298" s="4" t="s">
        <v>23</v>
      </c>
      <c r="D298" s="4" t="s">
        <v>42</v>
      </c>
      <c r="E298" s="4" t="s">
        <v>50</v>
      </c>
      <c r="F298" s="4" t="s">
        <v>51</v>
      </c>
      <c r="G298" s="4" t="s">
        <v>25</v>
      </c>
      <c r="H298" s="4" t="s">
        <v>25</v>
      </c>
      <c r="I298" s="5">
        <v>44621</v>
      </c>
      <c r="J298" s="6">
        <v>0</v>
      </c>
      <c r="K298" s="6">
        <v>0</v>
      </c>
      <c r="L298" s="6">
        <v>0.22900000000000001</v>
      </c>
      <c r="M298" s="6">
        <v>0.22900000000000001</v>
      </c>
      <c r="N298" s="6">
        <v>0.22900000000000001</v>
      </c>
      <c r="O298" s="6">
        <v>0.22900000000000001</v>
      </c>
      <c r="P298" s="6">
        <v>0</v>
      </c>
      <c r="Q298" s="4" t="s">
        <v>26</v>
      </c>
      <c r="R298" s="4">
        <v>0</v>
      </c>
      <c r="S298" s="4" t="s">
        <v>270</v>
      </c>
      <c r="T298" s="4" t="s">
        <v>467</v>
      </c>
      <c r="U298" s="4">
        <v>0</v>
      </c>
      <c r="V298" s="4">
        <v>50</v>
      </c>
      <c r="W298" s="4">
        <v>1</v>
      </c>
    </row>
    <row r="299" spans="1:23" ht="11.25" customHeight="1" x14ac:dyDescent="0.25">
      <c r="A299" s="4" t="s">
        <v>21</v>
      </c>
      <c r="B299" s="4" t="s">
        <v>41</v>
      </c>
      <c r="C299" s="4" t="s">
        <v>23</v>
      </c>
      <c r="D299" s="4" t="s">
        <v>42</v>
      </c>
      <c r="E299" s="4" t="s">
        <v>50</v>
      </c>
      <c r="F299" s="4" t="s">
        <v>51</v>
      </c>
      <c r="G299" s="4" t="s">
        <v>25</v>
      </c>
      <c r="H299" s="4" t="s">
        <v>25</v>
      </c>
      <c r="I299" s="5">
        <v>44652</v>
      </c>
      <c r="J299" s="6">
        <v>0</v>
      </c>
      <c r="K299" s="6">
        <v>0</v>
      </c>
      <c r="L299" s="6">
        <v>0.29899999999999999</v>
      </c>
      <c r="M299" s="6">
        <v>0.29899999999999999</v>
      </c>
      <c r="N299" s="6">
        <v>0.29899999999999999</v>
      </c>
      <c r="O299" s="6">
        <v>0.29899999999999999</v>
      </c>
      <c r="P299" s="6">
        <v>0</v>
      </c>
      <c r="Q299" s="4" t="s">
        <v>26</v>
      </c>
      <c r="R299" s="4">
        <v>0</v>
      </c>
      <c r="S299" s="4" t="s">
        <v>271</v>
      </c>
      <c r="T299" s="4" t="s">
        <v>468</v>
      </c>
      <c r="U299" s="4">
        <v>0</v>
      </c>
      <c r="V299" s="4">
        <v>50</v>
      </c>
      <c r="W299" s="4">
        <v>1</v>
      </c>
    </row>
    <row r="300" spans="1:23" ht="11.25" customHeight="1" x14ac:dyDescent="0.25">
      <c r="A300" s="4" t="s">
        <v>21</v>
      </c>
      <c r="B300" s="4" t="s">
        <v>41</v>
      </c>
      <c r="C300" s="4" t="s">
        <v>23</v>
      </c>
      <c r="D300" s="4" t="s">
        <v>42</v>
      </c>
      <c r="E300" s="4" t="s">
        <v>50</v>
      </c>
      <c r="F300" s="4" t="s">
        <v>51</v>
      </c>
      <c r="G300" s="4" t="s">
        <v>25</v>
      </c>
      <c r="H300" s="4" t="s">
        <v>25</v>
      </c>
      <c r="I300" s="5">
        <v>44682</v>
      </c>
      <c r="J300" s="6">
        <v>0</v>
      </c>
      <c r="K300" s="6">
        <v>0</v>
      </c>
      <c r="L300" s="6">
        <v>0.2</v>
      </c>
      <c r="M300" s="6">
        <v>0.2</v>
      </c>
      <c r="N300" s="6">
        <v>0.2</v>
      </c>
      <c r="O300" s="6">
        <v>0.2</v>
      </c>
      <c r="P300" s="6">
        <v>0</v>
      </c>
      <c r="Q300" s="4" t="s">
        <v>26</v>
      </c>
      <c r="R300" s="4">
        <v>0</v>
      </c>
      <c r="S300" s="4" t="s">
        <v>272</v>
      </c>
      <c r="T300" s="4" t="s">
        <v>469</v>
      </c>
      <c r="U300" s="4">
        <v>0</v>
      </c>
      <c r="V300" s="4">
        <v>50</v>
      </c>
      <c r="W300" s="4">
        <v>1</v>
      </c>
    </row>
    <row r="301" spans="1:23" ht="11.25" customHeight="1" x14ac:dyDescent="0.25">
      <c r="A301" s="4" t="s">
        <v>21</v>
      </c>
      <c r="B301" s="4" t="s">
        <v>41</v>
      </c>
      <c r="C301" s="4" t="s">
        <v>23</v>
      </c>
      <c r="D301" s="4" t="s">
        <v>42</v>
      </c>
      <c r="E301" s="4" t="s">
        <v>50</v>
      </c>
      <c r="F301" s="4" t="s">
        <v>51</v>
      </c>
      <c r="G301" s="4" t="s">
        <v>25</v>
      </c>
      <c r="H301" s="4" t="s">
        <v>25</v>
      </c>
      <c r="I301" s="5">
        <v>44713</v>
      </c>
      <c r="J301" s="6">
        <v>0</v>
      </c>
      <c r="K301" s="6">
        <v>0</v>
      </c>
      <c r="L301" s="6">
        <v>0.51900000000000002</v>
      </c>
      <c r="M301" s="6">
        <v>0.51900000000000002</v>
      </c>
      <c r="N301" s="6">
        <v>0.51900000000000002</v>
      </c>
      <c r="O301" s="6">
        <v>0.51900000000000002</v>
      </c>
      <c r="P301" s="6">
        <v>0</v>
      </c>
      <c r="Q301" s="4" t="s">
        <v>26</v>
      </c>
      <c r="R301" s="4">
        <v>0</v>
      </c>
      <c r="S301" s="4" t="s">
        <v>273</v>
      </c>
      <c r="T301" s="4" t="s">
        <v>470</v>
      </c>
      <c r="U301" s="4">
        <v>0</v>
      </c>
      <c r="V301" s="4">
        <v>50</v>
      </c>
      <c r="W301" s="4">
        <v>1</v>
      </c>
    </row>
    <row r="302" spans="1:23" ht="11.25" customHeight="1" x14ac:dyDescent="0.25">
      <c r="A302" s="4" t="s">
        <v>55</v>
      </c>
      <c r="B302" s="4" t="s">
        <v>41</v>
      </c>
      <c r="C302" s="4" t="s">
        <v>23</v>
      </c>
      <c r="D302" s="4" t="s">
        <v>42</v>
      </c>
      <c r="E302" s="4" t="s">
        <v>50</v>
      </c>
      <c r="F302" s="4" t="s">
        <v>51</v>
      </c>
      <c r="G302" s="4" t="s">
        <v>25</v>
      </c>
      <c r="H302" s="4" t="s">
        <v>25</v>
      </c>
      <c r="I302" s="5">
        <v>44743</v>
      </c>
      <c r="J302" s="6">
        <v>0</v>
      </c>
      <c r="K302" s="6">
        <v>0</v>
      </c>
      <c r="L302" s="6">
        <v>0.51900000000000002</v>
      </c>
      <c r="M302" s="6">
        <v>0.51900000000000002</v>
      </c>
      <c r="N302" s="6">
        <v>0.51900000000000002</v>
      </c>
      <c r="O302" s="6">
        <v>0.51900000000000002</v>
      </c>
      <c r="P302" s="6">
        <v>0</v>
      </c>
      <c r="Q302" s="4" t="s">
        <v>26</v>
      </c>
      <c r="R302" s="4">
        <v>0</v>
      </c>
      <c r="S302" s="4" t="s">
        <v>274</v>
      </c>
      <c r="T302" s="4" t="s">
        <v>471</v>
      </c>
      <c r="U302" s="4">
        <v>0</v>
      </c>
      <c r="V302" s="4">
        <v>50</v>
      </c>
      <c r="W302" s="4">
        <v>1</v>
      </c>
    </row>
    <row r="303" spans="1:23" ht="11.25" customHeight="1" x14ac:dyDescent="0.25">
      <c r="A303" s="4" t="s">
        <v>21</v>
      </c>
      <c r="B303" s="4" t="s">
        <v>41</v>
      </c>
      <c r="C303" s="4" t="s">
        <v>23</v>
      </c>
      <c r="D303" s="4" t="s">
        <v>42</v>
      </c>
      <c r="E303" s="4" t="s">
        <v>50</v>
      </c>
      <c r="F303" s="4" t="s">
        <v>52</v>
      </c>
      <c r="G303" s="4" t="s">
        <v>25</v>
      </c>
      <c r="H303" s="4" t="s">
        <v>25</v>
      </c>
      <c r="I303" s="5">
        <v>44409</v>
      </c>
      <c r="J303" s="6">
        <v>0</v>
      </c>
      <c r="K303" s="6">
        <v>0</v>
      </c>
      <c r="L303" s="6">
        <v>0.374</v>
      </c>
      <c r="M303" s="6">
        <v>0.14960000000000001</v>
      </c>
      <c r="N303" s="6">
        <v>0.374</v>
      </c>
      <c r="O303" s="6">
        <v>0.14960000000000001</v>
      </c>
      <c r="P303" s="6">
        <v>0</v>
      </c>
      <c r="Q303" s="4" t="s">
        <v>26</v>
      </c>
      <c r="R303" s="4">
        <v>0</v>
      </c>
      <c r="S303" s="4" t="s">
        <v>263</v>
      </c>
      <c r="T303" s="4" t="s">
        <v>460</v>
      </c>
      <c r="U303" s="4">
        <v>0</v>
      </c>
      <c r="V303" s="4">
        <v>50</v>
      </c>
      <c r="W303" s="4">
        <v>1</v>
      </c>
    </row>
    <row r="304" spans="1:23" ht="11.25" customHeight="1" x14ac:dyDescent="0.25">
      <c r="A304" s="4" t="s">
        <v>21</v>
      </c>
      <c r="B304" s="4" t="s">
        <v>41</v>
      </c>
      <c r="C304" s="4" t="s">
        <v>23</v>
      </c>
      <c r="D304" s="4" t="s">
        <v>42</v>
      </c>
      <c r="E304" s="4" t="s">
        <v>50</v>
      </c>
      <c r="F304" s="4" t="s">
        <v>52</v>
      </c>
      <c r="G304" s="4" t="s">
        <v>25</v>
      </c>
      <c r="H304" s="4" t="s">
        <v>25</v>
      </c>
      <c r="I304" s="5">
        <v>44440</v>
      </c>
      <c r="J304" s="6">
        <v>0</v>
      </c>
      <c r="K304" s="6">
        <v>0</v>
      </c>
      <c r="L304" s="6">
        <v>0.47699999999999998</v>
      </c>
      <c r="M304" s="6">
        <v>0.1908</v>
      </c>
      <c r="N304" s="6">
        <v>0.47699999999999998</v>
      </c>
      <c r="O304" s="6">
        <v>0.1908</v>
      </c>
      <c r="P304" s="6">
        <v>0</v>
      </c>
      <c r="Q304" s="4" t="s">
        <v>26</v>
      </c>
      <c r="R304" s="4">
        <v>0</v>
      </c>
      <c r="S304" s="4" t="s">
        <v>264</v>
      </c>
      <c r="T304" s="4" t="s">
        <v>461</v>
      </c>
      <c r="U304" s="4">
        <v>0</v>
      </c>
      <c r="V304" s="4">
        <v>50</v>
      </c>
      <c r="W304" s="4">
        <v>1</v>
      </c>
    </row>
    <row r="305" spans="1:23" ht="11.25" customHeight="1" x14ac:dyDescent="0.25">
      <c r="A305" s="4" t="s">
        <v>21</v>
      </c>
      <c r="B305" s="4" t="s">
        <v>41</v>
      </c>
      <c r="C305" s="4" t="s">
        <v>23</v>
      </c>
      <c r="D305" s="4" t="s">
        <v>42</v>
      </c>
      <c r="E305" s="4" t="s">
        <v>50</v>
      </c>
      <c r="F305" s="4" t="s">
        <v>52</v>
      </c>
      <c r="G305" s="4" t="s">
        <v>25</v>
      </c>
      <c r="H305" s="4" t="s">
        <v>25</v>
      </c>
      <c r="I305" s="5">
        <v>44470</v>
      </c>
      <c r="J305" s="6">
        <v>0</v>
      </c>
      <c r="K305" s="6">
        <v>0</v>
      </c>
      <c r="L305" s="6">
        <v>0.41799999999999998</v>
      </c>
      <c r="M305" s="6">
        <v>0.16719999999999999</v>
      </c>
      <c r="N305" s="6">
        <v>0.41799999999999998</v>
      </c>
      <c r="O305" s="6">
        <v>0.16719999999999999</v>
      </c>
      <c r="P305" s="6">
        <v>0</v>
      </c>
      <c r="Q305" s="4" t="s">
        <v>26</v>
      </c>
      <c r="R305" s="4">
        <v>0</v>
      </c>
      <c r="S305" s="4" t="s">
        <v>265</v>
      </c>
      <c r="T305" s="4" t="s">
        <v>462</v>
      </c>
      <c r="U305" s="4">
        <v>0</v>
      </c>
      <c r="V305" s="4">
        <v>50</v>
      </c>
      <c r="W305" s="4">
        <v>1</v>
      </c>
    </row>
    <row r="306" spans="1:23" ht="11.25" customHeight="1" x14ac:dyDescent="0.25">
      <c r="A306" s="4" t="s">
        <v>21</v>
      </c>
      <c r="B306" s="4" t="s">
        <v>41</v>
      </c>
      <c r="C306" s="4" t="s">
        <v>23</v>
      </c>
      <c r="D306" s="4" t="s">
        <v>42</v>
      </c>
      <c r="E306" s="4" t="s">
        <v>50</v>
      </c>
      <c r="F306" s="4" t="s">
        <v>52</v>
      </c>
      <c r="G306" s="4" t="s">
        <v>25</v>
      </c>
      <c r="H306" s="4" t="s">
        <v>25</v>
      </c>
      <c r="I306" s="5">
        <v>44501</v>
      </c>
      <c r="J306" s="6">
        <v>0</v>
      </c>
      <c r="K306" s="6">
        <v>0</v>
      </c>
      <c r="L306" s="6">
        <v>1.002</v>
      </c>
      <c r="M306" s="6">
        <v>0.40079999999999999</v>
      </c>
      <c r="N306" s="6">
        <v>1.002</v>
      </c>
      <c r="O306" s="6">
        <v>0.40079999999999999</v>
      </c>
      <c r="P306" s="6">
        <v>0</v>
      </c>
      <c r="Q306" s="4" t="s">
        <v>26</v>
      </c>
      <c r="R306" s="4">
        <v>0</v>
      </c>
      <c r="S306" s="4" t="s">
        <v>266</v>
      </c>
      <c r="T306" s="4" t="s">
        <v>463</v>
      </c>
      <c r="U306" s="4">
        <v>0</v>
      </c>
      <c r="V306" s="4">
        <v>50</v>
      </c>
      <c r="W306" s="4">
        <v>1</v>
      </c>
    </row>
    <row r="307" spans="1:23" ht="11.25" customHeight="1" x14ac:dyDescent="0.25">
      <c r="A307" s="4" t="s">
        <v>21</v>
      </c>
      <c r="B307" s="4" t="s">
        <v>41</v>
      </c>
      <c r="C307" s="4" t="s">
        <v>23</v>
      </c>
      <c r="D307" s="4" t="s">
        <v>42</v>
      </c>
      <c r="E307" s="4" t="s">
        <v>50</v>
      </c>
      <c r="F307" s="4" t="s">
        <v>52</v>
      </c>
      <c r="G307" s="4" t="s">
        <v>25</v>
      </c>
      <c r="H307" s="4" t="s">
        <v>25</v>
      </c>
      <c r="I307" s="5">
        <v>44531</v>
      </c>
      <c r="J307" s="6">
        <v>0</v>
      </c>
      <c r="K307" s="6">
        <v>0</v>
      </c>
      <c r="L307" s="6">
        <v>3.3149999999999999</v>
      </c>
      <c r="M307" s="6">
        <v>1.3260000000000001</v>
      </c>
      <c r="N307" s="6">
        <v>3.3149999999999999</v>
      </c>
      <c r="O307" s="6">
        <v>1.3260000000000001</v>
      </c>
      <c r="P307" s="6">
        <v>0</v>
      </c>
      <c r="Q307" s="4" t="s">
        <v>26</v>
      </c>
      <c r="R307" s="4">
        <v>0</v>
      </c>
      <c r="S307" s="4" t="s">
        <v>267</v>
      </c>
      <c r="T307" s="4" t="s">
        <v>464</v>
      </c>
      <c r="U307" s="4">
        <v>0</v>
      </c>
      <c r="V307" s="4">
        <v>50</v>
      </c>
      <c r="W307" s="4">
        <v>1</v>
      </c>
    </row>
    <row r="308" spans="1:23" ht="11.25" customHeight="1" x14ac:dyDescent="0.25">
      <c r="A308" s="4" t="s">
        <v>21</v>
      </c>
      <c r="B308" s="4" t="s">
        <v>41</v>
      </c>
      <c r="C308" s="4" t="s">
        <v>23</v>
      </c>
      <c r="D308" s="4" t="s">
        <v>42</v>
      </c>
      <c r="E308" s="4" t="s">
        <v>50</v>
      </c>
      <c r="F308" s="4" t="s">
        <v>52</v>
      </c>
      <c r="G308" s="4" t="s">
        <v>25</v>
      </c>
      <c r="H308" s="4" t="s">
        <v>25</v>
      </c>
      <c r="I308" s="5">
        <v>44562</v>
      </c>
      <c r="J308" s="6">
        <v>0</v>
      </c>
      <c r="K308" s="6">
        <v>0</v>
      </c>
      <c r="L308" s="6">
        <v>1.873</v>
      </c>
      <c r="M308" s="6">
        <v>0.74919999999999998</v>
      </c>
      <c r="N308" s="6">
        <v>1.873</v>
      </c>
      <c r="O308" s="6">
        <v>0.74919999999999998</v>
      </c>
      <c r="P308" s="6">
        <v>0</v>
      </c>
      <c r="Q308" s="4" t="s">
        <v>26</v>
      </c>
      <c r="R308" s="4">
        <v>0</v>
      </c>
      <c r="S308" s="4" t="s">
        <v>268</v>
      </c>
      <c r="T308" s="4" t="s">
        <v>465</v>
      </c>
      <c r="U308" s="4">
        <v>0</v>
      </c>
      <c r="V308" s="4">
        <v>50</v>
      </c>
      <c r="W308" s="4">
        <v>1</v>
      </c>
    </row>
    <row r="309" spans="1:23" ht="11.25" customHeight="1" x14ac:dyDescent="0.25">
      <c r="A309" s="4" t="s">
        <v>21</v>
      </c>
      <c r="B309" s="4" t="s">
        <v>41</v>
      </c>
      <c r="C309" s="4" t="s">
        <v>23</v>
      </c>
      <c r="D309" s="4" t="s">
        <v>42</v>
      </c>
      <c r="E309" s="4" t="s">
        <v>50</v>
      </c>
      <c r="F309" s="4" t="s">
        <v>52</v>
      </c>
      <c r="G309" s="4" t="s">
        <v>25</v>
      </c>
      <c r="H309" s="4" t="s">
        <v>25</v>
      </c>
      <c r="I309" s="5">
        <v>44593</v>
      </c>
      <c r="J309" s="6">
        <v>0</v>
      </c>
      <c r="K309" s="6">
        <v>0</v>
      </c>
      <c r="L309" s="6">
        <v>0.86899999999999999</v>
      </c>
      <c r="M309" s="6">
        <v>0.34760000000000002</v>
      </c>
      <c r="N309" s="6">
        <v>0.86899999999999999</v>
      </c>
      <c r="O309" s="6">
        <v>0.34760000000000002</v>
      </c>
      <c r="P309" s="6">
        <v>0</v>
      </c>
      <c r="Q309" s="4" t="s">
        <v>26</v>
      </c>
      <c r="R309" s="4">
        <v>0</v>
      </c>
      <c r="S309" s="4" t="s">
        <v>269</v>
      </c>
      <c r="T309" s="4" t="s">
        <v>466</v>
      </c>
      <c r="U309" s="4">
        <v>0</v>
      </c>
      <c r="V309" s="4">
        <v>50</v>
      </c>
      <c r="W309" s="4">
        <v>1</v>
      </c>
    </row>
    <row r="310" spans="1:23" ht="11.25" customHeight="1" x14ac:dyDescent="0.25">
      <c r="A310" s="4" t="s">
        <v>21</v>
      </c>
      <c r="B310" s="4" t="s">
        <v>41</v>
      </c>
      <c r="C310" s="4" t="s">
        <v>23</v>
      </c>
      <c r="D310" s="4" t="s">
        <v>42</v>
      </c>
      <c r="E310" s="4" t="s">
        <v>50</v>
      </c>
      <c r="F310" s="4" t="s">
        <v>52</v>
      </c>
      <c r="G310" s="4" t="s">
        <v>25</v>
      </c>
      <c r="H310" s="4" t="s">
        <v>25</v>
      </c>
      <c r="I310" s="5">
        <v>44621</v>
      </c>
      <c r="J310" s="6">
        <v>0</v>
      </c>
      <c r="K310" s="6">
        <v>0</v>
      </c>
      <c r="L310" s="6">
        <v>0.53500000000000003</v>
      </c>
      <c r="M310" s="6">
        <v>0.214</v>
      </c>
      <c r="N310" s="6">
        <v>0.53500000000000003</v>
      </c>
      <c r="O310" s="6">
        <v>0.214</v>
      </c>
      <c r="P310" s="6">
        <v>0</v>
      </c>
      <c r="Q310" s="4" t="s">
        <v>26</v>
      </c>
      <c r="R310" s="4">
        <v>0</v>
      </c>
      <c r="S310" s="4" t="s">
        <v>270</v>
      </c>
      <c r="T310" s="4" t="s">
        <v>467</v>
      </c>
      <c r="U310" s="4">
        <v>0</v>
      </c>
      <c r="V310" s="4">
        <v>50</v>
      </c>
      <c r="W310" s="4">
        <v>1</v>
      </c>
    </row>
    <row r="311" spans="1:23" ht="11.25" customHeight="1" x14ac:dyDescent="0.25">
      <c r="A311" s="4" t="s">
        <v>21</v>
      </c>
      <c r="B311" s="4" t="s">
        <v>41</v>
      </c>
      <c r="C311" s="4" t="s">
        <v>23</v>
      </c>
      <c r="D311" s="4" t="s">
        <v>42</v>
      </c>
      <c r="E311" s="4" t="s">
        <v>50</v>
      </c>
      <c r="F311" s="4" t="s">
        <v>52</v>
      </c>
      <c r="G311" s="4" t="s">
        <v>25</v>
      </c>
      <c r="H311" s="4" t="s">
        <v>25</v>
      </c>
      <c r="I311" s="5">
        <v>44652</v>
      </c>
      <c r="J311" s="6">
        <v>0</v>
      </c>
      <c r="K311" s="6">
        <v>0</v>
      </c>
      <c r="L311" s="6">
        <v>0.30099999999999999</v>
      </c>
      <c r="M311" s="6">
        <v>0.12039999999999999</v>
      </c>
      <c r="N311" s="6">
        <v>0.30099999999999999</v>
      </c>
      <c r="O311" s="6">
        <v>0.12039999999999999</v>
      </c>
      <c r="P311" s="6">
        <v>0</v>
      </c>
      <c r="Q311" s="4" t="s">
        <v>26</v>
      </c>
      <c r="R311" s="4">
        <v>0</v>
      </c>
      <c r="S311" s="4" t="s">
        <v>271</v>
      </c>
      <c r="T311" s="4" t="s">
        <v>468</v>
      </c>
      <c r="U311" s="4">
        <v>0</v>
      </c>
      <c r="V311" s="4">
        <v>50</v>
      </c>
      <c r="W311" s="4">
        <v>1</v>
      </c>
    </row>
    <row r="312" spans="1:23" ht="11.25" customHeight="1" x14ac:dyDescent="0.25">
      <c r="A312" s="4" t="s">
        <v>21</v>
      </c>
      <c r="B312" s="4" t="s">
        <v>41</v>
      </c>
      <c r="C312" s="4" t="s">
        <v>23</v>
      </c>
      <c r="D312" s="4" t="s">
        <v>42</v>
      </c>
      <c r="E312" s="4" t="s">
        <v>50</v>
      </c>
      <c r="F312" s="4" t="s">
        <v>52</v>
      </c>
      <c r="G312" s="4" t="s">
        <v>25</v>
      </c>
      <c r="H312" s="4" t="s">
        <v>25</v>
      </c>
      <c r="I312" s="5">
        <v>44682</v>
      </c>
      <c r="J312" s="6">
        <v>0</v>
      </c>
      <c r="K312" s="6">
        <v>0</v>
      </c>
      <c r="L312" s="6">
        <v>0.2</v>
      </c>
      <c r="M312" s="6">
        <v>0.08</v>
      </c>
      <c r="N312" s="6">
        <v>0.2</v>
      </c>
      <c r="O312" s="6">
        <v>0.08</v>
      </c>
      <c r="P312" s="6">
        <v>0</v>
      </c>
      <c r="Q312" s="4" t="s">
        <v>26</v>
      </c>
      <c r="R312" s="4">
        <v>0</v>
      </c>
      <c r="S312" s="4" t="s">
        <v>272</v>
      </c>
      <c r="T312" s="4" t="s">
        <v>469</v>
      </c>
      <c r="U312" s="4">
        <v>0</v>
      </c>
      <c r="V312" s="4">
        <v>50</v>
      </c>
      <c r="W312" s="4">
        <v>1</v>
      </c>
    </row>
    <row r="313" spans="1:23" ht="11.25" customHeight="1" x14ac:dyDescent="0.25">
      <c r="A313" s="4" t="s">
        <v>21</v>
      </c>
      <c r="B313" s="4" t="s">
        <v>41</v>
      </c>
      <c r="C313" s="4" t="s">
        <v>23</v>
      </c>
      <c r="D313" s="4" t="s">
        <v>42</v>
      </c>
      <c r="E313" s="4" t="s">
        <v>50</v>
      </c>
      <c r="F313" s="4" t="s">
        <v>52</v>
      </c>
      <c r="G313" s="4" t="s">
        <v>25</v>
      </c>
      <c r="H313" s="4" t="s">
        <v>25</v>
      </c>
      <c r="I313" s="5">
        <v>44713</v>
      </c>
      <c r="J313" s="6">
        <v>0</v>
      </c>
      <c r="K313" s="6">
        <v>0</v>
      </c>
      <c r="L313" s="6">
        <v>0.54</v>
      </c>
      <c r="M313" s="6">
        <v>0.216</v>
      </c>
      <c r="N313" s="6">
        <v>0.54</v>
      </c>
      <c r="O313" s="6">
        <v>0.216</v>
      </c>
      <c r="P313" s="6">
        <v>0</v>
      </c>
      <c r="Q313" s="4" t="s">
        <v>26</v>
      </c>
      <c r="R313" s="4">
        <v>0</v>
      </c>
      <c r="S313" s="4" t="s">
        <v>273</v>
      </c>
      <c r="T313" s="4" t="s">
        <v>470</v>
      </c>
      <c r="U313" s="4">
        <v>0</v>
      </c>
      <c r="V313" s="4">
        <v>50</v>
      </c>
      <c r="W313" s="4">
        <v>1</v>
      </c>
    </row>
    <row r="314" spans="1:23" ht="11.25" customHeight="1" x14ac:dyDescent="0.25">
      <c r="A314" s="4" t="s">
        <v>55</v>
      </c>
      <c r="B314" s="4" t="s">
        <v>41</v>
      </c>
      <c r="C314" s="4" t="s">
        <v>23</v>
      </c>
      <c r="D314" s="4" t="s">
        <v>42</v>
      </c>
      <c r="E314" s="4" t="s">
        <v>50</v>
      </c>
      <c r="F314" s="4" t="s">
        <v>52</v>
      </c>
      <c r="G314" s="4" t="s">
        <v>25</v>
      </c>
      <c r="H314" s="4" t="s">
        <v>25</v>
      </c>
      <c r="I314" s="5">
        <v>44743</v>
      </c>
      <c r="J314" s="6">
        <v>0</v>
      </c>
      <c r="K314" s="6">
        <v>0</v>
      </c>
      <c r="L314" s="6">
        <v>0.54</v>
      </c>
      <c r="M314" s="6">
        <v>0.216</v>
      </c>
      <c r="N314" s="6">
        <v>0.54</v>
      </c>
      <c r="O314" s="6">
        <v>0.216</v>
      </c>
      <c r="P314" s="6">
        <v>0</v>
      </c>
      <c r="Q314" s="4" t="s">
        <v>26</v>
      </c>
      <c r="R314" s="4">
        <v>0</v>
      </c>
      <c r="S314" s="4" t="s">
        <v>274</v>
      </c>
      <c r="T314" s="4" t="s">
        <v>471</v>
      </c>
      <c r="U314" s="4">
        <v>0</v>
      </c>
      <c r="V314" s="4">
        <v>50</v>
      </c>
      <c r="W314" s="4">
        <v>1</v>
      </c>
    </row>
    <row r="315" spans="1:23" ht="11.25" customHeight="1" x14ac:dyDescent="0.25">
      <c r="A315" s="4" t="s">
        <v>21</v>
      </c>
      <c r="B315" s="4" t="s">
        <v>41</v>
      </c>
      <c r="C315" s="4" t="s">
        <v>23</v>
      </c>
      <c r="D315" s="4" t="s">
        <v>42</v>
      </c>
      <c r="E315" s="4" t="s">
        <v>53</v>
      </c>
      <c r="F315" s="4" t="s">
        <v>51</v>
      </c>
      <c r="G315" s="4" t="s">
        <v>25</v>
      </c>
      <c r="H315" s="4" t="s">
        <v>25</v>
      </c>
      <c r="I315" s="5">
        <v>44409</v>
      </c>
      <c r="J315" s="6">
        <v>0</v>
      </c>
      <c r="K315" s="6">
        <v>0</v>
      </c>
      <c r="L315" s="6">
        <v>0.496</v>
      </c>
      <c r="M315" s="6">
        <v>0.496</v>
      </c>
      <c r="N315" s="6">
        <v>0.496</v>
      </c>
      <c r="O315" s="6">
        <v>0.496</v>
      </c>
      <c r="P315" s="6">
        <v>0</v>
      </c>
      <c r="Q315" s="4" t="s">
        <v>26</v>
      </c>
      <c r="R315" s="4">
        <v>0</v>
      </c>
      <c r="S315" s="4" t="s">
        <v>263</v>
      </c>
      <c r="T315" s="4" t="s">
        <v>460</v>
      </c>
      <c r="U315" s="4">
        <v>0</v>
      </c>
      <c r="V315" s="4">
        <v>50</v>
      </c>
      <c r="W315" s="4">
        <v>1</v>
      </c>
    </row>
    <row r="316" spans="1:23" ht="11.25" customHeight="1" x14ac:dyDescent="0.25">
      <c r="A316" s="4" t="s">
        <v>21</v>
      </c>
      <c r="B316" s="4" t="s">
        <v>41</v>
      </c>
      <c r="C316" s="4" t="s">
        <v>23</v>
      </c>
      <c r="D316" s="4" t="s">
        <v>42</v>
      </c>
      <c r="E316" s="4" t="s">
        <v>53</v>
      </c>
      <c r="F316" s="4" t="s">
        <v>51</v>
      </c>
      <c r="G316" s="4" t="s">
        <v>25</v>
      </c>
      <c r="H316" s="4" t="s">
        <v>25</v>
      </c>
      <c r="I316" s="5">
        <v>44440</v>
      </c>
      <c r="J316" s="6">
        <v>0</v>
      </c>
      <c r="K316" s="6">
        <v>0</v>
      </c>
      <c r="L316" s="6">
        <v>9.2999999999999999E-2</v>
      </c>
      <c r="M316" s="6">
        <v>9.2999999999999999E-2</v>
      </c>
      <c r="N316" s="6">
        <v>9.2999999999999999E-2</v>
      </c>
      <c r="O316" s="6">
        <v>9.2999999999999999E-2</v>
      </c>
      <c r="P316" s="6">
        <v>0</v>
      </c>
      <c r="Q316" s="4" t="s">
        <v>26</v>
      </c>
      <c r="R316" s="4">
        <v>0</v>
      </c>
      <c r="S316" s="4" t="s">
        <v>264</v>
      </c>
      <c r="T316" s="4" t="s">
        <v>461</v>
      </c>
      <c r="U316" s="4">
        <v>0</v>
      </c>
      <c r="V316" s="4">
        <v>50</v>
      </c>
      <c r="W316" s="4">
        <v>1</v>
      </c>
    </row>
    <row r="317" spans="1:23" ht="11.25" customHeight="1" x14ac:dyDescent="0.25">
      <c r="A317" s="4" t="s">
        <v>21</v>
      </c>
      <c r="B317" s="4" t="s">
        <v>41</v>
      </c>
      <c r="C317" s="4" t="s">
        <v>23</v>
      </c>
      <c r="D317" s="4" t="s">
        <v>42</v>
      </c>
      <c r="E317" s="4" t="s">
        <v>53</v>
      </c>
      <c r="F317" s="4" t="s">
        <v>52</v>
      </c>
      <c r="G317" s="4" t="s">
        <v>25</v>
      </c>
      <c r="H317" s="4" t="s">
        <v>25</v>
      </c>
      <c r="I317" s="5">
        <v>44409</v>
      </c>
      <c r="J317" s="6">
        <v>0</v>
      </c>
      <c r="K317" s="6">
        <v>0</v>
      </c>
      <c r="L317" s="6">
        <v>1.4019999999999999</v>
      </c>
      <c r="M317" s="6">
        <v>0.56079999999999997</v>
      </c>
      <c r="N317" s="6">
        <v>1.4019999999999999</v>
      </c>
      <c r="O317" s="6">
        <v>0.56079999999999997</v>
      </c>
      <c r="P317" s="6">
        <v>0</v>
      </c>
      <c r="Q317" s="4" t="s">
        <v>26</v>
      </c>
      <c r="R317" s="4">
        <v>0</v>
      </c>
      <c r="S317" s="4" t="s">
        <v>263</v>
      </c>
      <c r="T317" s="4" t="s">
        <v>460</v>
      </c>
      <c r="U317" s="4">
        <v>0</v>
      </c>
      <c r="V317" s="4">
        <v>50</v>
      </c>
      <c r="W317" s="4">
        <v>1</v>
      </c>
    </row>
    <row r="318" spans="1:23" ht="11.25" customHeight="1" x14ac:dyDescent="0.25">
      <c r="A318" s="4" t="s">
        <v>21</v>
      </c>
      <c r="B318" s="4" t="s">
        <v>41</v>
      </c>
      <c r="C318" s="4" t="s">
        <v>23</v>
      </c>
      <c r="D318" s="4" t="s">
        <v>42</v>
      </c>
      <c r="E318" s="4" t="s">
        <v>53</v>
      </c>
      <c r="F318" s="4" t="s">
        <v>52</v>
      </c>
      <c r="G318" s="4" t="s">
        <v>25</v>
      </c>
      <c r="H318" s="4" t="s">
        <v>25</v>
      </c>
      <c r="I318" s="5">
        <v>44440</v>
      </c>
      <c r="J318" s="6">
        <v>0</v>
      </c>
      <c r="K318" s="6">
        <v>0</v>
      </c>
      <c r="L318" s="6">
        <v>7.0000000000000001E-3</v>
      </c>
      <c r="M318" s="6">
        <v>2.8E-3</v>
      </c>
      <c r="N318" s="6">
        <v>7.0000000000000001E-3</v>
      </c>
      <c r="O318" s="6">
        <v>2.8E-3</v>
      </c>
      <c r="P318" s="6">
        <v>0</v>
      </c>
      <c r="Q318" s="4" t="s">
        <v>26</v>
      </c>
      <c r="R318" s="4">
        <v>0</v>
      </c>
      <c r="S318" s="4" t="s">
        <v>264</v>
      </c>
      <c r="T318" s="4" t="s">
        <v>461</v>
      </c>
      <c r="U318" s="4">
        <v>0</v>
      </c>
      <c r="V318" s="4">
        <v>50</v>
      </c>
      <c r="W318" s="4">
        <v>1</v>
      </c>
    </row>
    <row r="319" spans="1:23" ht="11.25" customHeight="1" x14ac:dyDescent="0.25">
      <c r="A319" s="4" t="s">
        <v>21</v>
      </c>
      <c r="B319" s="4" t="s">
        <v>41</v>
      </c>
      <c r="C319" s="4" t="s">
        <v>23</v>
      </c>
      <c r="D319" s="4" t="s">
        <v>42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44409</v>
      </c>
      <c r="J319" s="6">
        <v>0</v>
      </c>
      <c r="K319" s="6">
        <v>0</v>
      </c>
      <c r="L319" s="6">
        <v>274.19200000000001</v>
      </c>
      <c r="M319" s="6">
        <v>274.19200000000001</v>
      </c>
      <c r="N319" s="6">
        <v>274.19200000000001</v>
      </c>
      <c r="O319" s="6">
        <v>274.19200000000001</v>
      </c>
      <c r="P319" s="6">
        <v>711</v>
      </c>
      <c r="Q319" s="4" t="s">
        <v>26</v>
      </c>
      <c r="R319" s="4">
        <v>0</v>
      </c>
      <c r="S319" s="4" t="s">
        <v>263</v>
      </c>
      <c r="T319" s="4" t="s">
        <v>460</v>
      </c>
      <c r="U319" s="4">
        <v>0</v>
      </c>
      <c r="V319" s="4">
        <v>50</v>
      </c>
      <c r="W319" s="4">
        <v>1</v>
      </c>
    </row>
    <row r="320" spans="1:23" ht="11.25" customHeight="1" x14ac:dyDescent="0.25">
      <c r="A320" s="4" t="s">
        <v>27</v>
      </c>
      <c r="B320" s="4" t="s">
        <v>41</v>
      </c>
      <c r="C320" s="4" t="s">
        <v>23</v>
      </c>
      <c r="D320" s="4" t="s">
        <v>42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44409</v>
      </c>
      <c r="J320" s="6">
        <v>0</v>
      </c>
      <c r="K320" s="6">
        <v>0</v>
      </c>
      <c r="L320" s="6">
        <v>2.69</v>
      </c>
      <c r="M320" s="6">
        <v>2.69</v>
      </c>
      <c r="N320" s="6">
        <v>2.69</v>
      </c>
      <c r="O320" s="6">
        <v>2.69</v>
      </c>
      <c r="P320" s="6">
        <v>17</v>
      </c>
      <c r="Q320" s="4" t="s">
        <v>26</v>
      </c>
      <c r="R320" s="4">
        <v>0</v>
      </c>
      <c r="S320" s="4" t="s">
        <v>263</v>
      </c>
      <c r="T320" s="4" t="s">
        <v>460</v>
      </c>
      <c r="U320" s="4">
        <v>0</v>
      </c>
      <c r="V320" s="4">
        <v>50</v>
      </c>
      <c r="W320" s="4">
        <v>1</v>
      </c>
    </row>
    <row r="321" spans="1:23" ht="11.25" customHeight="1" x14ac:dyDescent="0.25">
      <c r="A321" s="4" t="s">
        <v>21</v>
      </c>
      <c r="B321" s="4" t="s">
        <v>41</v>
      </c>
      <c r="C321" s="4" t="s">
        <v>23</v>
      </c>
      <c r="D321" s="4" t="s">
        <v>42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44440</v>
      </c>
      <c r="J321" s="6">
        <v>0</v>
      </c>
      <c r="K321" s="6">
        <v>0</v>
      </c>
      <c r="L321" s="6">
        <v>270.55799999999999</v>
      </c>
      <c r="M321" s="6">
        <v>270.55799999999999</v>
      </c>
      <c r="N321" s="6">
        <v>270.55799999999999</v>
      </c>
      <c r="O321" s="6">
        <v>270.55799999999999</v>
      </c>
      <c r="P321" s="6">
        <v>712</v>
      </c>
      <c r="Q321" s="4" t="s">
        <v>26</v>
      </c>
      <c r="R321" s="4">
        <v>0</v>
      </c>
      <c r="S321" s="4" t="s">
        <v>264</v>
      </c>
      <c r="T321" s="4" t="s">
        <v>461</v>
      </c>
      <c r="U321" s="4">
        <v>0</v>
      </c>
      <c r="V321" s="4">
        <v>50</v>
      </c>
      <c r="W321" s="4">
        <v>1</v>
      </c>
    </row>
    <row r="322" spans="1:23" ht="11.25" customHeight="1" x14ac:dyDescent="0.25">
      <c r="A322" s="4" t="s">
        <v>27</v>
      </c>
      <c r="B322" s="4" t="s">
        <v>41</v>
      </c>
      <c r="C322" s="4" t="s">
        <v>23</v>
      </c>
      <c r="D322" s="4" t="s">
        <v>42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44440</v>
      </c>
      <c r="J322" s="6">
        <v>0</v>
      </c>
      <c r="K322" s="6">
        <v>0</v>
      </c>
      <c r="L322" s="6">
        <v>6.202</v>
      </c>
      <c r="M322" s="6">
        <v>6.202</v>
      </c>
      <c r="N322" s="6">
        <v>6.202</v>
      </c>
      <c r="O322" s="6">
        <v>6.202</v>
      </c>
      <c r="P322" s="6">
        <v>19</v>
      </c>
      <c r="Q322" s="4" t="s">
        <v>26</v>
      </c>
      <c r="R322" s="4">
        <v>0</v>
      </c>
      <c r="S322" s="4" t="s">
        <v>264</v>
      </c>
      <c r="T322" s="4" t="s">
        <v>461</v>
      </c>
      <c r="U322" s="4">
        <v>0</v>
      </c>
      <c r="V322" s="4">
        <v>50</v>
      </c>
      <c r="W322" s="4">
        <v>1</v>
      </c>
    </row>
    <row r="323" spans="1:23" ht="11.25" customHeight="1" x14ac:dyDescent="0.25">
      <c r="A323" s="4" t="s">
        <v>21</v>
      </c>
      <c r="B323" s="4" t="s">
        <v>41</v>
      </c>
      <c r="C323" s="4" t="s">
        <v>23</v>
      </c>
      <c r="D323" s="4" t="s">
        <v>42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44470</v>
      </c>
      <c r="J323" s="6">
        <v>0</v>
      </c>
      <c r="K323" s="6">
        <v>0</v>
      </c>
      <c r="L323" s="6">
        <v>266.101</v>
      </c>
      <c r="M323" s="6">
        <v>266.101</v>
      </c>
      <c r="N323" s="6">
        <v>266.101</v>
      </c>
      <c r="O323" s="6">
        <v>266.101</v>
      </c>
      <c r="P323" s="6">
        <v>712</v>
      </c>
      <c r="Q323" s="4" t="s">
        <v>26</v>
      </c>
      <c r="R323" s="4">
        <v>0</v>
      </c>
      <c r="S323" s="4" t="s">
        <v>265</v>
      </c>
      <c r="T323" s="4" t="s">
        <v>462</v>
      </c>
      <c r="U323" s="4">
        <v>0</v>
      </c>
      <c r="V323" s="4">
        <v>50</v>
      </c>
      <c r="W323" s="4">
        <v>1</v>
      </c>
    </row>
    <row r="324" spans="1:23" ht="11.25" customHeight="1" x14ac:dyDescent="0.25">
      <c r="A324" s="4" t="s">
        <v>27</v>
      </c>
      <c r="B324" s="4" t="s">
        <v>41</v>
      </c>
      <c r="C324" s="4" t="s">
        <v>23</v>
      </c>
      <c r="D324" s="4" t="s">
        <v>42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44470</v>
      </c>
      <c r="J324" s="6">
        <v>0</v>
      </c>
      <c r="K324" s="6">
        <v>0</v>
      </c>
      <c r="L324" s="6">
        <v>4.1890000000000001</v>
      </c>
      <c r="M324" s="6">
        <v>4.1890000000000001</v>
      </c>
      <c r="N324" s="6">
        <v>4.1890000000000001</v>
      </c>
      <c r="O324" s="6">
        <v>4.1890000000000001</v>
      </c>
      <c r="P324" s="6">
        <v>20</v>
      </c>
      <c r="Q324" s="4" t="s">
        <v>26</v>
      </c>
      <c r="R324" s="4">
        <v>0</v>
      </c>
      <c r="S324" s="4" t="s">
        <v>265</v>
      </c>
      <c r="T324" s="4" t="s">
        <v>462</v>
      </c>
      <c r="U324" s="4">
        <v>0</v>
      </c>
      <c r="V324" s="4">
        <v>50</v>
      </c>
      <c r="W324" s="4">
        <v>1</v>
      </c>
    </row>
    <row r="325" spans="1:23" ht="11.25" customHeight="1" x14ac:dyDescent="0.25">
      <c r="A325" s="4" t="s">
        <v>21</v>
      </c>
      <c r="B325" s="4" t="s">
        <v>41</v>
      </c>
      <c r="C325" s="4" t="s">
        <v>23</v>
      </c>
      <c r="D325" s="4" t="s">
        <v>42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44501</v>
      </c>
      <c r="J325" s="6">
        <v>0</v>
      </c>
      <c r="K325" s="6">
        <v>0</v>
      </c>
      <c r="L325" s="6">
        <v>276.16699999999997</v>
      </c>
      <c r="M325" s="6">
        <v>276.16699999999997</v>
      </c>
      <c r="N325" s="6">
        <v>276.16699999999997</v>
      </c>
      <c r="O325" s="6">
        <v>276.16699999999997</v>
      </c>
      <c r="P325" s="6">
        <v>711</v>
      </c>
      <c r="Q325" s="4" t="s">
        <v>26</v>
      </c>
      <c r="R325" s="4">
        <v>0</v>
      </c>
      <c r="S325" s="4" t="s">
        <v>266</v>
      </c>
      <c r="T325" s="4" t="s">
        <v>463</v>
      </c>
      <c r="U325" s="4">
        <v>0</v>
      </c>
      <c r="V325" s="4">
        <v>50</v>
      </c>
      <c r="W325" s="4">
        <v>1</v>
      </c>
    </row>
    <row r="326" spans="1:23" ht="11.25" customHeight="1" x14ac:dyDescent="0.25">
      <c r="A326" s="4" t="s">
        <v>27</v>
      </c>
      <c r="B326" s="4" t="s">
        <v>41</v>
      </c>
      <c r="C326" s="4" t="s">
        <v>23</v>
      </c>
      <c r="D326" s="4" t="s">
        <v>42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44501</v>
      </c>
      <c r="J326" s="6">
        <v>0</v>
      </c>
      <c r="K326" s="6">
        <v>0</v>
      </c>
      <c r="L326" s="6">
        <v>8.4710000000000001</v>
      </c>
      <c r="M326" s="6">
        <v>8.4710000000000001</v>
      </c>
      <c r="N326" s="6">
        <v>8.4710000000000001</v>
      </c>
      <c r="O326" s="6">
        <v>8.4710000000000001</v>
      </c>
      <c r="P326" s="6">
        <v>23</v>
      </c>
      <c r="Q326" s="4" t="s">
        <v>26</v>
      </c>
      <c r="R326" s="4">
        <v>0</v>
      </c>
      <c r="S326" s="4" t="s">
        <v>266</v>
      </c>
      <c r="T326" s="4" t="s">
        <v>463</v>
      </c>
      <c r="U326" s="4">
        <v>0</v>
      </c>
      <c r="V326" s="4">
        <v>50</v>
      </c>
      <c r="W326" s="4">
        <v>1</v>
      </c>
    </row>
    <row r="327" spans="1:23" ht="11.25" customHeight="1" x14ac:dyDescent="0.25">
      <c r="A327" s="4" t="s">
        <v>21</v>
      </c>
      <c r="B327" s="4" t="s">
        <v>41</v>
      </c>
      <c r="C327" s="4" t="s">
        <v>23</v>
      </c>
      <c r="D327" s="4" t="s">
        <v>42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44531</v>
      </c>
      <c r="J327" s="6">
        <v>0</v>
      </c>
      <c r="K327" s="6">
        <v>0</v>
      </c>
      <c r="L327" s="6">
        <v>279.435</v>
      </c>
      <c r="M327" s="6">
        <v>279.435</v>
      </c>
      <c r="N327" s="6">
        <v>279.435</v>
      </c>
      <c r="O327" s="6">
        <v>279.435</v>
      </c>
      <c r="P327" s="6">
        <v>707</v>
      </c>
      <c r="Q327" s="4" t="s">
        <v>26</v>
      </c>
      <c r="R327" s="4">
        <v>0</v>
      </c>
      <c r="S327" s="4" t="s">
        <v>267</v>
      </c>
      <c r="T327" s="4" t="s">
        <v>464</v>
      </c>
      <c r="U327" s="4">
        <v>0</v>
      </c>
      <c r="V327" s="4">
        <v>50</v>
      </c>
      <c r="W327" s="4">
        <v>1</v>
      </c>
    </row>
    <row r="328" spans="1:23" ht="11.25" customHeight="1" x14ac:dyDescent="0.25">
      <c r="A328" s="4" t="s">
        <v>27</v>
      </c>
      <c r="B328" s="4" t="s">
        <v>41</v>
      </c>
      <c r="C328" s="4" t="s">
        <v>23</v>
      </c>
      <c r="D328" s="4" t="s">
        <v>42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44531</v>
      </c>
      <c r="J328" s="6">
        <v>0</v>
      </c>
      <c r="K328" s="6">
        <v>0</v>
      </c>
      <c r="L328" s="6">
        <v>9.2650000000000006</v>
      </c>
      <c r="M328" s="6">
        <v>9.2650000000000006</v>
      </c>
      <c r="N328" s="6">
        <v>9.2650000000000006</v>
      </c>
      <c r="O328" s="6">
        <v>9.2650000000000006</v>
      </c>
      <c r="P328" s="6">
        <v>26</v>
      </c>
      <c r="Q328" s="4" t="s">
        <v>26</v>
      </c>
      <c r="R328" s="4">
        <v>0</v>
      </c>
      <c r="S328" s="4" t="s">
        <v>267</v>
      </c>
      <c r="T328" s="4" t="s">
        <v>464</v>
      </c>
      <c r="U328" s="4">
        <v>0</v>
      </c>
      <c r="V328" s="4">
        <v>50</v>
      </c>
      <c r="W328" s="4">
        <v>1</v>
      </c>
    </row>
    <row r="329" spans="1:23" ht="11.25" customHeight="1" x14ac:dyDescent="0.25">
      <c r="A329" s="4" t="s">
        <v>21</v>
      </c>
      <c r="B329" s="4" t="s">
        <v>41</v>
      </c>
      <c r="C329" s="4" t="s">
        <v>23</v>
      </c>
      <c r="D329" s="4" t="s">
        <v>42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44562</v>
      </c>
      <c r="J329" s="6">
        <v>0</v>
      </c>
      <c r="K329" s="6">
        <v>0</v>
      </c>
      <c r="L329" s="6">
        <v>277.08</v>
      </c>
      <c r="M329" s="6">
        <v>277.08</v>
      </c>
      <c r="N329" s="6">
        <v>277.08</v>
      </c>
      <c r="O329" s="6">
        <v>277.08</v>
      </c>
      <c r="P329" s="6">
        <v>707</v>
      </c>
      <c r="Q329" s="4" t="s">
        <v>26</v>
      </c>
      <c r="R329" s="4">
        <v>0</v>
      </c>
      <c r="S329" s="4" t="s">
        <v>268</v>
      </c>
      <c r="T329" s="4" t="s">
        <v>465</v>
      </c>
      <c r="U329" s="4">
        <v>0</v>
      </c>
      <c r="V329" s="4">
        <v>50</v>
      </c>
      <c r="W329" s="4">
        <v>1</v>
      </c>
    </row>
    <row r="330" spans="1:23" ht="11.25" customHeight="1" x14ac:dyDescent="0.25">
      <c r="A330" s="4" t="s">
        <v>27</v>
      </c>
      <c r="B330" s="4" t="s">
        <v>41</v>
      </c>
      <c r="C330" s="4" t="s">
        <v>23</v>
      </c>
      <c r="D330" s="4" t="s">
        <v>42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44562</v>
      </c>
      <c r="J330" s="6">
        <v>0</v>
      </c>
      <c r="K330" s="6">
        <v>0</v>
      </c>
      <c r="L330" s="6">
        <v>11.061999999999999</v>
      </c>
      <c r="M330" s="6">
        <v>11.061999999999999</v>
      </c>
      <c r="N330" s="6">
        <v>11.061999999999999</v>
      </c>
      <c r="O330" s="6">
        <v>11.061999999999999</v>
      </c>
      <c r="P330" s="6">
        <v>27</v>
      </c>
      <c r="Q330" s="4" t="s">
        <v>26</v>
      </c>
      <c r="R330" s="4">
        <v>0</v>
      </c>
      <c r="S330" s="4" t="s">
        <v>268</v>
      </c>
      <c r="T330" s="4" t="s">
        <v>465</v>
      </c>
      <c r="U330" s="4">
        <v>0</v>
      </c>
      <c r="V330" s="4">
        <v>50</v>
      </c>
      <c r="W330" s="4">
        <v>1</v>
      </c>
    </row>
    <row r="331" spans="1:23" ht="11.25" customHeight="1" x14ac:dyDescent="0.25">
      <c r="A331" s="4" t="s">
        <v>21</v>
      </c>
      <c r="B331" s="4" t="s">
        <v>41</v>
      </c>
      <c r="C331" s="4" t="s">
        <v>23</v>
      </c>
      <c r="D331" s="4" t="s">
        <v>42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44593</v>
      </c>
      <c r="J331" s="6">
        <v>0</v>
      </c>
      <c r="K331" s="6">
        <v>0</v>
      </c>
      <c r="L331" s="6">
        <v>264.673</v>
      </c>
      <c r="M331" s="6">
        <v>264.673</v>
      </c>
      <c r="N331" s="6">
        <v>264.673</v>
      </c>
      <c r="O331" s="6">
        <v>264.673</v>
      </c>
      <c r="P331" s="6">
        <v>700</v>
      </c>
      <c r="Q331" s="4" t="s">
        <v>26</v>
      </c>
      <c r="R331" s="4">
        <v>0</v>
      </c>
      <c r="S331" s="4" t="s">
        <v>269</v>
      </c>
      <c r="T331" s="4" t="s">
        <v>466</v>
      </c>
      <c r="U331" s="4">
        <v>0</v>
      </c>
      <c r="V331" s="4">
        <v>50</v>
      </c>
      <c r="W331" s="4">
        <v>1</v>
      </c>
    </row>
    <row r="332" spans="1:23" ht="11.25" customHeight="1" x14ac:dyDescent="0.25">
      <c r="A332" s="4" t="s">
        <v>27</v>
      </c>
      <c r="B332" s="4" t="s">
        <v>41</v>
      </c>
      <c r="C332" s="4" t="s">
        <v>23</v>
      </c>
      <c r="D332" s="4" t="s">
        <v>42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44593</v>
      </c>
      <c r="J332" s="6">
        <v>0</v>
      </c>
      <c r="K332" s="6">
        <v>0</v>
      </c>
      <c r="L332" s="6">
        <v>10.478999999999999</v>
      </c>
      <c r="M332" s="6">
        <v>10.478999999999999</v>
      </c>
      <c r="N332" s="6">
        <v>10.478999999999999</v>
      </c>
      <c r="O332" s="6">
        <v>10.478999999999999</v>
      </c>
      <c r="P332" s="6">
        <v>33</v>
      </c>
      <c r="Q332" s="4" t="s">
        <v>26</v>
      </c>
      <c r="R332" s="4">
        <v>0</v>
      </c>
      <c r="S332" s="4" t="s">
        <v>269</v>
      </c>
      <c r="T332" s="4" t="s">
        <v>466</v>
      </c>
      <c r="U332" s="4">
        <v>0</v>
      </c>
      <c r="V332" s="4">
        <v>50</v>
      </c>
      <c r="W332" s="4">
        <v>1</v>
      </c>
    </row>
    <row r="333" spans="1:23" ht="11.25" customHeight="1" x14ac:dyDescent="0.25">
      <c r="A333" s="4" t="s">
        <v>21</v>
      </c>
      <c r="B333" s="4" t="s">
        <v>41</v>
      </c>
      <c r="C333" s="4" t="s">
        <v>23</v>
      </c>
      <c r="D333" s="4" t="s">
        <v>42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44621</v>
      </c>
      <c r="J333" s="6">
        <v>0</v>
      </c>
      <c r="K333" s="6">
        <v>0</v>
      </c>
      <c r="L333" s="6">
        <v>263.85599999999999</v>
      </c>
      <c r="M333" s="6">
        <v>263.85599999999999</v>
      </c>
      <c r="N333" s="6">
        <v>263.85599999999999</v>
      </c>
      <c r="O333" s="6">
        <v>263.85599999999999</v>
      </c>
      <c r="P333" s="6">
        <v>697</v>
      </c>
      <c r="Q333" s="4" t="s">
        <v>26</v>
      </c>
      <c r="R333" s="4">
        <v>0</v>
      </c>
      <c r="S333" s="4" t="s">
        <v>270</v>
      </c>
      <c r="T333" s="4" t="s">
        <v>467</v>
      </c>
      <c r="U333" s="4">
        <v>0</v>
      </c>
      <c r="V333" s="4">
        <v>50</v>
      </c>
      <c r="W333" s="4">
        <v>1</v>
      </c>
    </row>
    <row r="334" spans="1:23" ht="11.25" customHeight="1" x14ac:dyDescent="0.25">
      <c r="A334" s="4" t="s">
        <v>27</v>
      </c>
      <c r="B334" s="4" t="s">
        <v>41</v>
      </c>
      <c r="C334" s="4" t="s">
        <v>23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44621</v>
      </c>
      <c r="J334" s="6">
        <v>0</v>
      </c>
      <c r="K334" s="6">
        <v>0</v>
      </c>
      <c r="L334" s="6">
        <v>14.637</v>
      </c>
      <c r="M334" s="6">
        <v>14.637</v>
      </c>
      <c r="N334" s="6">
        <v>14.637</v>
      </c>
      <c r="O334" s="6">
        <v>14.637</v>
      </c>
      <c r="P334" s="6">
        <v>35</v>
      </c>
      <c r="Q334" s="4" t="s">
        <v>26</v>
      </c>
      <c r="R334" s="4">
        <v>0</v>
      </c>
      <c r="S334" s="4" t="s">
        <v>270</v>
      </c>
      <c r="T334" s="4" t="s">
        <v>467</v>
      </c>
      <c r="U334" s="4">
        <v>0</v>
      </c>
      <c r="V334" s="4">
        <v>50</v>
      </c>
      <c r="W334" s="4">
        <v>1</v>
      </c>
    </row>
    <row r="335" spans="1:23" ht="11.25" customHeight="1" x14ac:dyDescent="0.25">
      <c r="A335" s="4" t="s">
        <v>21</v>
      </c>
      <c r="B335" s="4" t="s">
        <v>41</v>
      </c>
      <c r="C335" s="4" t="s">
        <v>23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44652</v>
      </c>
      <c r="J335" s="6">
        <v>0</v>
      </c>
      <c r="K335" s="6">
        <v>0</v>
      </c>
      <c r="L335" s="6">
        <v>253.28200000000001</v>
      </c>
      <c r="M335" s="6">
        <v>253.28200000000001</v>
      </c>
      <c r="N335" s="6">
        <v>253.28200000000001</v>
      </c>
      <c r="O335" s="6">
        <v>253.28200000000001</v>
      </c>
      <c r="P335" s="6">
        <v>695</v>
      </c>
      <c r="Q335" s="4" t="s">
        <v>26</v>
      </c>
      <c r="R335" s="4">
        <v>0</v>
      </c>
      <c r="S335" s="4" t="s">
        <v>271</v>
      </c>
      <c r="T335" s="4" t="s">
        <v>468</v>
      </c>
      <c r="U335" s="4">
        <v>0</v>
      </c>
      <c r="V335" s="4">
        <v>50</v>
      </c>
      <c r="W335" s="4">
        <v>1</v>
      </c>
    </row>
    <row r="336" spans="1:23" ht="11.25" customHeight="1" x14ac:dyDescent="0.25">
      <c r="A336" s="4" t="s">
        <v>27</v>
      </c>
      <c r="B336" s="4" t="s">
        <v>41</v>
      </c>
      <c r="C336" s="4" t="s">
        <v>23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44652</v>
      </c>
      <c r="J336" s="6">
        <v>0</v>
      </c>
      <c r="K336" s="6">
        <v>0</v>
      </c>
      <c r="L336" s="6">
        <v>13.574999999999999</v>
      </c>
      <c r="M336" s="6">
        <v>13.574999999999999</v>
      </c>
      <c r="N336" s="6">
        <v>13.574999999999999</v>
      </c>
      <c r="O336" s="6">
        <v>13.574999999999999</v>
      </c>
      <c r="P336" s="6">
        <v>40</v>
      </c>
      <c r="Q336" s="4" t="s">
        <v>26</v>
      </c>
      <c r="R336" s="4">
        <v>0</v>
      </c>
      <c r="S336" s="4" t="s">
        <v>271</v>
      </c>
      <c r="T336" s="4" t="s">
        <v>468</v>
      </c>
      <c r="U336" s="4">
        <v>0</v>
      </c>
      <c r="V336" s="4">
        <v>50</v>
      </c>
      <c r="W336" s="4">
        <v>1</v>
      </c>
    </row>
    <row r="337" spans="1:23" ht="11.25" customHeight="1" x14ac:dyDescent="0.25">
      <c r="A337" s="4" t="s">
        <v>21</v>
      </c>
      <c r="B337" s="4" t="s">
        <v>41</v>
      </c>
      <c r="C337" s="4" t="s">
        <v>23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44682</v>
      </c>
      <c r="J337" s="6">
        <v>0</v>
      </c>
      <c r="K337" s="6">
        <v>0</v>
      </c>
      <c r="L337" s="6">
        <v>275.17200000000003</v>
      </c>
      <c r="M337" s="6">
        <v>275.17200000000003</v>
      </c>
      <c r="N337" s="6">
        <v>275.17200000000003</v>
      </c>
      <c r="O337" s="6">
        <v>275.17200000000003</v>
      </c>
      <c r="P337" s="6">
        <v>689</v>
      </c>
      <c r="Q337" s="4" t="s">
        <v>26</v>
      </c>
      <c r="R337" s="4">
        <v>0</v>
      </c>
      <c r="S337" s="4" t="s">
        <v>272</v>
      </c>
      <c r="T337" s="4" t="s">
        <v>469</v>
      </c>
      <c r="U337" s="4">
        <v>0</v>
      </c>
      <c r="V337" s="4">
        <v>50</v>
      </c>
      <c r="W337" s="4">
        <v>1</v>
      </c>
    </row>
    <row r="338" spans="1:23" ht="11.25" customHeight="1" x14ac:dyDescent="0.25">
      <c r="A338" s="4" t="s">
        <v>27</v>
      </c>
      <c r="B338" s="4" t="s">
        <v>41</v>
      </c>
      <c r="C338" s="4" t="s">
        <v>23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44682</v>
      </c>
      <c r="J338" s="6">
        <v>0</v>
      </c>
      <c r="K338" s="6">
        <v>0</v>
      </c>
      <c r="L338" s="6">
        <v>9.4760000000000009</v>
      </c>
      <c r="M338" s="6">
        <v>9.4760000000000009</v>
      </c>
      <c r="N338" s="6">
        <v>9.4760000000000009</v>
      </c>
      <c r="O338" s="6">
        <v>9.4760000000000009</v>
      </c>
      <c r="P338" s="6">
        <v>42</v>
      </c>
      <c r="Q338" s="4" t="s">
        <v>26</v>
      </c>
      <c r="R338" s="4">
        <v>0</v>
      </c>
      <c r="S338" s="4" t="s">
        <v>272</v>
      </c>
      <c r="T338" s="4" t="s">
        <v>469</v>
      </c>
      <c r="U338" s="4">
        <v>0</v>
      </c>
      <c r="V338" s="4">
        <v>50</v>
      </c>
      <c r="W338" s="4">
        <v>1</v>
      </c>
    </row>
    <row r="339" spans="1:23" ht="11.25" customHeight="1" x14ac:dyDescent="0.25">
      <c r="A339" s="4" t="s">
        <v>21</v>
      </c>
      <c r="B339" s="4" t="s">
        <v>41</v>
      </c>
      <c r="C339" s="4" t="s">
        <v>23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44713</v>
      </c>
      <c r="J339" s="6">
        <v>0</v>
      </c>
      <c r="K339" s="6">
        <v>0</v>
      </c>
      <c r="L339" s="6">
        <v>252.16800000000001</v>
      </c>
      <c r="M339" s="6">
        <v>252.16800000000001</v>
      </c>
      <c r="N339" s="6">
        <v>252.16800000000001</v>
      </c>
      <c r="O339" s="6">
        <v>252.16800000000001</v>
      </c>
      <c r="P339" s="6">
        <v>709</v>
      </c>
      <c r="Q339" s="4" t="s">
        <v>26</v>
      </c>
      <c r="R339" s="4">
        <v>0</v>
      </c>
      <c r="S339" s="4" t="s">
        <v>273</v>
      </c>
      <c r="T339" s="4" t="s">
        <v>470</v>
      </c>
      <c r="U339" s="4">
        <v>0</v>
      </c>
      <c r="V339" s="4">
        <v>50</v>
      </c>
      <c r="W339" s="4">
        <v>1</v>
      </c>
    </row>
    <row r="340" spans="1:23" ht="11.25" customHeight="1" x14ac:dyDescent="0.25">
      <c r="A340" s="4" t="s">
        <v>27</v>
      </c>
      <c r="B340" s="4" t="s">
        <v>41</v>
      </c>
      <c r="C340" s="4" t="s">
        <v>23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44713</v>
      </c>
      <c r="J340" s="6">
        <v>0</v>
      </c>
      <c r="K340" s="6">
        <v>0</v>
      </c>
      <c r="L340" s="6">
        <v>12.196999999999999</v>
      </c>
      <c r="M340" s="6">
        <v>12.196999999999999</v>
      </c>
      <c r="N340" s="6">
        <v>12.196999999999999</v>
      </c>
      <c r="O340" s="6">
        <v>12.196999999999999</v>
      </c>
      <c r="P340" s="6">
        <v>44</v>
      </c>
      <c r="Q340" s="4" t="s">
        <v>26</v>
      </c>
      <c r="R340" s="4">
        <v>0</v>
      </c>
      <c r="S340" s="4" t="s">
        <v>273</v>
      </c>
      <c r="T340" s="4" t="s">
        <v>470</v>
      </c>
      <c r="U340" s="4">
        <v>0</v>
      </c>
      <c r="V340" s="4">
        <v>50</v>
      </c>
      <c r="W340" s="4">
        <v>1</v>
      </c>
    </row>
    <row r="341" spans="1:23" ht="11.25" customHeight="1" x14ac:dyDescent="0.25">
      <c r="A341" s="4" t="s">
        <v>55</v>
      </c>
      <c r="B341" s="4" t="s">
        <v>41</v>
      </c>
      <c r="C341" s="4" t="s">
        <v>23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44743</v>
      </c>
      <c r="J341" s="6">
        <v>0</v>
      </c>
      <c r="K341" s="6">
        <v>0</v>
      </c>
      <c r="L341" s="6">
        <v>252.16800000000001</v>
      </c>
      <c r="M341" s="6">
        <v>252.16800000000001</v>
      </c>
      <c r="N341" s="6">
        <v>252.16800000000001</v>
      </c>
      <c r="O341" s="6">
        <v>252.16800000000001</v>
      </c>
      <c r="P341" s="6">
        <v>709</v>
      </c>
      <c r="Q341" s="4" t="s">
        <v>26</v>
      </c>
      <c r="R341" s="4">
        <v>0</v>
      </c>
      <c r="S341" s="4" t="s">
        <v>274</v>
      </c>
      <c r="T341" s="4" t="s">
        <v>471</v>
      </c>
      <c r="U341" s="4">
        <v>0</v>
      </c>
      <c r="V341" s="4">
        <v>50</v>
      </c>
      <c r="W341" s="4">
        <v>1</v>
      </c>
    </row>
    <row r="342" spans="1:23" ht="11.25" customHeight="1" x14ac:dyDescent="0.25">
      <c r="A342" s="4" t="s">
        <v>55</v>
      </c>
      <c r="B342" s="4" t="s">
        <v>41</v>
      </c>
      <c r="C342" s="4" t="s">
        <v>23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44743</v>
      </c>
      <c r="J342" s="6">
        <v>0</v>
      </c>
      <c r="K342" s="6">
        <v>0</v>
      </c>
      <c r="L342" s="6">
        <v>12.196999999999999</v>
      </c>
      <c r="M342" s="6">
        <v>12.196999999999999</v>
      </c>
      <c r="N342" s="6">
        <v>12.196999999999999</v>
      </c>
      <c r="O342" s="6">
        <v>12.196999999999999</v>
      </c>
      <c r="P342" s="6">
        <v>44</v>
      </c>
      <c r="Q342" s="4" t="s">
        <v>26</v>
      </c>
      <c r="R342" s="4">
        <v>0</v>
      </c>
      <c r="S342" s="4" t="s">
        <v>274</v>
      </c>
      <c r="T342" s="4" t="s">
        <v>471</v>
      </c>
      <c r="U342" s="4">
        <v>0</v>
      </c>
      <c r="V342" s="4">
        <v>50</v>
      </c>
      <c r="W342" s="4">
        <v>1</v>
      </c>
    </row>
    <row r="343" spans="1:23" ht="11.25" customHeight="1" x14ac:dyDescent="0.25">
      <c r="A343" s="4" t="s">
        <v>21</v>
      </c>
      <c r="B343" s="4" t="s">
        <v>36</v>
      </c>
      <c r="C343" s="4" t="s">
        <v>32</v>
      </c>
      <c r="D343" s="4" t="s">
        <v>40</v>
      </c>
      <c r="E343" s="4" t="s">
        <v>25</v>
      </c>
      <c r="F343" s="4" t="s">
        <v>25</v>
      </c>
      <c r="G343" s="4" t="s">
        <v>25</v>
      </c>
      <c r="H343" s="4" t="s">
        <v>34</v>
      </c>
      <c r="I343" s="5">
        <v>44409</v>
      </c>
      <c r="J343" s="6">
        <v>0</v>
      </c>
      <c r="K343" s="6">
        <v>0</v>
      </c>
      <c r="L343" s="6">
        <v>0.67900000000000005</v>
      </c>
      <c r="M343" s="6">
        <v>0.67900000000000005</v>
      </c>
      <c r="N343" s="6">
        <v>0.67900000000000005</v>
      </c>
      <c r="O343" s="6">
        <v>0.67900000000000005</v>
      </c>
      <c r="P343" s="6">
        <v>0</v>
      </c>
      <c r="Q343" s="4" t="s">
        <v>26</v>
      </c>
      <c r="R343" s="4">
        <v>0</v>
      </c>
      <c r="S343" s="4" t="s">
        <v>275</v>
      </c>
      <c r="T343" s="4" t="s">
        <v>472</v>
      </c>
      <c r="U343" s="4">
        <v>0</v>
      </c>
      <c r="V343" s="4">
        <v>64</v>
      </c>
      <c r="W343" s="4">
        <v>23</v>
      </c>
    </row>
    <row r="344" spans="1:23" ht="11.25" customHeight="1" x14ac:dyDescent="0.25">
      <c r="A344" s="4" t="s">
        <v>21</v>
      </c>
      <c r="B344" s="4" t="s">
        <v>36</v>
      </c>
      <c r="C344" s="4" t="s">
        <v>32</v>
      </c>
      <c r="D344" s="4" t="s">
        <v>40</v>
      </c>
      <c r="E344" s="4" t="s">
        <v>25</v>
      </c>
      <c r="F344" s="4" t="s">
        <v>25</v>
      </c>
      <c r="G344" s="4" t="s">
        <v>25</v>
      </c>
      <c r="H344" s="4" t="s">
        <v>34</v>
      </c>
      <c r="I344" s="5">
        <v>44440</v>
      </c>
      <c r="J344" s="6">
        <v>0</v>
      </c>
      <c r="K344" s="6">
        <v>0</v>
      </c>
      <c r="L344" s="6">
        <v>0.73699999999999999</v>
      </c>
      <c r="M344" s="6">
        <v>0.73699999999999999</v>
      </c>
      <c r="N344" s="6">
        <v>0.73699999999999999</v>
      </c>
      <c r="O344" s="6">
        <v>0.73699999999999999</v>
      </c>
      <c r="P344" s="6">
        <v>0</v>
      </c>
      <c r="Q344" s="4" t="s">
        <v>26</v>
      </c>
      <c r="R344" s="4">
        <v>0</v>
      </c>
      <c r="S344" s="4" t="s">
        <v>276</v>
      </c>
      <c r="T344" s="4" t="s">
        <v>473</v>
      </c>
      <c r="U344" s="4">
        <v>0</v>
      </c>
      <c r="V344" s="4">
        <v>64</v>
      </c>
      <c r="W344" s="4">
        <v>23</v>
      </c>
    </row>
    <row r="345" spans="1:23" ht="11.25" customHeight="1" x14ac:dyDescent="0.25">
      <c r="A345" s="4" t="s">
        <v>21</v>
      </c>
      <c r="B345" s="4" t="s">
        <v>36</v>
      </c>
      <c r="C345" s="4" t="s">
        <v>32</v>
      </c>
      <c r="D345" s="4" t="s">
        <v>40</v>
      </c>
      <c r="E345" s="4" t="s">
        <v>25</v>
      </c>
      <c r="F345" s="4" t="s">
        <v>25</v>
      </c>
      <c r="G345" s="4" t="s">
        <v>25</v>
      </c>
      <c r="H345" s="4" t="s">
        <v>34</v>
      </c>
      <c r="I345" s="5">
        <v>44470</v>
      </c>
      <c r="J345" s="6">
        <v>0</v>
      </c>
      <c r="K345" s="6">
        <v>0</v>
      </c>
      <c r="L345" s="6">
        <v>0.70199999999999996</v>
      </c>
      <c r="M345" s="6">
        <v>0.70199999999999996</v>
      </c>
      <c r="N345" s="6">
        <v>0.70199999999999996</v>
      </c>
      <c r="O345" s="6">
        <v>0.70199999999999996</v>
      </c>
      <c r="P345" s="6">
        <v>0</v>
      </c>
      <c r="Q345" s="4" t="s">
        <v>26</v>
      </c>
      <c r="R345" s="4">
        <v>0</v>
      </c>
      <c r="S345" s="4" t="s">
        <v>277</v>
      </c>
      <c r="T345" s="4" t="s">
        <v>474</v>
      </c>
      <c r="U345" s="4">
        <v>0</v>
      </c>
      <c r="V345" s="4">
        <v>64</v>
      </c>
      <c r="W345" s="4">
        <v>23</v>
      </c>
    </row>
    <row r="346" spans="1:23" ht="11.25" customHeight="1" x14ac:dyDescent="0.25">
      <c r="A346" s="4" t="s">
        <v>21</v>
      </c>
      <c r="B346" s="4" t="s">
        <v>36</v>
      </c>
      <c r="C346" s="4" t="s">
        <v>32</v>
      </c>
      <c r="D346" s="4" t="s">
        <v>40</v>
      </c>
      <c r="E346" s="4" t="s">
        <v>25</v>
      </c>
      <c r="F346" s="4" t="s">
        <v>25</v>
      </c>
      <c r="G346" s="4" t="s">
        <v>25</v>
      </c>
      <c r="H346" s="4" t="s">
        <v>34</v>
      </c>
      <c r="I346" s="5">
        <v>44501</v>
      </c>
      <c r="J346" s="6">
        <v>0</v>
      </c>
      <c r="K346" s="6">
        <v>0</v>
      </c>
      <c r="L346" s="6">
        <v>1.1000000000000001</v>
      </c>
      <c r="M346" s="6">
        <v>1.1000000000000001</v>
      </c>
      <c r="N346" s="6">
        <v>1.1000000000000001</v>
      </c>
      <c r="O346" s="6">
        <v>1.1000000000000001</v>
      </c>
      <c r="P346" s="6">
        <v>0</v>
      </c>
      <c r="Q346" s="4" t="s">
        <v>26</v>
      </c>
      <c r="R346" s="4">
        <v>0</v>
      </c>
      <c r="S346" s="4" t="s">
        <v>278</v>
      </c>
      <c r="T346" s="4" t="s">
        <v>475</v>
      </c>
      <c r="U346" s="4">
        <v>0</v>
      </c>
      <c r="V346" s="4">
        <v>64</v>
      </c>
      <c r="W346" s="4">
        <v>23</v>
      </c>
    </row>
    <row r="347" spans="1:23" ht="11.25" customHeight="1" x14ac:dyDescent="0.25">
      <c r="A347" s="4" t="s">
        <v>21</v>
      </c>
      <c r="B347" s="4" t="s">
        <v>36</v>
      </c>
      <c r="C347" s="4" t="s">
        <v>32</v>
      </c>
      <c r="D347" s="4" t="s">
        <v>40</v>
      </c>
      <c r="E347" s="4" t="s">
        <v>25</v>
      </c>
      <c r="F347" s="4" t="s">
        <v>25</v>
      </c>
      <c r="G347" s="4" t="s">
        <v>25</v>
      </c>
      <c r="H347" s="4" t="s">
        <v>34</v>
      </c>
      <c r="I347" s="5">
        <v>44531</v>
      </c>
      <c r="J347" s="6">
        <v>0</v>
      </c>
      <c r="K347" s="6">
        <v>0</v>
      </c>
      <c r="L347" s="6">
        <v>1.31</v>
      </c>
      <c r="M347" s="6">
        <v>1.31</v>
      </c>
      <c r="N347" s="6">
        <v>1.31</v>
      </c>
      <c r="O347" s="6">
        <v>1.31</v>
      </c>
      <c r="P347" s="6">
        <v>0</v>
      </c>
      <c r="Q347" s="4" t="s">
        <v>26</v>
      </c>
      <c r="R347" s="4">
        <v>0</v>
      </c>
      <c r="S347" s="4" t="s">
        <v>279</v>
      </c>
      <c r="T347" s="4" t="s">
        <v>476</v>
      </c>
      <c r="U347" s="4">
        <v>0</v>
      </c>
      <c r="V347" s="4">
        <v>64</v>
      </c>
      <c r="W347" s="4">
        <v>23</v>
      </c>
    </row>
    <row r="348" spans="1:23" ht="11.25" customHeight="1" x14ac:dyDescent="0.25">
      <c r="A348" s="4" t="s">
        <v>21</v>
      </c>
      <c r="B348" s="4" t="s">
        <v>36</v>
      </c>
      <c r="C348" s="4" t="s">
        <v>32</v>
      </c>
      <c r="D348" s="4" t="s">
        <v>40</v>
      </c>
      <c r="E348" s="4" t="s">
        <v>25</v>
      </c>
      <c r="F348" s="4" t="s">
        <v>25</v>
      </c>
      <c r="G348" s="4" t="s">
        <v>25</v>
      </c>
      <c r="H348" s="4" t="s">
        <v>34</v>
      </c>
      <c r="I348" s="5">
        <v>44562</v>
      </c>
      <c r="J348" s="6">
        <v>0</v>
      </c>
      <c r="K348" s="6">
        <v>0</v>
      </c>
      <c r="L348" s="6">
        <v>1.37</v>
      </c>
      <c r="M348" s="6">
        <v>1.37</v>
      </c>
      <c r="N348" s="6">
        <v>1.37</v>
      </c>
      <c r="O348" s="6">
        <v>1.37</v>
      </c>
      <c r="P348" s="6">
        <v>0</v>
      </c>
      <c r="Q348" s="4" t="s">
        <v>26</v>
      </c>
      <c r="R348" s="4">
        <v>0</v>
      </c>
      <c r="S348" s="4" t="s">
        <v>280</v>
      </c>
      <c r="T348" s="4" t="s">
        <v>477</v>
      </c>
      <c r="U348" s="4">
        <v>0</v>
      </c>
      <c r="V348" s="4">
        <v>64</v>
      </c>
      <c r="W348" s="4">
        <v>23</v>
      </c>
    </row>
    <row r="349" spans="1:23" ht="11.25" customHeight="1" x14ac:dyDescent="0.25">
      <c r="A349" s="4" t="s">
        <v>21</v>
      </c>
      <c r="B349" s="4" t="s">
        <v>36</v>
      </c>
      <c r="C349" s="4" t="s">
        <v>32</v>
      </c>
      <c r="D349" s="4" t="s">
        <v>40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44593</v>
      </c>
      <c r="J349" s="6">
        <v>0</v>
      </c>
      <c r="K349" s="6">
        <v>0</v>
      </c>
      <c r="L349" s="6">
        <v>1.2749999999999999</v>
      </c>
      <c r="M349" s="6">
        <v>1.2749999999999999</v>
      </c>
      <c r="N349" s="6">
        <v>1.2749999999999999</v>
      </c>
      <c r="O349" s="6">
        <v>1.2749999999999999</v>
      </c>
      <c r="P349" s="6">
        <v>0</v>
      </c>
      <c r="Q349" s="4" t="s">
        <v>26</v>
      </c>
      <c r="R349" s="4">
        <v>0</v>
      </c>
      <c r="S349" s="4" t="s">
        <v>281</v>
      </c>
      <c r="T349" s="4" t="s">
        <v>478</v>
      </c>
      <c r="U349" s="4">
        <v>0</v>
      </c>
      <c r="V349" s="4">
        <v>64</v>
      </c>
      <c r="W349" s="4">
        <v>23</v>
      </c>
    </row>
    <row r="350" spans="1:23" ht="11.25" customHeight="1" x14ac:dyDescent="0.25">
      <c r="A350" s="4" t="s">
        <v>21</v>
      </c>
      <c r="B350" s="4" t="s">
        <v>36</v>
      </c>
      <c r="C350" s="4" t="s">
        <v>32</v>
      </c>
      <c r="D350" s="4" t="s">
        <v>40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44621</v>
      </c>
      <c r="J350" s="6">
        <v>0</v>
      </c>
      <c r="K350" s="6">
        <v>0</v>
      </c>
      <c r="L350" s="6">
        <v>1.129</v>
      </c>
      <c r="M350" s="6">
        <v>1.129</v>
      </c>
      <c r="N350" s="6">
        <v>1.129</v>
      </c>
      <c r="O350" s="6">
        <v>1.129</v>
      </c>
      <c r="P350" s="6">
        <v>0</v>
      </c>
      <c r="Q350" s="4" t="s">
        <v>26</v>
      </c>
      <c r="R350" s="4">
        <v>0</v>
      </c>
      <c r="S350" s="4" t="s">
        <v>282</v>
      </c>
      <c r="T350" s="4" t="s">
        <v>479</v>
      </c>
      <c r="U350" s="4">
        <v>0</v>
      </c>
      <c r="V350" s="4">
        <v>64</v>
      </c>
      <c r="W350" s="4">
        <v>23</v>
      </c>
    </row>
    <row r="351" spans="1:23" ht="11.25" customHeight="1" x14ac:dyDescent="0.25">
      <c r="A351" s="4" t="s">
        <v>21</v>
      </c>
      <c r="B351" s="4" t="s">
        <v>36</v>
      </c>
      <c r="C351" s="4" t="s">
        <v>32</v>
      </c>
      <c r="D351" s="4" t="s">
        <v>40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44652</v>
      </c>
      <c r="J351" s="6">
        <v>0</v>
      </c>
      <c r="K351" s="6">
        <v>0</v>
      </c>
      <c r="L351" s="6">
        <v>0.77100000000000002</v>
      </c>
      <c r="M351" s="6">
        <v>0.77100000000000002</v>
      </c>
      <c r="N351" s="6">
        <v>0.77100000000000002</v>
      </c>
      <c r="O351" s="6">
        <v>0.77100000000000002</v>
      </c>
      <c r="P351" s="6">
        <v>0</v>
      </c>
      <c r="Q351" s="4" t="s">
        <v>26</v>
      </c>
      <c r="R351" s="4">
        <v>0</v>
      </c>
      <c r="S351" s="4" t="s">
        <v>283</v>
      </c>
      <c r="T351" s="4" t="s">
        <v>480</v>
      </c>
      <c r="U351" s="4">
        <v>0</v>
      </c>
      <c r="V351" s="4">
        <v>64</v>
      </c>
      <c r="W351" s="4">
        <v>23</v>
      </c>
    </row>
    <row r="352" spans="1:23" ht="11.25" customHeight="1" x14ac:dyDescent="0.25">
      <c r="A352" s="4" t="s">
        <v>21</v>
      </c>
      <c r="B352" s="4" t="s">
        <v>36</v>
      </c>
      <c r="C352" s="4" t="s">
        <v>32</v>
      </c>
      <c r="D352" s="4" t="s">
        <v>40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44682</v>
      </c>
      <c r="J352" s="6">
        <v>0</v>
      </c>
      <c r="K352" s="6">
        <v>0</v>
      </c>
      <c r="L352" s="6">
        <v>0.61699999999999999</v>
      </c>
      <c r="M352" s="6">
        <v>0.61699999999999999</v>
      </c>
      <c r="N352" s="6">
        <v>0.61699999999999999</v>
      </c>
      <c r="O352" s="6">
        <v>0.61699999999999999</v>
      </c>
      <c r="P352" s="6">
        <v>0</v>
      </c>
      <c r="Q352" s="4" t="s">
        <v>26</v>
      </c>
      <c r="R352" s="4">
        <v>0</v>
      </c>
      <c r="S352" s="4" t="s">
        <v>284</v>
      </c>
      <c r="T352" s="4" t="s">
        <v>481</v>
      </c>
      <c r="U352" s="4">
        <v>0</v>
      </c>
      <c r="V352" s="4">
        <v>64</v>
      </c>
      <c r="W352" s="4">
        <v>23</v>
      </c>
    </row>
    <row r="353" spans="1:23" ht="11.25" customHeight="1" x14ac:dyDescent="0.25">
      <c r="A353" s="4" t="s">
        <v>21</v>
      </c>
      <c r="B353" s="4" t="s">
        <v>36</v>
      </c>
      <c r="C353" s="4" t="s">
        <v>32</v>
      </c>
      <c r="D353" s="4" t="s">
        <v>40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44713</v>
      </c>
      <c r="J353" s="6">
        <v>0</v>
      </c>
      <c r="K353" s="6">
        <v>0</v>
      </c>
      <c r="L353" s="6">
        <v>0.443</v>
      </c>
      <c r="M353" s="6">
        <v>0.443</v>
      </c>
      <c r="N353" s="6">
        <v>0.443</v>
      </c>
      <c r="O353" s="6">
        <v>0.443</v>
      </c>
      <c r="P353" s="6">
        <v>0</v>
      </c>
      <c r="Q353" s="4" t="s">
        <v>26</v>
      </c>
      <c r="R353" s="4">
        <v>0</v>
      </c>
      <c r="S353" s="4" t="s">
        <v>285</v>
      </c>
      <c r="T353" s="4" t="s">
        <v>482</v>
      </c>
      <c r="U353" s="4">
        <v>0</v>
      </c>
      <c r="V353" s="4">
        <v>64</v>
      </c>
      <c r="W353" s="4">
        <v>23</v>
      </c>
    </row>
    <row r="354" spans="1:23" ht="11.25" customHeight="1" x14ac:dyDescent="0.25">
      <c r="A354" s="4" t="s">
        <v>55</v>
      </c>
      <c r="B354" s="4" t="s">
        <v>36</v>
      </c>
      <c r="C354" s="4" t="s">
        <v>32</v>
      </c>
      <c r="D354" s="4" t="s">
        <v>40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44743</v>
      </c>
      <c r="J354" s="6">
        <v>0</v>
      </c>
      <c r="K354" s="6">
        <v>0</v>
      </c>
      <c r="L354" s="6">
        <v>0.443</v>
      </c>
      <c r="M354" s="6">
        <v>0.443</v>
      </c>
      <c r="N354" s="6">
        <v>0.443</v>
      </c>
      <c r="O354" s="6">
        <v>0.443</v>
      </c>
      <c r="P354" s="6">
        <v>0</v>
      </c>
      <c r="Q354" s="4" t="s">
        <v>26</v>
      </c>
      <c r="R354" s="4">
        <v>0</v>
      </c>
      <c r="S354" s="4" t="s">
        <v>286</v>
      </c>
      <c r="T354" s="4" t="s">
        <v>483</v>
      </c>
      <c r="U354" s="4">
        <v>0</v>
      </c>
      <c r="V354" s="4">
        <v>64</v>
      </c>
      <c r="W354" s="4">
        <v>23</v>
      </c>
    </row>
    <row r="355" spans="1:23" ht="11.25" customHeight="1" x14ac:dyDescent="0.25">
      <c r="A355" s="4" t="s">
        <v>21</v>
      </c>
      <c r="B355" s="4" t="s">
        <v>36</v>
      </c>
      <c r="C355" s="4" t="s">
        <v>32</v>
      </c>
      <c r="D355" s="4" t="s">
        <v>40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44409</v>
      </c>
      <c r="J355" s="6">
        <v>0</v>
      </c>
      <c r="K355" s="6">
        <v>0</v>
      </c>
      <c r="L355" s="6">
        <v>2.5999999999999999E-2</v>
      </c>
      <c r="M355" s="6">
        <v>2.5999999999999999E-2</v>
      </c>
      <c r="N355" s="6">
        <v>2.5999999999999999E-2</v>
      </c>
      <c r="O355" s="6">
        <v>2.5999999999999999E-2</v>
      </c>
      <c r="P355" s="6">
        <v>0</v>
      </c>
      <c r="Q355" s="4" t="s">
        <v>26</v>
      </c>
      <c r="R355" s="4">
        <v>0</v>
      </c>
      <c r="S355" s="4" t="s">
        <v>287</v>
      </c>
      <c r="T355" s="4" t="s">
        <v>484</v>
      </c>
      <c r="U355" s="4">
        <v>0</v>
      </c>
      <c r="V355" s="4">
        <v>63</v>
      </c>
      <c r="W355" s="4">
        <v>22</v>
      </c>
    </row>
    <row r="356" spans="1:23" ht="11.25" customHeight="1" x14ac:dyDescent="0.25">
      <c r="A356" s="4" t="s">
        <v>21</v>
      </c>
      <c r="B356" s="4" t="s">
        <v>36</v>
      </c>
      <c r="C356" s="4" t="s">
        <v>32</v>
      </c>
      <c r="D356" s="4" t="s">
        <v>40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44440</v>
      </c>
      <c r="J356" s="6">
        <v>0</v>
      </c>
      <c r="K356" s="6">
        <v>0</v>
      </c>
      <c r="L356" s="6">
        <v>2.8000000000000001E-2</v>
      </c>
      <c r="M356" s="6">
        <v>2.8000000000000001E-2</v>
      </c>
      <c r="N356" s="6">
        <v>2.8000000000000001E-2</v>
      </c>
      <c r="O356" s="6">
        <v>2.8000000000000001E-2</v>
      </c>
      <c r="P356" s="6">
        <v>0</v>
      </c>
      <c r="Q356" s="4" t="s">
        <v>26</v>
      </c>
      <c r="R356" s="4">
        <v>0</v>
      </c>
      <c r="S356" s="4" t="s">
        <v>288</v>
      </c>
      <c r="T356" s="4" t="s">
        <v>485</v>
      </c>
      <c r="U356" s="4">
        <v>0</v>
      </c>
      <c r="V356" s="4">
        <v>63</v>
      </c>
      <c r="W356" s="4">
        <v>22</v>
      </c>
    </row>
    <row r="357" spans="1:23" ht="11.25" customHeight="1" x14ac:dyDescent="0.25">
      <c r="A357" s="4" t="s">
        <v>21</v>
      </c>
      <c r="B357" s="4" t="s">
        <v>36</v>
      </c>
      <c r="C357" s="4" t="s">
        <v>32</v>
      </c>
      <c r="D357" s="4" t="s">
        <v>40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44470</v>
      </c>
      <c r="J357" s="6">
        <v>0</v>
      </c>
      <c r="K357" s="6">
        <v>0</v>
      </c>
      <c r="L357" s="6">
        <v>3.1E-2</v>
      </c>
      <c r="M357" s="6">
        <v>3.1E-2</v>
      </c>
      <c r="N357" s="6">
        <v>3.1E-2</v>
      </c>
      <c r="O357" s="6">
        <v>3.1E-2</v>
      </c>
      <c r="P357" s="6">
        <v>0</v>
      </c>
      <c r="Q357" s="4" t="s">
        <v>26</v>
      </c>
      <c r="R357" s="4">
        <v>0</v>
      </c>
      <c r="S357" s="4" t="s">
        <v>289</v>
      </c>
      <c r="T357" s="4" t="s">
        <v>486</v>
      </c>
      <c r="U357" s="4">
        <v>0</v>
      </c>
      <c r="V357" s="4">
        <v>63</v>
      </c>
      <c r="W357" s="4">
        <v>22</v>
      </c>
    </row>
    <row r="358" spans="1:23" ht="11.25" customHeight="1" x14ac:dyDescent="0.25">
      <c r="A358" s="4" t="s">
        <v>21</v>
      </c>
      <c r="B358" s="4" t="s">
        <v>36</v>
      </c>
      <c r="C358" s="4" t="s">
        <v>32</v>
      </c>
      <c r="D358" s="4" t="s">
        <v>40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44501</v>
      </c>
      <c r="J358" s="6">
        <v>0</v>
      </c>
      <c r="K358" s="6">
        <v>0</v>
      </c>
      <c r="L358" s="6">
        <v>4.8000000000000001E-2</v>
      </c>
      <c r="M358" s="6">
        <v>4.8000000000000001E-2</v>
      </c>
      <c r="N358" s="6">
        <v>4.8000000000000001E-2</v>
      </c>
      <c r="O358" s="6">
        <v>4.8000000000000001E-2</v>
      </c>
      <c r="P358" s="6">
        <v>0</v>
      </c>
      <c r="Q358" s="4" t="s">
        <v>26</v>
      </c>
      <c r="R358" s="4">
        <v>0</v>
      </c>
      <c r="S358" s="4" t="s">
        <v>290</v>
      </c>
      <c r="T358" s="4" t="s">
        <v>487</v>
      </c>
      <c r="U358" s="4">
        <v>0</v>
      </c>
      <c r="V358" s="4">
        <v>63</v>
      </c>
      <c r="W358" s="4">
        <v>22</v>
      </c>
    </row>
    <row r="359" spans="1:23" ht="11.25" customHeight="1" x14ac:dyDescent="0.25">
      <c r="A359" s="4" t="s">
        <v>21</v>
      </c>
      <c r="B359" s="4" t="s">
        <v>36</v>
      </c>
      <c r="C359" s="4" t="s">
        <v>32</v>
      </c>
      <c r="D359" s="4" t="s">
        <v>40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44531</v>
      </c>
      <c r="J359" s="6">
        <v>0</v>
      </c>
      <c r="K359" s="6">
        <v>0</v>
      </c>
      <c r="L359" s="6">
        <v>4.9000000000000002E-2</v>
      </c>
      <c r="M359" s="6">
        <v>4.9000000000000002E-2</v>
      </c>
      <c r="N359" s="6">
        <v>4.9000000000000002E-2</v>
      </c>
      <c r="O359" s="6">
        <v>4.9000000000000002E-2</v>
      </c>
      <c r="P359" s="6">
        <v>0</v>
      </c>
      <c r="Q359" s="4" t="s">
        <v>26</v>
      </c>
      <c r="R359" s="4">
        <v>0</v>
      </c>
      <c r="S359" s="4" t="s">
        <v>291</v>
      </c>
      <c r="T359" s="4" t="s">
        <v>488</v>
      </c>
      <c r="U359" s="4">
        <v>0</v>
      </c>
      <c r="V359" s="4">
        <v>63</v>
      </c>
      <c r="W359" s="4">
        <v>22</v>
      </c>
    </row>
    <row r="360" spans="1:23" ht="11.25" customHeight="1" x14ac:dyDescent="0.25">
      <c r="A360" s="4" t="s">
        <v>21</v>
      </c>
      <c r="B360" s="4" t="s">
        <v>36</v>
      </c>
      <c r="C360" s="4" t="s">
        <v>32</v>
      </c>
      <c r="D360" s="4" t="s">
        <v>40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44562</v>
      </c>
      <c r="J360" s="6">
        <v>0</v>
      </c>
      <c r="K360" s="6">
        <v>0</v>
      </c>
      <c r="L360" s="6">
        <v>4.1000000000000002E-2</v>
      </c>
      <c r="M360" s="6">
        <v>4.1000000000000002E-2</v>
      </c>
      <c r="N360" s="6">
        <v>4.1000000000000002E-2</v>
      </c>
      <c r="O360" s="6">
        <v>4.1000000000000002E-2</v>
      </c>
      <c r="P360" s="6">
        <v>0</v>
      </c>
      <c r="Q360" s="4" t="s">
        <v>26</v>
      </c>
      <c r="R360" s="4">
        <v>0</v>
      </c>
      <c r="S360" s="4" t="s">
        <v>292</v>
      </c>
      <c r="T360" s="4" t="s">
        <v>489</v>
      </c>
      <c r="U360" s="4">
        <v>0</v>
      </c>
      <c r="V360" s="4">
        <v>63</v>
      </c>
      <c r="W360" s="4">
        <v>22</v>
      </c>
    </row>
    <row r="361" spans="1:23" ht="11.25" customHeight="1" x14ac:dyDescent="0.25">
      <c r="A361" s="4" t="s">
        <v>21</v>
      </c>
      <c r="B361" s="4" t="s">
        <v>36</v>
      </c>
      <c r="C361" s="4" t="s">
        <v>32</v>
      </c>
      <c r="D361" s="4" t="s">
        <v>40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44593</v>
      </c>
      <c r="J361" s="6">
        <v>0</v>
      </c>
      <c r="K361" s="6">
        <v>0</v>
      </c>
      <c r="L361" s="6">
        <v>6.4000000000000001E-2</v>
      </c>
      <c r="M361" s="6">
        <v>6.4000000000000001E-2</v>
      </c>
      <c r="N361" s="6">
        <v>6.4000000000000001E-2</v>
      </c>
      <c r="O361" s="6">
        <v>6.4000000000000001E-2</v>
      </c>
      <c r="P361" s="6">
        <v>0</v>
      </c>
      <c r="Q361" s="4" t="s">
        <v>26</v>
      </c>
      <c r="R361" s="4">
        <v>0</v>
      </c>
      <c r="S361" s="4" t="s">
        <v>293</v>
      </c>
      <c r="T361" s="4" t="s">
        <v>490</v>
      </c>
      <c r="U361" s="4">
        <v>0</v>
      </c>
      <c r="V361" s="4">
        <v>63</v>
      </c>
      <c r="W361" s="4">
        <v>22</v>
      </c>
    </row>
    <row r="362" spans="1:23" ht="11.25" customHeight="1" x14ac:dyDescent="0.25">
      <c r="A362" s="4" t="s">
        <v>21</v>
      </c>
      <c r="B362" s="4" t="s">
        <v>36</v>
      </c>
      <c r="C362" s="4" t="s">
        <v>32</v>
      </c>
      <c r="D362" s="4" t="s">
        <v>40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44621</v>
      </c>
      <c r="J362" s="6">
        <v>0</v>
      </c>
      <c r="K362" s="6">
        <v>0</v>
      </c>
      <c r="L362" s="6">
        <v>4.3999999999999997E-2</v>
      </c>
      <c r="M362" s="6">
        <v>4.3999999999999997E-2</v>
      </c>
      <c r="N362" s="6">
        <v>4.3999999999999997E-2</v>
      </c>
      <c r="O362" s="6">
        <v>4.3999999999999997E-2</v>
      </c>
      <c r="P362" s="6">
        <v>0</v>
      </c>
      <c r="Q362" s="4" t="s">
        <v>26</v>
      </c>
      <c r="R362" s="4">
        <v>0</v>
      </c>
      <c r="S362" s="4" t="s">
        <v>294</v>
      </c>
      <c r="T362" s="4" t="s">
        <v>491</v>
      </c>
      <c r="U362" s="4">
        <v>0</v>
      </c>
      <c r="V362" s="4">
        <v>63</v>
      </c>
      <c r="W362" s="4">
        <v>22</v>
      </c>
    </row>
    <row r="363" spans="1:23" ht="11.25" customHeight="1" x14ac:dyDescent="0.25">
      <c r="A363" s="4" t="s">
        <v>21</v>
      </c>
      <c r="B363" s="4" t="s">
        <v>36</v>
      </c>
      <c r="C363" s="4" t="s">
        <v>32</v>
      </c>
      <c r="D363" s="4" t="s">
        <v>40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44652</v>
      </c>
      <c r="J363" s="6">
        <v>0</v>
      </c>
      <c r="K363" s="6">
        <v>0</v>
      </c>
      <c r="L363" s="6">
        <v>3.6999999999999998E-2</v>
      </c>
      <c r="M363" s="6">
        <v>3.6999999999999998E-2</v>
      </c>
      <c r="N363" s="6">
        <v>3.6999999999999998E-2</v>
      </c>
      <c r="O363" s="6">
        <v>3.6999999999999998E-2</v>
      </c>
      <c r="P363" s="6">
        <v>0</v>
      </c>
      <c r="Q363" s="4" t="s">
        <v>26</v>
      </c>
      <c r="R363" s="4">
        <v>0</v>
      </c>
      <c r="S363" s="4" t="s">
        <v>295</v>
      </c>
      <c r="T363" s="4" t="s">
        <v>492</v>
      </c>
      <c r="U363" s="4">
        <v>0</v>
      </c>
      <c r="V363" s="4">
        <v>63</v>
      </c>
      <c r="W363" s="4">
        <v>22</v>
      </c>
    </row>
    <row r="364" spans="1:23" ht="11.25" customHeight="1" x14ac:dyDescent="0.25">
      <c r="A364" s="4" t="s">
        <v>21</v>
      </c>
      <c r="B364" s="4" t="s">
        <v>36</v>
      </c>
      <c r="C364" s="4" t="s">
        <v>32</v>
      </c>
      <c r="D364" s="4" t="s">
        <v>40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44682</v>
      </c>
      <c r="J364" s="6">
        <v>0</v>
      </c>
      <c r="K364" s="6">
        <v>0</v>
      </c>
      <c r="L364" s="6">
        <v>3.5000000000000003E-2</v>
      </c>
      <c r="M364" s="6">
        <v>3.5000000000000003E-2</v>
      </c>
      <c r="N364" s="6">
        <v>3.5000000000000003E-2</v>
      </c>
      <c r="O364" s="6">
        <v>3.5000000000000003E-2</v>
      </c>
      <c r="P364" s="6">
        <v>0</v>
      </c>
      <c r="Q364" s="4" t="s">
        <v>26</v>
      </c>
      <c r="R364" s="4">
        <v>0</v>
      </c>
      <c r="S364" s="4" t="s">
        <v>296</v>
      </c>
      <c r="T364" s="4" t="s">
        <v>493</v>
      </c>
      <c r="U364" s="4">
        <v>0</v>
      </c>
      <c r="V364" s="4">
        <v>63</v>
      </c>
      <c r="W364" s="4">
        <v>22</v>
      </c>
    </row>
    <row r="365" spans="1:23" ht="11.25" customHeight="1" x14ac:dyDescent="0.25">
      <c r="A365" s="4" t="s">
        <v>21</v>
      </c>
      <c r="B365" s="4" t="s">
        <v>36</v>
      </c>
      <c r="C365" s="4" t="s">
        <v>32</v>
      </c>
      <c r="D365" s="4" t="s">
        <v>40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44713</v>
      </c>
      <c r="J365" s="6">
        <v>0</v>
      </c>
      <c r="K365" s="6">
        <v>0</v>
      </c>
      <c r="L365" s="6">
        <v>2.8000000000000001E-2</v>
      </c>
      <c r="M365" s="6">
        <v>2.8000000000000001E-2</v>
      </c>
      <c r="N365" s="6">
        <v>2.8000000000000001E-2</v>
      </c>
      <c r="O365" s="6">
        <v>2.8000000000000001E-2</v>
      </c>
      <c r="P365" s="6">
        <v>0</v>
      </c>
      <c r="Q365" s="4" t="s">
        <v>26</v>
      </c>
      <c r="R365" s="4">
        <v>0</v>
      </c>
      <c r="S365" s="4" t="s">
        <v>297</v>
      </c>
      <c r="T365" s="4" t="s">
        <v>494</v>
      </c>
      <c r="U365" s="4">
        <v>0</v>
      </c>
      <c r="V365" s="4">
        <v>63</v>
      </c>
      <c r="W365" s="4">
        <v>22</v>
      </c>
    </row>
    <row r="366" spans="1:23" ht="11.25" customHeight="1" x14ac:dyDescent="0.25">
      <c r="A366" s="4" t="s">
        <v>55</v>
      </c>
      <c r="B366" s="4" t="s">
        <v>36</v>
      </c>
      <c r="C366" s="4" t="s">
        <v>32</v>
      </c>
      <c r="D366" s="4" t="s">
        <v>40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44743</v>
      </c>
      <c r="J366" s="6">
        <v>0</v>
      </c>
      <c r="K366" s="6">
        <v>0</v>
      </c>
      <c r="L366" s="6">
        <v>2.8000000000000001E-2</v>
      </c>
      <c r="M366" s="6">
        <v>2.8000000000000001E-2</v>
      </c>
      <c r="N366" s="6">
        <v>2.8000000000000001E-2</v>
      </c>
      <c r="O366" s="6">
        <v>2.8000000000000001E-2</v>
      </c>
      <c r="P366" s="6">
        <v>0</v>
      </c>
      <c r="Q366" s="4" t="s">
        <v>26</v>
      </c>
      <c r="R366" s="4">
        <v>0</v>
      </c>
      <c r="S366" s="4" t="s">
        <v>298</v>
      </c>
      <c r="T366" s="4" t="s">
        <v>495</v>
      </c>
      <c r="U366" s="4">
        <v>0</v>
      </c>
      <c r="V366" s="4">
        <v>63</v>
      </c>
      <c r="W366" s="4">
        <v>22</v>
      </c>
    </row>
    <row r="367" spans="1:23" ht="11.25" customHeight="1" x14ac:dyDescent="0.25">
      <c r="A367" s="4" t="s">
        <v>21</v>
      </c>
      <c r="B367" s="4" t="s">
        <v>36</v>
      </c>
      <c r="C367" s="4" t="s">
        <v>32</v>
      </c>
      <c r="D367" s="4" t="s">
        <v>40</v>
      </c>
      <c r="E367" s="4" t="s">
        <v>25</v>
      </c>
      <c r="F367" s="4" t="s">
        <v>25</v>
      </c>
      <c r="G367" s="4" t="s">
        <v>25</v>
      </c>
      <c r="H367" s="4" t="s">
        <v>33</v>
      </c>
      <c r="I367" s="5">
        <v>44409</v>
      </c>
      <c r="J367" s="6">
        <v>0</v>
      </c>
      <c r="K367" s="6">
        <v>0</v>
      </c>
      <c r="L367" s="6">
        <v>2.9000000000000001E-2</v>
      </c>
      <c r="M367" s="6">
        <v>2.9000000000000001E-2</v>
      </c>
      <c r="N367" s="6">
        <v>2.9000000000000001E-2</v>
      </c>
      <c r="O367" s="6">
        <v>2.9000000000000001E-2</v>
      </c>
      <c r="P367" s="6">
        <v>0</v>
      </c>
      <c r="Q367" s="4" t="s">
        <v>26</v>
      </c>
      <c r="R367" s="4">
        <v>0</v>
      </c>
      <c r="S367" s="4" t="s">
        <v>299</v>
      </c>
      <c r="T367" s="4" t="s">
        <v>496</v>
      </c>
      <c r="U367" s="4">
        <v>0</v>
      </c>
      <c r="V367" s="4">
        <v>62</v>
      </c>
      <c r="W367" s="4">
        <v>20</v>
      </c>
    </row>
    <row r="368" spans="1:23" ht="11.25" customHeight="1" x14ac:dyDescent="0.25">
      <c r="A368" s="4" t="s">
        <v>21</v>
      </c>
      <c r="B368" s="4" t="s">
        <v>36</v>
      </c>
      <c r="C368" s="4" t="s">
        <v>32</v>
      </c>
      <c r="D368" s="4" t="s">
        <v>40</v>
      </c>
      <c r="E368" s="4" t="s">
        <v>25</v>
      </c>
      <c r="F368" s="4" t="s">
        <v>25</v>
      </c>
      <c r="G368" s="4" t="s">
        <v>25</v>
      </c>
      <c r="H368" s="4" t="s">
        <v>33</v>
      </c>
      <c r="I368" s="5">
        <v>44440</v>
      </c>
      <c r="J368" s="6">
        <v>0</v>
      </c>
      <c r="K368" s="6">
        <v>0</v>
      </c>
      <c r="L368" s="6">
        <v>2.9000000000000001E-2</v>
      </c>
      <c r="M368" s="6">
        <v>2.9000000000000001E-2</v>
      </c>
      <c r="N368" s="6">
        <v>2.9000000000000001E-2</v>
      </c>
      <c r="O368" s="6">
        <v>2.9000000000000001E-2</v>
      </c>
      <c r="P368" s="6">
        <v>0</v>
      </c>
      <c r="Q368" s="4" t="s">
        <v>26</v>
      </c>
      <c r="R368" s="4">
        <v>0</v>
      </c>
      <c r="S368" s="4" t="s">
        <v>300</v>
      </c>
      <c r="T368" s="4" t="s">
        <v>497</v>
      </c>
      <c r="U368" s="4">
        <v>0</v>
      </c>
      <c r="V368" s="4">
        <v>62</v>
      </c>
      <c r="W368" s="4">
        <v>20</v>
      </c>
    </row>
    <row r="369" spans="1:23" ht="11.25" customHeight="1" x14ac:dyDescent="0.25">
      <c r="A369" s="4" t="s">
        <v>21</v>
      </c>
      <c r="B369" s="4" t="s">
        <v>36</v>
      </c>
      <c r="C369" s="4" t="s">
        <v>32</v>
      </c>
      <c r="D369" s="4" t="s">
        <v>40</v>
      </c>
      <c r="E369" s="4" t="s">
        <v>25</v>
      </c>
      <c r="F369" s="4" t="s">
        <v>25</v>
      </c>
      <c r="G369" s="4" t="s">
        <v>25</v>
      </c>
      <c r="H369" s="4" t="s">
        <v>33</v>
      </c>
      <c r="I369" s="5">
        <v>44470</v>
      </c>
      <c r="J369" s="6">
        <v>0</v>
      </c>
      <c r="K369" s="6">
        <v>0</v>
      </c>
      <c r="L369" s="6">
        <v>2.5000000000000001E-2</v>
      </c>
      <c r="M369" s="6">
        <v>2.5000000000000001E-2</v>
      </c>
      <c r="N369" s="6">
        <v>2.5000000000000001E-2</v>
      </c>
      <c r="O369" s="6">
        <v>2.5000000000000001E-2</v>
      </c>
      <c r="P369" s="6">
        <v>0</v>
      </c>
      <c r="Q369" s="4" t="s">
        <v>26</v>
      </c>
      <c r="R369" s="4">
        <v>0</v>
      </c>
      <c r="S369" s="4" t="s">
        <v>301</v>
      </c>
      <c r="T369" s="4" t="s">
        <v>498</v>
      </c>
      <c r="U369" s="4">
        <v>0</v>
      </c>
      <c r="V369" s="4">
        <v>62</v>
      </c>
      <c r="W369" s="4">
        <v>20</v>
      </c>
    </row>
    <row r="370" spans="1:23" ht="11.25" customHeight="1" x14ac:dyDescent="0.25">
      <c r="A370" s="4" t="s">
        <v>21</v>
      </c>
      <c r="B370" s="4" t="s">
        <v>36</v>
      </c>
      <c r="C370" s="4" t="s">
        <v>32</v>
      </c>
      <c r="D370" s="4" t="s">
        <v>40</v>
      </c>
      <c r="E370" s="4" t="s">
        <v>25</v>
      </c>
      <c r="F370" s="4" t="s">
        <v>25</v>
      </c>
      <c r="G370" s="4" t="s">
        <v>25</v>
      </c>
      <c r="H370" s="4" t="s">
        <v>33</v>
      </c>
      <c r="I370" s="5">
        <v>44501</v>
      </c>
      <c r="J370" s="6">
        <v>0</v>
      </c>
      <c r="K370" s="6">
        <v>0</v>
      </c>
      <c r="L370" s="6">
        <v>2.5000000000000001E-2</v>
      </c>
      <c r="M370" s="6">
        <v>2.5000000000000001E-2</v>
      </c>
      <c r="N370" s="6">
        <v>2.5000000000000001E-2</v>
      </c>
      <c r="O370" s="6">
        <v>2.5000000000000001E-2</v>
      </c>
      <c r="P370" s="6">
        <v>0</v>
      </c>
      <c r="Q370" s="4" t="s">
        <v>26</v>
      </c>
      <c r="R370" s="4">
        <v>0</v>
      </c>
      <c r="S370" s="4" t="s">
        <v>302</v>
      </c>
      <c r="T370" s="4" t="s">
        <v>499</v>
      </c>
      <c r="U370" s="4">
        <v>0</v>
      </c>
      <c r="V370" s="4">
        <v>62</v>
      </c>
      <c r="W370" s="4">
        <v>20</v>
      </c>
    </row>
    <row r="371" spans="1:23" ht="11.25" customHeight="1" x14ac:dyDescent="0.25">
      <c r="A371" s="4" t="s">
        <v>21</v>
      </c>
      <c r="B371" s="4" t="s">
        <v>36</v>
      </c>
      <c r="C371" s="4" t="s">
        <v>32</v>
      </c>
      <c r="D371" s="4" t="s">
        <v>40</v>
      </c>
      <c r="E371" s="4" t="s">
        <v>25</v>
      </c>
      <c r="F371" s="4" t="s">
        <v>25</v>
      </c>
      <c r="G371" s="4" t="s">
        <v>25</v>
      </c>
      <c r="H371" s="4" t="s">
        <v>33</v>
      </c>
      <c r="I371" s="5">
        <v>44531</v>
      </c>
      <c r="J371" s="6">
        <v>0</v>
      </c>
      <c r="K371" s="6">
        <v>0</v>
      </c>
      <c r="L371" s="6">
        <v>3.1E-2</v>
      </c>
      <c r="M371" s="6">
        <v>3.1E-2</v>
      </c>
      <c r="N371" s="6">
        <v>3.1E-2</v>
      </c>
      <c r="O371" s="6">
        <v>3.1E-2</v>
      </c>
      <c r="P371" s="6">
        <v>0</v>
      </c>
      <c r="Q371" s="4" t="s">
        <v>26</v>
      </c>
      <c r="R371" s="4">
        <v>0</v>
      </c>
      <c r="S371" s="4" t="s">
        <v>303</v>
      </c>
      <c r="T371" s="4" t="s">
        <v>500</v>
      </c>
      <c r="U371" s="4">
        <v>0</v>
      </c>
      <c r="V371" s="4">
        <v>62</v>
      </c>
      <c r="W371" s="4">
        <v>20</v>
      </c>
    </row>
    <row r="372" spans="1:23" ht="11.25" customHeight="1" x14ac:dyDescent="0.25">
      <c r="A372" s="4" t="s">
        <v>21</v>
      </c>
      <c r="B372" s="4" t="s">
        <v>36</v>
      </c>
      <c r="C372" s="4" t="s">
        <v>32</v>
      </c>
      <c r="D372" s="4" t="s">
        <v>40</v>
      </c>
      <c r="E372" s="4" t="s">
        <v>25</v>
      </c>
      <c r="F372" s="4" t="s">
        <v>25</v>
      </c>
      <c r="G372" s="4" t="s">
        <v>25</v>
      </c>
      <c r="H372" s="4" t="s">
        <v>33</v>
      </c>
      <c r="I372" s="5">
        <v>44562</v>
      </c>
      <c r="J372" s="6">
        <v>0</v>
      </c>
      <c r="K372" s="6">
        <v>0</v>
      </c>
      <c r="L372" s="6">
        <v>0.03</v>
      </c>
      <c r="M372" s="6">
        <v>0.03</v>
      </c>
      <c r="N372" s="6">
        <v>0.03</v>
      </c>
      <c r="O372" s="6">
        <v>0.03</v>
      </c>
      <c r="P372" s="6">
        <v>0</v>
      </c>
      <c r="Q372" s="4" t="s">
        <v>26</v>
      </c>
      <c r="R372" s="4">
        <v>0</v>
      </c>
      <c r="S372" s="4" t="s">
        <v>304</v>
      </c>
      <c r="T372" s="4" t="s">
        <v>501</v>
      </c>
      <c r="U372" s="4">
        <v>0</v>
      </c>
      <c r="V372" s="4">
        <v>62</v>
      </c>
      <c r="W372" s="4">
        <v>20</v>
      </c>
    </row>
    <row r="373" spans="1:23" ht="11.25" customHeight="1" x14ac:dyDescent="0.25">
      <c r="A373" s="4" t="s">
        <v>21</v>
      </c>
      <c r="B373" s="4" t="s">
        <v>36</v>
      </c>
      <c r="C373" s="4" t="s">
        <v>32</v>
      </c>
      <c r="D373" s="4" t="s">
        <v>40</v>
      </c>
      <c r="E373" s="4" t="s">
        <v>25</v>
      </c>
      <c r="F373" s="4" t="s">
        <v>25</v>
      </c>
      <c r="G373" s="4" t="s">
        <v>25</v>
      </c>
      <c r="H373" s="4" t="s">
        <v>33</v>
      </c>
      <c r="I373" s="5">
        <v>44593</v>
      </c>
      <c r="J373" s="6">
        <v>0</v>
      </c>
      <c r="K373" s="6">
        <v>0</v>
      </c>
      <c r="L373" s="6">
        <v>3.6999999999999998E-2</v>
      </c>
      <c r="M373" s="6">
        <v>3.6999999999999998E-2</v>
      </c>
      <c r="N373" s="6">
        <v>3.6999999999999998E-2</v>
      </c>
      <c r="O373" s="6">
        <v>3.6999999999999998E-2</v>
      </c>
      <c r="P373" s="6">
        <v>0</v>
      </c>
      <c r="Q373" s="4" t="s">
        <v>26</v>
      </c>
      <c r="R373" s="4">
        <v>0</v>
      </c>
      <c r="S373" s="4" t="s">
        <v>305</v>
      </c>
      <c r="T373" s="4" t="s">
        <v>502</v>
      </c>
      <c r="U373" s="4">
        <v>0</v>
      </c>
      <c r="V373" s="4">
        <v>62</v>
      </c>
      <c r="W373" s="4">
        <v>20</v>
      </c>
    </row>
    <row r="374" spans="1:23" ht="11.25" customHeight="1" x14ac:dyDescent="0.25">
      <c r="A374" s="4" t="s">
        <v>21</v>
      </c>
      <c r="B374" s="4" t="s">
        <v>36</v>
      </c>
      <c r="C374" s="4" t="s">
        <v>32</v>
      </c>
      <c r="D374" s="4" t="s">
        <v>40</v>
      </c>
      <c r="E374" s="4" t="s">
        <v>25</v>
      </c>
      <c r="F374" s="4" t="s">
        <v>25</v>
      </c>
      <c r="G374" s="4" t="s">
        <v>25</v>
      </c>
      <c r="H374" s="4" t="s">
        <v>33</v>
      </c>
      <c r="I374" s="5">
        <v>44621</v>
      </c>
      <c r="J374" s="6">
        <v>0</v>
      </c>
      <c r="K374" s="6">
        <v>0</v>
      </c>
      <c r="L374" s="6">
        <v>2.5999999999999999E-2</v>
      </c>
      <c r="M374" s="6">
        <v>2.5999999999999999E-2</v>
      </c>
      <c r="N374" s="6">
        <v>2.5999999999999999E-2</v>
      </c>
      <c r="O374" s="6">
        <v>2.5999999999999999E-2</v>
      </c>
      <c r="P374" s="6">
        <v>0</v>
      </c>
      <c r="Q374" s="4" t="s">
        <v>26</v>
      </c>
      <c r="R374" s="4">
        <v>0</v>
      </c>
      <c r="S374" s="4" t="s">
        <v>306</v>
      </c>
      <c r="T374" s="4" t="s">
        <v>503</v>
      </c>
      <c r="U374" s="4">
        <v>0</v>
      </c>
      <c r="V374" s="4">
        <v>62</v>
      </c>
      <c r="W374" s="4">
        <v>20</v>
      </c>
    </row>
    <row r="375" spans="1:23" ht="11.25" customHeight="1" x14ac:dyDescent="0.25">
      <c r="A375" s="4" t="s">
        <v>21</v>
      </c>
      <c r="B375" s="4" t="s">
        <v>36</v>
      </c>
      <c r="C375" s="4" t="s">
        <v>32</v>
      </c>
      <c r="D375" s="4" t="s">
        <v>40</v>
      </c>
      <c r="E375" s="4" t="s">
        <v>25</v>
      </c>
      <c r="F375" s="4" t="s">
        <v>25</v>
      </c>
      <c r="G375" s="4" t="s">
        <v>25</v>
      </c>
      <c r="H375" s="4" t="s">
        <v>33</v>
      </c>
      <c r="I375" s="5">
        <v>44652</v>
      </c>
      <c r="J375" s="6">
        <v>0</v>
      </c>
      <c r="K375" s="6">
        <v>0</v>
      </c>
      <c r="L375" s="6">
        <v>2.4E-2</v>
      </c>
      <c r="M375" s="6">
        <v>2.4E-2</v>
      </c>
      <c r="N375" s="6">
        <v>2.4E-2</v>
      </c>
      <c r="O375" s="6">
        <v>2.4E-2</v>
      </c>
      <c r="P375" s="6">
        <v>0</v>
      </c>
      <c r="Q375" s="4" t="s">
        <v>26</v>
      </c>
      <c r="R375" s="4">
        <v>0</v>
      </c>
      <c r="S375" s="4" t="s">
        <v>307</v>
      </c>
      <c r="T375" s="4" t="s">
        <v>504</v>
      </c>
      <c r="U375" s="4">
        <v>0</v>
      </c>
      <c r="V375" s="4">
        <v>62</v>
      </c>
      <c r="W375" s="4">
        <v>20</v>
      </c>
    </row>
    <row r="376" spans="1:23" ht="11.25" customHeight="1" x14ac:dyDescent="0.25">
      <c r="A376" s="4" t="s">
        <v>21</v>
      </c>
      <c r="B376" s="4" t="s">
        <v>36</v>
      </c>
      <c r="C376" s="4" t="s">
        <v>32</v>
      </c>
      <c r="D376" s="4" t="s">
        <v>40</v>
      </c>
      <c r="E376" s="4" t="s">
        <v>25</v>
      </c>
      <c r="F376" s="4" t="s">
        <v>25</v>
      </c>
      <c r="G376" s="4" t="s">
        <v>25</v>
      </c>
      <c r="H376" s="4" t="s">
        <v>33</v>
      </c>
      <c r="I376" s="5">
        <v>44682</v>
      </c>
      <c r="J376" s="6">
        <v>0</v>
      </c>
      <c r="K376" s="6">
        <v>0</v>
      </c>
      <c r="L376" s="6">
        <v>2.5999999999999999E-2</v>
      </c>
      <c r="M376" s="6">
        <v>2.5999999999999999E-2</v>
      </c>
      <c r="N376" s="6">
        <v>2.5999999999999999E-2</v>
      </c>
      <c r="O376" s="6">
        <v>2.5999999999999999E-2</v>
      </c>
      <c r="P376" s="6">
        <v>0</v>
      </c>
      <c r="Q376" s="4" t="s">
        <v>26</v>
      </c>
      <c r="R376" s="4">
        <v>0</v>
      </c>
      <c r="S376" s="4" t="s">
        <v>308</v>
      </c>
      <c r="T376" s="4" t="s">
        <v>505</v>
      </c>
      <c r="U376" s="4">
        <v>0</v>
      </c>
      <c r="V376" s="4">
        <v>62</v>
      </c>
      <c r="W376" s="4">
        <v>20</v>
      </c>
    </row>
    <row r="377" spans="1:23" ht="11.25" customHeight="1" x14ac:dyDescent="0.25">
      <c r="A377" s="4" t="s">
        <v>21</v>
      </c>
      <c r="B377" s="4" t="s">
        <v>36</v>
      </c>
      <c r="C377" s="4" t="s">
        <v>32</v>
      </c>
      <c r="D377" s="4" t="s">
        <v>40</v>
      </c>
      <c r="E377" s="4" t="s">
        <v>25</v>
      </c>
      <c r="F377" s="4" t="s">
        <v>25</v>
      </c>
      <c r="G377" s="4" t="s">
        <v>25</v>
      </c>
      <c r="H377" s="4" t="s">
        <v>33</v>
      </c>
      <c r="I377" s="5">
        <v>44713</v>
      </c>
      <c r="J377" s="6">
        <v>0</v>
      </c>
      <c r="K377" s="6">
        <v>0</v>
      </c>
      <c r="L377" s="6">
        <v>2.7E-2</v>
      </c>
      <c r="M377" s="6">
        <v>2.7E-2</v>
      </c>
      <c r="N377" s="6">
        <v>2.7E-2</v>
      </c>
      <c r="O377" s="6">
        <v>2.7E-2</v>
      </c>
      <c r="P377" s="6">
        <v>0</v>
      </c>
      <c r="Q377" s="4" t="s">
        <v>26</v>
      </c>
      <c r="R377" s="4">
        <v>0</v>
      </c>
      <c r="S377" s="4" t="s">
        <v>309</v>
      </c>
      <c r="T377" s="4" t="s">
        <v>506</v>
      </c>
      <c r="U377" s="4">
        <v>0</v>
      </c>
      <c r="V377" s="4">
        <v>62</v>
      </c>
      <c r="W377" s="4">
        <v>20</v>
      </c>
    </row>
    <row r="378" spans="1:23" ht="11.25" customHeight="1" x14ac:dyDescent="0.25">
      <c r="A378" s="4" t="s">
        <v>55</v>
      </c>
      <c r="B378" s="4" t="s">
        <v>36</v>
      </c>
      <c r="C378" s="4" t="s">
        <v>32</v>
      </c>
      <c r="D378" s="4" t="s">
        <v>40</v>
      </c>
      <c r="E378" s="4" t="s">
        <v>25</v>
      </c>
      <c r="F378" s="4" t="s">
        <v>25</v>
      </c>
      <c r="G378" s="4" t="s">
        <v>25</v>
      </c>
      <c r="H378" s="4" t="s">
        <v>33</v>
      </c>
      <c r="I378" s="5">
        <v>44743</v>
      </c>
      <c r="J378" s="6">
        <v>0</v>
      </c>
      <c r="K378" s="6">
        <v>0</v>
      </c>
      <c r="L378" s="6">
        <v>2.7E-2</v>
      </c>
      <c r="M378" s="6">
        <v>2.7E-2</v>
      </c>
      <c r="N378" s="6">
        <v>2.7E-2</v>
      </c>
      <c r="O378" s="6">
        <v>2.7E-2</v>
      </c>
      <c r="P378" s="6">
        <v>0</v>
      </c>
      <c r="Q378" s="4" t="s">
        <v>26</v>
      </c>
      <c r="R378" s="4">
        <v>0</v>
      </c>
      <c r="S378" s="4" t="s">
        <v>310</v>
      </c>
      <c r="T378" s="4" t="s">
        <v>507</v>
      </c>
      <c r="U378" s="4">
        <v>0</v>
      </c>
      <c r="V378" s="4">
        <v>62</v>
      </c>
      <c r="W378" s="4">
        <v>20</v>
      </c>
    </row>
    <row r="379" spans="1:23" ht="11.25" customHeight="1" x14ac:dyDescent="0.25">
      <c r="A379" s="4" t="s">
        <v>21</v>
      </c>
      <c r="B379" s="4" t="s">
        <v>36</v>
      </c>
      <c r="C379" s="4" t="s">
        <v>23</v>
      </c>
      <c r="D379" s="4" t="s">
        <v>40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44409</v>
      </c>
      <c r="J379" s="6">
        <v>0</v>
      </c>
      <c r="K379" s="6">
        <v>0</v>
      </c>
      <c r="L379" s="6">
        <v>292.185</v>
      </c>
      <c r="M379" s="6">
        <v>292.185</v>
      </c>
      <c r="N379" s="6">
        <v>292.185</v>
      </c>
      <c r="O379" s="6">
        <v>292.185</v>
      </c>
      <c r="P379" s="6">
        <v>728</v>
      </c>
      <c r="Q379" s="4" t="s">
        <v>26</v>
      </c>
      <c r="R379" s="4">
        <v>0</v>
      </c>
      <c r="S379" s="4" t="s">
        <v>311</v>
      </c>
      <c r="T379" s="4" t="s">
        <v>508</v>
      </c>
      <c r="U379" s="4">
        <v>0</v>
      </c>
      <c r="V379" s="4">
        <v>65</v>
      </c>
      <c r="W379" s="4">
        <v>25</v>
      </c>
    </row>
    <row r="380" spans="1:23" ht="11.25" customHeight="1" x14ac:dyDescent="0.25">
      <c r="A380" s="4" t="s">
        <v>27</v>
      </c>
      <c r="B380" s="4" t="s">
        <v>36</v>
      </c>
      <c r="C380" s="4" t="s">
        <v>23</v>
      </c>
      <c r="D380" s="4" t="s">
        <v>40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44409</v>
      </c>
      <c r="J380" s="6">
        <v>0</v>
      </c>
      <c r="K380" s="6">
        <v>0</v>
      </c>
      <c r="L380" s="6">
        <v>13.595000000000001</v>
      </c>
      <c r="M380" s="6">
        <v>13.595000000000001</v>
      </c>
      <c r="N380" s="6">
        <v>13.595000000000001</v>
      </c>
      <c r="O380" s="6">
        <v>13.595000000000001</v>
      </c>
      <c r="P380" s="6">
        <v>62</v>
      </c>
      <c r="Q380" s="4" t="s">
        <v>26</v>
      </c>
      <c r="R380" s="4">
        <v>0</v>
      </c>
      <c r="S380" s="4" t="s">
        <v>311</v>
      </c>
      <c r="T380" s="4" t="s">
        <v>508</v>
      </c>
      <c r="U380" s="4">
        <v>0</v>
      </c>
      <c r="V380" s="4">
        <v>65</v>
      </c>
      <c r="W380" s="4">
        <v>25</v>
      </c>
    </row>
    <row r="381" spans="1:23" ht="11.25" customHeight="1" x14ac:dyDescent="0.25">
      <c r="A381" s="4" t="s">
        <v>21</v>
      </c>
      <c r="B381" s="4" t="s">
        <v>36</v>
      </c>
      <c r="C381" s="4" t="s">
        <v>23</v>
      </c>
      <c r="D381" s="4" t="s">
        <v>40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44440</v>
      </c>
      <c r="J381" s="6">
        <v>0</v>
      </c>
      <c r="K381" s="6">
        <v>0</v>
      </c>
      <c r="L381" s="6">
        <v>319.61500000000001</v>
      </c>
      <c r="M381" s="6">
        <v>319.61500000000001</v>
      </c>
      <c r="N381" s="6">
        <v>319.61500000000001</v>
      </c>
      <c r="O381" s="6">
        <v>319.61500000000001</v>
      </c>
      <c r="P381" s="6">
        <v>730</v>
      </c>
      <c r="Q381" s="4" t="s">
        <v>26</v>
      </c>
      <c r="R381" s="4">
        <v>0</v>
      </c>
      <c r="S381" s="4" t="s">
        <v>312</v>
      </c>
      <c r="T381" s="4" t="s">
        <v>509</v>
      </c>
      <c r="U381" s="4">
        <v>0</v>
      </c>
      <c r="V381" s="4">
        <v>65</v>
      </c>
      <c r="W381" s="4">
        <v>25</v>
      </c>
    </row>
    <row r="382" spans="1:23" ht="11.25" customHeight="1" x14ac:dyDescent="0.25">
      <c r="A382" s="4" t="s">
        <v>27</v>
      </c>
      <c r="B382" s="4" t="s">
        <v>36</v>
      </c>
      <c r="C382" s="4" t="s">
        <v>23</v>
      </c>
      <c r="D382" s="4" t="s">
        <v>40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44440</v>
      </c>
      <c r="J382" s="6">
        <v>0</v>
      </c>
      <c r="K382" s="6">
        <v>0</v>
      </c>
      <c r="L382" s="6">
        <v>11.760999999999999</v>
      </c>
      <c r="M382" s="6">
        <v>11.760999999999999</v>
      </c>
      <c r="N382" s="6">
        <v>11.760999999999999</v>
      </c>
      <c r="O382" s="6">
        <v>11.760999999999999</v>
      </c>
      <c r="P382" s="6">
        <v>63</v>
      </c>
      <c r="Q382" s="4" t="s">
        <v>26</v>
      </c>
      <c r="R382" s="4">
        <v>0</v>
      </c>
      <c r="S382" s="4" t="s">
        <v>312</v>
      </c>
      <c r="T382" s="4" t="s">
        <v>509</v>
      </c>
      <c r="U382" s="4">
        <v>0</v>
      </c>
      <c r="V382" s="4">
        <v>65</v>
      </c>
      <c r="W382" s="4">
        <v>25</v>
      </c>
    </row>
    <row r="383" spans="1:23" ht="11.25" customHeight="1" x14ac:dyDescent="0.25">
      <c r="A383" s="4" t="s">
        <v>21</v>
      </c>
      <c r="B383" s="4" t="s">
        <v>36</v>
      </c>
      <c r="C383" s="4" t="s">
        <v>23</v>
      </c>
      <c r="D383" s="4" t="s">
        <v>40</v>
      </c>
      <c r="E383" s="4" t="s">
        <v>25</v>
      </c>
      <c r="F383" s="4" t="s">
        <v>25</v>
      </c>
      <c r="G383" s="4" t="s">
        <v>25</v>
      </c>
      <c r="H383" s="4" t="s">
        <v>25</v>
      </c>
      <c r="I383" s="5">
        <v>44470</v>
      </c>
      <c r="J383" s="6">
        <v>0</v>
      </c>
      <c r="K383" s="6">
        <v>0</v>
      </c>
      <c r="L383" s="6">
        <v>290.27999999999997</v>
      </c>
      <c r="M383" s="6">
        <v>290.27999999999997</v>
      </c>
      <c r="N383" s="6">
        <v>290.27999999999997</v>
      </c>
      <c r="O383" s="6">
        <v>290.27999999999997</v>
      </c>
      <c r="P383" s="6">
        <v>724</v>
      </c>
      <c r="Q383" s="4" t="s">
        <v>26</v>
      </c>
      <c r="R383" s="4">
        <v>0</v>
      </c>
      <c r="S383" s="4" t="s">
        <v>313</v>
      </c>
      <c r="T383" s="4" t="s">
        <v>510</v>
      </c>
      <c r="U383" s="4">
        <v>0</v>
      </c>
      <c r="V383" s="4">
        <v>65</v>
      </c>
      <c r="W383" s="4">
        <v>25</v>
      </c>
    </row>
    <row r="384" spans="1:23" ht="11.25" customHeight="1" x14ac:dyDescent="0.25">
      <c r="A384" s="4" t="s">
        <v>27</v>
      </c>
      <c r="B384" s="4" t="s">
        <v>36</v>
      </c>
      <c r="C384" s="4" t="s">
        <v>23</v>
      </c>
      <c r="D384" s="4" t="s">
        <v>40</v>
      </c>
      <c r="E384" s="4" t="s">
        <v>25</v>
      </c>
      <c r="F384" s="4" t="s">
        <v>25</v>
      </c>
      <c r="G384" s="4" t="s">
        <v>25</v>
      </c>
      <c r="H384" s="4" t="s">
        <v>25</v>
      </c>
      <c r="I384" s="5">
        <v>44470</v>
      </c>
      <c r="J384" s="6">
        <v>0</v>
      </c>
      <c r="K384" s="6">
        <v>0</v>
      </c>
      <c r="L384" s="6">
        <v>16.209</v>
      </c>
      <c r="M384" s="6">
        <v>16.209</v>
      </c>
      <c r="N384" s="6">
        <v>16.209</v>
      </c>
      <c r="O384" s="6">
        <v>16.209</v>
      </c>
      <c r="P384" s="6">
        <v>68</v>
      </c>
      <c r="Q384" s="4" t="s">
        <v>26</v>
      </c>
      <c r="R384" s="4">
        <v>0</v>
      </c>
      <c r="S384" s="4" t="s">
        <v>313</v>
      </c>
      <c r="T384" s="4" t="s">
        <v>510</v>
      </c>
      <c r="U384" s="4">
        <v>0</v>
      </c>
      <c r="V384" s="4">
        <v>65</v>
      </c>
      <c r="W384" s="4">
        <v>25</v>
      </c>
    </row>
    <row r="385" spans="1:23" ht="11.25" customHeight="1" x14ac:dyDescent="0.25">
      <c r="A385" s="4" t="s">
        <v>21</v>
      </c>
      <c r="B385" s="4" t="s">
        <v>36</v>
      </c>
      <c r="C385" s="4" t="s">
        <v>23</v>
      </c>
      <c r="D385" s="4" t="s">
        <v>40</v>
      </c>
      <c r="E385" s="4" t="s">
        <v>25</v>
      </c>
      <c r="F385" s="4" t="s">
        <v>25</v>
      </c>
      <c r="G385" s="4" t="s">
        <v>25</v>
      </c>
      <c r="H385" s="4" t="s">
        <v>25</v>
      </c>
      <c r="I385" s="5">
        <v>44501</v>
      </c>
      <c r="J385" s="6">
        <v>0</v>
      </c>
      <c r="K385" s="6">
        <v>0</v>
      </c>
      <c r="L385" s="6">
        <v>354.77800000000002</v>
      </c>
      <c r="M385" s="6">
        <v>354.77800000000002</v>
      </c>
      <c r="N385" s="6">
        <v>354.77800000000002</v>
      </c>
      <c r="O385" s="6">
        <v>354.77800000000002</v>
      </c>
      <c r="P385" s="6">
        <v>724</v>
      </c>
      <c r="Q385" s="4" t="s">
        <v>26</v>
      </c>
      <c r="R385" s="4">
        <v>0</v>
      </c>
      <c r="S385" s="4" t="s">
        <v>314</v>
      </c>
      <c r="T385" s="4" t="s">
        <v>511</v>
      </c>
      <c r="U385" s="4">
        <v>0</v>
      </c>
      <c r="V385" s="4">
        <v>65</v>
      </c>
      <c r="W385" s="4">
        <v>25</v>
      </c>
    </row>
    <row r="386" spans="1:23" ht="11.25" customHeight="1" x14ac:dyDescent="0.25">
      <c r="A386" s="4" t="s">
        <v>27</v>
      </c>
      <c r="B386" s="4" t="s">
        <v>36</v>
      </c>
      <c r="C386" s="4" t="s">
        <v>23</v>
      </c>
      <c r="D386" s="4" t="s">
        <v>40</v>
      </c>
      <c r="E386" s="4" t="s">
        <v>25</v>
      </c>
      <c r="F386" s="4" t="s">
        <v>25</v>
      </c>
      <c r="G386" s="4" t="s">
        <v>25</v>
      </c>
      <c r="H386" s="4" t="s">
        <v>25</v>
      </c>
      <c r="I386" s="5">
        <v>44501</v>
      </c>
      <c r="J386" s="6">
        <v>0</v>
      </c>
      <c r="K386" s="6">
        <v>0</v>
      </c>
      <c r="L386" s="6">
        <v>12.118</v>
      </c>
      <c r="M386" s="6">
        <v>12.118</v>
      </c>
      <c r="N386" s="6">
        <v>12.118</v>
      </c>
      <c r="O386" s="6">
        <v>12.118</v>
      </c>
      <c r="P386" s="6">
        <v>71</v>
      </c>
      <c r="Q386" s="4" t="s">
        <v>26</v>
      </c>
      <c r="R386" s="4">
        <v>0</v>
      </c>
      <c r="S386" s="4" t="s">
        <v>314</v>
      </c>
      <c r="T386" s="4" t="s">
        <v>511</v>
      </c>
      <c r="U386" s="4">
        <v>0</v>
      </c>
      <c r="V386" s="4">
        <v>65</v>
      </c>
      <c r="W386" s="4">
        <v>25</v>
      </c>
    </row>
    <row r="387" spans="1:23" ht="11.25" customHeight="1" x14ac:dyDescent="0.25">
      <c r="A387" s="4" t="s">
        <v>21</v>
      </c>
      <c r="B387" s="4" t="s">
        <v>36</v>
      </c>
      <c r="C387" s="4" t="s">
        <v>23</v>
      </c>
      <c r="D387" s="4" t="s">
        <v>40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44531</v>
      </c>
      <c r="J387" s="6">
        <v>0</v>
      </c>
      <c r="K387" s="6">
        <v>0</v>
      </c>
      <c r="L387" s="6">
        <v>393.10399999999998</v>
      </c>
      <c r="M387" s="6">
        <v>393.10399999999998</v>
      </c>
      <c r="N387" s="6">
        <v>393.10399999999998</v>
      </c>
      <c r="O387" s="6">
        <v>393.10399999999998</v>
      </c>
      <c r="P387" s="6">
        <v>724</v>
      </c>
      <c r="Q387" s="4" t="s">
        <v>26</v>
      </c>
      <c r="R387" s="4">
        <v>0</v>
      </c>
      <c r="S387" s="4" t="s">
        <v>315</v>
      </c>
      <c r="T387" s="4" t="s">
        <v>512</v>
      </c>
      <c r="U387" s="4">
        <v>0</v>
      </c>
      <c r="V387" s="4">
        <v>65</v>
      </c>
      <c r="W387" s="4">
        <v>25</v>
      </c>
    </row>
    <row r="388" spans="1:23" ht="11.25" customHeight="1" x14ac:dyDescent="0.25">
      <c r="A388" s="4" t="s">
        <v>27</v>
      </c>
      <c r="B388" s="4" t="s">
        <v>36</v>
      </c>
      <c r="C388" s="4" t="s">
        <v>23</v>
      </c>
      <c r="D388" s="4" t="s">
        <v>40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44531</v>
      </c>
      <c r="J388" s="6">
        <v>0</v>
      </c>
      <c r="K388" s="6">
        <v>0</v>
      </c>
      <c r="L388" s="6">
        <v>15.016</v>
      </c>
      <c r="M388" s="6">
        <v>15.016</v>
      </c>
      <c r="N388" s="6">
        <v>15.016</v>
      </c>
      <c r="O388" s="6">
        <v>15.016</v>
      </c>
      <c r="P388" s="6">
        <v>74</v>
      </c>
      <c r="Q388" s="4" t="s">
        <v>26</v>
      </c>
      <c r="R388" s="4">
        <v>0</v>
      </c>
      <c r="S388" s="4" t="s">
        <v>315</v>
      </c>
      <c r="T388" s="4" t="s">
        <v>512</v>
      </c>
      <c r="U388" s="4">
        <v>0</v>
      </c>
      <c r="V388" s="4">
        <v>65</v>
      </c>
      <c r="W388" s="4">
        <v>25</v>
      </c>
    </row>
    <row r="389" spans="1:23" ht="11.25" customHeight="1" x14ac:dyDescent="0.25">
      <c r="A389" s="4" t="s">
        <v>21</v>
      </c>
      <c r="B389" s="4" t="s">
        <v>36</v>
      </c>
      <c r="C389" s="4" t="s">
        <v>23</v>
      </c>
      <c r="D389" s="4" t="s">
        <v>40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44562</v>
      </c>
      <c r="J389" s="6">
        <v>0</v>
      </c>
      <c r="K389" s="6">
        <v>0</v>
      </c>
      <c r="L389" s="6">
        <v>376.59699999999998</v>
      </c>
      <c r="M389" s="6">
        <v>376.59699999999998</v>
      </c>
      <c r="N389" s="6">
        <v>376.59699999999998</v>
      </c>
      <c r="O389" s="6">
        <v>376.59699999999998</v>
      </c>
      <c r="P389" s="6">
        <v>721</v>
      </c>
      <c r="Q389" s="4" t="s">
        <v>26</v>
      </c>
      <c r="R389" s="4">
        <v>0</v>
      </c>
      <c r="S389" s="4" t="s">
        <v>316</v>
      </c>
      <c r="T389" s="4" t="s">
        <v>513</v>
      </c>
      <c r="U389" s="4">
        <v>0</v>
      </c>
      <c r="V389" s="4">
        <v>65</v>
      </c>
      <c r="W389" s="4">
        <v>25</v>
      </c>
    </row>
    <row r="390" spans="1:23" ht="11.25" customHeight="1" x14ac:dyDescent="0.25">
      <c r="A390" s="4" t="s">
        <v>27</v>
      </c>
      <c r="B390" s="4" t="s">
        <v>36</v>
      </c>
      <c r="C390" s="4" t="s">
        <v>23</v>
      </c>
      <c r="D390" s="4" t="s">
        <v>40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44562</v>
      </c>
      <c r="J390" s="6">
        <v>0</v>
      </c>
      <c r="K390" s="6">
        <v>0</v>
      </c>
      <c r="L390" s="6">
        <v>14.444000000000001</v>
      </c>
      <c r="M390" s="6">
        <v>14.444000000000001</v>
      </c>
      <c r="N390" s="6">
        <v>14.444000000000001</v>
      </c>
      <c r="O390" s="6">
        <v>14.444000000000001</v>
      </c>
      <c r="P390" s="6">
        <v>75</v>
      </c>
      <c r="Q390" s="4" t="s">
        <v>26</v>
      </c>
      <c r="R390" s="4">
        <v>0</v>
      </c>
      <c r="S390" s="4" t="s">
        <v>316</v>
      </c>
      <c r="T390" s="4" t="s">
        <v>513</v>
      </c>
      <c r="U390" s="4">
        <v>0</v>
      </c>
      <c r="V390" s="4">
        <v>65</v>
      </c>
      <c r="W390" s="4">
        <v>25</v>
      </c>
    </row>
    <row r="391" spans="1:23" ht="11.25" customHeight="1" x14ac:dyDescent="0.25">
      <c r="A391" s="4" t="s">
        <v>21</v>
      </c>
      <c r="B391" s="4" t="s">
        <v>36</v>
      </c>
      <c r="C391" s="4" t="s">
        <v>23</v>
      </c>
      <c r="D391" s="4" t="s">
        <v>40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44593</v>
      </c>
      <c r="J391" s="6">
        <v>0</v>
      </c>
      <c r="K391" s="6">
        <v>0</v>
      </c>
      <c r="L391" s="6">
        <v>345.58699999999999</v>
      </c>
      <c r="M391" s="6">
        <v>345.58699999999999</v>
      </c>
      <c r="N391" s="6">
        <v>345.58699999999999</v>
      </c>
      <c r="O391" s="6">
        <v>345.58699999999999</v>
      </c>
      <c r="P391" s="6">
        <v>720</v>
      </c>
      <c r="Q391" s="4" t="s">
        <v>26</v>
      </c>
      <c r="R391" s="4">
        <v>0</v>
      </c>
      <c r="S391" s="4" t="s">
        <v>317</v>
      </c>
      <c r="T391" s="4" t="s">
        <v>514</v>
      </c>
      <c r="U391" s="4">
        <v>0</v>
      </c>
      <c r="V391" s="4">
        <v>65</v>
      </c>
      <c r="W391" s="4">
        <v>25</v>
      </c>
    </row>
    <row r="392" spans="1:23" ht="11.25" customHeight="1" x14ac:dyDescent="0.25">
      <c r="A392" s="4" t="s">
        <v>27</v>
      </c>
      <c r="B392" s="4" t="s">
        <v>36</v>
      </c>
      <c r="C392" s="4" t="s">
        <v>23</v>
      </c>
      <c r="D392" s="4" t="s">
        <v>40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44593</v>
      </c>
      <c r="J392" s="6">
        <v>0</v>
      </c>
      <c r="K392" s="6">
        <v>0</v>
      </c>
      <c r="L392" s="6">
        <v>17.829000000000001</v>
      </c>
      <c r="M392" s="6">
        <v>17.829000000000001</v>
      </c>
      <c r="N392" s="6">
        <v>17.829000000000001</v>
      </c>
      <c r="O392" s="6">
        <v>17.829000000000001</v>
      </c>
      <c r="P392" s="6">
        <v>76</v>
      </c>
      <c r="Q392" s="4" t="s">
        <v>26</v>
      </c>
      <c r="R392" s="4">
        <v>0</v>
      </c>
      <c r="S392" s="4" t="s">
        <v>317</v>
      </c>
      <c r="T392" s="4" t="s">
        <v>514</v>
      </c>
      <c r="U392" s="4">
        <v>0</v>
      </c>
      <c r="V392" s="4">
        <v>65</v>
      </c>
      <c r="W392" s="4">
        <v>25</v>
      </c>
    </row>
    <row r="393" spans="1:23" ht="11.25" customHeight="1" x14ac:dyDescent="0.25">
      <c r="A393" s="4" t="s">
        <v>21</v>
      </c>
      <c r="B393" s="4" t="s">
        <v>36</v>
      </c>
      <c r="C393" s="4" t="s">
        <v>23</v>
      </c>
      <c r="D393" s="4" t="s">
        <v>40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44621</v>
      </c>
      <c r="J393" s="6">
        <v>0</v>
      </c>
      <c r="K393" s="6">
        <v>0</v>
      </c>
      <c r="L393" s="6">
        <v>361.27199999999999</v>
      </c>
      <c r="M393" s="6">
        <v>361.27199999999999</v>
      </c>
      <c r="N393" s="6">
        <v>361.27199999999999</v>
      </c>
      <c r="O393" s="6">
        <v>361.27199999999999</v>
      </c>
      <c r="P393" s="6">
        <v>720</v>
      </c>
      <c r="Q393" s="4" t="s">
        <v>26</v>
      </c>
      <c r="R393" s="4">
        <v>0</v>
      </c>
      <c r="S393" s="4" t="s">
        <v>318</v>
      </c>
      <c r="T393" s="4" t="s">
        <v>515</v>
      </c>
      <c r="U393" s="4">
        <v>0</v>
      </c>
      <c r="V393" s="4">
        <v>65</v>
      </c>
      <c r="W393" s="4">
        <v>25</v>
      </c>
    </row>
    <row r="394" spans="1:23" ht="11.25" customHeight="1" x14ac:dyDescent="0.25">
      <c r="A394" s="4" t="s">
        <v>27</v>
      </c>
      <c r="B394" s="4" t="s">
        <v>36</v>
      </c>
      <c r="C394" s="4" t="s">
        <v>23</v>
      </c>
      <c r="D394" s="4" t="s">
        <v>40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44621</v>
      </c>
      <c r="J394" s="6">
        <v>0</v>
      </c>
      <c r="K394" s="6">
        <v>0</v>
      </c>
      <c r="L394" s="6">
        <v>28.901</v>
      </c>
      <c r="M394" s="6">
        <v>28.901</v>
      </c>
      <c r="N394" s="6">
        <v>28.901</v>
      </c>
      <c r="O394" s="6">
        <v>28.901</v>
      </c>
      <c r="P394" s="6">
        <v>82</v>
      </c>
      <c r="Q394" s="4" t="s">
        <v>26</v>
      </c>
      <c r="R394" s="4">
        <v>0</v>
      </c>
      <c r="S394" s="4" t="s">
        <v>318</v>
      </c>
      <c r="T394" s="4" t="s">
        <v>515</v>
      </c>
      <c r="U394" s="4">
        <v>0</v>
      </c>
      <c r="V394" s="4">
        <v>65</v>
      </c>
      <c r="W394" s="4">
        <v>25</v>
      </c>
    </row>
    <row r="395" spans="1:23" ht="11.25" customHeight="1" x14ac:dyDescent="0.25">
      <c r="A395" s="4" t="s">
        <v>21</v>
      </c>
      <c r="B395" s="4" t="s">
        <v>36</v>
      </c>
      <c r="C395" s="4" t="s">
        <v>23</v>
      </c>
      <c r="D395" s="4" t="s">
        <v>40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44652</v>
      </c>
      <c r="J395" s="6">
        <v>0</v>
      </c>
      <c r="K395" s="6">
        <v>0</v>
      </c>
      <c r="L395" s="6">
        <v>283.11</v>
      </c>
      <c r="M395" s="6">
        <v>283.11</v>
      </c>
      <c r="N395" s="6">
        <v>283.11</v>
      </c>
      <c r="O395" s="6">
        <v>283.11</v>
      </c>
      <c r="P395" s="6">
        <v>726</v>
      </c>
      <c r="Q395" s="4" t="s">
        <v>26</v>
      </c>
      <c r="R395" s="4">
        <v>0</v>
      </c>
      <c r="S395" s="4" t="s">
        <v>319</v>
      </c>
      <c r="T395" s="4" t="s">
        <v>516</v>
      </c>
      <c r="U395" s="4">
        <v>0</v>
      </c>
      <c r="V395" s="4">
        <v>65</v>
      </c>
      <c r="W395" s="4">
        <v>25</v>
      </c>
    </row>
    <row r="396" spans="1:23" ht="11.25" customHeight="1" x14ac:dyDescent="0.25">
      <c r="A396" s="4" t="s">
        <v>27</v>
      </c>
      <c r="B396" s="4" t="s">
        <v>36</v>
      </c>
      <c r="C396" s="4" t="s">
        <v>23</v>
      </c>
      <c r="D396" s="4" t="s">
        <v>40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44652</v>
      </c>
      <c r="J396" s="6">
        <v>0</v>
      </c>
      <c r="K396" s="6">
        <v>0</v>
      </c>
      <c r="L396" s="6">
        <v>22.95</v>
      </c>
      <c r="M396" s="6">
        <v>22.95</v>
      </c>
      <c r="N396" s="6">
        <v>22.95</v>
      </c>
      <c r="O396" s="6">
        <v>22.95</v>
      </c>
      <c r="P396" s="6">
        <v>83</v>
      </c>
      <c r="Q396" s="4" t="s">
        <v>26</v>
      </c>
      <c r="R396" s="4">
        <v>0</v>
      </c>
      <c r="S396" s="4" t="s">
        <v>319</v>
      </c>
      <c r="T396" s="4" t="s">
        <v>516</v>
      </c>
      <c r="U396" s="4">
        <v>0</v>
      </c>
      <c r="V396" s="4">
        <v>65</v>
      </c>
      <c r="W396" s="4">
        <v>25</v>
      </c>
    </row>
    <row r="397" spans="1:23" ht="11.25" customHeight="1" x14ac:dyDescent="0.25">
      <c r="A397" s="4" t="s">
        <v>21</v>
      </c>
      <c r="B397" s="4" t="s">
        <v>36</v>
      </c>
      <c r="C397" s="4" t="s">
        <v>23</v>
      </c>
      <c r="D397" s="4" t="s">
        <v>40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44682</v>
      </c>
      <c r="J397" s="6">
        <v>0</v>
      </c>
      <c r="K397" s="6">
        <v>0</v>
      </c>
      <c r="L397" s="6">
        <v>287.95999999999998</v>
      </c>
      <c r="M397" s="6">
        <v>287.95999999999998</v>
      </c>
      <c r="N397" s="6">
        <v>287.95999999999998</v>
      </c>
      <c r="O397" s="6">
        <v>287.95999999999998</v>
      </c>
      <c r="P397" s="6">
        <v>728</v>
      </c>
      <c r="Q397" s="4" t="s">
        <v>26</v>
      </c>
      <c r="R397" s="4">
        <v>0</v>
      </c>
      <c r="S397" s="4" t="s">
        <v>320</v>
      </c>
      <c r="T397" s="4" t="s">
        <v>517</v>
      </c>
      <c r="U397" s="4">
        <v>0</v>
      </c>
      <c r="V397" s="4">
        <v>65</v>
      </c>
      <c r="W397" s="4">
        <v>25</v>
      </c>
    </row>
    <row r="398" spans="1:23" ht="11.25" customHeight="1" x14ac:dyDescent="0.25">
      <c r="A398" s="4" t="s">
        <v>54</v>
      </c>
      <c r="B398" s="4" t="s">
        <v>36</v>
      </c>
      <c r="C398" s="4" t="s">
        <v>23</v>
      </c>
      <c r="D398" s="4" t="s">
        <v>40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44682</v>
      </c>
      <c r="J398" s="6">
        <v>0</v>
      </c>
      <c r="K398" s="6">
        <v>0</v>
      </c>
      <c r="L398" s="6">
        <v>-0.09</v>
      </c>
      <c r="M398" s="6">
        <v>-0.09</v>
      </c>
      <c r="N398" s="6">
        <v>-0.09</v>
      </c>
      <c r="O398" s="6">
        <v>-0.09</v>
      </c>
      <c r="P398" s="6">
        <v>0</v>
      </c>
      <c r="Q398" s="4" t="s">
        <v>26</v>
      </c>
      <c r="R398" s="4">
        <v>0</v>
      </c>
      <c r="S398" s="4" t="s">
        <v>320</v>
      </c>
      <c r="T398" s="4" t="s">
        <v>517</v>
      </c>
      <c r="U398" s="4">
        <v>0</v>
      </c>
      <c r="V398" s="4">
        <v>65</v>
      </c>
      <c r="W398" s="4">
        <v>25</v>
      </c>
    </row>
    <row r="399" spans="1:23" ht="11.25" customHeight="1" x14ac:dyDescent="0.25">
      <c r="A399" s="4" t="s">
        <v>27</v>
      </c>
      <c r="B399" s="4" t="s">
        <v>36</v>
      </c>
      <c r="C399" s="4" t="s">
        <v>23</v>
      </c>
      <c r="D399" s="4" t="s">
        <v>40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44682</v>
      </c>
      <c r="J399" s="6">
        <v>0</v>
      </c>
      <c r="K399" s="6">
        <v>0</v>
      </c>
      <c r="L399" s="6">
        <v>24.727</v>
      </c>
      <c r="M399" s="6">
        <v>24.727</v>
      </c>
      <c r="N399" s="6">
        <v>24.727</v>
      </c>
      <c r="O399" s="6">
        <v>24.727</v>
      </c>
      <c r="P399" s="6">
        <v>81</v>
      </c>
      <c r="Q399" s="4" t="s">
        <v>26</v>
      </c>
      <c r="R399" s="4">
        <v>0</v>
      </c>
      <c r="S399" s="4" t="s">
        <v>320</v>
      </c>
      <c r="T399" s="4" t="s">
        <v>517</v>
      </c>
      <c r="U399" s="4">
        <v>0</v>
      </c>
      <c r="V399" s="4">
        <v>65</v>
      </c>
      <c r="W399" s="4">
        <v>25</v>
      </c>
    </row>
    <row r="400" spans="1:23" ht="11.25" customHeight="1" x14ac:dyDescent="0.25">
      <c r="A400" s="4" t="s">
        <v>21</v>
      </c>
      <c r="B400" s="4" t="s">
        <v>36</v>
      </c>
      <c r="C400" s="4" t="s">
        <v>23</v>
      </c>
      <c r="D400" s="4" t="s">
        <v>40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44713</v>
      </c>
      <c r="J400" s="6">
        <v>0</v>
      </c>
      <c r="K400" s="6">
        <v>0</v>
      </c>
      <c r="L400" s="6">
        <v>268.26799999999997</v>
      </c>
      <c r="M400" s="6">
        <v>268.26799999999997</v>
      </c>
      <c r="N400" s="6">
        <v>268.26799999999997</v>
      </c>
      <c r="O400" s="6">
        <v>268.26799999999997</v>
      </c>
      <c r="P400" s="6">
        <v>732</v>
      </c>
      <c r="Q400" s="4" t="s">
        <v>26</v>
      </c>
      <c r="R400" s="4">
        <v>0</v>
      </c>
      <c r="S400" s="4" t="s">
        <v>321</v>
      </c>
      <c r="T400" s="4" t="s">
        <v>518</v>
      </c>
      <c r="U400" s="4">
        <v>0</v>
      </c>
      <c r="V400" s="4">
        <v>65</v>
      </c>
      <c r="W400" s="4">
        <v>25</v>
      </c>
    </row>
    <row r="401" spans="1:23" ht="11.25" customHeight="1" x14ac:dyDescent="0.25">
      <c r="A401" s="4" t="s">
        <v>27</v>
      </c>
      <c r="B401" s="4" t="s">
        <v>36</v>
      </c>
      <c r="C401" s="4" t="s">
        <v>23</v>
      </c>
      <c r="D401" s="4" t="s">
        <v>40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44713</v>
      </c>
      <c r="J401" s="6">
        <v>0</v>
      </c>
      <c r="K401" s="6">
        <v>0</v>
      </c>
      <c r="L401" s="6">
        <v>31.753</v>
      </c>
      <c r="M401" s="6">
        <v>31.753</v>
      </c>
      <c r="N401" s="6">
        <v>31.753</v>
      </c>
      <c r="O401" s="6">
        <v>31.753</v>
      </c>
      <c r="P401" s="6">
        <v>80</v>
      </c>
      <c r="Q401" s="4" t="s">
        <v>26</v>
      </c>
      <c r="R401" s="4">
        <v>0</v>
      </c>
      <c r="S401" s="4" t="s">
        <v>321</v>
      </c>
      <c r="T401" s="4" t="s">
        <v>518</v>
      </c>
      <c r="U401" s="4">
        <v>0</v>
      </c>
      <c r="V401" s="4">
        <v>65</v>
      </c>
      <c r="W401" s="4">
        <v>25</v>
      </c>
    </row>
    <row r="402" spans="1:23" ht="11.25" customHeight="1" x14ac:dyDescent="0.25">
      <c r="A402" s="4" t="s">
        <v>55</v>
      </c>
      <c r="B402" s="4" t="s">
        <v>36</v>
      </c>
      <c r="C402" s="4" t="s">
        <v>23</v>
      </c>
      <c r="D402" s="4" t="s">
        <v>40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44743</v>
      </c>
      <c r="J402" s="6">
        <v>0</v>
      </c>
      <c r="K402" s="6">
        <v>0</v>
      </c>
      <c r="L402" s="6">
        <v>268.26799999999997</v>
      </c>
      <c r="M402" s="6">
        <v>268.26799999999997</v>
      </c>
      <c r="N402" s="6">
        <v>268.26799999999997</v>
      </c>
      <c r="O402" s="6">
        <v>268.26799999999997</v>
      </c>
      <c r="P402" s="6">
        <v>732</v>
      </c>
      <c r="Q402" s="4" t="s">
        <v>26</v>
      </c>
      <c r="R402" s="4">
        <v>0</v>
      </c>
      <c r="S402" s="4" t="s">
        <v>322</v>
      </c>
      <c r="T402" s="4" t="s">
        <v>519</v>
      </c>
      <c r="U402" s="4">
        <v>0</v>
      </c>
      <c r="V402" s="4">
        <v>65</v>
      </c>
      <c r="W402" s="4">
        <v>25</v>
      </c>
    </row>
    <row r="403" spans="1:23" ht="11.25" customHeight="1" x14ac:dyDescent="0.25">
      <c r="A403" s="4" t="s">
        <v>55</v>
      </c>
      <c r="B403" s="4" t="s">
        <v>36</v>
      </c>
      <c r="C403" s="4" t="s">
        <v>23</v>
      </c>
      <c r="D403" s="4" t="s">
        <v>40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44743</v>
      </c>
      <c r="J403" s="6">
        <v>0</v>
      </c>
      <c r="K403" s="6">
        <v>0</v>
      </c>
      <c r="L403" s="6">
        <v>31.753</v>
      </c>
      <c r="M403" s="6">
        <v>31.753</v>
      </c>
      <c r="N403" s="6">
        <v>31.753</v>
      </c>
      <c r="O403" s="6">
        <v>31.753</v>
      </c>
      <c r="P403" s="6">
        <v>80</v>
      </c>
      <c r="Q403" s="4" t="s">
        <v>26</v>
      </c>
      <c r="R403" s="4">
        <v>0</v>
      </c>
      <c r="S403" s="4" t="s">
        <v>322</v>
      </c>
      <c r="T403" s="4" t="s">
        <v>519</v>
      </c>
      <c r="U403" s="4">
        <v>0</v>
      </c>
      <c r="V403" s="4">
        <v>65</v>
      </c>
      <c r="W403" s="4">
        <v>25</v>
      </c>
    </row>
    <row r="404" spans="1:23" ht="11.25" customHeight="1" x14ac:dyDescent="0.25">
      <c r="A404" s="4" t="s">
        <v>21</v>
      </c>
      <c r="B404" s="4" t="s">
        <v>36</v>
      </c>
      <c r="C404" s="4" t="s">
        <v>23</v>
      </c>
      <c r="D404" s="4" t="s">
        <v>49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44409</v>
      </c>
      <c r="J404" s="6">
        <v>0</v>
      </c>
      <c r="K404" s="6">
        <v>0</v>
      </c>
      <c r="L404" s="6">
        <v>6.327</v>
      </c>
      <c r="M404" s="6">
        <v>6.327</v>
      </c>
      <c r="N404" s="6">
        <v>6.327</v>
      </c>
      <c r="O404" s="6">
        <v>6.327</v>
      </c>
      <c r="P404" s="6">
        <v>3</v>
      </c>
      <c r="Q404" s="4" t="s">
        <v>26</v>
      </c>
      <c r="R404" s="4">
        <v>0</v>
      </c>
      <c r="S404" s="4" t="s">
        <v>311</v>
      </c>
      <c r="T404" s="4" t="s">
        <v>508</v>
      </c>
      <c r="U404" s="4">
        <v>0</v>
      </c>
      <c r="V404" s="4">
        <v>65</v>
      </c>
      <c r="W404" s="4">
        <v>25</v>
      </c>
    </row>
    <row r="405" spans="1:23" ht="11.25" customHeight="1" x14ac:dyDescent="0.25">
      <c r="A405" s="4" t="s">
        <v>21</v>
      </c>
      <c r="B405" s="4" t="s">
        <v>36</v>
      </c>
      <c r="C405" s="4" t="s">
        <v>23</v>
      </c>
      <c r="D405" s="4" t="s">
        <v>49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44440</v>
      </c>
      <c r="J405" s="6">
        <v>0</v>
      </c>
      <c r="K405" s="6">
        <v>0</v>
      </c>
      <c r="L405" s="6">
        <v>6.0439999999999996</v>
      </c>
      <c r="M405" s="6">
        <v>6.0439999999999996</v>
      </c>
      <c r="N405" s="6">
        <v>6.0439999999999996</v>
      </c>
      <c r="O405" s="6">
        <v>6.0439999999999996</v>
      </c>
      <c r="P405" s="6">
        <v>3</v>
      </c>
      <c r="Q405" s="4" t="s">
        <v>26</v>
      </c>
      <c r="R405" s="4">
        <v>0</v>
      </c>
      <c r="S405" s="4" t="s">
        <v>312</v>
      </c>
      <c r="T405" s="4" t="s">
        <v>509</v>
      </c>
      <c r="U405" s="4">
        <v>0</v>
      </c>
      <c r="V405" s="4">
        <v>65</v>
      </c>
      <c r="W405" s="4">
        <v>25</v>
      </c>
    </row>
    <row r="406" spans="1:23" ht="11.25" customHeight="1" x14ac:dyDescent="0.25">
      <c r="A406" s="4" t="s">
        <v>21</v>
      </c>
      <c r="B406" s="4" t="s">
        <v>36</v>
      </c>
      <c r="C406" s="4" t="s">
        <v>23</v>
      </c>
      <c r="D406" s="4" t="s">
        <v>49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44470</v>
      </c>
      <c r="J406" s="6">
        <v>0</v>
      </c>
      <c r="K406" s="6">
        <v>0</v>
      </c>
      <c r="L406" s="6">
        <v>6.4960000000000004</v>
      </c>
      <c r="M406" s="6">
        <v>6.4960000000000004</v>
      </c>
      <c r="N406" s="6">
        <v>6.4960000000000004</v>
      </c>
      <c r="O406" s="6">
        <v>6.4960000000000004</v>
      </c>
      <c r="P406" s="6">
        <v>3</v>
      </c>
      <c r="Q406" s="4" t="s">
        <v>26</v>
      </c>
      <c r="R406" s="4">
        <v>0</v>
      </c>
      <c r="S406" s="4" t="s">
        <v>313</v>
      </c>
      <c r="T406" s="4" t="s">
        <v>510</v>
      </c>
      <c r="U406" s="4">
        <v>0</v>
      </c>
      <c r="V406" s="4">
        <v>65</v>
      </c>
      <c r="W406" s="4">
        <v>25</v>
      </c>
    </row>
    <row r="407" spans="1:23" ht="11.25" customHeight="1" x14ac:dyDescent="0.25">
      <c r="A407" s="4" t="s">
        <v>21</v>
      </c>
      <c r="B407" s="4" t="s">
        <v>36</v>
      </c>
      <c r="C407" s="4" t="s">
        <v>23</v>
      </c>
      <c r="D407" s="4" t="s">
        <v>49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44501</v>
      </c>
      <c r="J407" s="6">
        <v>0</v>
      </c>
      <c r="K407" s="6">
        <v>0</v>
      </c>
      <c r="L407" s="6">
        <v>5.3410000000000002</v>
      </c>
      <c r="M407" s="6">
        <v>5.3410000000000002</v>
      </c>
      <c r="N407" s="6">
        <v>5.3410000000000002</v>
      </c>
      <c r="O407" s="6">
        <v>5.3410000000000002</v>
      </c>
      <c r="P407" s="6">
        <v>3</v>
      </c>
      <c r="Q407" s="4" t="s">
        <v>26</v>
      </c>
      <c r="R407" s="4">
        <v>0</v>
      </c>
      <c r="S407" s="4" t="s">
        <v>314</v>
      </c>
      <c r="T407" s="4" t="s">
        <v>511</v>
      </c>
      <c r="U407" s="4">
        <v>0</v>
      </c>
      <c r="V407" s="4">
        <v>65</v>
      </c>
      <c r="W407" s="4">
        <v>25</v>
      </c>
    </row>
    <row r="408" spans="1:23" ht="11.25" customHeight="1" x14ac:dyDescent="0.25">
      <c r="A408" s="4" t="s">
        <v>21</v>
      </c>
      <c r="B408" s="4" t="s">
        <v>36</v>
      </c>
      <c r="C408" s="4" t="s">
        <v>23</v>
      </c>
      <c r="D408" s="4" t="s">
        <v>49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44531</v>
      </c>
      <c r="J408" s="6">
        <v>0</v>
      </c>
      <c r="K408" s="6">
        <v>0</v>
      </c>
      <c r="L408" s="6">
        <v>5.7690000000000001</v>
      </c>
      <c r="M408" s="6">
        <v>5.7690000000000001</v>
      </c>
      <c r="N408" s="6">
        <v>5.7690000000000001</v>
      </c>
      <c r="O408" s="6">
        <v>5.7690000000000001</v>
      </c>
      <c r="P408" s="6">
        <v>3</v>
      </c>
      <c r="Q408" s="4" t="s">
        <v>26</v>
      </c>
      <c r="R408" s="4">
        <v>0</v>
      </c>
      <c r="S408" s="4" t="s">
        <v>315</v>
      </c>
      <c r="T408" s="4" t="s">
        <v>512</v>
      </c>
      <c r="U408" s="4">
        <v>0</v>
      </c>
      <c r="V408" s="4">
        <v>65</v>
      </c>
      <c r="W408" s="4">
        <v>25</v>
      </c>
    </row>
    <row r="409" spans="1:23" ht="11.25" customHeight="1" x14ac:dyDescent="0.25">
      <c r="A409" s="4" t="s">
        <v>21</v>
      </c>
      <c r="B409" s="4" t="s">
        <v>36</v>
      </c>
      <c r="C409" s="4" t="s">
        <v>23</v>
      </c>
      <c r="D409" s="4" t="s">
        <v>49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44562</v>
      </c>
      <c r="J409" s="6">
        <v>0</v>
      </c>
      <c r="K409" s="6">
        <v>0</v>
      </c>
      <c r="L409" s="6">
        <v>6.2809999999999997</v>
      </c>
      <c r="M409" s="6">
        <v>6.2809999999999997</v>
      </c>
      <c r="N409" s="6">
        <v>6.2809999999999997</v>
      </c>
      <c r="O409" s="6">
        <v>6.2809999999999997</v>
      </c>
      <c r="P409" s="6">
        <v>3</v>
      </c>
      <c r="Q409" s="4" t="s">
        <v>26</v>
      </c>
      <c r="R409" s="4">
        <v>0</v>
      </c>
      <c r="S409" s="4" t="s">
        <v>316</v>
      </c>
      <c r="T409" s="4" t="s">
        <v>513</v>
      </c>
      <c r="U409" s="4">
        <v>0</v>
      </c>
      <c r="V409" s="4">
        <v>65</v>
      </c>
      <c r="W409" s="4">
        <v>25</v>
      </c>
    </row>
    <row r="410" spans="1:23" ht="11.25" customHeight="1" x14ac:dyDescent="0.25">
      <c r="A410" s="4" t="s">
        <v>21</v>
      </c>
      <c r="B410" s="4" t="s">
        <v>36</v>
      </c>
      <c r="C410" s="4" t="s">
        <v>23</v>
      </c>
      <c r="D410" s="4" t="s">
        <v>49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44593</v>
      </c>
      <c r="J410" s="6">
        <v>0</v>
      </c>
      <c r="K410" s="6">
        <v>0</v>
      </c>
      <c r="L410" s="6">
        <v>6.3</v>
      </c>
      <c r="M410" s="6">
        <v>6.3</v>
      </c>
      <c r="N410" s="6">
        <v>6.3</v>
      </c>
      <c r="O410" s="6">
        <v>6.3</v>
      </c>
      <c r="P410" s="6">
        <v>3</v>
      </c>
      <c r="Q410" s="4" t="s">
        <v>26</v>
      </c>
      <c r="R410" s="4">
        <v>0</v>
      </c>
      <c r="S410" s="4" t="s">
        <v>317</v>
      </c>
      <c r="T410" s="4" t="s">
        <v>514</v>
      </c>
      <c r="U410" s="4">
        <v>0</v>
      </c>
      <c r="V410" s="4">
        <v>65</v>
      </c>
      <c r="W410" s="4">
        <v>25</v>
      </c>
    </row>
    <row r="411" spans="1:23" ht="11.25" customHeight="1" x14ac:dyDescent="0.25">
      <c r="A411" s="4" t="s">
        <v>21</v>
      </c>
      <c r="B411" s="4" t="s">
        <v>36</v>
      </c>
      <c r="C411" s="4" t="s">
        <v>23</v>
      </c>
      <c r="D411" s="4" t="s">
        <v>49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44621</v>
      </c>
      <c r="J411" s="6">
        <v>0</v>
      </c>
      <c r="K411" s="6">
        <v>0</v>
      </c>
      <c r="L411" s="6">
        <v>5.9020000000000001</v>
      </c>
      <c r="M411" s="6">
        <v>5.9020000000000001</v>
      </c>
      <c r="N411" s="6">
        <v>5.9020000000000001</v>
      </c>
      <c r="O411" s="6">
        <v>5.9020000000000001</v>
      </c>
      <c r="P411" s="6">
        <v>4</v>
      </c>
      <c r="Q411" s="4" t="s">
        <v>26</v>
      </c>
      <c r="R411" s="4">
        <v>0</v>
      </c>
      <c r="S411" s="4" t="s">
        <v>318</v>
      </c>
      <c r="T411" s="4" t="s">
        <v>515</v>
      </c>
      <c r="U411" s="4">
        <v>0</v>
      </c>
      <c r="V411" s="4">
        <v>65</v>
      </c>
      <c r="W411" s="4">
        <v>25</v>
      </c>
    </row>
    <row r="412" spans="1:23" ht="11.25" customHeight="1" x14ac:dyDescent="0.25">
      <c r="A412" s="4" t="s">
        <v>21</v>
      </c>
      <c r="B412" s="4" t="s">
        <v>36</v>
      </c>
      <c r="C412" s="4" t="s">
        <v>23</v>
      </c>
      <c r="D412" s="4" t="s">
        <v>49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0</v>
      </c>
      <c r="K412" s="6">
        <v>0</v>
      </c>
      <c r="L412" s="6">
        <v>5.4180000000000001</v>
      </c>
      <c r="M412" s="6">
        <v>5.4180000000000001</v>
      </c>
      <c r="N412" s="6">
        <v>5.4180000000000001</v>
      </c>
      <c r="O412" s="6">
        <v>5.4180000000000001</v>
      </c>
      <c r="P412" s="6">
        <v>5</v>
      </c>
      <c r="Q412" s="4" t="s">
        <v>26</v>
      </c>
      <c r="R412" s="4">
        <v>0</v>
      </c>
      <c r="S412" s="4" t="s">
        <v>319</v>
      </c>
      <c r="T412" s="4" t="s">
        <v>516</v>
      </c>
      <c r="U412" s="4">
        <v>0</v>
      </c>
      <c r="V412" s="4">
        <v>65</v>
      </c>
      <c r="W412" s="4">
        <v>25</v>
      </c>
    </row>
    <row r="413" spans="1:23" ht="11.25" customHeight="1" x14ac:dyDescent="0.25">
      <c r="A413" s="4" t="s">
        <v>21</v>
      </c>
      <c r="B413" s="4" t="s">
        <v>36</v>
      </c>
      <c r="C413" s="4" t="s">
        <v>23</v>
      </c>
      <c r="D413" s="4" t="s">
        <v>49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44682</v>
      </c>
      <c r="J413" s="6">
        <v>0</v>
      </c>
      <c r="K413" s="6">
        <v>0</v>
      </c>
      <c r="L413" s="6">
        <v>5.0190000000000001</v>
      </c>
      <c r="M413" s="6">
        <v>5.0190000000000001</v>
      </c>
      <c r="N413" s="6">
        <v>5.0190000000000001</v>
      </c>
      <c r="O413" s="6">
        <v>5.0190000000000001</v>
      </c>
      <c r="P413" s="6">
        <v>5</v>
      </c>
      <c r="Q413" s="4" t="s">
        <v>26</v>
      </c>
      <c r="R413" s="4">
        <v>0</v>
      </c>
      <c r="S413" s="4" t="s">
        <v>320</v>
      </c>
      <c r="T413" s="4" t="s">
        <v>517</v>
      </c>
      <c r="U413" s="4">
        <v>0</v>
      </c>
      <c r="V413" s="4">
        <v>65</v>
      </c>
      <c r="W413" s="4">
        <v>25</v>
      </c>
    </row>
    <row r="414" spans="1:23" ht="11.25" customHeight="1" x14ac:dyDescent="0.25">
      <c r="A414" s="4" t="s">
        <v>21</v>
      </c>
      <c r="B414" s="4" t="s">
        <v>36</v>
      </c>
      <c r="C414" s="4" t="s">
        <v>23</v>
      </c>
      <c r="D414" s="4" t="s">
        <v>49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44713</v>
      </c>
      <c r="J414" s="6">
        <v>0</v>
      </c>
      <c r="K414" s="6">
        <v>0</v>
      </c>
      <c r="L414" s="6">
        <v>2.41</v>
      </c>
      <c r="M414" s="6">
        <v>2.41</v>
      </c>
      <c r="N414" s="6">
        <v>2.41</v>
      </c>
      <c r="O414" s="6">
        <v>2.41</v>
      </c>
      <c r="P414" s="6">
        <v>5</v>
      </c>
      <c r="Q414" s="4" t="s">
        <v>26</v>
      </c>
      <c r="R414" s="4">
        <v>0</v>
      </c>
      <c r="S414" s="4" t="s">
        <v>321</v>
      </c>
      <c r="T414" s="4" t="s">
        <v>518</v>
      </c>
      <c r="U414" s="4">
        <v>0</v>
      </c>
      <c r="V414" s="4">
        <v>65</v>
      </c>
      <c r="W414" s="4">
        <v>25</v>
      </c>
    </row>
    <row r="415" spans="1:23" ht="11.25" customHeight="1" x14ac:dyDescent="0.25">
      <c r="A415" s="4" t="s">
        <v>55</v>
      </c>
      <c r="B415" s="4" t="s">
        <v>36</v>
      </c>
      <c r="C415" s="4" t="s">
        <v>23</v>
      </c>
      <c r="D415" s="4" t="s">
        <v>49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44743</v>
      </c>
      <c r="J415" s="6">
        <v>0</v>
      </c>
      <c r="K415" s="6">
        <v>0</v>
      </c>
      <c r="L415" s="6">
        <v>2.41</v>
      </c>
      <c r="M415" s="6">
        <v>2.41</v>
      </c>
      <c r="N415" s="6">
        <v>2.41</v>
      </c>
      <c r="O415" s="6">
        <v>2.41</v>
      </c>
      <c r="P415" s="6">
        <v>5</v>
      </c>
      <c r="Q415" s="4" t="s">
        <v>26</v>
      </c>
      <c r="R415" s="4">
        <v>0</v>
      </c>
      <c r="S415" s="4" t="s">
        <v>322</v>
      </c>
      <c r="T415" s="4" t="s">
        <v>519</v>
      </c>
      <c r="U415" s="4">
        <v>0</v>
      </c>
      <c r="V415" s="4">
        <v>65</v>
      </c>
      <c r="W415" s="4">
        <v>25</v>
      </c>
    </row>
    <row r="416" spans="1:23" ht="11.25" customHeight="1" x14ac:dyDescent="0.25">
      <c r="A416" s="4" t="s">
        <v>21</v>
      </c>
      <c r="B416" s="4" t="s">
        <v>36</v>
      </c>
      <c r="C416" s="4" t="s">
        <v>23</v>
      </c>
      <c r="D416" s="4" t="s">
        <v>37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84.075999999999993</v>
      </c>
      <c r="M416" s="6">
        <v>84.075999999999993</v>
      </c>
      <c r="N416" s="6">
        <v>84.075999999999993</v>
      </c>
      <c r="O416" s="6">
        <v>84.075999999999993</v>
      </c>
      <c r="P416" s="6">
        <v>178</v>
      </c>
      <c r="Q416" s="4" t="s">
        <v>26</v>
      </c>
      <c r="R416" s="4">
        <v>0</v>
      </c>
      <c r="S416" s="4" t="s">
        <v>311</v>
      </c>
      <c r="T416" s="4" t="s">
        <v>508</v>
      </c>
      <c r="U416" s="4">
        <v>0</v>
      </c>
      <c r="V416" s="4">
        <v>65</v>
      </c>
      <c r="W416" s="4">
        <v>25</v>
      </c>
    </row>
    <row r="417" spans="1:23" ht="11.25" customHeight="1" x14ac:dyDescent="0.25">
      <c r="A417" s="4" t="s">
        <v>27</v>
      </c>
      <c r="B417" s="4" t="s">
        <v>36</v>
      </c>
      <c r="C417" s="4" t="s">
        <v>23</v>
      </c>
      <c r="D417" s="4" t="s">
        <v>37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44409</v>
      </c>
      <c r="J417" s="6">
        <v>0</v>
      </c>
      <c r="K417" s="6">
        <v>0</v>
      </c>
      <c r="L417" s="6">
        <v>1.48</v>
      </c>
      <c r="M417" s="6">
        <v>1.48</v>
      </c>
      <c r="N417" s="6">
        <v>1.48</v>
      </c>
      <c r="O417" s="6">
        <v>1.48</v>
      </c>
      <c r="P417" s="6">
        <v>5</v>
      </c>
      <c r="Q417" s="4" t="s">
        <v>26</v>
      </c>
      <c r="R417" s="4">
        <v>0</v>
      </c>
      <c r="S417" s="4" t="s">
        <v>311</v>
      </c>
      <c r="T417" s="4" t="s">
        <v>508</v>
      </c>
      <c r="U417" s="4">
        <v>0</v>
      </c>
      <c r="V417" s="4">
        <v>65</v>
      </c>
      <c r="W417" s="4">
        <v>25</v>
      </c>
    </row>
    <row r="418" spans="1:23" ht="11.25" customHeight="1" x14ac:dyDescent="0.25">
      <c r="A418" s="4" t="s">
        <v>21</v>
      </c>
      <c r="B418" s="4" t="s">
        <v>36</v>
      </c>
      <c r="C418" s="4" t="s">
        <v>23</v>
      </c>
      <c r="D418" s="4" t="s">
        <v>37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91.444999999999993</v>
      </c>
      <c r="M418" s="6">
        <v>91.444999999999993</v>
      </c>
      <c r="N418" s="6">
        <v>91.444999999999993</v>
      </c>
      <c r="O418" s="6">
        <v>91.444999999999993</v>
      </c>
      <c r="P418" s="6">
        <v>191</v>
      </c>
      <c r="Q418" s="4" t="s">
        <v>26</v>
      </c>
      <c r="R418" s="4">
        <v>0</v>
      </c>
      <c r="S418" s="4" t="s">
        <v>312</v>
      </c>
      <c r="T418" s="4" t="s">
        <v>509</v>
      </c>
      <c r="U418" s="4">
        <v>0</v>
      </c>
      <c r="V418" s="4">
        <v>65</v>
      </c>
      <c r="W418" s="4">
        <v>25</v>
      </c>
    </row>
    <row r="419" spans="1:23" ht="11.25" customHeight="1" x14ac:dyDescent="0.25">
      <c r="A419" s="4" t="s">
        <v>27</v>
      </c>
      <c r="B419" s="4" t="s">
        <v>36</v>
      </c>
      <c r="C419" s="4" t="s">
        <v>23</v>
      </c>
      <c r="D419" s="4" t="s">
        <v>37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44440</v>
      </c>
      <c r="J419" s="6">
        <v>0</v>
      </c>
      <c r="K419" s="6">
        <v>0</v>
      </c>
      <c r="L419" s="6">
        <v>0.55900000000000005</v>
      </c>
      <c r="M419" s="6">
        <v>0.55900000000000005</v>
      </c>
      <c r="N419" s="6">
        <v>0.55900000000000005</v>
      </c>
      <c r="O419" s="6">
        <v>0.55900000000000005</v>
      </c>
      <c r="P419" s="6">
        <v>5</v>
      </c>
      <c r="Q419" s="4" t="s">
        <v>26</v>
      </c>
      <c r="R419" s="4">
        <v>0</v>
      </c>
      <c r="S419" s="4" t="s">
        <v>312</v>
      </c>
      <c r="T419" s="4" t="s">
        <v>509</v>
      </c>
      <c r="U419" s="4">
        <v>0</v>
      </c>
      <c r="V419" s="4">
        <v>65</v>
      </c>
      <c r="W419" s="4">
        <v>25</v>
      </c>
    </row>
    <row r="420" spans="1:23" ht="11.25" customHeight="1" x14ac:dyDescent="0.25">
      <c r="A420" s="4" t="s">
        <v>21</v>
      </c>
      <c r="B420" s="4" t="s">
        <v>36</v>
      </c>
      <c r="C420" s="4" t="s">
        <v>23</v>
      </c>
      <c r="D420" s="4" t="s">
        <v>37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44470</v>
      </c>
      <c r="J420" s="6">
        <v>0</v>
      </c>
      <c r="K420" s="6">
        <v>0</v>
      </c>
      <c r="L420" s="6">
        <v>87.825999999999993</v>
      </c>
      <c r="M420" s="6">
        <v>87.825999999999993</v>
      </c>
      <c r="N420" s="6">
        <v>87.825999999999993</v>
      </c>
      <c r="O420" s="6">
        <v>87.825999999999993</v>
      </c>
      <c r="P420" s="6">
        <v>204</v>
      </c>
      <c r="Q420" s="4" t="s">
        <v>26</v>
      </c>
      <c r="R420" s="4">
        <v>0</v>
      </c>
      <c r="S420" s="4" t="s">
        <v>313</v>
      </c>
      <c r="T420" s="4" t="s">
        <v>510</v>
      </c>
      <c r="U420" s="4">
        <v>0</v>
      </c>
      <c r="V420" s="4">
        <v>65</v>
      </c>
      <c r="W420" s="4">
        <v>25</v>
      </c>
    </row>
    <row r="421" spans="1:23" ht="11.25" customHeight="1" x14ac:dyDescent="0.25">
      <c r="A421" s="4" t="s">
        <v>27</v>
      </c>
      <c r="B421" s="4" t="s">
        <v>36</v>
      </c>
      <c r="C421" s="4" t="s">
        <v>23</v>
      </c>
      <c r="D421" s="4" t="s">
        <v>37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44470</v>
      </c>
      <c r="J421" s="6">
        <v>0</v>
      </c>
      <c r="K421" s="6">
        <v>0</v>
      </c>
      <c r="L421" s="6">
        <v>0.92300000000000004</v>
      </c>
      <c r="M421" s="6">
        <v>0.92300000000000004</v>
      </c>
      <c r="N421" s="6">
        <v>0.92300000000000004</v>
      </c>
      <c r="O421" s="6">
        <v>0.92300000000000004</v>
      </c>
      <c r="P421" s="6">
        <v>6</v>
      </c>
      <c r="Q421" s="4" t="s">
        <v>26</v>
      </c>
      <c r="R421" s="4">
        <v>0</v>
      </c>
      <c r="S421" s="4" t="s">
        <v>313</v>
      </c>
      <c r="T421" s="4" t="s">
        <v>510</v>
      </c>
      <c r="U421" s="4">
        <v>0</v>
      </c>
      <c r="V421" s="4">
        <v>65</v>
      </c>
      <c r="W421" s="4">
        <v>25</v>
      </c>
    </row>
    <row r="422" spans="1:23" ht="11.25" customHeight="1" x14ac:dyDescent="0.25">
      <c r="A422" s="4" t="s">
        <v>21</v>
      </c>
      <c r="B422" s="4" t="s">
        <v>36</v>
      </c>
      <c r="C422" s="4" t="s">
        <v>23</v>
      </c>
      <c r="D422" s="4" t="s">
        <v>37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44501</v>
      </c>
      <c r="J422" s="6">
        <v>0</v>
      </c>
      <c r="K422" s="6">
        <v>0</v>
      </c>
      <c r="L422" s="6">
        <v>90.174999999999997</v>
      </c>
      <c r="M422" s="6">
        <v>90.174999999999997</v>
      </c>
      <c r="N422" s="6">
        <v>90.174999999999997</v>
      </c>
      <c r="O422" s="6">
        <v>90.174999999999997</v>
      </c>
      <c r="P422" s="6">
        <v>209</v>
      </c>
      <c r="Q422" s="4" t="s">
        <v>26</v>
      </c>
      <c r="R422" s="4">
        <v>0</v>
      </c>
      <c r="S422" s="4" t="s">
        <v>314</v>
      </c>
      <c r="T422" s="4" t="s">
        <v>511</v>
      </c>
      <c r="U422" s="4">
        <v>0</v>
      </c>
      <c r="V422" s="4">
        <v>65</v>
      </c>
      <c r="W422" s="4">
        <v>25</v>
      </c>
    </row>
    <row r="423" spans="1:23" ht="11.25" customHeight="1" x14ac:dyDescent="0.25">
      <c r="A423" s="4" t="s">
        <v>27</v>
      </c>
      <c r="B423" s="4" t="s">
        <v>36</v>
      </c>
      <c r="C423" s="4" t="s">
        <v>23</v>
      </c>
      <c r="D423" s="4" t="s">
        <v>37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44501</v>
      </c>
      <c r="J423" s="6">
        <v>0</v>
      </c>
      <c r="K423" s="6">
        <v>0</v>
      </c>
      <c r="L423" s="6">
        <v>0.64300000000000002</v>
      </c>
      <c r="M423" s="6">
        <v>0.64300000000000002</v>
      </c>
      <c r="N423" s="6">
        <v>0.64300000000000002</v>
      </c>
      <c r="O423" s="6">
        <v>0.64300000000000002</v>
      </c>
      <c r="P423" s="6">
        <v>6</v>
      </c>
      <c r="Q423" s="4" t="s">
        <v>26</v>
      </c>
      <c r="R423" s="4">
        <v>0</v>
      </c>
      <c r="S423" s="4" t="s">
        <v>314</v>
      </c>
      <c r="T423" s="4" t="s">
        <v>511</v>
      </c>
      <c r="U423" s="4">
        <v>0</v>
      </c>
      <c r="V423" s="4">
        <v>65</v>
      </c>
      <c r="W423" s="4">
        <v>25</v>
      </c>
    </row>
    <row r="424" spans="1:23" ht="11.25" customHeight="1" x14ac:dyDescent="0.25">
      <c r="A424" s="4" t="s">
        <v>21</v>
      </c>
      <c r="B424" s="4" t="s">
        <v>36</v>
      </c>
      <c r="C424" s="4" t="s">
        <v>23</v>
      </c>
      <c r="D424" s="4" t="s">
        <v>37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98.649000000000001</v>
      </c>
      <c r="M424" s="6">
        <v>98.649000000000001</v>
      </c>
      <c r="N424" s="6">
        <v>98.649000000000001</v>
      </c>
      <c r="O424" s="6">
        <v>98.649000000000001</v>
      </c>
      <c r="P424" s="6">
        <v>209</v>
      </c>
      <c r="Q424" s="4" t="s">
        <v>26</v>
      </c>
      <c r="R424" s="4">
        <v>0</v>
      </c>
      <c r="S424" s="4" t="s">
        <v>315</v>
      </c>
      <c r="T424" s="4" t="s">
        <v>512</v>
      </c>
      <c r="U424" s="4">
        <v>0</v>
      </c>
      <c r="V424" s="4">
        <v>65</v>
      </c>
      <c r="W424" s="4">
        <v>25</v>
      </c>
    </row>
    <row r="425" spans="1:23" ht="11.25" customHeight="1" x14ac:dyDescent="0.25">
      <c r="A425" s="4" t="s">
        <v>27</v>
      </c>
      <c r="B425" s="4" t="s">
        <v>36</v>
      </c>
      <c r="C425" s="4" t="s">
        <v>23</v>
      </c>
      <c r="D425" s="4" t="s">
        <v>37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44531</v>
      </c>
      <c r="J425" s="6">
        <v>0</v>
      </c>
      <c r="K425" s="6">
        <v>0</v>
      </c>
      <c r="L425" s="6">
        <v>1.7350000000000001</v>
      </c>
      <c r="M425" s="6">
        <v>1.7350000000000001</v>
      </c>
      <c r="N425" s="6">
        <v>1.7350000000000001</v>
      </c>
      <c r="O425" s="6">
        <v>1.7350000000000001</v>
      </c>
      <c r="P425" s="6">
        <v>7</v>
      </c>
      <c r="Q425" s="4" t="s">
        <v>26</v>
      </c>
      <c r="R425" s="4">
        <v>0</v>
      </c>
      <c r="S425" s="4" t="s">
        <v>315</v>
      </c>
      <c r="T425" s="4" t="s">
        <v>512</v>
      </c>
      <c r="U425" s="4">
        <v>0</v>
      </c>
      <c r="V425" s="4">
        <v>65</v>
      </c>
      <c r="W425" s="4">
        <v>25</v>
      </c>
    </row>
    <row r="426" spans="1:23" ht="11.25" customHeight="1" x14ac:dyDescent="0.25">
      <c r="A426" s="4" t="s">
        <v>21</v>
      </c>
      <c r="B426" s="4" t="s">
        <v>36</v>
      </c>
      <c r="C426" s="4" t="s">
        <v>23</v>
      </c>
      <c r="D426" s="4" t="s">
        <v>37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92.94</v>
      </c>
      <c r="M426" s="6">
        <v>92.94</v>
      </c>
      <c r="N426" s="6">
        <v>92.94</v>
      </c>
      <c r="O426" s="6">
        <v>92.94</v>
      </c>
      <c r="P426" s="6">
        <v>213</v>
      </c>
      <c r="Q426" s="4" t="s">
        <v>26</v>
      </c>
      <c r="R426" s="4">
        <v>0</v>
      </c>
      <c r="S426" s="4" t="s">
        <v>316</v>
      </c>
      <c r="T426" s="4" t="s">
        <v>513</v>
      </c>
      <c r="U426" s="4">
        <v>0</v>
      </c>
      <c r="V426" s="4">
        <v>65</v>
      </c>
      <c r="W426" s="4">
        <v>25</v>
      </c>
    </row>
    <row r="427" spans="1:23" ht="11.25" customHeight="1" x14ac:dyDescent="0.25">
      <c r="A427" s="4" t="s">
        <v>27</v>
      </c>
      <c r="B427" s="4" t="s">
        <v>36</v>
      </c>
      <c r="C427" s="4" t="s">
        <v>23</v>
      </c>
      <c r="D427" s="4" t="s">
        <v>37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">
        <v>0</v>
      </c>
      <c r="L427" s="6">
        <v>0.7</v>
      </c>
      <c r="M427" s="6">
        <v>0.7</v>
      </c>
      <c r="N427" s="6">
        <v>0.7</v>
      </c>
      <c r="O427" s="6">
        <v>0.7</v>
      </c>
      <c r="P427" s="6">
        <v>7</v>
      </c>
      <c r="Q427" s="4" t="s">
        <v>26</v>
      </c>
      <c r="R427" s="4">
        <v>0</v>
      </c>
      <c r="S427" s="4" t="s">
        <v>316</v>
      </c>
      <c r="T427" s="4" t="s">
        <v>513</v>
      </c>
      <c r="U427" s="4">
        <v>0</v>
      </c>
      <c r="V427" s="4">
        <v>65</v>
      </c>
      <c r="W427" s="4">
        <v>25</v>
      </c>
    </row>
    <row r="428" spans="1:23" ht="11.25" customHeight="1" x14ac:dyDescent="0.25">
      <c r="A428" s="4" t="s">
        <v>21</v>
      </c>
      <c r="B428" s="4" t="s">
        <v>36</v>
      </c>
      <c r="C428" s="4" t="s">
        <v>23</v>
      </c>
      <c r="D428" s="4" t="s">
        <v>37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">
        <v>0</v>
      </c>
      <c r="L428" s="6">
        <v>99.83</v>
      </c>
      <c r="M428" s="6">
        <v>99.83</v>
      </c>
      <c r="N428" s="6">
        <v>99.83</v>
      </c>
      <c r="O428" s="6">
        <v>99.83</v>
      </c>
      <c r="P428" s="6">
        <v>216</v>
      </c>
      <c r="Q428" s="4" t="s">
        <v>26</v>
      </c>
      <c r="R428" s="4">
        <v>0</v>
      </c>
      <c r="S428" s="4" t="s">
        <v>317</v>
      </c>
      <c r="T428" s="4" t="s">
        <v>514</v>
      </c>
      <c r="U428" s="4">
        <v>0</v>
      </c>
      <c r="V428" s="4">
        <v>65</v>
      </c>
      <c r="W428" s="4">
        <v>25</v>
      </c>
    </row>
    <row r="429" spans="1:23" ht="11.25" customHeight="1" x14ac:dyDescent="0.25">
      <c r="A429" s="4" t="s">
        <v>27</v>
      </c>
      <c r="B429" s="4" t="s">
        <v>36</v>
      </c>
      <c r="C429" s="4" t="s">
        <v>23</v>
      </c>
      <c r="D429" s="4" t="s">
        <v>37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44593</v>
      </c>
      <c r="J429" s="6">
        <v>0</v>
      </c>
      <c r="K429" s="6">
        <v>0</v>
      </c>
      <c r="L429" s="6">
        <v>1.284</v>
      </c>
      <c r="M429" s="6">
        <v>1.284</v>
      </c>
      <c r="N429" s="6">
        <v>1.284</v>
      </c>
      <c r="O429" s="6">
        <v>1.284</v>
      </c>
      <c r="P429" s="6">
        <v>8</v>
      </c>
      <c r="Q429" s="4" t="s">
        <v>26</v>
      </c>
      <c r="R429" s="4">
        <v>0</v>
      </c>
      <c r="S429" s="4" t="s">
        <v>317</v>
      </c>
      <c r="T429" s="4" t="s">
        <v>514</v>
      </c>
      <c r="U429" s="4">
        <v>0</v>
      </c>
      <c r="V429" s="4">
        <v>65</v>
      </c>
      <c r="W429" s="4">
        <v>25</v>
      </c>
    </row>
    <row r="430" spans="1:23" ht="11.25" customHeight="1" x14ac:dyDescent="0.25">
      <c r="A430" s="4" t="s">
        <v>21</v>
      </c>
      <c r="B430" s="4" t="s">
        <v>36</v>
      </c>
      <c r="C430" s="4" t="s">
        <v>23</v>
      </c>
      <c r="D430" s="4" t="s">
        <v>37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44621</v>
      </c>
      <c r="J430" s="6">
        <v>0</v>
      </c>
      <c r="K430" s="6">
        <v>0</v>
      </c>
      <c r="L430" s="6">
        <v>92.855000000000004</v>
      </c>
      <c r="M430" s="6">
        <v>92.855000000000004</v>
      </c>
      <c r="N430" s="6">
        <v>92.855000000000004</v>
      </c>
      <c r="O430" s="6">
        <v>92.855000000000004</v>
      </c>
      <c r="P430" s="6">
        <v>219</v>
      </c>
      <c r="Q430" s="4" t="s">
        <v>26</v>
      </c>
      <c r="R430" s="4">
        <v>0</v>
      </c>
      <c r="S430" s="4" t="s">
        <v>318</v>
      </c>
      <c r="T430" s="4" t="s">
        <v>515</v>
      </c>
      <c r="U430" s="4">
        <v>0</v>
      </c>
      <c r="V430" s="4">
        <v>65</v>
      </c>
      <c r="W430" s="4">
        <v>25</v>
      </c>
    </row>
    <row r="431" spans="1:23" ht="11.25" customHeight="1" x14ac:dyDescent="0.25">
      <c r="A431" s="4" t="s">
        <v>27</v>
      </c>
      <c r="B431" s="4" t="s">
        <v>36</v>
      </c>
      <c r="C431" s="4" t="s">
        <v>23</v>
      </c>
      <c r="D431" s="4" t="s">
        <v>37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44621</v>
      </c>
      <c r="J431" s="6">
        <v>0</v>
      </c>
      <c r="K431" s="6">
        <v>0</v>
      </c>
      <c r="L431" s="6">
        <v>6.6959999999999997</v>
      </c>
      <c r="M431" s="6">
        <v>6.6959999999999997</v>
      </c>
      <c r="N431" s="6">
        <v>6.6959999999999997</v>
      </c>
      <c r="O431" s="6">
        <v>6.6959999999999997</v>
      </c>
      <c r="P431" s="6">
        <v>10</v>
      </c>
      <c r="Q431" s="4" t="s">
        <v>26</v>
      </c>
      <c r="R431" s="4">
        <v>0</v>
      </c>
      <c r="S431" s="4" t="s">
        <v>318</v>
      </c>
      <c r="T431" s="4" t="s">
        <v>515</v>
      </c>
      <c r="U431" s="4">
        <v>0</v>
      </c>
      <c r="V431" s="4">
        <v>65</v>
      </c>
      <c r="W431" s="4">
        <v>25</v>
      </c>
    </row>
    <row r="432" spans="1:23" ht="11.25" customHeight="1" x14ac:dyDescent="0.25">
      <c r="A432" s="4" t="s">
        <v>21</v>
      </c>
      <c r="B432" s="4" t="s">
        <v>36</v>
      </c>
      <c r="C432" s="4" t="s">
        <v>23</v>
      </c>
      <c r="D432" s="4" t="s">
        <v>37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44652</v>
      </c>
      <c r="J432" s="6">
        <v>0</v>
      </c>
      <c r="K432" s="6">
        <v>0</v>
      </c>
      <c r="L432" s="6">
        <v>79.927000000000007</v>
      </c>
      <c r="M432" s="6">
        <v>79.927000000000007</v>
      </c>
      <c r="N432" s="6">
        <v>79.927000000000007</v>
      </c>
      <c r="O432" s="6">
        <v>79.927000000000007</v>
      </c>
      <c r="P432" s="6">
        <v>221</v>
      </c>
      <c r="Q432" s="4" t="s">
        <v>26</v>
      </c>
      <c r="R432" s="4">
        <v>0</v>
      </c>
      <c r="S432" s="4" t="s">
        <v>319</v>
      </c>
      <c r="T432" s="4" t="s">
        <v>516</v>
      </c>
      <c r="U432" s="4">
        <v>0</v>
      </c>
      <c r="V432" s="4">
        <v>65</v>
      </c>
      <c r="W432" s="4">
        <v>25</v>
      </c>
    </row>
    <row r="433" spans="1:23" ht="11.25" customHeight="1" x14ac:dyDescent="0.25">
      <c r="A433" s="4" t="s">
        <v>27</v>
      </c>
      <c r="B433" s="4" t="s">
        <v>36</v>
      </c>
      <c r="C433" s="4" t="s">
        <v>23</v>
      </c>
      <c r="D433" s="4" t="s">
        <v>37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44652</v>
      </c>
      <c r="J433" s="6">
        <v>0</v>
      </c>
      <c r="K433" s="6">
        <v>0</v>
      </c>
      <c r="L433" s="6">
        <v>8.5050000000000008</v>
      </c>
      <c r="M433" s="6">
        <v>8.5050000000000008</v>
      </c>
      <c r="N433" s="6">
        <v>8.5050000000000008</v>
      </c>
      <c r="O433" s="6">
        <v>8.5050000000000008</v>
      </c>
      <c r="P433" s="6">
        <v>11</v>
      </c>
      <c r="Q433" s="4" t="s">
        <v>26</v>
      </c>
      <c r="R433" s="4">
        <v>0</v>
      </c>
      <c r="S433" s="4" t="s">
        <v>319</v>
      </c>
      <c r="T433" s="4" t="s">
        <v>516</v>
      </c>
      <c r="U433" s="4">
        <v>0</v>
      </c>
      <c r="V433" s="4">
        <v>65</v>
      </c>
      <c r="W433" s="4">
        <v>25</v>
      </c>
    </row>
    <row r="434" spans="1:23" ht="11.25" customHeight="1" x14ac:dyDescent="0.25">
      <c r="A434" s="4" t="s">
        <v>21</v>
      </c>
      <c r="B434" s="4" t="s">
        <v>36</v>
      </c>
      <c r="C434" s="4" t="s">
        <v>23</v>
      </c>
      <c r="D434" s="4" t="s">
        <v>37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44682</v>
      </c>
      <c r="J434" s="6">
        <v>0</v>
      </c>
      <c r="K434" s="6">
        <v>0</v>
      </c>
      <c r="L434" s="6">
        <v>83.653999999999996</v>
      </c>
      <c r="M434" s="6">
        <v>83.653999999999996</v>
      </c>
      <c r="N434" s="6">
        <v>83.653999999999996</v>
      </c>
      <c r="O434" s="6">
        <v>83.653999999999996</v>
      </c>
      <c r="P434" s="6">
        <v>222</v>
      </c>
      <c r="Q434" s="4" t="s">
        <v>26</v>
      </c>
      <c r="R434" s="4">
        <v>0</v>
      </c>
      <c r="S434" s="4" t="s">
        <v>320</v>
      </c>
      <c r="T434" s="4" t="s">
        <v>517</v>
      </c>
      <c r="U434" s="4">
        <v>0</v>
      </c>
      <c r="V434" s="4">
        <v>65</v>
      </c>
      <c r="W434" s="4">
        <v>25</v>
      </c>
    </row>
    <row r="435" spans="1:23" ht="11.25" customHeight="1" x14ac:dyDescent="0.25">
      <c r="A435" s="4" t="s">
        <v>27</v>
      </c>
      <c r="B435" s="4" t="s">
        <v>36</v>
      </c>
      <c r="C435" s="4" t="s">
        <v>23</v>
      </c>
      <c r="D435" s="4" t="s">
        <v>37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44682</v>
      </c>
      <c r="J435" s="6">
        <v>0</v>
      </c>
      <c r="K435" s="6">
        <v>0</v>
      </c>
      <c r="L435" s="6">
        <v>8.6859999999999999</v>
      </c>
      <c r="M435" s="6">
        <v>8.6859999999999999</v>
      </c>
      <c r="N435" s="6">
        <v>8.6859999999999999</v>
      </c>
      <c r="O435" s="6">
        <v>8.6859999999999999</v>
      </c>
      <c r="P435" s="6">
        <v>11</v>
      </c>
      <c r="Q435" s="4" t="s">
        <v>26</v>
      </c>
      <c r="R435" s="4">
        <v>0</v>
      </c>
      <c r="S435" s="4" t="s">
        <v>320</v>
      </c>
      <c r="T435" s="4" t="s">
        <v>517</v>
      </c>
      <c r="U435" s="4">
        <v>0</v>
      </c>
      <c r="V435" s="4">
        <v>65</v>
      </c>
      <c r="W435" s="4">
        <v>25</v>
      </c>
    </row>
    <row r="436" spans="1:23" ht="11.25" customHeight="1" x14ac:dyDescent="0.25">
      <c r="A436" s="4" t="s">
        <v>21</v>
      </c>
      <c r="B436" s="4" t="s">
        <v>36</v>
      </c>
      <c r="C436" s="4" t="s">
        <v>23</v>
      </c>
      <c r="D436" s="4" t="s">
        <v>37</v>
      </c>
      <c r="E436" s="4" t="s">
        <v>25</v>
      </c>
      <c r="F436" s="4" t="s">
        <v>25</v>
      </c>
      <c r="G436" s="4" t="s">
        <v>25</v>
      </c>
      <c r="H436" s="4" t="s">
        <v>25</v>
      </c>
      <c r="I436" s="5">
        <v>44713</v>
      </c>
      <c r="J436" s="6">
        <v>0</v>
      </c>
      <c r="K436" s="6">
        <v>0</v>
      </c>
      <c r="L436" s="6">
        <v>82.186999999999998</v>
      </c>
      <c r="M436" s="6">
        <v>82.186999999999998</v>
      </c>
      <c r="N436" s="6">
        <v>82.186999999999998</v>
      </c>
      <c r="O436" s="6">
        <v>82.186999999999998</v>
      </c>
      <c r="P436" s="6">
        <v>223</v>
      </c>
      <c r="Q436" s="4" t="s">
        <v>26</v>
      </c>
      <c r="R436" s="4">
        <v>0</v>
      </c>
      <c r="S436" s="4" t="s">
        <v>321</v>
      </c>
      <c r="T436" s="4" t="s">
        <v>518</v>
      </c>
      <c r="U436" s="4">
        <v>0</v>
      </c>
      <c r="V436" s="4">
        <v>65</v>
      </c>
      <c r="W436" s="4">
        <v>25</v>
      </c>
    </row>
    <row r="437" spans="1:23" ht="11.25" customHeight="1" x14ac:dyDescent="0.25">
      <c r="A437" s="4" t="s">
        <v>27</v>
      </c>
      <c r="B437" s="4" t="s">
        <v>36</v>
      </c>
      <c r="C437" s="4" t="s">
        <v>23</v>
      </c>
      <c r="D437" s="4" t="s">
        <v>37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44713</v>
      </c>
      <c r="J437" s="6">
        <v>0</v>
      </c>
      <c r="K437" s="6">
        <v>0</v>
      </c>
      <c r="L437" s="6">
        <v>10.351000000000001</v>
      </c>
      <c r="M437" s="6">
        <v>10.351000000000001</v>
      </c>
      <c r="N437" s="6">
        <v>10.351000000000001</v>
      </c>
      <c r="O437" s="6">
        <v>10.351000000000001</v>
      </c>
      <c r="P437" s="6">
        <v>11</v>
      </c>
      <c r="Q437" s="4" t="s">
        <v>26</v>
      </c>
      <c r="R437" s="4">
        <v>0</v>
      </c>
      <c r="S437" s="4" t="s">
        <v>321</v>
      </c>
      <c r="T437" s="4" t="s">
        <v>518</v>
      </c>
      <c r="U437" s="4">
        <v>0</v>
      </c>
      <c r="V437" s="4">
        <v>65</v>
      </c>
      <c r="W437" s="4">
        <v>25</v>
      </c>
    </row>
    <row r="438" spans="1:23" ht="11.25" customHeight="1" x14ac:dyDescent="0.25">
      <c r="A438" s="4" t="s">
        <v>55</v>
      </c>
      <c r="B438" s="4" t="s">
        <v>36</v>
      </c>
      <c r="C438" s="4" t="s">
        <v>23</v>
      </c>
      <c r="D438" s="4" t="s">
        <v>37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44743</v>
      </c>
      <c r="J438" s="6">
        <v>0</v>
      </c>
      <c r="K438" s="6">
        <v>0</v>
      </c>
      <c r="L438" s="6">
        <v>82.186999999999998</v>
      </c>
      <c r="M438" s="6">
        <v>82.186999999999998</v>
      </c>
      <c r="N438" s="6">
        <v>82.186999999999998</v>
      </c>
      <c r="O438" s="6">
        <v>82.186999999999998</v>
      </c>
      <c r="P438" s="6">
        <v>223</v>
      </c>
      <c r="Q438" s="4" t="s">
        <v>26</v>
      </c>
      <c r="R438" s="4">
        <v>0</v>
      </c>
      <c r="S438" s="4" t="s">
        <v>322</v>
      </c>
      <c r="T438" s="4" t="s">
        <v>519</v>
      </c>
      <c r="U438" s="4">
        <v>0</v>
      </c>
      <c r="V438" s="4">
        <v>65</v>
      </c>
      <c r="W438" s="4">
        <v>25</v>
      </c>
    </row>
    <row r="439" spans="1:23" ht="11.25" customHeight="1" x14ac:dyDescent="0.25">
      <c r="A439" s="4" t="s">
        <v>55</v>
      </c>
      <c r="B439" s="4" t="s">
        <v>36</v>
      </c>
      <c r="C439" s="4" t="s">
        <v>23</v>
      </c>
      <c r="D439" s="4" t="s">
        <v>37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44743</v>
      </c>
      <c r="J439" s="6">
        <v>0</v>
      </c>
      <c r="K439" s="6">
        <v>0</v>
      </c>
      <c r="L439" s="6">
        <v>10.351000000000001</v>
      </c>
      <c r="M439" s="6">
        <v>10.351000000000001</v>
      </c>
      <c r="N439" s="6">
        <v>10.351000000000001</v>
      </c>
      <c r="O439" s="6">
        <v>10.351000000000001</v>
      </c>
      <c r="P439" s="6">
        <v>11</v>
      </c>
      <c r="Q439" s="4" t="s">
        <v>26</v>
      </c>
      <c r="R439" s="4">
        <v>0</v>
      </c>
      <c r="S439" s="4" t="s">
        <v>322</v>
      </c>
      <c r="T439" s="4" t="s">
        <v>519</v>
      </c>
      <c r="U439" s="4">
        <v>0</v>
      </c>
      <c r="V439" s="4">
        <v>65</v>
      </c>
      <c r="W439" s="4">
        <v>25</v>
      </c>
    </row>
    <row r="440" spans="1:23" ht="11.25" customHeight="1" x14ac:dyDescent="0.25">
      <c r="A440" s="4" t="s">
        <v>21</v>
      </c>
      <c r="B440" s="4" t="s">
        <v>36</v>
      </c>
      <c r="C440" s="4" t="s">
        <v>23</v>
      </c>
      <c r="D440" s="4" t="s">
        <v>43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44409</v>
      </c>
      <c r="J440" s="6">
        <v>0</v>
      </c>
      <c r="K440" s="6">
        <v>0</v>
      </c>
      <c r="L440" s="6">
        <v>76.701999999999998</v>
      </c>
      <c r="M440" s="6">
        <v>76.701999999999998</v>
      </c>
      <c r="N440" s="6">
        <v>76.701999999999998</v>
      </c>
      <c r="O440" s="6">
        <v>76.701999999999998</v>
      </c>
      <c r="P440" s="6">
        <v>95</v>
      </c>
      <c r="Q440" s="4" t="s">
        <v>26</v>
      </c>
      <c r="R440" s="4">
        <v>0</v>
      </c>
      <c r="S440" s="4" t="s">
        <v>311</v>
      </c>
      <c r="T440" s="4" t="s">
        <v>508</v>
      </c>
      <c r="U440" s="4">
        <v>0</v>
      </c>
      <c r="V440" s="4">
        <v>65</v>
      </c>
      <c r="W440" s="4">
        <v>25</v>
      </c>
    </row>
    <row r="441" spans="1:23" ht="11.25" customHeight="1" x14ac:dyDescent="0.25">
      <c r="A441" s="4" t="s">
        <v>21</v>
      </c>
      <c r="B441" s="4" t="s">
        <v>36</v>
      </c>
      <c r="C441" s="4" t="s">
        <v>23</v>
      </c>
      <c r="D441" s="4" t="s">
        <v>43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44440</v>
      </c>
      <c r="J441" s="6">
        <v>0</v>
      </c>
      <c r="K441" s="6">
        <v>0</v>
      </c>
      <c r="L441" s="6">
        <v>76.453999999999994</v>
      </c>
      <c r="M441" s="6">
        <v>76.453999999999994</v>
      </c>
      <c r="N441" s="6">
        <v>76.453999999999994</v>
      </c>
      <c r="O441" s="6">
        <v>76.453999999999994</v>
      </c>
      <c r="P441" s="6">
        <v>95</v>
      </c>
      <c r="Q441" s="4" t="s">
        <v>26</v>
      </c>
      <c r="R441" s="4">
        <v>0</v>
      </c>
      <c r="S441" s="4" t="s">
        <v>312</v>
      </c>
      <c r="T441" s="4" t="s">
        <v>509</v>
      </c>
      <c r="U441" s="4">
        <v>0</v>
      </c>
      <c r="V441" s="4">
        <v>65</v>
      </c>
      <c r="W441" s="4">
        <v>25</v>
      </c>
    </row>
    <row r="442" spans="1:23" ht="11.25" customHeight="1" x14ac:dyDescent="0.25">
      <c r="A442" s="4" t="s">
        <v>21</v>
      </c>
      <c r="B442" s="4" t="s">
        <v>36</v>
      </c>
      <c r="C442" s="4" t="s">
        <v>23</v>
      </c>
      <c r="D442" s="4" t="s">
        <v>43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44470</v>
      </c>
      <c r="J442" s="6">
        <v>0</v>
      </c>
      <c r="K442" s="6">
        <v>0</v>
      </c>
      <c r="L442" s="6">
        <v>69.247</v>
      </c>
      <c r="M442" s="6">
        <v>69.247</v>
      </c>
      <c r="N442" s="6">
        <v>69.247</v>
      </c>
      <c r="O442" s="6">
        <v>69.247</v>
      </c>
      <c r="P442" s="6">
        <v>95</v>
      </c>
      <c r="Q442" s="4" t="s">
        <v>26</v>
      </c>
      <c r="R442" s="4">
        <v>0</v>
      </c>
      <c r="S442" s="4" t="s">
        <v>313</v>
      </c>
      <c r="T442" s="4" t="s">
        <v>510</v>
      </c>
      <c r="U442" s="4">
        <v>0</v>
      </c>
      <c r="V442" s="4">
        <v>65</v>
      </c>
      <c r="W442" s="4">
        <v>25</v>
      </c>
    </row>
    <row r="443" spans="1:23" ht="11.25" customHeight="1" x14ac:dyDescent="0.25">
      <c r="A443" s="4" t="s">
        <v>21</v>
      </c>
      <c r="B443" s="4" t="s">
        <v>36</v>
      </c>
      <c r="C443" s="4" t="s">
        <v>23</v>
      </c>
      <c r="D443" s="4" t="s">
        <v>43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44501</v>
      </c>
      <c r="J443" s="6">
        <v>0</v>
      </c>
      <c r="K443" s="6">
        <v>0</v>
      </c>
      <c r="L443" s="6">
        <v>90.073999999999998</v>
      </c>
      <c r="M443" s="6">
        <v>90.073999999999998</v>
      </c>
      <c r="N443" s="6">
        <v>90.073999999999998</v>
      </c>
      <c r="O443" s="6">
        <v>90.073999999999998</v>
      </c>
      <c r="P443" s="6">
        <v>96</v>
      </c>
      <c r="Q443" s="4" t="s">
        <v>26</v>
      </c>
      <c r="R443" s="4">
        <v>0</v>
      </c>
      <c r="S443" s="4" t="s">
        <v>314</v>
      </c>
      <c r="T443" s="4" t="s">
        <v>511</v>
      </c>
      <c r="U443" s="4">
        <v>0</v>
      </c>
      <c r="V443" s="4">
        <v>65</v>
      </c>
      <c r="W443" s="4">
        <v>25</v>
      </c>
    </row>
    <row r="444" spans="1:23" ht="11.25" customHeight="1" x14ac:dyDescent="0.25">
      <c r="A444" s="4" t="s">
        <v>21</v>
      </c>
      <c r="B444" s="4" t="s">
        <v>36</v>
      </c>
      <c r="C444" s="4" t="s">
        <v>23</v>
      </c>
      <c r="D444" s="4" t="s">
        <v>43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44531</v>
      </c>
      <c r="J444" s="6">
        <v>0</v>
      </c>
      <c r="K444" s="6">
        <v>0</v>
      </c>
      <c r="L444" s="6">
        <v>100.26300000000001</v>
      </c>
      <c r="M444" s="6">
        <v>100.26300000000001</v>
      </c>
      <c r="N444" s="6">
        <v>100.26300000000001</v>
      </c>
      <c r="O444" s="6">
        <v>100.26300000000001</v>
      </c>
      <c r="P444" s="6">
        <v>96</v>
      </c>
      <c r="Q444" s="4" t="s">
        <v>26</v>
      </c>
      <c r="R444" s="4">
        <v>0</v>
      </c>
      <c r="S444" s="4" t="s">
        <v>315</v>
      </c>
      <c r="T444" s="4" t="s">
        <v>512</v>
      </c>
      <c r="U444" s="4">
        <v>0</v>
      </c>
      <c r="V444" s="4">
        <v>65</v>
      </c>
      <c r="W444" s="4">
        <v>25</v>
      </c>
    </row>
    <row r="445" spans="1:23" ht="11.25" customHeight="1" x14ac:dyDescent="0.25">
      <c r="A445" s="4" t="s">
        <v>21</v>
      </c>
      <c r="B445" s="4" t="s">
        <v>36</v>
      </c>
      <c r="C445" s="4" t="s">
        <v>23</v>
      </c>
      <c r="D445" s="4" t="s">
        <v>43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44562</v>
      </c>
      <c r="J445" s="6">
        <v>0</v>
      </c>
      <c r="K445" s="6">
        <v>0</v>
      </c>
      <c r="L445" s="6">
        <v>87.025000000000006</v>
      </c>
      <c r="M445" s="6">
        <v>87.025000000000006</v>
      </c>
      <c r="N445" s="6">
        <v>87.025000000000006</v>
      </c>
      <c r="O445" s="6">
        <v>87.025000000000006</v>
      </c>
      <c r="P445" s="6">
        <v>96</v>
      </c>
      <c r="Q445" s="4" t="s">
        <v>26</v>
      </c>
      <c r="R445" s="4">
        <v>0</v>
      </c>
      <c r="S445" s="4" t="s">
        <v>316</v>
      </c>
      <c r="T445" s="4" t="s">
        <v>513</v>
      </c>
      <c r="U445" s="4">
        <v>0</v>
      </c>
      <c r="V445" s="4">
        <v>65</v>
      </c>
      <c r="W445" s="4">
        <v>25</v>
      </c>
    </row>
    <row r="446" spans="1:23" ht="11.25" customHeight="1" x14ac:dyDescent="0.25">
      <c r="A446" s="4" t="s">
        <v>21</v>
      </c>
      <c r="B446" s="4" t="s">
        <v>36</v>
      </c>
      <c r="C446" s="4" t="s">
        <v>23</v>
      </c>
      <c r="D446" s="4" t="s">
        <v>43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44593</v>
      </c>
      <c r="J446" s="6">
        <v>0</v>
      </c>
      <c r="K446" s="6">
        <v>0</v>
      </c>
      <c r="L446" s="6">
        <v>94.317999999999998</v>
      </c>
      <c r="M446" s="6">
        <v>94.317999999999998</v>
      </c>
      <c r="N446" s="6">
        <v>94.317999999999998</v>
      </c>
      <c r="O446" s="6">
        <v>94.317999999999998</v>
      </c>
      <c r="P446" s="6">
        <v>96</v>
      </c>
      <c r="Q446" s="4" t="s">
        <v>26</v>
      </c>
      <c r="R446" s="4">
        <v>0</v>
      </c>
      <c r="S446" s="4" t="s">
        <v>317</v>
      </c>
      <c r="T446" s="4" t="s">
        <v>514</v>
      </c>
      <c r="U446" s="4">
        <v>0</v>
      </c>
      <c r="V446" s="4">
        <v>65</v>
      </c>
      <c r="W446" s="4">
        <v>25</v>
      </c>
    </row>
    <row r="447" spans="1:23" ht="11.25" customHeight="1" x14ac:dyDescent="0.25">
      <c r="A447" s="4" t="s">
        <v>21</v>
      </c>
      <c r="B447" s="4" t="s">
        <v>36</v>
      </c>
      <c r="C447" s="4" t="s">
        <v>23</v>
      </c>
      <c r="D447" s="4" t="s">
        <v>43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44621</v>
      </c>
      <c r="J447" s="6">
        <v>0</v>
      </c>
      <c r="K447" s="6">
        <v>0</v>
      </c>
      <c r="L447" s="6">
        <v>102.974</v>
      </c>
      <c r="M447" s="6">
        <v>102.974</v>
      </c>
      <c r="N447" s="6">
        <v>102.974</v>
      </c>
      <c r="O447" s="6">
        <v>102.974</v>
      </c>
      <c r="P447" s="6">
        <v>96</v>
      </c>
      <c r="Q447" s="4" t="s">
        <v>26</v>
      </c>
      <c r="R447" s="4">
        <v>0</v>
      </c>
      <c r="S447" s="4" t="s">
        <v>318</v>
      </c>
      <c r="T447" s="4" t="s">
        <v>515</v>
      </c>
      <c r="U447" s="4">
        <v>0</v>
      </c>
      <c r="V447" s="4">
        <v>65</v>
      </c>
      <c r="W447" s="4">
        <v>25</v>
      </c>
    </row>
    <row r="448" spans="1:23" ht="11.25" customHeight="1" x14ac:dyDescent="0.25">
      <c r="A448" s="4" t="s">
        <v>21</v>
      </c>
      <c r="B448" s="4" t="s">
        <v>36</v>
      </c>
      <c r="C448" s="4" t="s">
        <v>23</v>
      </c>
      <c r="D448" s="4" t="s">
        <v>43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44652</v>
      </c>
      <c r="J448" s="6">
        <v>0</v>
      </c>
      <c r="K448" s="6">
        <v>0</v>
      </c>
      <c r="L448" s="6">
        <v>86.786000000000001</v>
      </c>
      <c r="M448" s="6">
        <v>86.786000000000001</v>
      </c>
      <c r="N448" s="6">
        <v>86.786000000000001</v>
      </c>
      <c r="O448" s="6">
        <v>86.786000000000001</v>
      </c>
      <c r="P448" s="6">
        <v>96</v>
      </c>
      <c r="Q448" s="4" t="s">
        <v>26</v>
      </c>
      <c r="R448" s="4">
        <v>0</v>
      </c>
      <c r="S448" s="4" t="s">
        <v>319</v>
      </c>
      <c r="T448" s="4" t="s">
        <v>516</v>
      </c>
      <c r="U448" s="4">
        <v>0</v>
      </c>
      <c r="V448" s="4">
        <v>65</v>
      </c>
      <c r="W448" s="4">
        <v>25</v>
      </c>
    </row>
    <row r="449" spans="1:23" ht="11.25" customHeight="1" x14ac:dyDescent="0.25">
      <c r="A449" s="4" t="s">
        <v>21</v>
      </c>
      <c r="B449" s="4" t="s">
        <v>36</v>
      </c>
      <c r="C449" s="4" t="s">
        <v>23</v>
      </c>
      <c r="D449" s="4" t="s">
        <v>43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44682</v>
      </c>
      <c r="J449" s="6">
        <v>0</v>
      </c>
      <c r="K449" s="6">
        <v>0</v>
      </c>
      <c r="L449" s="6">
        <v>92.078000000000003</v>
      </c>
      <c r="M449" s="6">
        <v>92.078000000000003</v>
      </c>
      <c r="N449" s="6">
        <v>92.078000000000003</v>
      </c>
      <c r="O449" s="6">
        <v>92.078000000000003</v>
      </c>
      <c r="P449" s="6">
        <v>96</v>
      </c>
      <c r="Q449" s="4" t="s">
        <v>26</v>
      </c>
      <c r="R449" s="4">
        <v>0</v>
      </c>
      <c r="S449" s="4" t="s">
        <v>320</v>
      </c>
      <c r="T449" s="4" t="s">
        <v>517</v>
      </c>
      <c r="U449" s="4">
        <v>0</v>
      </c>
      <c r="V449" s="4">
        <v>65</v>
      </c>
      <c r="W449" s="4">
        <v>25</v>
      </c>
    </row>
    <row r="450" spans="1:23" ht="11.25" customHeight="1" x14ac:dyDescent="0.25">
      <c r="A450" s="4" t="s">
        <v>21</v>
      </c>
      <c r="B450" s="4" t="s">
        <v>36</v>
      </c>
      <c r="C450" s="4" t="s">
        <v>23</v>
      </c>
      <c r="D450" s="4" t="s">
        <v>43</v>
      </c>
      <c r="E450" s="4" t="s">
        <v>25</v>
      </c>
      <c r="F450" s="4" t="s">
        <v>25</v>
      </c>
      <c r="G450" s="4" t="s">
        <v>25</v>
      </c>
      <c r="H450" s="4" t="s">
        <v>25</v>
      </c>
      <c r="I450" s="5">
        <v>44713</v>
      </c>
      <c r="J450" s="6">
        <v>0</v>
      </c>
      <c r="K450" s="6">
        <v>0</v>
      </c>
      <c r="L450" s="6">
        <v>85.515000000000001</v>
      </c>
      <c r="M450" s="6">
        <v>85.515000000000001</v>
      </c>
      <c r="N450" s="6">
        <v>85.515000000000001</v>
      </c>
      <c r="O450" s="6">
        <v>85.515000000000001</v>
      </c>
      <c r="P450" s="6">
        <v>96</v>
      </c>
      <c r="Q450" s="4" t="s">
        <v>26</v>
      </c>
      <c r="R450" s="4">
        <v>0</v>
      </c>
      <c r="S450" s="4" t="s">
        <v>321</v>
      </c>
      <c r="T450" s="4" t="s">
        <v>518</v>
      </c>
      <c r="U450" s="4">
        <v>0</v>
      </c>
      <c r="V450" s="4">
        <v>65</v>
      </c>
      <c r="W450" s="4">
        <v>25</v>
      </c>
    </row>
    <row r="451" spans="1:23" ht="11.25" customHeight="1" x14ac:dyDescent="0.25">
      <c r="A451" s="4" t="s">
        <v>55</v>
      </c>
      <c r="B451" s="4" t="s">
        <v>36</v>
      </c>
      <c r="C451" s="4" t="s">
        <v>23</v>
      </c>
      <c r="D451" s="4" t="s">
        <v>43</v>
      </c>
      <c r="E451" s="4" t="s">
        <v>25</v>
      </c>
      <c r="F451" s="4" t="s">
        <v>25</v>
      </c>
      <c r="G451" s="4" t="s">
        <v>25</v>
      </c>
      <c r="H451" s="4" t="s">
        <v>25</v>
      </c>
      <c r="I451" s="5">
        <v>44743</v>
      </c>
      <c r="J451" s="6">
        <v>0</v>
      </c>
      <c r="K451" s="6">
        <v>0</v>
      </c>
      <c r="L451" s="6">
        <v>85.515000000000001</v>
      </c>
      <c r="M451" s="6">
        <v>85.515000000000001</v>
      </c>
      <c r="N451" s="6">
        <v>85.515000000000001</v>
      </c>
      <c r="O451" s="6">
        <v>85.515000000000001</v>
      </c>
      <c r="P451" s="6">
        <v>96</v>
      </c>
      <c r="Q451" s="4" t="s">
        <v>26</v>
      </c>
      <c r="R451" s="4">
        <v>0</v>
      </c>
      <c r="S451" s="4" t="s">
        <v>322</v>
      </c>
      <c r="T451" s="4" t="s">
        <v>519</v>
      </c>
      <c r="U451" s="4">
        <v>0</v>
      </c>
      <c r="V451" s="4">
        <v>65</v>
      </c>
      <c r="W451" s="4">
        <v>25</v>
      </c>
    </row>
    <row r="452" spans="1:23" ht="11.25" customHeight="1" x14ac:dyDescent="0.25">
      <c r="A452" s="4" t="s">
        <v>21</v>
      </c>
      <c r="B452" s="4" t="s">
        <v>36</v>
      </c>
      <c r="C452" s="4" t="s">
        <v>23</v>
      </c>
      <c r="D452" s="4" t="s">
        <v>47</v>
      </c>
      <c r="E452" s="4" t="s">
        <v>48</v>
      </c>
      <c r="F452" s="4" t="s">
        <v>25</v>
      </c>
      <c r="G452" s="4" t="s">
        <v>25</v>
      </c>
      <c r="H452" s="4" t="s">
        <v>25</v>
      </c>
      <c r="I452" s="5">
        <v>44409</v>
      </c>
      <c r="J452" s="6">
        <v>0</v>
      </c>
      <c r="K452" s="6">
        <v>0</v>
      </c>
      <c r="L452" s="6">
        <v>19.503</v>
      </c>
      <c r="M452" s="6">
        <v>18.332819999999998</v>
      </c>
      <c r="N452" s="6">
        <v>19.503</v>
      </c>
      <c r="O452" s="6">
        <v>18.332819999999998</v>
      </c>
      <c r="P452" s="6">
        <v>8</v>
      </c>
      <c r="Q452" s="4" t="s">
        <v>26</v>
      </c>
      <c r="R452" s="4">
        <v>0</v>
      </c>
      <c r="S452" s="4" t="s">
        <v>311</v>
      </c>
      <c r="T452" s="4" t="s">
        <v>508</v>
      </c>
      <c r="U452" s="4">
        <v>0</v>
      </c>
      <c r="V452" s="4">
        <v>65</v>
      </c>
      <c r="W452" s="4">
        <v>25</v>
      </c>
    </row>
    <row r="453" spans="1:23" ht="11.25" customHeight="1" x14ac:dyDescent="0.25">
      <c r="A453" s="4" t="s">
        <v>21</v>
      </c>
      <c r="B453" s="4" t="s">
        <v>36</v>
      </c>
      <c r="C453" s="4" t="s">
        <v>23</v>
      </c>
      <c r="D453" s="4" t="s">
        <v>47</v>
      </c>
      <c r="E453" s="4" t="s">
        <v>48</v>
      </c>
      <c r="F453" s="4" t="s">
        <v>25</v>
      </c>
      <c r="G453" s="4" t="s">
        <v>25</v>
      </c>
      <c r="H453" s="4" t="s">
        <v>25</v>
      </c>
      <c r="I453" s="5">
        <v>44440</v>
      </c>
      <c r="J453" s="6">
        <v>0</v>
      </c>
      <c r="K453" s="6">
        <v>0</v>
      </c>
      <c r="L453" s="6">
        <v>21.786999999999999</v>
      </c>
      <c r="M453" s="6">
        <v>20.396989399999999</v>
      </c>
      <c r="N453" s="6">
        <v>21.786999999999999</v>
      </c>
      <c r="O453" s="6">
        <v>20.396989399999999</v>
      </c>
      <c r="P453" s="6">
        <v>8</v>
      </c>
      <c r="Q453" s="4" t="s">
        <v>26</v>
      </c>
      <c r="R453" s="4">
        <v>0</v>
      </c>
      <c r="S453" s="4" t="s">
        <v>312</v>
      </c>
      <c r="T453" s="4" t="s">
        <v>509</v>
      </c>
      <c r="U453" s="4">
        <v>0</v>
      </c>
      <c r="V453" s="4">
        <v>65</v>
      </c>
      <c r="W453" s="4">
        <v>25</v>
      </c>
    </row>
    <row r="454" spans="1:23" ht="11.25" customHeight="1" x14ac:dyDescent="0.25">
      <c r="A454" s="4" t="s">
        <v>21</v>
      </c>
      <c r="B454" s="4" t="s">
        <v>36</v>
      </c>
      <c r="C454" s="4" t="s">
        <v>23</v>
      </c>
      <c r="D454" s="4" t="s">
        <v>47</v>
      </c>
      <c r="E454" s="4" t="s">
        <v>48</v>
      </c>
      <c r="F454" s="4" t="s">
        <v>25</v>
      </c>
      <c r="G454" s="4" t="s">
        <v>25</v>
      </c>
      <c r="H454" s="4" t="s">
        <v>25</v>
      </c>
      <c r="I454" s="5">
        <v>44470</v>
      </c>
      <c r="J454" s="6">
        <v>0</v>
      </c>
      <c r="K454" s="6">
        <v>0</v>
      </c>
      <c r="L454" s="6">
        <v>19.158000000000001</v>
      </c>
      <c r="M454" s="6">
        <v>18.008520000000001</v>
      </c>
      <c r="N454" s="6">
        <v>19.158000000000001</v>
      </c>
      <c r="O454" s="6">
        <v>18.008520000000001</v>
      </c>
      <c r="P454" s="6">
        <v>8</v>
      </c>
      <c r="Q454" s="4" t="s">
        <v>26</v>
      </c>
      <c r="R454" s="4">
        <v>0</v>
      </c>
      <c r="S454" s="4" t="s">
        <v>313</v>
      </c>
      <c r="T454" s="4" t="s">
        <v>510</v>
      </c>
      <c r="U454" s="4">
        <v>0</v>
      </c>
      <c r="V454" s="4">
        <v>65</v>
      </c>
      <c r="W454" s="4">
        <v>25</v>
      </c>
    </row>
    <row r="455" spans="1:23" ht="11.25" customHeight="1" x14ac:dyDescent="0.25">
      <c r="A455" s="4" t="s">
        <v>21</v>
      </c>
      <c r="B455" s="4" t="s">
        <v>36</v>
      </c>
      <c r="C455" s="4" t="s">
        <v>23</v>
      </c>
      <c r="D455" s="4" t="s">
        <v>47</v>
      </c>
      <c r="E455" s="4" t="s">
        <v>48</v>
      </c>
      <c r="F455" s="4" t="s">
        <v>25</v>
      </c>
      <c r="G455" s="4" t="s">
        <v>25</v>
      </c>
      <c r="H455" s="4" t="s">
        <v>25</v>
      </c>
      <c r="I455" s="5">
        <v>44501</v>
      </c>
      <c r="J455" s="6">
        <v>0</v>
      </c>
      <c r="K455" s="6">
        <v>0</v>
      </c>
      <c r="L455" s="6">
        <v>20.58</v>
      </c>
      <c r="M455" s="6">
        <v>19.345199999999998</v>
      </c>
      <c r="N455" s="6">
        <v>20.58</v>
      </c>
      <c r="O455" s="6">
        <v>19.345199999999998</v>
      </c>
      <c r="P455" s="6">
        <v>8</v>
      </c>
      <c r="Q455" s="4" t="s">
        <v>26</v>
      </c>
      <c r="R455" s="4">
        <v>0</v>
      </c>
      <c r="S455" s="4" t="s">
        <v>314</v>
      </c>
      <c r="T455" s="4" t="s">
        <v>511</v>
      </c>
      <c r="U455" s="4">
        <v>0</v>
      </c>
      <c r="V455" s="4">
        <v>65</v>
      </c>
      <c r="W455" s="4">
        <v>25</v>
      </c>
    </row>
    <row r="456" spans="1:23" ht="11.25" customHeight="1" x14ac:dyDescent="0.25">
      <c r="A456" s="4" t="s">
        <v>21</v>
      </c>
      <c r="B456" s="4" t="s">
        <v>36</v>
      </c>
      <c r="C456" s="4" t="s">
        <v>23</v>
      </c>
      <c r="D456" s="4" t="s">
        <v>47</v>
      </c>
      <c r="E456" s="4" t="s">
        <v>48</v>
      </c>
      <c r="F456" s="4" t="s">
        <v>25</v>
      </c>
      <c r="G456" s="4" t="s">
        <v>25</v>
      </c>
      <c r="H456" s="4" t="s">
        <v>25</v>
      </c>
      <c r="I456" s="5">
        <v>44531</v>
      </c>
      <c r="J456" s="6">
        <v>0</v>
      </c>
      <c r="K456" s="6">
        <v>0</v>
      </c>
      <c r="L456" s="6">
        <v>22.370999999999999</v>
      </c>
      <c r="M456" s="6">
        <v>21.028739999999999</v>
      </c>
      <c r="N456" s="6">
        <v>22.370999999999999</v>
      </c>
      <c r="O456" s="6">
        <v>21.028739999999999</v>
      </c>
      <c r="P456" s="6">
        <v>8</v>
      </c>
      <c r="Q456" s="4" t="s">
        <v>26</v>
      </c>
      <c r="R456" s="4">
        <v>0</v>
      </c>
      <c r="S456" s="4" t="s">
        <v>315</v>
      </c>
      <c r="T456" s="4" t="s">
        <v>512</v>
      </c>
      <c r="U456" s="4">
        <v>0</v>
      </c>
      <c r="V456" s="4">
        <v>65</v>
      </c>
      <c r="W456" s="4">
        <v>25</v>
      </c>
    </row>
    <row r="457" spans="1:23" ht="11.25" customHeight="1" x14ac:dyDescent="0.25">
      <c r="A457" s="4" t="s">
        <v>21</v>
      </c>
      <c r="B457" s="4" t="s">
        <v>36</v>
      </c>
      <c r="C457" s="4" t="s">
        <v>23</v>
      </c>
      <c r="D457" s="4" t="s">
        <v>47</v>
      </c>
      <c r="E457" s="4" t="s">
        <v>48</v>
      </c>
      <c r="F457" s="4" t="s">
        <v>25</v>
      </c>
      <c r="G457" s="4" t="s">
        <v>25</v>
      </c>
      <c r="H457" s="4" t="s">
        <v>25</v>
      </c>
      <c r="I457" s="5">
        <v>44562</v>
      </c>
      <c r="J457" s="6">
        <v>0</v>
      </c>
      <c r="K457" s="6">
        <v>0</v>
      </c>
      <c r="L457" s="6">
        <v>19.013000000000002</v>
      </c>
      <c r="M457" s="6">
        <v>17.872219999999999</v>
      </c>
      <c r="N457" s="6">
        <v>19.013000000000002</v>
      </c>
      <c r="O457" s="6">
        <v>17.872219999999999</v>
      </c>
      <c r="P457" s="6">
        <v>8</v>
      </c>
      <c r="Q457" s="4" t="s">
        <v>26</v>
      </c>
      <c r="R457" s="4">
        <v>0</v>
      </c>
      <c r="S457" s="4" t="s">
        <v>316</v>
      </c>
      <c r="T457" s="4" t="s">
        <v>513</v>
      </c>
      <c r="U457" s="4">
        <v>0</v>
      </c>
      <c r="V457" s="4">
        <v>65</v>
      </c>
      <c r="W457" s="4">
        <v>25</v>
      </c>
    </row>
    <row r="458" spans="1:23" ht="11.25" customHeight="1" x14ac:dyDescent="0.25">
      <c r="A458" s="4" t="s">
        <v>21</v>
      </c>
      <c r="B458" s="4" t="s">
        <v>36</v>
      </c>
      <c r="C458" s="4" t="s">
        <v>23</v>
      </c>
      <c r="D458" s="4" t="s">
        <v>47</v>
      </c>
      <c r="E458" s="4" t="s">
        <v>48</v>
      </c>
      <c r="F458" s="4" t="s">
        <v>25</v>
      </c>
      <c r="G458" s="4" t="s">
        <v>25</v>
      </c>
      <c r="H458" s="4" t="s">
        <v>25</v>
      </c>
      <c r="I458" s="5">
        <v>44593</v>
      </c>
      <c r="J458" s="6">
        <v>0</v>
      </c>
      <c r="K458" s="6">
        <v>0</v>
      </c>
      <c r="L458" s="6">
        <v>17.38</v>
      </c>
      <c r="M458" s="6">
        <v>16.337199999999999</v>
      </c>
      <c r="N458" s="6">
        <v>17.38</v>
      </c>
      <c r="O458" s="6">
        <v>16.337199999999999</v>
      </c>
      <c r="P458" s="6">
        <v>8</v>
      </c>
      <c r="Q458" s="4" t="s">
        <v>26</v>
      </c>
      <c r="R458" s="4">
        <v>0</v>
      </c>
      <c r="S458" s="4" t="s">
        <v>317</v>
      </c>
      <c r="T458" s="4" t="s">
        <v>514</v>
      </c>
      <c r="U458" s="4">
        <v>0</v>
      </c>
      <c r="V458" s="4">
        <v>65</v>
      </c>
      <c r="W458" s="4">
        <v>25</v>
      </c>
    </row>
    <row r="459" spans="1:23" ht="11.25" customHeight="1" x14ac:dyDescent="0.25">
      <c r="A459" s="4" t="s">
        <v>21</v>
      </c>
      <c r="B459" s="4" t="s">
        <v>36</v>
      </c>
      <c r="C459" s="4" t="s">
        <v>23</v>
      </c>
      <c r="D459" s="4" t="s">
        <v>47</v>
      </c>
      <c r="E459" s="4" t="s">
        <v>48</v>
      </c>
      <c r="F459" s="4" t="s">
        <v>25</v>
      </c>
      <c r="G459" s="4" t="s">
        <v>25</v>
      </c>
      <c r="H459" s="4" t="s">
        <v>25</v>
      </c>
      <c r="I459" s="5">
        <v>44621</v>
      </c>
      <c r="J459" s="6">
        <v>0</v>
      </c>
      <c r="K459" s="6">
        <v>0</v>
      </c>
      <c r="L459" s="6">
        <v>19.004999999999999</v>
      </c>
      <c r="M459" s="6">
        <v>17.864699999999999</v>
      </c>
      <c r="N459" s="6">
        <v>19.004999999999999</v>
      </c>
      <c r="O459" s="6">
        <v>17.864699999999999</v>
      </c>
      <c r="P459" s="6">
        <v>8</v>
      </c>
      <c r="Q459" s="4" t="s">
        <v>26</v>
      </c>
      <c r="R459" s="4">
        <v>0</v>
      </c>
      <c r="S459" s="4" t="s">
        <v>318</v>
      </c>
      <c r="T459" s="4" t="s">
        <v>515</v>
      </c>
      <c r="U459" s="4">
        <v>0</v>
      </c>
      <c r="V459" s="4">
        <v>65</v>
      </c>
      <c r="W459" s="4">
        <v>25</v>
      </c>
    </row>
    <row r="460" spans="1:23" ht="11.25" customHeight="1" x14ac:dyDescent="0.25">
      <c r="A460" s="4" t="s">
        <v>21</v>
      </c>
      <c r="B460" s="4" t="s">
        <v>36</v>
      </c>
      <c r="C460" s="4" t="s">
        <v>23</v>
      </c>
      <c r="D460" s="4" t="s">
        <v>47</v>
      </c>
      <c r="E460" s="4" t="s">
        <v>48</v>
      </c>
      <c r="F460" s="4" t="s">
        <v>25</v>
      </c>
      <c r="G460" s="4" t="s">
        <v>25</v>
      </c>
      <c r="H460" s="4" t="s">
        <v>25</v>
      </c>
      <c r="I460" s="5">
        <v>44652</v>
      </c>
      <c r="J460" s="6">
        <v>0</v>
      </c>
      <c r="K460" s="6">
        <v>0</v>
      </c>
      <c r="L460" s="6">
        <v>17.613</v>
      </c>
      <c r="M460" s="6">
        <v>16.55622</v>
      </c>
      <c r="N460" s="6">
        <v>17.613</v>
      </c>
      <c r="O460" s="6">
        <v>16.55622</v>
      </c>
      <c r="P460" s="6">
        <v>8</v>
      </c>
      <c r="Q460" s="4" t="s">
        <v>26</v>
      </c>
      <c r="R460" s="4">
        <v>0</v>
      </c>
      <c r="S460" s="4" t="s">
        <v>319</v>
      </c>
      <c r="T460" s="4" t="s">
        <v>516</v>
      </c>
      <c r="U460" s="4">
        <v>0</v>
      </c>
      <c r="V460" s="4">
        <v>65</v>
      </c>
      <c r="W460" s="4">
        <v>25</v>
      </c>
    </row>
    <row r="461" spans="1:23" ht="11.25" customHeight="1" x14ac:dyDescent="0.25">
      <c r="A461" s="4" t="s">
        <v>21</v>
      </c>
      <c r="B461" s="4" t="s">
        <v>36</v>
      </c>
      <c r="C461" s="4" t="s">
        <v>23</v>
      </c>
      <c r="D461" s="4" t="s">
        <v>47</v>
      </c>
      <c r="E461" s="4" t="s">
        <v>48</v>
      </c>
      <c r="F461" s="4" t="s">
        <v>25</v>
      </c>
      <c r="G461" s="4" t="s">
        <v>25</v>
      </c>
      <c r="H461" s="4" t="s">
        <v>25</v>
      </c>
      <c r="I461" s="5">
        <v>44682</v>
      </c>
      <c r="J461" s="6">
        <v>0</v>
      </c>
      <c r="K461" s="6">
        <v>0</v>
      </c>
      <c r="L461" s="6">
        <v>15.208</v>
      </c>
      <c r="M461" s="6">
        <v>14.29552</v>
      </c>
      <c r="N461" s="6">
        <v>15.208</v>
      </c>
      <c r="O461" s="6">
        <v>14.29552</v>
      </c>
      <c r="P461" s="6">
        <v>8</v>
      </c>
      <c r="Q461" s="4" t="s">
        <v>26</v>
      </c>
      <c r="R461" s="4">
        <v>0</v>
      </c>
      <c r="S461" s="4" t="s">
        <v>320</v>
      </c>
      <c r="T461" s="4" t="s">
        <v>517</v>
      </c>
      <c r="U461" s="4">
        <v>0</v>
      </c>
      <c r="V461" s="4">
        <v>65</v>
      </c>
      <c r="W461" s="4">
        <v>25</v>
      </c>
    </row>
    <row r="462" spans="1:23" ht="11.25" customHeight="1" x14ac:dyDescent="0.25">
      <c r="A462" s="4" t="s">
        <v>21</v>
      </c>
      <c r="B462" s="4" t="s">
        <v>36</v>
      </c>
      <c r="C462" s="4" t="s">
        <v>23</v>
      </c>
      <c r="D462" s="4" t="s">
        <v>47</v>
      </c>
      <c r="E462" s="4" t="s">
        <v>48</v>
      </c>
      <c r="F462" s="4" t="s">
        <v>25</v>
      </c>
      <c r="G462" s="4" t="s">
        <v>25</v>
      </c>
      <c r="H462" s="4" t="s">
        <v>25</v>
      </c>
      <c r="I462" s="5">
        <v>44713</v>
      </c>
      <c r="J462" s="6">
        <v>0</v>
      </c>
      <c r="K462" s="6">
        <v>0</v>
      </c>
      <c r="L462" s="6">
        <v>15.242000000000001</v>
      </c>
      <c r="M462" s="6">
        <v>14.32748</v>
      </c>
      <c r="N462" s="6">
        <v>15.242000000000001</v>
      </c>
      <c r="O462" s="6">
        <v>14.32748</v>
      </c>
      <c r="P462" s="6">
        <v>8</v>
      </c>
      <c r="Q462" s="4" t="s">
        <v>26</v>
      </c>
      <c r="R462" s="4">
        <v>0</v>
      </c>
      <c r="S462" s="4" t="s">
        <v>321</v>
      </c>
      <c r="T462" s="4" t="s">
        <v>518</v>
      </c>
      <c r="U462" s="4">
        <v>0</v>
      </c>
      <c r="V462" s="4">
        <v>65</v>
      </c>
      <c r="W462" s="4">
        <v>25</v>
      </c>
    </row>
    <row r="463" spans="1:23" ht="11.25" customHeight="1" x14ac:dyDescent="0.25">
      <c r="A463" s="4" t="s">
        <v>55</v>
      </c>
      <c r="B463" s="4" t="s">
        <v>36</v>
      </c>
      <c r="C463" s="4" t="s">
        <v>23</v>
      </c>
      <c r="D463" s="4" t="s">
        <v>47</v>
      </c>
      <c r="E463" s="4" t="s">
        <v>48</v>
      </c>
      <c r="F463" s="4" t="s">
        <v>25</v>
      </c>
      <c r="G463" s="4" t="s">
        <v>25</v>
      </c>
      <c r="H463" s="4" t="s">
        <v>25</v>
      </c>
      <c r="I463" s="5">
        <v>44743</v>
      </c>
      <c r="J463" s="6">
        <v>0</v>
      </c>
      <c r="K463" s="6">
        <v>0</v>
      </c>
      <c r="L463" s="6">
        <v>15.242000000000001</v>
      </c>
      <c r="M463" s="6">
        <v>14.32748</v>
      </c>
      <c r="N463" s="6">
        <v>15.242000000000001</v>
      </c>
      <c r="O463" s="6">
        <v>14.32748</v>
      </c>
      <c r="P463" s="6">
        <v>8</v>
      </c>
      <c r="Q463" s="4" t="s">
        <v>26</v>
      </c>
      <c r="R463" s="4">
        <v>0</v>
      </c>
      <c r="S463" s="4" t="s">
        <v>322</v>
      </c>
      <c r="T463" s="4" t="s">
        <v>519</v>
      </c>
      <c r="U463" s="4">
        <v>0</v>
      </c>
      <c r="V463" s="4">
        <v>65</v>
      </c>
      <c r="W463" s="4">
        <v>25</v>
      </c>
    </row>
    <row r="464" spans="1:23" ht="11.25" customHeight="1" x14ac:dyDescent="0.25">
      <c r="A464" s="4" t="s">
        <v>21</v>
      </c>
      <c r="B464" s="4" t="s">
        <v>44</v>
      </c>
      <c r="C464" s="4" t="s">
        <v>23</v>
      </c>
      <c r="D464" s="4" t="s">
        <v>45</v>
      </c>
      <c r="E464" s="4" t="s">
        <v>46</v>
      </c>
      <c r="F464" s="4" t="s">
        <v>25</v>
      </c>
      <c r="G464" s="4" t="s">
        <v>25</v>
      </c>
      <c r="H464" s="4" t="s">
        <v>25</v>
      </c>
      <c r="I464" s="5">
        <v>44409</v>
      </c>
      <c r="J464" s="6">
        <v>0</v>
      </c>
      <c r="K464" s="6">
        <v>0</v>
      </c>
      <c r="L464" s="6">
        <v>137.149</v>
      </c>
      <c r="M464" s="6">
        <v>137.149</v>
      </c>
      <c r="N464" s="6">
        <v>137.149</v>
      </c>
      <c r="O464" s="6">
        <v>137.149</v>
      </c>
      <c r="P464" s="6">
        <v>1</v>
      </c>
      <c r="Q464" s="4" t="s">
        <v>26</v>
      </c>
      <c r="R464" s="4">
        <v>0</v>
      </c>
      <c r="S464" s="4" t="s">
        <v>323</v>
      </c>
      <c r="T464" s="4" t="s">
        <v>520</v>
      </c>
      <c r="U464" s="4">
        <v>0</v>
      </c>
      <c r="V464" s="4">
        <v>68</v>
      </c>
      <c r="W464" s="4">
        <v>29</v>
      </c>
    </row>
    <row r="465" spans="1:23" ht="11.25" customHeight="1" x14ac:dyDescent="0.25">
      <c r="A465" s="4" t="s">
        <v>21</v>
      </c>
      <c r="B465" s="4" t="s">
        <v>44</v>
      </c>
      <c r="C465" s="4" t="s">
        <v>23</v>
      </c>
      <c r="D465" s="4" t="s">
        <v>45</v>
      </c>
      <c r="E465" s="4" t="s">
        <v>46</v>
      </c>
      <c r="F465" s="4" t="s">
        <v>25</v>
      </c>
      <c r="G465" s="4" t="s">
        <v>25</v>
      </c>
      <c r="H465" s="4" t="s">
        <v>25</v>
      </c>
      <c r="I465" s="5">
        <v>44440</v>
      </c>
      <c r="J465" s="6">
        <v>0</v>
      </c>
      <c r="K465" s="6">
        <v>0</v>
      </c>
      <c r="L465" s="6">
        <v>137.149</v>
      </c>
      <c r="M465" s="6">
        <v>137.149</v>
      </c>
      <c r="N465" s="6">
        <v>137.149</v>
      </c>
      <c r="O465" s="6">
        <v>137.149</v>
      </c>
      <c r="P465" s="6">
        <v>1</v>
      </c>
      <c r="Q465" s="4" t="s">
        <v>26</v>
      </c>
      <c r="R465" s="4">
        <v>0</v>
      </c>
      <c r="S465" s="4" t="s">
        <v>324</v>
      </c>
      <c r="T465" s="4" t="s">
        <v>521</v>
      </c>
      <c r="U465" s="4">
        <v>0</v>
      </c>
      <c r="V465" s="4">
        <v>68</v>
      </c>
      <c r="W465" s="4">
        <v>29</v>
      </c>
    </row>
    <row r="466" spans="1:23" ht="11.25" customHeight="1" x14ac:dyDescent="0.25">
      <c r="A466" s="4" t="s">
        <v>21</v>
      </c>
      <c r="B466" s="4" t="s">
        <v>44</v>
      </c>
      <c r="C466" s="4" t="s">
        <v>23</v>
      </c>
      <c r="D466" s="4" t="s">
        <v>45</v>
      </c>
      <c r="E466" s="4" t="s">
        <v>46</v>
      </c>
      <c r="F466" s="4" t="s">
        <v>25</v>
      </c>
      <c r="G466" s="4" t="s">
        <v>25</v>
      </c>
      <c r="H466" s="4" t="s">
        <v>25</v>
      </c>
      <c r="I466" s="5">
        <v>44470</v>
      </c>
      <c r="J466" s="6">
        <v>0</v>
      </c>
      <c r="K466" s="6">
        <v>0</v>
      </c>
      <c r="L466" s="6">
        <v>137.149</v>
      </c>
      <c r="M466" s="6">
        <v>137.149</v>
      </c>
      <c r="N466" s="6">
        <v>137.149</v>
      </c>
      <c r="O466" s="6">
        <v>137.149</v>
      </c>
      <c r="P466" s="6">
        <v>1</v>
      </c>
      <c r="Q466" s="4" t="s">
        <v>26</v>
      </c>
      <c r="R466" s="4">
        <v>0</v>
      </c>
      <c r="S466" s="4" t="s">
        <v>325</v>
      </c>
      <c r="T466" s="4" t="s">
        <v>522</v>
      </c>
      <c r="U466" s="4">
        <v>0</v>
      </c>
      <c r="V466" s="4">
        <v>68</v>
      </c>
      <c r="W466" s="4">
        <v>29</v>
      </c>
    </row>
    <row r="467" spans="1:23" ht="11.25" customHeight="1" x14ac:dyDescent="0.25">
      <c r="A467" s="4" t="s">
        <v>21</v>
      </c>
      <c r="B467" s="4" t="s">
        <v>44</v>
      </c>
      <c r="C467" s="4" t="s">
        <v>23</v>
      </c>
      <c r="D467" s="4" t="s">
        <v>45</v>
      </c>
      <c r="E467" s="4" t="s">
        <v>46</v>
      </c>
      <c r="F467" s="4" t="s">
        <v>25</v>
      </c>
      <c r="G467" s="4" t="s">
        <v>25</v>
      </c>
      <c r="H467" s="4" t="s">
        <v>25</v>
      </c>
      <c r="I467" s="5">
        <v>44501</v>
      </c>
      <c r="J467" s="6">
        <v>0</v>
      </c>
      <c r="K467" s="6">
        <v>0</v>
      </c>
      <c r="L467" s="6">
        <v>137.52600000000001</v>
      </c>
      <c r="M467" s="6">
        <v>137.52600000000001</v>
      </c>
      <c r="N467" s="6">
        <v>137.52600000000001</v>
      </c>
      <c r="O467" s="6">
        <v>137.52600000000001</v>
      </c>
      <c r="P467" s="6">
        <v>1</v>
      </c>
      <c r="Q467" s="4" t="s">
        <v>26</v>
      </c>
      <c r="R467" s="4">
        <v>0</v>
      </c>
      <c r="S467" s="4" t="s">
        <v>326</v>
      </c>
      <c r="T467" s="4" t="s">
        <v>523</v>
      </c>
      <c r="U467" s="4">
        <v>0</v>
      </c>
      <c r="V467" s="4">
        <v>68</v>
      </c>
      <c r="W467" s="4">
        <v>29</v>
      </c>
    </row>
    <row r="468" spans="1:23" ht="11.25" customHeight="1" x14ac:dyDescent="0.25">
      <c r="A468" s="4" t="s">
        <v>21</v>
      </c>
      <c r="B468" s="4" t="s">
        <v>44</v>
      </c>
      <c r="C468" s="4" t="s">
        <v>23</v>
      </c>
      <c r="D468" s="4" t="s">
        <v>45</v>
      </c>
      <c r="E468" s="4" t="s">
        <v>46</v>
      </c>
      <c r="F468" s="4" t="s">
        <v>25</v>
      </c>
      <c r="G468" s="4" t="s">
        <v>25</v>
      </c>
      <c r="H468" s="4" t="s">
        <v>25</v>
      </c>
      <c r="I468" s="5">
        <v>44531</v>
      </c>
      <c r="J468" s="6">
        <v>0</v>
      </c>
      <c r="K468" s="6">
        <v>0</v>
      </c>
      <c r="L468" s="6">
        <v>137.52600000000001</v>
      </c>
      <c r="M468" s="6">
        <v>137.52600000000001</v>
      </c>
      <c r="N468" s="6">
        <v>137.52600000000001</v>
      </c>
      <c r="O468" s="6">
        <v>137.52600000000001</v>
      </c>
      <c r="P468" s="6">
        <v>1</v>
      </c>
      <c r="Q468" s="4" t="s">
        <v>26</v>
      </c>
      <c r="R468" s="4">
        <v>0</v>
      </c>
      <c r="S468" s="4" t="s">
        <v>327</v>
      </c>
      <c r="T468" s="4" t="s">
        <v>524</v>
      </c>
      <c r="U468" s="4">
        <v>0</v>
      </c>
      <c r="V468" s="4">
        <v>68</v>
      </c>
      <c r="W468" s="4">
        <v>29</v>
      </c>
    </row>
    <row r="469" spans="1:23" ht="11.25" customHeight="1" x14ac:dyDescent="0.25">
      <c r="A469" s="4" t="s">
        <v>21</v>
      </c>
      <c r="B469" s="4" t="s">
        <v>44</v>
      </c>
      <c r="C469" s="4" t="s">
        <v>23</v>
      </c>
      <c r="D469" s="4" t="s">
        <v>45</v>
      </c>
      <c r="E469" s="4" t="s">
        <v>46</v>
      </c>
      <c r="F469" s="4" t="s">
        <v>25</v>
      </c>
      <c r="G469" s="4" t="s">
        <v>25</v>
      </c>
      <c r="H469" s="4" t="s">
        <v>25</v>
      </c>
      <c r="I469" s="5">
        <v>44562</v>
      </c>
      <c r="J469" s="6">
        <v>0</v>
      </c>
      <c r="K469" s="6">
        <v>0</v>
      </c>
      <c r="L469" s="6">
        <v>138.613</v>
      </c>
      <c r="M469" s="6">
        <v>138.613</v>
      </c>
      <c r="N469" s="6">
        <v>138.613</v>
      </c>
      <c r="O469" s="6">
        <v>138.613</v>
      </c>
      <c r="P469" s="6">
        <v>1</v>
      </c>
      <c r="Q469" s="4" t="s">
        <v>26</v>
      </c>
      <c r="R469" s="4">
        <v>0</v>
      </c>
      <c r="S469" s="4" t="s">
        <v>328</v>
      </c>
      <c r="T469" s="4" t="s">
        <v>525</v>
      </c>
      <c r="U469" s="4">
        <v>0</v>
      </c>
      <c r="V469" s="4">
        <v>68</v>
      </c>
      <c r="W469" s="4">
        <v>29</v>
      </c>
    </row>
    <row r="470" spans="1:23" ht="11.25" customHeight="1" x14ac:dyDescent="0.25">
      <c r="A470" s="4" t="s">
        <v>21</v>
      </c>
      <c r="B470" s="4" t="s">
        <v>44</v>
      </c>
      <c r="C470" s="4" t="s">
        <v>23</v>
      </c>
      <c r="D470" s="4" t="s">
        <v>45</v>
      </c>
      <c r="E470" s="4" t="s">
        <v>46</v>
      </c>
      <c r="F470" s="4" t="s">
        <v>25</v>
      </c>
      <c r="G470" s="4" t="s">
        <v>25</v>
      </c>
      <c r="H470" s="4" t="s">
        <v>25</v>
      </c>
      <c r="I470" s="5">
        <v>44593</v>
      </c>
      <c r="J470" s="6">
        <v>0</v>
      </c>
      <c r="K470" s="6">
        <v>0</v>
      </c>
      <c r="L470" s="6">
        <v>138.547</v>
      </c>
      <c r="M470" s="6">
        <v>138.547</v>
      </c>
      <c r="N470" s="6">
        <v>138.547</v>
      </c>
      <c r="O470" s="6">
        <v>138.547</v>
      </c>
      <c r="P470" s="6">
        <v>1</v>
      </c>
      <c r="Q470" s="4" t="s">
        <v>26</v>
      </c>
      <c r="R470" s="4">
        <v>0</v>
      </c>
      <c r="S470" s="4" t="s">
        <v>329</v>
      </c>
      <c r="T470" s="4" t="s">
        <v>526</v>
      </c>
      <c r="U470" s="4">
        <v>0</v>
      </c>
      <c r="V470" s="4">
        <v>68</v>
      </c>
      <c r="W470" s="4">
        <v>29</v>
      </c>
    </row>
    <row r="471" spans="1:23" ht="11.25" customHeight="1" x14ac:dyDescent="0.25">
      <c r="A471" s="4" t="s">
        <v>21</v>
      </c>
      <c r="B471" s="4" t="s">
        <v>44</v>
      </c>
      <c r="C471" s="4" t="s">
        <v>23</v>
      </c>
      <c r="D471" s="4" t="s">
        <v>45</v>
      </c>
      <c r="E471" s="4" t="s">
        <v>46</v>
      </c>
      <c r="F471" s="4" t="s">
        <v>25</v>
      </c>
      <c r="G471" s="4" t="s">
        <v>25</v>
      </c>
      <c r="H471" s="4" t="s">
        <v>25</v>
      </c>
      <c r="I471" s="5">
        <v>44621</v>
      </c>
      <c r="J471" s="6">
        <v>0</v>
      </c>
      <c r="K471" s="6">
        <v>0</v>
      </c>
      <c r="L471" s="6">
        <v>138.04</v>
      </c>
      <c r="M471" s="6">
        <v>138.04</v>
      </c>
      <c r="N471" s="6">
        <v>138.04</v>
      </c>
      <c r="O471" s="6">
        <v>138.04</v>
      </c>
      <c r="P471" s="6">
        <v>1</v>
      </c>
      <c r="Q471" s="4" t="s">
        <v>26</v>
      </c>
      <c r="R471" s="4">
        <v>0</v>
      </c>
      <c r="S471" s="4" t="s">
        <v>330</v>
      </c>
      <c r="T471" s="4" t="s">
        <v>527</v>
      </c>
      <c r="U471" s="4">
        <v>0</v>
      </c>
      <c r="V471" s="4">
        <v>68</v>
      </c>
      <c r="W471" s="4">
        <v>29</v>
      </c>
    </row>
    <row r="472" spans="1:23" ht="11.25" customHeight="1" x14ac:dyDescent="0.25">
      <c r="A472" s="4" t="s">
        <v>21</v>
      </c>
      <c r="B472" s="4" t="s">
        <v>44</v>
      </c>
      <c r="C472" s="4" t="s">
        <v>23</v>
      </c>
      <c r="D472" s="4" t="s">
        <v>45</v>
      </c>
      <c r="E472" s="4" t="s">
        <v>46</v>
      </c>
      <c r="F472" s="4" t="s">
        <v>25</v>
      </c>
      <c r="G472" s="4" t="s">
        <v>25</v>
      </c>
      <c r="H472" s="4" t="s">
        <v>25</v>
      </c>
      <c r="I472" s="5">
        <v>44652</v>
      </c>
      <c r="J472" s="6">
        <v>0</v>
      </c>
      <c r="K472" s="6">
        <v>0</v>
      </c>
      <c r="L472" s="6">
        <v>138.06899999999999</v>
      </c>
      <c r="M472" s="6">
        <v>138.06899999999999</v>
      </c>
      <c r="N472" s="6">
        <v>138.06899999999999</v>
      </c>
      <c r="O472" s="6">
        <v>138.06899999999999</v>
      </c>
      <c r="P472" s="6">
        <v>1</v>
      </c>
      <c r="Q472" s="4" t="s">
        <v>26</v>
      </c>
      <c r="R472" s="4">
        <v>0</v>
      </c>
      <c r="S472" s="4" t="s">
        <v>331</v>
      </c>
      <c r="T472" s="4" t="s">
        <v>528</v>
      </c>
      <c r="U472" s="4">
        <v>0</v>
      </c>
      <c r="V472" s="4">
        <v>68</v>
      </c>
      <c r="W472" s="4">
        <v>29</v>
      </c>
    </row>
    <row r="473" spans="1:23" ht="11.25" customHeight="1" x14ac:dyDescent="0.25">
      <c r="A473" s="4" t="s">
        <v>21</v>
      </c>
      <c r="B473" s="4" t="s">
        <v>44</v>
      </c>
      <c r="C473" s="4" t="s">
        <v>23</v>
      </c>
      <c r="D473" s="4" t="s">
        <v>45</v>
      </c>
      <c r="E473" s="4" t="s">
        <v>46</v>
      </c>
      <c r="F473" s="4" t="s">
        <v>25</v>
      </c>
      <c r="G473" s="4" t="s">
        <v>25</v>
      </c>
      <c r="H473" s="4" t="s">
        <v>25</v>
      </c>
      <c r="I473" s="5">
        <v>44682</v>
      </c>
      <c r="J473" s="6">
        <v>0</v>
      </c>
      <c r="K473" s="6">
        <v>0</v>
      </c>
      <c r="L473" s="6">
        <v>138.06899999999999</v>
      </c>
      <c r="M473" s="6">
        <v>138.06899999999999</v>
      </c>
      <c r="N473" s="6">
        <v>138.06899999999999</v>
      </c>
      <c r="O473" s="6">
        <v>138.06899999999999</v>
      </c>
      <c r="P473" s="6">
        <v>1</v>
      </c>
      <c r="Q473" s="4" t="s">
        <v>26</v>
      </c>
      <c r="R473" s="4">
        <v>0</v>
      </c>
      <c r="S473" s="4" t="s">
        <v>332</v>
      </c>
      <c r="T473" s="4" t="s">
        <v>529</v>
      </c>
      <c r="U473" s="4">
        <v>0</v>
      </c>
      <c r="V473" s="4">
        <v>68</v>
      </c>
      <c r="W473" s="4">
        <v>29</v>
      </c>
    </row>
    <row r="474" spans="1:23" ht="11.25" customHeight="1" x14ac:dyDescent="0.25">
      <c r="A474" s="4" t="s">
        <v>21</v>
      </c>
      <c r="B474" s="4" t="s">
        <v>44</v>
      </c>
      <c r="C474" s="4" t="s">
        <v>23</v>
      </c>
      <c r="D474" s="4" t="s">
        <v>45</v>
      </c>
      <c r="E474" s="4" t="s">
        <v>46</v>
      </c>
      <c r="F474" s="4" t="s">
        <v>25</v>
      </c>
      <c r="G474" s="4" t="s">
        <v>25</v>
      </c>
      <c r="H474" s="4" t="s">
        <v>25</v>
      </c>
      <c r="I474" s="5">
        <v>44713</v>
      </c>
      <c r="J474" s="6">
        <v>0</v>
      </c>
      <c r="K474" s="6">
        <v>0</v>
      </c>
      <c r="L474" s="6">
        <v>139.01400000000001</v>
      </c>
      <c r="M474" s="6">
        <v>139.01400000000001</v>
      </c>
      <c r="N474" s="6">
        <v>139.01400000000001</v>
      </c>
      <c r="O474" s="6">
        <v>139.01400000000001</v>
      </c>
      <c r="P474" s="6">
        <v>1</v>
      </c>
      <c r="Q474" s="4" t="s">
        <v>26</v>
      </c>
      <c r="R474" s="4">
        <v>0</v>
      </c>
      <c r="S474" s="4" t="s">
        <v>333</v>
      </c>
      <c r="T474" s="4" t="s">
        <v>530</v>
      </c>
      <c r="U474" s="4">
        <v>0</v>
      </c>
      <c r="V474" s="4">
        <v>68</v>
      </c>
      <c r="W474" s="4">
        <v>29</v>
      </c>
    </row>
    <row r="475" spans="1:23" ht="11.25" customHeight="1" x14ac:dyDescent="0.25">
      <c r="A475" s="4" t="s">
        <v>55</v>
      </c>
      <c r="B475" s="4" t="s">
        <v>44</v>
      </c>
      <c r="C475" s="4" t="s">
        <v>23</v>
      </c>
      <c r="D475" s="4" t="s">
        <v>45</v>
      </c>
      <c r="E475" s="4" t="s">
        <v>46</v>
      </c>
      <c r="F475" s="4" t="s">
        <v>25</v>
      </c>
      <c r="G475" s="4" t="s">
        <v>25</v>
      </c>
      <c r="H475" s="4" t="s">
        <v>25</v>
      </c>
      <c r="I475" s="5">
        <v>44743</v>
      </c>
      <c r="J475" s="6">
        <v>0</v>
      </c>
      <c r="K475" s="6">
        <v>0</v>
      </c>
      <c r="L475" s="6">
        <v>139.01400000000001</v>
      </c>
      <c r="M475" s="6">
        <v>139.01400000000001</v>
      </c>
      <c r="N475" s="6">
        <v>139.01400000000001</v>
      </c>
      <c r="O475" s="6">
        <v>139.01400000000001</v>
      </c>
      <c r="P475" s="6">
        <v>1</v>
      </c>
      <c r="Q475" s="4" t="s">
        <v>26</v>
      </c>
      <c r="R475" s="4">
        <v>0</v>
      </c>
      <c r="S475" s="4" t="s">
        <v>334</v>
      </c>
      <c r="T475" s="4" t="s">
        <v>531</v>
      </c>
      <c r="U475" s="4">
        <v>0</v>
      </c>
      <c r="V475" s="4">
        <v>68</v>
      </c>
      <c r="W475" s="4">
        <v>29</v>
      </c>
    </row>
  </sheetData>
  <sortState xmlns:xlrd2="http://schemas.microsoft.com/office/spreadsheetml/2017/richdata2" ref="A2:W475">
    <sortCondition ref="B2:B475"/>
    <sortCondition ref="C2:C475"/>
    <sortCondition ref="D2:D475"/>
    <sortCondition ref="E2:E475"/>
    <sortCondition ref="F2:F475"/>
    <sortCondition ref="H2:H475"/>
  </sortState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6967-5142-464D-A512-B62AD41C96D8}">
  <dimension ref="A1:H50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59</v>
      </c>
      <c r="B1" s="7" t="s">
        <v>60</v>
      </c>
      <c r="C1" s="7" t="s">
        <v>61</v>
      </c>
      <c r="D1" s="7" t="s">
        <v>62</v>
      </c>
      <c r="E1" s="7" t="s">
        <v>63</v>
      </c>
      <c r="G1" s="7" t="s">
        <v>64</v>
      </c>
      <c r="H1" s="7">
        <f>COUNTA(A:A)</f>
        <v>50</v>
      </c>
    </row>
    <row r="2" spans="1:8" ht="11.25" customHeight="1" x14ac:dyDescent="0.25">
      <c r="A2" s="8" t="s">
        <v>348</v>
      </c>
      <c r="B2" s="8" t="s">
        <v>349</v>
      </c>
      <c r="C2" s="8" t="s">
        <v>350</v>
      </c>
      <c r="D2" s="8">
        <v>50</v>
      </c>
      <c r="E2" s="8" t="s">
        <v>351</v>
      </c>
    </row>
    <row r="3" spans="1:8" ht="11.25" customHeight="1" x14ac:dyDescent="0.25">
      <c r="A3" s="8" t="s">
        <v>348</v>
      </c>
      <c r="B3" s="8" t="s">
        <v>349</v>
      </c>
      <c r="C3" s="8" t="s">
        <v>350</v>
      </c>
      <c r="D3" s="8">
        <v>51</v>
      </c>
      <c r="E3" s="8" t="s">
        <v>351</v>
      </c>
    </row>
    <row r="4" spans="1:8" ht="11.25" customHeight="1" x14ac:dyDescent="0.25">
      <c r="A4" s="8" t="s">
        <v>348</v>
      </c>
      <c r="B4" s="8" t="s">
        <v>349</v>
      </c>
      <c r="C4" s="8" t="s">
        <v>350</v>
      </c>
      <c r="D4" s="8">
        <v>52</v>
      </c>
      <c r="E4" s="8" t="s">
        <v>351</v>
      </c>
    </row>
    <row r="5" spans="1:8" ht="11.25" customHeight="1" x14ac:dyDescent="0.25">
      <c r="A5" s="8" t="s">
        <v>348</v>
      </c>
      <c r="B5" s="8" t="s">
        <v>349</v>
      </c>
      <c r="C5" s="8" t="s">
        <v>350</v>
      </c>
      <c r="D5" s="8">
        <v>53</v>
      </c>
      <c r="E5" s="8" t="s">
        <v>351</v>
      </c>
    </row>
    <row r="6" spans="1:8" ht="11.25" customHeight="1" x14ac:dyDescent="0.25">
      <c r="A6" s="8" t="s">
        <v>348</v>
      </c>
      <c r="B6" s="8" t="s">
        <v>349</v>
      </c>
      <c r="C6" s="8" t="s">
        <v>350</v>
      </c>
      <c r="D6" s="8">
        <v>54</v>
      </c>
      <c r="E6" s="8" t="s">
        <v>351</v>
      </c>
    </row>
    <row r="7" spans="1:8" ht="11.25" customHeight="1" x14ac:dyDescent="0.25">
      <c r="A7" s="8" t="s">
        <v>348</v>
      </c>
      <c r="B7" s="8" t="s">
        <v>349</v>
      </c>
      <c r="C7" s="8" t="s">
        <v>350</v>
      </c>
      <c r="D7" s="8">
        <v>55</v>
      </c>
      <c r="E7" s="8" t="s">
        <v>351</v>
      </c>
    </row>
    <row r="8" spans="1:8" ht="11.25" customHeight="1" x14ac:dyDescent="0.25">
      <c r="A8" s="8" t="s">
        <v>348</v>
      </c>
      <c r="B8" s="8" t="s">
        <v>349</v>
      </c>
      <c r="C8" s="8" t="s">
        <v>350</v>
      </c>
      <c r="D8" s="8">
        <v>56</v>
      </c>
      <c r="E8" s="8" t="s">
        <v>351</v>
      </c>
    </row>
    <row r="9" spans="1:8" ht="11.25" customHeight="1" x14ac:dyDescent="0.25">
      <c r="A9" s="8" t="s">
        <v>348</v>
      </c>
      <c r="B9" s="8" t="s">
        <v>349</v>
      </c>
      <c r="C9" s="8" t="s">
        <v>350</v>
      </c>
      <c r="D9" s="8">
        <v>57</v>
      </c>
      <c r="E9" s="8" t="s">
        <v>351</v>
      </c>
    </row>
    <row r="10" spans="1:8" ht="11.25" customHeight="1" x14ac:dyDescent="0.25">
      <c r="A10" s="8" t="s">
        <v>348</v>
      </c>
      <c r="B10" s="8" t="s">
        <v>349</v>
      </c>
      <c r="C10" s="8" t="s">
        <v>350</v>
      </c>
      <c r="D10" s="8">
        <v>58</v>
      </c>
      <c r="E10" s="8" t="s">
        <v>351</v>
      </c>
    </row>
    <row r="11" spans="1:8" ht="11.25" customHeight="1" x14ac:dyDescent="0.25">
      <c r="A11" s="8" t="s">
        <v>348</v>
      </c>
      <c r="B11" s="8" t="s">
        <v>349</v>
      </c>
      <c r="C11" s="8" t="s">
        <v>350</v>
      </c>
      <c r="D11" s="8">
        <v>59</v>
      </c>
      <c r="E11" s="8" t="s">
        <v>351</v>
      </c>
    </row>
    <row r="12" spans="1:8" ht="11.25" customHeight="1" x14ac:dyDescent="0.25">
      <c r="A12" s="8" t="s">
        <v>348</v>
      </c>
      <c r="B12" s="8" t="s">
        <v>349</v>
      </c>
      <c r="C12" s="8" t="s">
        <v>350</v>
      </c>
      <c r="D12" s="8">
        <v>60</v>
      </c>
      <c r="E12" s="8" t="s">
        <v>351</v>
      </c>
    </row>
    <row r="13" spans="1:8" ht="11.25" customHeight="1" x14ac:dyDescent="0.25">
      <c r="A13" s="8" t="s">
        <v>348</v>
      </c>
      <c r="B13" s="8" t="s">
        <v>349</v>
      </c>
      <c r="C13" s="8" t="s">
        <v>350</v>
      </c>
      <c r="D13" s="8">
        <v>61</v>
      </c>
      <c r="E13" s="8" t="s">
        <v>351</v>
      </c>
    </row>
    <row r="14" spans="1:8" ht="11.25" customHeight="1" x14ac:dyDescent="0.25">
      <c r="A14" s="8" t="s">
        <v>348</v>
      </c>
      <c r="B14" s="8" t="s">
        <v>349</v>
      </c>
      <c r="C14" s="8" t="s">
        <v>350</v>
      </c>
      <c r="D14" s="8">
        <v>86</v>
      </c>
      <c r="E14" s="8" t="s">
        <v>351</v>
      </c>
    </row>
    <row r="15" spans="1:8" ht="11.25" customHeight="1" x14ac:dyDescent="0.25">
      <c r="A15" s="8" t="s">
        <v>348</v>
      </c>
      <c r="B15" s="8" t="s">
        <v>349</v>
      </c>
      <c r="C15" s="8" t="s">
        <v>350</v>
      </c>
      <c r="D15" s="8">
        <v>87</v>
      </c>
      <c r="E15" s="8" t="s">
        <v>351</v>
      </c>
    </row>
    <row r="16" spans="1:8" ht="11.25" customHeight="1" x14ac:dyDescent="0.25">
      <c r="A16" s="8" t="s">
        <v>348</v>
      </c>
      <c r="B16" s="8" t="s">
        <v>349</v>
      </c>
      <c r="C16" s="8" t="s">
        <v>350</v>
      </c>
      <c r="D16" s="8">
        <v>88</v>
      </c>
      <c r="E16" s="8" t="s">
        <v>351</v>
      </c>
    </row>
    <row r="17" spans="1:5" ht="11.25" customHeight="1" x14ac:dyDescent="0.25">
      <c r="A17" s="8" t="s">
        <v>348</v>
      </c>
      <c r="B17" s="8" t="s">
        <v>349</v>
      </c>
      <c r="C17" s="8" t="s">
        <v>350</v>
      </c>
      <c r="D17" s="8">
        <v>89</v>
      </c>
      <c r="E17" s="8" t="s">
        <v>351</v>
      </c>
    </row>
    <row r="18" spans="1:5" ht="11.25" customHeight="1" x14ac:dyDescent="0.25">
      <c r="A18" s="8" t="s">
        <v>348</v>
      </c>
      <c r="B18" s="8" t="s">
        <v>349</v>
      </c>
      <c r="C18" s="8" t="s">
        <v>350</v>
      </c>
      <c r="D18" s="8">
        <v>90</v>
      </c>
      <c r="E18" s="8" t="s">
        <v>351</v>
      </c>
    </row>
    <row r="19" spans="1:5" ht="11.25" customHeight="1" x14ac:dyDescent="0.25">
      <c r="A19" s="8" t="s">
        <v>348</v>
      </c>
      <c r="B19" s="8" t="s">
        <v>349</v>
      </c>
      <c r="C19" s="8" t="s">
        <v>350</v>
      </c>
      <c r="D19" s="8">
        <v>91</v>
      </c>
      <c r="E19" s="8" t="s">
        <v>351</v>
      </c>
    </row>
    <row r="20" spans="1:5" ht="11.25" customHeight="1" x14ac:dyDescent="0.25">
      <c r="A20" s="8" t="s">
        <v>348</v>
      </c>
      <c r="B20" s="8" t="s">
        <v>349</v>
      </c>
      <c r="C20" s="8" t="s">
        <v>350</v>
      </c>
      <c r="D20" s="8">
        <v>92</v>
      </c>
      <c r="E20" s="8" t="s">
        <v>351</v>
      </c>
    </row>
    <row r="21" spans="1:5" ht="11.25" customHeight="1" x14ac:dyDescent="0.25">
      <c r="A21" s="8" t="s">
        <v>348</v>
      </c>
      <c r="B21" s="8" t="s">
        <v>349</v>
      </c>
      <c r="C21" s="8" t="s">
        <v>350</v>
      </c>
      <c r="D21" s="8">
        <v>93</v>
      </c>
      <c r="E21" s="8" t="s">
        <v>351</v>
      </c>
    </row>
    <row r="22" spans="1:5" ht="11.25" customHeight="1" x14ac:dyDescent="0.25">
      <c r="A22" s="8" t="s">
        <v>348</v>
      </c>
      <c r="B22" s="8" t="s">
        <v>349</v>
      </c>
      <c r="C22" s="8" t="s">
        <v>350</v>
      </c>
      <c r="D22" s="8">
        <v>94</v>
      </c>
      <c r="E22" s="8" t="s">
        <v>351</v>
      </c>
    </row>
    <row r="23" spans="1:5" ht="11.25" customHeight="1" x14ac:dyDescent="0.25">
      <c r="A23" s="8" t="s">
        <v>348</v>
      </c>
      <c r="B23" s="8" t="s">
        <v>349</v>
      </c>
      <c r="C23" s="8" t="s">
        <v>350</v>
      </c>
      <c r="D23" s="8">
        <v>95</v>
      </c>
      <c r="E23" s="8" t="s">
        <v>351</v>
      </c>
    </row>
    <row r="24" spans="1:5" ht="11.25" customHeight="1" x14ac:dyDescent="0.25">
      <c r="A24" s="8" t="s">
        <v>348</v>
      </c>
      <c r="B24" s="8" t="s">
        <v>349</v>
      </c>
      <c r="C24" s="8" t="s">
        <v>350</v>
      </c>
      <c r="D24" s="8">
        <v>96</v>
      </c>
      <c r="E24" s="8" t="s">
        <v>351</v>
      </c>
    </row>
    <row r="25" spans="1:5" ht="11.25" customHeight="1" x14ac:dyDescent="0.25">
      <c r="A25" s="8" t="s">
        <v>348</v>
      </c>
      <c r="B25" s="8" t="s">
        <v>349</v>
      </c>
      <c r="C25" s="8" t="s">
        <v>350</v>
      </c>
      <c r="D25" s="8">
        <v>97</v>
      </c>
      <c r="E25" s="8" t="s">
        <v>351</v>
      </c>
    </row>
    <row r="26" spans="1:5" ht="11.25" customHeight="1" x14ac:dyDescent="0.25">
      <c r="A26" s="8" t="s">
        <v>348</v>
      </c>
      <c r="B26" s="8" t="s">
        <v>349</v>
      </c>
      <c r="C26" s="8" t="s">
        <v>350</v>
      </c>
      <c r="D26" s="8">
        <v>122</v>
      </c>
      <c r="E26" s="8" t="s">
        <v>351</v>
      </c>
    </row>
    <row r="27" spans="1:5" ht="11.25" customHeight="1" x14ac:dyDescent="0.25">
      <c r="A27" s="8" t="s">
        <v>348</v>
      </c>
      <c r="B27" s="8" t="s">
        <v>349</v>
      </c>
      <c r="C27" s="8" t="s">
        <v>350</v>
      </c>
      <c r="D27" s="8">
        <v>123</v>
      </c>
      <c r="E27" s="8" t="s">
        <v>351</v>
      </c>
    </row>
    <row r="28" spans="1:5" ht="11.25" customHeight="1" x14ac:dyDescent="0.25">
      <c r="A28" s="8" t="s">
        <v>348</v>
      </c>
      <c r="B28" s="8" t="s">
        <v>349</v>
      </c>
      <c r="C28" s="8" t="s">
        <v>350</v>
      </c>
      <c r="D28" s="8">
        <v>124</v>
      </c>
      <c r="E28" s="8" t="s">
        <v>351</v>
      </c>
    </row>
    <row r="29" spans="1:5" ht="11.25" customHeight="1" x14ac:dyDescent="0.25">
      <c r="A29" s="8" t="s">
        <v>348</v>
      </c>
      <c r="B29" s="8" t="s">
        <v>349</v>
      </c>
      <c r="C29" s="8" t="s">
        <v>350</v>
      </c>
      <c r="D29" s="8">
        <v>125</v>
      </c>
      <c r="E29" s="8" t="s">
        <v>351</v>
      </c>
    </row>
    <row r="30" spans="1:5" ht="11.25" customHeight="1" x14ac:dyDescent="0.25">
      <c r="A30" s="8" t="s">
        <v>348</v>
      </c>
      <c r="B30" s="8" t="s">
        <v>349</v>
      </c>
      <c r="C30" s="8" t="s">
        <v>350</v>
      </c>
      <c r="D30" s="8">
        <v>126</v>
      </c>
      <c r="E30" s="8" t="s">
        <v>351</v>
      </c>
    </row>
    <row r="31" spans="1:5" ht="11.25" customHeight="1" x14ac:dyDescent="0.25">
      <c r="A31" s="8" t="s">
        <v>348</v>
      </c>
      <c r="B31" s="8" t="s">
        <v>349</v>
      </c>
      <c r="C31" s="8" t="s">
        <v>350</v>
      </c>
      <c r="D31" s="8">
        <v>127</v>
      </c>
      <c r="E31" s="8" t="s">
        <v>351</v>
      </c>
    </row>
    <row r="32" spans="1:5" ht="11.25" customHeight="1" x14ac:dyDescent="0.25">
      <c r="A32" s="8" t="s">
        <v>348</v>
      </c>
      <c r="B32" s="8" t="s">
        <v>349</v>
      </c>
      <c r="C32" s="8" t="s">
        <v>350</v>
      </c>
      <c r="D32" s="8">
        <v>128</v>
      </c>
      <c r="E32" s="8" t="s">
        <v>351</v>
      </c>
    </row>
    <row r="33" spans="1:5" ht="11.25" customHeight="1" x14ac:dyDescent="0.25">
      <c r="A33" s="8" t="s">
        <v>348</v>
      </c>
      <c r="B33" s="8" t="s">
        <v>349</v>
      </c>
      <c r="C33" s="8" t="s">
        <v>350</v>
      </c>
      <c r="D33" s="8">
        <v>129</v>
      </c>
      <c r="E33" s="8" t="s">
        <v>351</v>
      </c>
    </row>
    <row r="34" spans="1:5" ht="11.25" customHeight="1" x14ac:dyDescent="0.25">
      <c r="A34" s="8" t="s">
        <v>348</v>
      </c>
      <c r="B34" s="8" t="s">
        <v>349</v>
      </c>
      <c r="C34" s="8" t="s">
        <v>350</v>
      </c>
      <c r="D34" s="8">
        <v>130</v>
      </c>
      <c r="E34" s="8" t="s">
        <v>351</v>
      </c>
    </row>
    <row r="35" spans="1:5" ht="11.25" customHeight="1" x14ac:dyDescent="0.25">
      <c r="A35" s="8" t="s">
        <v>348</v>
      </c>
      <c r="B35" s="8" t="s">
        <v>349</v>
      </c>
      <c r="C35" s="8" t="s">
        <v>350</v>
      </c>
      <c r="D35" s="8">
        <v>131</v>
      </c>
      <c r="E35" s="8" t="s">
        <v>351</v>
      </c>
    </row>
    <row r="36" spans="1:5" ht="11.25" customHeight="1" x14ac:dyDescent="0.25">
      <c r="A36" s="8" t="s">
        <v>348</v>
      </c>
      <c r="B36" s="8" t="s">
        <v>349</v>
      </c>
      <c r="C36" s="8" t="s">
        <v>350</v>
      </c>
      <c r="D36" s="8">
        <v>132</v>
      </c>
      <c r="E36" s="8" t="s">
        <v>351</v>
      </c>
    </row>
    <row r="37" spans="1:5" ht="11.25" customHeight="1" x14ac:dyDescent="0.25">
      <c r="A37" s="8" t="s">
        <v>348</v>
      </c>
      <c r="B37" s="8" t="s">
        <v>349</v>
      </c>
      <c r="C37" s="8" t="s">
        <v>350</v>
      </c>
      <c r="D37" s="8">
        <v>133</v>
      </c>
      <c r="E37" s="8" t="s">
        <v>351</v>
      </c>
    </row>
    <row r="38" spans="1:5" ht="11.25" customHeight="1" x14ac:dyDescent="0.25">
      <c r="A38" s="8" t="s">
        <v>348</v>
      </c>
      <c r="B38" s="8" t="s">
        <v>349</v>
      </c>
      <c r="C38" s="8" t="s">
        <v>350</v>
      </c>
      <c r="D38" s="8">
        <v>158</v>
      </c>
      <c r="E38" s="8" t="s">
        <v>351</v>
      </c>
    </row>
    <row r="39" spans="1:5" ht="11.25" customHeight="1" x14ac:dyDescent="0.25">
      <c r="A39" s="8" t="s">
        <v>348</v>
      </c>
      <c r="B39" s="8" t="s">
        <v>349</v>
      </c>
      <c r="C39" s="8" t="s">
        <v>350</v>
      </c>
      <c r="D39" s="8">
        <v>159</v>
      </c>
      <c r="E39" s="8" t="s">
        <v>351</v>
      </c>
    </row>
    <row r="40" spans="1:5" ht="11.25" customHeight="1" x14ac:dyDescent="0.25">
      <c r="A40" s="8" t="s">
        <v>348</v>
      </c>
      <c r="B40" s="8" t="s">
        <v>349</v>
      </c>
      <c r="C40" s="8" t="s">
        <v>350</v>
      </c>
      <c r="D40" s="8">
        <v>160</v>
      </c>
      <c r="E40" s="8" t="s">
        <v>351</v>
      </c>
    </row>
    <row r="41" spans="1:5" ht="11.25" customHeight="1" x14ac:dyDescent="0.25">
      <c r="A41" s="8" t="s">
        <v>348</v>
      </c>
      <c r="B41" s="8" t="s">
        <v>349</v>
      </c>
      <c r="C41" s="8" t="s">
        <v>350</v>
      </c>
      <c r="D41" s="8">
        <v>161</v>
      </c>
      <c r="E41" s="8" t="s">
        <v>351</v>
      </c>
    </row>
    <row r="42" spans="1:5" ht="11.25" customHeight="1" x14ac:dyDescent="0.25">
      <c r="A42" s="8" t="s">
        <v>348</v>
      </c>
      <c r="B42" s="8" t="s">
        <v>349</v>
      </c>
      <c r="C42" s="8" t="s">
        <v>350</v>
      </c>
      <c r="D42" s="8">
        <v>162</v>
      </c>
      <c r="E42" s="8" t="s">
        <v>351</v>
      </c>
    </row>
    <row r="43" spans="1:5" ht="11.25" customHeight="1" x14ac:dyDescent="0.25">
      <c r="A43" s="8" t="s">
        <v>348</v>
      </c>
      <c r="B43" s="8" t="s">
        <v>349</v>
      </c>
      <c r="C43" s="8" t="s">
        <v>350</v>
      </c>
      <c r="D43" s="8">
        <v>163</v>
      </c>
      <c r="E43" s="8" t="s">
        <v>351</v>
      </c>
    </row>
    <row r="44" spans="1:5" ht="11.25" customHeight="1" x14ac:dyDescent="0.25">
      <c r="A44" s="8" t="s">
        <v>348</v>
      </c>
      <c r="B44" s="8" t="s">
        <v>349</v>
      </c>
      <c r="C44" s="8" t="s">
        <v>350</v>
      </c>
      <c r="D44" s="8">
        <v>164</v>
      </c>
      <c r="E44" s="8" t="s">
        <v>351</v>
      </c>
    </row>
    <row r="45" spans="1:5" ht="11.25" customHeight="1" x14ac:dyDescent="0.25">
      <c r="A45" s="8" t="s">
        <v>348</v>
      </c>
      <c r="B45" s="8" t="s">
        <v>349</v>
      </c>
      <c r="C45" s="8" t="s">
        <v>350</v>
      </c>
      <c r="D45" s="8">
        <v>165</v>
      </c>
      <c r="E45" s="8" t="s">
        <v>351</v>
      </c>
    </row>
    <row r="46" spans="1:5" ht="11.25" customHeight="1" x14ac:dyDescent="0.25">
      <c r="A46" s="8" t="s">
        <v>348</v>
      </c>
      <c r="B46" s="8" t="s">
        <v>349</v>
      </c>
      <c r="C46" s="8" t="s">
        <v>350</v>
      </c>
      <c r="D46" s="8">
        <v>166</v>
      </c>
      <c r="E46" s="8" t="s">
        <v>351</v>
      </c>
    </row>
    <row r="47" spans="1:5" ht="11.25" customHeight="1" x14ac:dyDescent="0.25">
      <c r="A47" s="8" t="s">
        <v>348</v>
      </c>
      <c r="B47" s="8" t="s">
        <v>349</v>
      </c>
      <c r="C47" s="8" t="s">
        <v>350</v>
      </c>
      <c r="D47" s="8">
        <v>167</v>
      </c>
      <c r="E47" s="8" t="s">
        <v>351</v>
      </c>
    </row>
    <row r="48" spans="1:5" ht="11.25" customHeight="1" x14ac:dyDescent="0.25">
      <c r="A48" s="8" t="s">
        <v>348</v>
      </c>
      <c r="B48" s="8" t="s">
        <v>349</v>
      </c>
      <c r="C48" s="8" t="s">
        <v>350</v>
      </c>
      <c r="D48" s="8">
        <v>168</v>
      </c>
      <c r="E48" s="8" t="s">
        <v>351</v>
      </c>
    </row>
    <row r="49" spans="1:5" ht="11.25" customHeight="1" x14ac:dyDescent="0.25">
      <c r="A49" s="8" t="s">
        <v>348</v>
      </c>
      <c r="B49" s="8" t="s">
        <v>349</v>
      </c>
      <c r="C49" s="8" t="s">
        <v>350</v>
      </c>
      <c r="D49" s="8">
        <v>169</v>
      </c>
      <c r="E49" s="8" t="s">
        <v>351</v>
      </c>
    </row>
    <row r="50" spans="1:5" ht="11.25" customHeight="1" x14ac:dyDescent="0.25">
      <c r="A50" s="8" t="s">
        <v>348</v>
      </c>
      <c r="C50" s="8" t="s">
        <v>621</v>
      </c>
      <c r="D50" s="8">
        <v>40</v>
      </c>
      <c r="E50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CD9F-A7D1-4230-805A-A75389AB4BD9}">
  <dimension ref="A1:AX88"/>
  <sheetViews>
    <sheetView showGridLines="0" workbookViewId="0">
      <selection activeCell="R2" sqref="R2:R88"/>
    </sheetView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8" width="9.140625" style="8"/>
    <col min="19" max="19" width="59" style="8" customWidth="1"/>
    <col min="20" max="16384" width="9.140625" style="8"/>
  </cols>
  <sheetData>
    <row r="1" spans="1:50" ht="11.25" customHeight="1" x14ac:dyDescent="0.25">
      <c r="A1" s="36" t="s">
        <v>681</v>
      </c>
      <c r="B1" s="36" t="s">
        <v>672</v>
      </c>
      <c r="C1" s="36" t="s">
        <v>1</v>
      </c>
      <c r="D1" s="36" t="s">
        <v>2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6" t="s">
        <v>673</v>
      </c>
      <c r="K1" s="36" t="s">
        <v>674</v>
      </c>
      <c r="L1" s="36" t="s">
        <v>675</v>
      </c>
      <c r="M1" s="36" t="s">
        <v>676</v>
      </c>
      <c r="N1" s="36" t="s">
        <v>677</v>
      </c>
      <c r="O1" s="36" t="s">
        <v>553</v>
      </c>
      <c r="P1" s="36" t="s">
        <v>539</v>
      </c>
      <c r="Q1" s="7" t="s">
        <v>1281</v>
      </c>
      <c r="R1" s="7" t="s">
        <v>1282</v>
      </c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37">
        <v>1</v>
      </c>
      <c r="B2" s="37" t="s">
        <v>561</v>
      </c>
      <c r="C2" s="37" t="s">
        <v>41</v>
      </c>
      <c r="D2" s="37" t="s">
        <v>78</v>
      </c>
      <c r="E2" s="37" t="s">
        <v>42</v>
      </c>
      <c r="F2" s="37" t="s">
        <v>25</v>
      </c>
      <c r="G2" s="37" t="s">
        <v>25</v>
      </c>
      <c r="H2" s="37" t="s">
        <v>25</v>
      </c>
      <c r="I2" s="37" t="s">
        <v>25</v>
      </c>
      <c r="J2" s="37" t="s">
        <v>678</v>
      </c>
      <c r="K2" s="37" t="s">
        <v>679</v>
      </c>
      <c r="L2" s="37" t="s">
        <v>75</v>
      </c>
      <c r="M2" s="37">
        <v>2021</v>
      </c>
      <c r="N2" s="37">
        <v>0</v>
      </c>
      <c r="O2" s="37">
        <f>IF(R2=0,Q2,T2)</f>
        <v>254.23</v>
      </c>
      <c r="P2" s="37"/>
      <c r="Q2" s="37">
        <v>247.04</v>
      </c>
      <c r="R2" s="8">
        <v>1</v>
      </c>
      <c r="S2" s="8" t="str">
        <f>B2&amp;C2&amp;D2&amp;E2&amp;F2&amp;G2&amp;H2&amp;I2</f>
        <v>TEB2Energia convencionalRuralNão se aplicaNão se aplicaNão se aplicaNão se aplica</v>
      </c>
      <c r="T2" s="8">
        <f>VLOOKUP(S2,'TAR FIN COPEL'!$R$2:$S$219,2,0)</f>
        <v>254.23</v>
      </c>
    </row>
    <row r="3" spans="1:50" ht="11.25" customHeight="1" x14ac:dyDescent="0.25">
      <c r="A3" s="37">
        <v>2</v>
      </c>
      <c r="B3" s="37" t="s">
        <v>533</v>
      </c>
      <c r="C3" s="37" t="s">
        <v>38</v>
      </c>
      <c r="D3" s="37" t="s">
        <v>56</v>
      </c>
      <c r="E3" s="37" t="s">
        <v>25</v>
      </c>
      <c r="F3" s="37" t="s">
        <v>25</v>
      </c>
      <c r="G3" s="37" t="s">
        <v>25</v>
      </c>
      <c r="H3" s="37" t="s">
        <v>25</v>
      </c>
      <c r="I3" s="37" t="s">
        <v>33</v>
      </c>
      <c r="J3" s="37" t="s">
        <v>680</v>
      </c>
      <c r="K3" s="37" t="s">
        <v>679</v>
      </c>
      <c r="L3" s="37" t="s">
        <v>80</v>
      </c>
      <c r="M3" s="37">
        <v>2021</v>
      </c>
      <c r="N3" s="37">
        <v>0</v>
      </c>
      <c r="O3" s="37">
        <f t="shared" ref="O3:O66" si="0">IF(R3=0,Q3,T3)</f>
        <v>50.05</v>
      </c>
      <c r="P3" s="37">
        <v>0</v>
      </c>
      <c r="Q3" s="37">
        <v>50.05</v>
      </c>
      <c r="R3" s="8">
        <v>0</v>
      </c>
      <c r="S3" s="8" t="str">
        <f t="shared" ref="S3:S66" si="1">B3&amp;C3&amp;D3&amp;E3&amp;F3&amp;G3&amp;H3&amp;I3</f>
        <v>TUSDA4AzulNão se aplicaNão se aplicaNão se aplicaNão se aplicaPonta</v>
      </c>
      <c r="T3" s="8">
        <f>VLOOKUP(S3,'TAR FIN COPEL'!$R$2:$S$219,2,0)</f>
        <v>36.08</v>
      </c>
    </row>
    <row r="4" spans="1:50" ht="11.25" customHeight="1" x14ac:dyDescent="0.25">
      <c r="A4" s="37">
        <v>3</v>
      </c>
      <c r="B4" s="37" t="s">
        <v>561</v>
      </c>
      <c r="C4" s="37" t="s">
        <v>41</v>
      </c>
      <c r="D4" s="37" t="s">
        <v>74</v>
      </c>
      <c r="E4" s="37" t="s">
        <v>42</v>
      </c>
      <c r="F4" s="37" t="s">
        <v>91</v>
      </c>
      <c r="G4" s="37" t="s">
        <v>25</v>
      </c>
      <c r="H4" s="37" t="s">
        <v>25</v>
      </c>
      <c r="I4" s="37" t="s">
        <v>33</v>
      </c>
      <c r="J4" s="37" t="s">
        <v>678</v>
      </c>
      <c r="K4" s="37" t="s">
        <v>679</v>
      </c>
      <c r="L4" s="37" t="s">
        <v>75</v>
      </c>
      <c r="M4" s="37">
        <v>2021</v>
      </c>
      <c r="N4" s="37">
        <v>0</v>
      </c>
      <c r="O4" s="37">
        <f t="shared" si="0"/>
        <v>374.16</v>
      </c>
      <c r="P4" s="37"/>
      <c r="Q4" s="37">
        <v>382.76</v>
      </c>
      <c r="R4" s="8">
        <v>1</v>
      </c>
      <c r="S4" s="8" t="str">
        <f t="shared" si="1"/>
        <v>TEB2Energia horáriaRuralCooperativa de eletrificação ruralNão se aplicaNão se aplicaPonta</v>
      </c>
      <c r="T4" s="8">
        <f>VLOOKUP(S4,'TAR FIN COPEL'!$R$2:$S$219,2,0)</f>
        <v>374.16</v>
      </c>
    </row>
    <row r="5" spans="1:50" ht="11.25" customHeight="1" x14ac:dyDescent="0.25">
      <c r="A5" s="37">
        <v>4</v>
      </c>
      <c r="B5" s="37" t="s">
        <v>561</v>
      </c>
      <c r="C5" s="37" t="s">
        <v>41</v>
      </c>
      <c r="D5" s="37" t="s">
        <v>74</v>
      </c>
      <c r="E5" s="37" t="s">
        <v>42</v>
      </c>
      <c r="F5" s="37" t="s">
        <v>91</v>
      </c>
      <c r="G5" s="37" t="s">
        <v>25</v>
      </c>
      <c r="H5" s="37" t="s">
        <v>25</v>
      </c>
      <c r="I5" s="37" t="s">
        <v>35</v>
      </c>
      <c r="J5" s="37" t="s">
        <v>678</v>
      </c>
      <c r="K5" s="37" t="s">
        <v>679</v>
      </c>
      <c r="L5" s="37" t="s">
        <v>75</v>
      </c>
      <c r="M5" s="37">
        <v>2021</v>
      </c>
      <c r="N5" s="37">
        <v>0</v>
      </c>
      <c r="O5" s="37">
        <f t="shared" si="0"/>
        <v>235.29</v>
      </c>
      <c r="P5" s="37"/>
      <c r="Q5" s="37">
        <v>234.71</v>
      </c>
      <c r="R5" s="8">
        <v>1</v>
      </c>
      <c r="S5" s="8" t="str">
        <f t="shared" si="1"/>
        <v>TEB2Energia horáriaRuralCooperativa de eletrificação ruralNão se aplicaNão se aplicaIntermediário</v>
      </c>
      <c r="T5" s="8">
        <f>VLOOKUP(S5,'TAR FIN COPEL'!$R$2:$S$219,2,0)</f>
        <v>235.29</v>
      </c>
    </row>
    <row r="6" spans="1:50" ht="11.25" customHeight="1" x14ac:dyDescent="0.25">
      <c r="A6" s="37">
        <v>5</v>
      </c>
      <c r="B6" s="37" t="s">
        <v>533</v>
      </c>
      <c r="C6" s="37" t="s">
        <v>38</v>
      </c>
      <c r="D6" s="37" t="s">
        <v>56</v>
      </c>
      <c r="E6" s="37" t="s">
        <v>25</v>
      </c>
      <c r="F6" s="37" t="s">
        <v>25</v>
      </c>
      <c r="G6" s="37" t="s">
        <v>25</v>
      </c>
      <c r="H6" s="37" t="s">
        <v>25</v>
      </c>
      <c r="I6" s="37" t="s">
        <v>34</v>
      </c>
      <c r="J6" s="37" t="s">
        <v>680</v>
      </c>
      <c r="K6" s="37" t="s">
        <v>679</v>
      </c>
      <c r="L6" s="37" t="s">
        <v>80</v>
      </c>
      <c r="M6" s="37">
        <v>2021</v>
      </c>
      <c r="N6" s="37">
        <v>0</v>
      </c>
      <c r="O6" s="37">
        <f t="shared" si="0"/>
        <v>17.190000000000001</v>
      </c>
      <c r="P6" s="37">
        <v>0</v>
      </c>
      <c r="Q6" s="37">
        <v>17.190000000000001</v>
      </c>
      <c r="R6" s="8">
        <v>0</v>
      </c>
      <c r="S6" s="8" t="str">
        <f t="shared" si="1"/>
        <v>TUSDA4AzulNão se aplicaNão se aplicaNão se aplicaNão se aplicaFora ponta</v>
      </c>
      <c r="T6" s="8">
        <f>VLOOKUP(S6,'TAR FIN COPEL'!$R$2:$S$219,2,0)</f>
        <v>17.07</v>
      </c>
    </row>
    <row r="7" spans="1:50" ht="11.25" customHeight="1" x14ac:dyDescent="0.25">
      <c r="A7" s="37">
        <v>6</v>
      </c>
      <c r="B7" s="37" t="s">
        <v>561</v>
      </c>
      <c r="C7" s="37" t="s">
        <v>41</v>
      </c>
      <c r="D7" s="37" t="s">
        <v>74</v>
      </c>
      <c r="E7" s="37" t="s">
        <v>42</v>
      </c>
      <c r="F7" s="37" t="s">
        <v>91</v>
      </c>
      <c r="G7" s="37" t="s">
        <v>25</v>
      </c>
      <c r="H7" s="37" t="s">
        <v>25</v>
      </c>
      <c r="I7" s="37" t="s">
        <v>34</v>
      </c>
      <c r="J7" s="37" t="s">
        <v>678</v>
      </c>
      <c r="K7" s="37" t="s">
        <v>679</v>
      </c>
      <c r="L7" s="37" t="s">
        <v>75</v>
      </c>
      <c r="M7" s="37">
        <v>2021</v>
      </c>
      <c r="N7" s="37">
        <v>0</v>
      </c>
      <c r="O7" s="37">
        <f t="shared" si="0"/>
        <v>235.29</v>
      </c>
      <c r="P7" s="37"/>
      <c r="Q7" s="37">
        <v>234.71</v>
      </c>
      <c r="R7" s="8">
        <v>1</v>
      </c>
      <c r="S7" s="8" t="str">
        <f t="shared" si="1"/>
        <v>TEB2Energia horáriaRuralCooperativa de eletrificação ruralNão se aplicaNão se aplicaFora ponta</v>
      </c>
      <c r="T7" s="8">
        <f>VLOOKUP(S7,'TAR FIN COPEL'!$R$2:$S$219,2,0)</f>
        <v>235.29</v>
      </c>
    </row>
    <row r="8" spans="1:50" ht="11.25" customHeight="1" x14ac:dyDescent="0.25">
      <c r="A8" s="37">
        <v>7</v>
      </c>
      <c r="B8" s="37" t="s">
        <v>561</v>
      </c>
      <c r="C8" s="37" t="s">
        <v>41</v>
      </c>
      <c r="D8" s="37" t="s">
        <v>78</v>
      </c>
      <c r="E8" s="37" t="s">
        <v>42</v>
      </c>
      <c r="F8" s="37" t="s">
        <v>91</v>
      </c>
      <c r="G8" s="37" t="s">
        <v>25</v>
      </c>
      <c r="H8" s="37" t="s">
        <v>25</v>
      </c>
      <c r="I8" s="37" t="s">
        <v>25</v>
      </c>
      <c r="J8" s="37" t="s">
        <v>678</v>
      </c>
      <c r="K8" s="37" t="s">
        <v>679</v>
      </c>
      <c r="L8" s="37" t="s">
        <v>75</v>
      </c>
      <c r="M8" s="37">
        <v>2021</v>
      </c>
      <c r="N8" s="37">
        <v>0</v>
      </c>
      <c r="O8" s="37">
        <f t="shared" si="0"/>
        <v>246.87</v>
      </c>
      <c r="P8" s="37"/>
      <c r="Q8" s="37">
        <v>247.04</v>
      </c>
      <c r="R8" s="8">
        <v>1</v>
      </c>
      <c r="S8" s="8" t="str">
        <f t="shared" si="1"/>
        <v>TEB2Energia convencionalRuralCooperativa de eletrificação ruralNão se aplicaNão se aplicaNão se aplica</v>
      </c>
      <c r="T8" s="8">
        <f>VLOOKUP(S8,'TAR FIN COPEL'!$R$2:$S$219,2,0)</f>
        <v>246.87</v>
      </c>
    </row>
    <row r="9" spans="1:50" ht="11.25" customHeight="1" x14ac:dyDescent="0.25">
      <c r="A9" s="37">
        <v>8</v>
      </c>
      <c r="B9" s="37" t="s">
        <v>533</v>
      </c>
      <c r="C9" s="37" t="s">
        <v>38</v>
      </c>
      <c r="D9" s="37" t="s">
        <v>56</v>
      </c>
      <c r="E9" s="37" t="s">
        <v>25</v>
      </c>
      <c r="F9" s="37" t="s">
        <v>25</v>
      </c>
      <c r="G9" s="37" t="s">
        <v>25</v>
      </c>
      <c r="H9" s="37" t="s">
        <v>25</v>
      </c>
      <c r="I9" s="37" t="s">
        <v>25</v>
      </c>
      <c r="J9" s="37" t="s">
        <v>678</v>
      </c>
      <c r="K9" s="37" t="s">
        <v>679</v>
      </c>
      <c r="L9" s="37" t="s">
        <v>75</v>
      </c>
      <c r="M9" s="37">
        <v>2021</v>
      </c>
      <c r="N9" s="37">
        <v>0</v>
      </c>
      <c r="O9" s="37">
        <f t="shared" si="0"/>
        <v>73.790000000000006</v>
      </c>
      <c r="P9" s="37">
        <v>60.488502662438698</v>
      </c>
      <c r="Q9" s="37">
        <v>73.790000000000006</v>
      </c>
      <c r="R9" s="8">
        <v>0</v>
      </c>
      <c r="S9" s="8" t="str">
        <f t="shared" si="1"/>
        <v>TUSDA4AzulNão se aplicaNão se aplicaNão se aplicaNão se aplicaNão se aplica</v>
      </c>
      <c r="T9" s="8">
        <f>VLOOKUP(S9,'TAR FIN COPEL'!$R$2:$S$219,2,0)</f>
        <v>82.6</v>
      </c>
    </row>
    <row r="10" spans="1:50" ht="11.25" customHeight="1" x14ac:dyDescent="0.25">
      <c r="A10" s="37">
        <v>9</v>
      </c>
      <c r="B10" s="37" t="s">
        <v>561</v>
      </c>
      <c r="C10" s="37" t="s">
        <v>41</v>
      </c>
      <c r="D10" s="37" t="s">
        <v>74</v>
      </c>
      <c r="E10" s="37" t="s">
        <v>42</v>
      </c>
      <c r="F10" s="37" t="s">
        <v>92</v>
      </c>
      <c r="G10" s="37" t="s">
        <v>25</v>
      </c>
      <c r="H10" s="37" t="s">
        <v>25</v>
      </c>
      <c r="I10" s="37" t="s">
        <v>33</v>
      </c>
      <c r="J10" s="37" t="s">
        <v>678</v>
      </c>
      <c r="K10" s="37" t="s">
        <v>679</v>
      </c>
      <c r="L10" s="37" t="s">
        <v>75</v>
      </c>
      <c r="M10" s="37">
        <v>2021</v>
      </c>
      <c r="N10" s="37">
        <v>0</v>
      </c>
      <c r="O10" s="37">
        <f t="shared" si="0"/>
        <v>367.81</v>
      </c>
      <c r="P10" s="37"/>
      <c r="Q10" s="37">
        <v>365.36</v>
      </c>
      <c r="R10" s="8">
        <v>1</v>
      </c>
      <c r="S10" s="8" t="str">
        <f t="shared" si="1"/>
        <v>TEB2Energia horáriaRuralServiço público de irrigação ruralNão se aplicaNão se aplicaPonta</v>
      </c>
      <c r="T10" s="8">
        <f>VLOOKUP(S10,'TAR FIN COPEL'!$R$2:$S$219,2,0)</f>
        <v>367.81</v>
      </c>
    </row>
    <row r="11" spans="1:50" ht="11.25" customHeight="1" x14ac:dyDescent="0.25">
      <c r="A11" s="37">
        <v>10</v>
      </c>
      <c r="B11" s="37" t="s">
        <v>533</v>
      </c>
      <c r="C11" s="37" t="s">
        <v>38</v>
      </c>
      <c r="D11" s="37" t="s">
        <v>56</v>
      </c>
      <c r="E11" s="37" t="s">
        <v>25</v>
      </c>
      <c r="F11" s="37" t="s">
        <v>25</v>
      </c>
      <c r="G11" s="37" t="s">
        <v>83</v>
      </c>
      <c r="H11" s="37" t="s">
        <v>25</v>
      </c>
      <c r="I11" s="37" t="s">
        <v>25</v>
      </c>
      <c r="J11" s="37" t="s">
        <v>678</v>
      </c>
      <c r="K11" s="37" t="s">
        <v>679</v>
      </c>
      <c r="L11" s="37" t="s">
        <v>75</v>
      </c>
      <c r="M11" s="37">
        <v>2021</v>
      </c>
      <c r="N11" s="37">
        <v>0</v>
      </c>
      <c r="O11" s="37">
        <f t="shared" si="0"/>
        <v>5.61</v>
      </c>
      <c r="P11" s="37">
        <v>0</v>
      </c>
      <c r="Q11" s="37">
        <v>5.61</v>
      </c>
      <c r="R11" s="8">
        <v>0</v>
      </c>
      <c r="S11" s="8" t="str">
        <f t="shared" si="1"/>
        <v>TUSDA4AzulNão se aplicaNão se aplicaAPENão se aplicaNão se aplica</v>
      </c>
      <c r="T11" s="8">
        <f>VLOOKUP(S11,'TAR FIN COPEL'!$R$2:$S$219,2,0)</f>
        <v>16.87</v>
      </c>
    </row>
    <row r="12" spans="1:50" ht="11.25" customHeight="1" x14ac:dyDescent="0.25">
      <c r="A12" s="37">
        <v>11</v>
      </c>
      <c r="B12" s="37" t="s">
        <v>561</v>
      </c>
      <c r="C12" s="37" t="s">
        <v>41</v>
      </c>
      <c r="D12" s="37" t="s">
        <v>74</v>
      </c>
      <c r="E12" s="37" t="s">
        <v>42</v>
      </c>
      <c r="F12" s="37" t="s">
        <v>92</v>
      </c>
      <c r="G12" s="37" t="s">
        <v>25</v>
      </c>
      <c r="H12" s="37" t="s">
        <v>25</v>
      </c>
      <c r="I12" s="37" t="s">
        <v>35</v>
      </c>
      <c r="J12" s="37" t="s">
        <v>678</v>
      </c>
      <c r="K12" s="37" t="s">
        <v>679</v>
      </c>
      <c r="L12" s="37" t="s">
        <v>75</v>
      </c>
      <c r="M12" s="37">
        <v>2021</v>
      </c>
      <c r="N12" s="37">
        <v>0</v>
      </c>
      <c r="O12" s="37">
        <f t="shared" si="0"/>
        <v>231.3</v>
      </c>
      <c r="P12" s="37"/>
      <c r="Q12" s="37">
        <v>224.04</v>
      </c>
      <c r="R12" s="8">
        <v>1</v>
      </c>
      <c r="S12" s="8" t="str">
        <f t="shared" si="1"/>
        <v>TEB2Energia horáriaRuralServiço público de irrigação ruralNão se aplicaNão se aplicaIntermediário</v>
      </c>
      <c r="T12" s="8">
        <f>VLOOKUP(S12,'TAR FIN COPEL'!$R$2:$S$219,2,0)</f>
        <v>231.3</v>
      </c>
    </row>
    <row r="13" spans="1:50" ht="11.25" customHeight="1" x14ac:dyDescent="0.25">
      <c r="A13" s="37">
        <v>12</v>
      </c>
      <c r="B13" s="37" t="s">
        <v>561</v>
      </c>
      <c r="C13" s="37" t="s">
        <v>41</v>
      </c>
      <c r="D13" s="37" t="s">
        <v>74</v>
      </c>
      <c r="E13" s="37" t="s">
        <v>42</v>
      </c>
      <c r="F13" s="37" t="s">
        <v>92</v>
      </c>
      <c r="G13" s="37" t="s">
        <v>25</v>
      </c>
      <c r="H13" s="37" t="s">
        <v>25</v>
      </c>
      <c r="I13" s="37" t="s">
        <v>34</v>
      </c>
      <c r="J13" s="37" t="s">
        <v>678</v>
      </c>
      <c r="K13" s="37" t="s">
        <v>679</v>
      </c>
      <c r="L13" s="37" t="s">
        <v>75</v>
      </c>
      <c r="M13" s="37">
        <v>2021</v>
      </c>
      <c r="N13" s="37">
        <v>0</v>
      </c>
      <c r="O13" s="37">
        <f t="shared" si="0"/>
        <v>231.3</v>
      </c>
      <c r="P13" s="37"/>
      <c r="Q13" s="37">
        <v>224.04</v>
      </c>
      <c r="R13" s="8">
        <v>1</v>
      </c>
      <c r="S13" s="8" t="str">
        <f t="shared" si="1"/>
        <v>TEB2Energia horáriaRuralServiço público de irrigação ruralNão se aplicaNão se aplicaFora ponta</v>
      </c>
      <c r="T13" s="8">
        <f>VLOOKUP(S13,'TAR FIN COPEL'!$R$2:$S$219,2,0)</f>
        <v>231.3</v>
      </c>
    </row>
    <row r="14" spans="1:50" ht="11.25" customHeight="1" x14ac:dyDescent="0.25">
      <c r="A14" s="37">
        <v>13</v>
      </c>
      <c r="B14" s="37" t="s">
        <v>533</v>
      </c>
      <c r="C14" s="37" t="s">
        <v>38</v>
      </c>
      <c r="D14" s="37" t="s">
        <v>84</v>
      </c>
      <c r="E14" s="37" t="s">
        <v>25</v>
      </c>
      <c r="F14" s="37" t="s">
        <v>25</v>
      </c>
      <c r="G14" s="37" t="s">
        <v>25</v>
      </c>
      <c r="H14" s="37" t="s">
        <v>25</v>
      </c>
      <c r="I14" s="37" t="s">
        <v>25</v>
      </c>
      <c r="J14" s="37" t="s">
        <v>680</v>
      </c>
      <c r="K14" s="37" t="s">
        <v>679</v>
      </c>
      <c r="L14" s="37" t="s">
        <v>80</v>
      </c>
      <c r="M14" s="37">
        <v>2021</v>
      </c>
      <c r="N14" s="37">
        <v>0</v>
      </c>
      <c r="O14" s="37">
        <f t="shared" si="0"/>
        <v>6.75</v>
      </c>
      <c r="P14" s="37">
        <v>0</v>
      </c>
      <c r="Q14" s="37">
        <v>6.75</v>
      </c>
      <c r="R14" s="8">
        <v>0</v>
      </c>
      <c r="S14" s="8" t="str">
        <f t="shared" si="1"/>
        <v>TUSDA4GeraçãoNão se aplicaNão se aplicaNão se aplicaNão se aplicaNão se aplica</v>
      </c>
      <c r="T14" s="8">
        <f>VLOOKUP(S14,'TAR FIN COPEL'!$R$2:$S$219,2,0)</f>
        <v>6.06</v>
      </c>
    </row>
    <row r="15" spans="1:50" ht="11.25" customHeight="1" x14ac:dyDescent="0.25">
      <c r="A15" s="37">
        <v>14</v>
      </c>
      <c r="B15" s="37" t="s">
        <v>561</v>
      </c>
      <c r="C15" s="37" t="s">
        <v>41</v>
      </c>
      <c r="D15" s="37" t="s">
        <v>78</v>
      </c>
      <c r="E15" s="37" t="s">
        <v>42</v>
      </c>
      <c r="F15" s="37" t="s">
        <v>92</v>
      </c>
      <c r="G15" s="37" t="s">
        <v>25</v>
      </c>
      <c r="H15" s="37" t="s">
        <v>25</v>
      </c>
      <c r="I15" s="37" t="s">
        <v>25</v>
      </c>
      <c r="J15" s="37" t="s">
        <v>678</v>
      </c>
      <c r="K15" s="37" t="s">
        <v>679</v>
      </c>
      <c r="L15" s="37" t="s">
        <v>75</v>
      </c>
      <c r="M15" s="37">
        <v>2021</v>
      </c>
      <c r="N15" s="37">
        <v>0</v>
      </c>
      <c r="O15" s="37">
        <f t="shared" si="0"/>
        <v>242.68</v>
      </c>
      <c r="P15" s="37"/>
      <c r="Q15" s="37">
        <v>235.81</v>
      </c>
      <c r="R15" s="8">
        <v>1</v>
      </c>
      <c r="S15" s="8" t="str">
        <f t="shared" si="1"/>
        <v>TEB2Energia convencionalRuralServiço público de irrigação ruralNão se aplicaNão se aplicaNão se aplica</v>
      </c>
      <c r="T15" s="8">
        <f>VLOOKUP(S15,'TAR FIN COPEL'!$R$2:$S$219,2,0)</f>
        <v>242.68</v>
      </c>
    </row>
    <row r="16" spans="1:50" ht="11.25" customHeight="1" x14ac:dyDescent="0.25">
      <c r="A16" s="37">
        <v>15</v>
      </c>
      <c r="B16" s="37" t="s">
        <v>533</v>
      </c>
      <c r="C16" s="37" t="s">
        <v>38</v>
      </c>
      <c r="D16" s="37" t="s">
        <v>39</v>
      </c>
      <c r="E16" s="37" t="s">
        <v>25</v>
      </c>
      <c r="F16" s="37" t="s">
        <v>25</v>
      </c>
      <c r="G16" s="37" t="s">
        <v>25</v>
      </c>
      <c r="H16" s="37" t="s">
        <v>25</v>
      </c>
      <c r="I16" s="37" t="s">
        <v>25</v>
      </c>
      <c r="J16" s="37" t="s">
        <v>680</v>
      </c>
      <c r="K16" s="37" t="s">
        <v>679</v>
      </c>
      <c r="L16" s="37" t="s">
        <v>80</v>
      </c>
      <c r="M16" s="37">
        <v>2021</v>
      </c>
      <c r="N16" s="37">
        <v>0</v>
      </c>
      <c r="O16" s="37">
        <f t="shared" si="0"/>
        <v>17.190000000000001</v>
      </c>
      <c r="P16" s="37">
        <v>0</v>
      </c>
      <c r="Q16" s="37">
        <v>17.190000000000001</v>
      </c>
      <c r="R16" s="8">
        <v>0</v>
      </c>
      <c r="S16" s="8" t="str">
        <f t="shared" si="1"/>
        <v>TUSDA4VerdeNão se aplicaNão se aplicaNão se aplicaNão se aplicaNão se aplica</v>
      </c>
      <c r="T16" s="8">
        <f>VLOOKUP(S16,'TAR FIN COPEL'!$R$2:$S$219,2,0)</f>
        <v>17.07</v>
      </c>
    </row>
    <row r="17" spans="1:20" ht="11.25" customHeight="1" x14ac:dyDescent="0.25">
      <c r="A17" s="37">
        <v>16</v>
      </c>
      <c r="B17" s="37" t="s">
        <v>561</v>
      </c>
      <c r="C17" s="37" t="s">
        <v>41</v>
      </c>
      <c r="D17" s="37" t="s">
        <v>89</v>
      </c>
      <c r="E17" s="37" t="s">
        <v>42</v>
      </c>
      <c r="F17" s="37" t="s">
        <v>25</v>
      </c>
      <c r="G17" s="37" t="s">
        <v>25</v>
      </c>
      <c r="H17" s="37" t="s">
        <v>25</v>
      </c>
      <c r="I17" s="37" t="s">
        <v>25</v>
      </c>
      <c r="J17" s="37" t="s">
        <v>678</v>
      </c>
      <c r="K17" s="37" t="s">
        <v>679</v>
      </c>
      <c r="L17" s="37" t="s">
        <v>75</v>
      </c>
      <c r="M17" s="37">
        <v>2021</v>
      </c>
      <c r="N17" s="37">
        <v>0</v>
      </c>
      <c r="O17" s="37">
        <f t="shared" si="0"/>
        <v>254.23</v>
      </c>
      <c r="P17" s="37"/>
      <c r="Q17" s="37">
        <v>247.04</v>
      </c>
      <c r="R17" s="8">
        <v>1</v>
      </c>
      <c r="S17" s="8" t="str">
        <f t="shared" si="1"/>
        <v>TEB2Energia convencional pré-pagamentoRuralNão se aplicaNão se aplicaNão se aplicaNão se aplica</v>
      </c>
      <c r="T17" s="8">
        <f>VLOOKUP(S17,'TAR FIN COPEL'!$R$2:$S$219,2,0)</f>
        <v>254.23</v>
      </c>
    </row>
    <row r="18" spans="1:20" ht="11.25" customHeight="1" x14ac:dyDescent="0.25">
      <c r="A18" s="37">
        <v>17</v>
      </c>
      <c r="B18" s="37" t="s">
        <v>561</v>
      </c>
      <c r="C18" s="37" t="s">
        <v>41</v>
      </c>
      <c r="D18" s="37" t="s">
        <v>89</v>
      </c>
      <c r="E18" s="37" t="s">
        <v>42</v>
      </c>
      <c r="F18" s="37" t="s">
        <v>91</v>
      </c>
      <c r="G18" s="37" t="s">
        <v>25</v>
      </c>
      <c r="H18" s="37" t="s">
        <v>25</v>
      </c>
      <c r="I18" s="37" t="s">
        <v>25</v>
      </c>
      <c r="J18" s="37" t="s">
        <v>678</v>
      </c>
      <c r="K18" s="37" t="s">
        <v>679</v>
      </c>
      <c r="L18" s="37" t="s">
        <v>75</v>
      </c>
      <c r="M18" s="37">
        <v>2021</v>
      </c>
      <c r="N18" s="37">
        <v>0</v>
      </c>
      <c r="O18" s="37">
        <f t="shared" si="0"/>
        <v>246.87</v>
      </c>
      <c r="P18" s="37"/>
      <c r="Q18" s="37">
        <v>247.04</v>
      </c>
      <c r="R18" s="8">
        <v>1</v>
      </c>
      <c r="S18" s="8" t="str">
        <f t="shared" si="1"/>
        <v>TEB2Energia convencional pré-pagamentoRuralCooperativa de eletrificação ruralNão se aplicaNão se aplicaNão se aplica</v>
      </c>
      <c r="T18" s="8">
        <f>VLOOKUP(S18,'TAR FIN COPEL'!$R$2:$S$219,2,0)</f>
        <v>246.87</v>
      </c>
    </row>
    <row r="19" spans="1:20" ht="11.25" customHeight="1" x14ac:dyDescent="0.25">
      <c r="A19" s="37">
        <v>18</v>
      </c>
      <c r="B19" s="37" t="s">
        <v>533</v>
      </c>
      <c r="C19" s="37" t="s">
        <v>38</v>
      </c>
      <c r="D19" s="37" t="s">
        <v>39</v>
      </c>
      <c r="E19" s="37" t="s">
        <v>25</v>
      </c>
      <c r="F19" s="37" t="s">
        <v>25</v>
      </c>
      <c r="G19" s="37" t="s">
        <v>25</v>
      </c>
      <c r="H19" s="37" t="s">
        <v>25</v>
      </c>
      <c r="I19" s="37" t="s">
        <v>33</v>
      </c>
      <c r="J19" s="37" t="s">
        <v>678</v>
      </c>
      <c r="K19" s="37" t="s">
        <v>679</v>
      </c>
      <c r="L19" s="37" t="s">
        <v>75</v>
      </c>
      <c r="M19" s="37">
        <v>2021</v>
      </c>
      <c r="N19" s="37">
        <v>0</v>
      </c>
      <c r="O19" s="37">
        <f t="shared" si="0"/>
        <v>1295.8499999999999</v>
      </c>
      <c r="P19" s="37">
        <v>60.488502662438698</v>
      </c>
      <c r="Q19" s="37">
        <v>1295.8499999999999</v>
      </c>
      <c r="R19" s="8">
        <v>0</v>
      </c>
      <c r="S19" s="8" t="str">
        <f t="shared" si="1"/>
        <v>TUSDA4VerdeNão se aplicaNão se aplicaNão se aplicaNão se aplicaPonta</v>
      </c>
      <c r="T19" s="8">
        <f>VLOOKUP(S19,'TAR FIN COPEL'!$R$2:$S$219,2,0)</f>
        <v>959.22</v>
      </c>
    </row>
    <row r="20" spans="1:20" ht="11.25" customHeight="1" x14ac:dyDescent="0.25">
      <c r="A20" s="37">
        <v>19</v>
      </c>
      <c r="B20" s="37" t="s">
        <v>561</v>
      </c>
      <c r="C20" s="37" t="s">
        <v>41</v>
      </c>
      <c r="D20" s="37" t="s">
        <v>89</v>
      </c>
      <c r="E20" s="37" t="s">
        <v>42</v>
      </c>
      <c r="F20" s="37" t="s">
        <v>92</v>
      </c>
      <c r="G20" s="37" t="s">
        <v>25</v>
      </c>
      <c r="H20" s="37" t="s">
        <v>25</v>
      </c>
      <c r="I20" s="37" t="s">
        <v>25</v>
      </c>
      <c r="J20" s="37" t="s">
        <v>678</v>
      </c>
      <c r="K20" s="37" t="s">
        <v>679</v>
      </c>
      <c r="L20" s="37" t="s">
        <v>75</v>
      </c>
      <c r="M20" s="37">
        <v>2021</v>
      </c>
      <c r="N20" s="37">
        <v>0</v>
      </c>
      <c r="O20" s="37">
        <f t="shared" si="0"/>
        <v>242.68</v>
      </c>
      <c r="P20" s="37"/>
      <c r="Q20" s="37">
        <v>235.81</v>
      </c>
      <c r="R20" s="8">
        <v>1</v>
      </c>
      <c r="S20" s="8" t="str">
        <f t="shared" si="1"/>
        <v>TEB2Energia convencional pré-pagamentoRuralServiço público de irrigação ruralNão se aplicaNão se aplicaNão se aplica</v>
      </c>
      <c r="T20" s="8">
        <f>VLOOKUP(S20,'TAR FIN COPEL'!$R$2:$S$219,2,0)</f>
        <v>242.68</v>
      </c>
    </row>
    <row r="21" spans="1:20" ht="11.25" customHeight="1" x14ac:dyDescent="0.25">
      <c r="A21" s="37">
        <v>20</v>
      </c>
      <c r="B21" s="37" t="s">
        <v>561</v>
      </c>
      <c r="C21" s="37" t="s">
        <v>36</v>
      </c>
      <c r="D21" s="37" t="s">
        <v>74</v>
      </c>
      <c r="E21" s="37" t="s">
        <v>25</v>
      </c>
      <c r="F21" s="37" t="s">
        <v>25</v>
      </c>
      <c r="G21" s="37" t="s">
        <v>25</v>
      </c>
      <c r="H21" s="37" t="s">
        <v>25</v>
      </c>
      <c r="I21" s="37" t="s">
        <v>33</v>
      </c>
      <c r="J21" s="37" t="s">
        <v>678</v>
      </c>
      <c r="K21" s="37" t="s">
        <v>679</v>
      </c>
      <c r="L21" s="37" t="s">
        <v>75</v>
      </c>
      <c r="M21" s="37">
        <v>2021</v>
      </c>
      <c r="N21" s="37">
        <v>0</v>
      </c>
      <c r="O21" s="37">
        <f t="shared" si="0"/>
        <v>437.87</v>
      </c>
      <c r="P21" s="37"/>
      <c r="Q21" s="37">
        <v>434.95</v>
      </c>
      <c r="R21" s="8">
        <v>1</v>
      </c>
      <c r="S21" s="8" t="str">
        <f t="shared" si="1"/>
        <v>TEB3Energia horáriaNão se aplicaNão se aplicaNão se aplicaNão se aplicaPonta</v>
      </c>
      <c r="T21" s="8">
        <f>VLOOKUP(S21,'TAR FIN COPEL'!$R$2:$S$219,2,0)</f>
        <v>437.87</v>
      </c>
    </row>
    <row r="22" spans="1:20" ht="11.25" customHeight="1" x14ac:dyDescent="0.25">
      <c r="A22" s="37">
        <v>21</v>
      </c>
      <c r="B22" s="37" t="s">
        <v>533</v>
      </c>
      <c r="C22" s="37" t="s">
        <v>38</v>
      </c>
      <c r="D22" s="37" t="s">
        <v>39</v>
      </c>
      <c r="E22" s="37" t="s">
        <v>25</v>
      </c>
      <c r="F22" s="37" t="s">
        <v>25</v>
      </c>
      <c r="G22" s="37" t="s">
        <v>25</v>
      </c>
      <c r="H22" s="37" t="s">
        <v>25</v>
      </c>
      <c r="I22" s="37" t="s">
        <v>34</v>
      </c>
      <c r="J22" s="37" t="s">
        <v>678</v>
      </c>
      <c r="K22" s="37" t="s">
        <v>679</v>
      </c>
      <c r="L22" s="37" t="s">
        <v>75</v>
      </c>
      <c r="M22" s="37">
        <v>2021</v>
      </c>
      <c r="N22" s="37">
        <v>0</v>
      </c>
      <c r="O22" s="37">
        <f t="shared" si="0"/>
        <v>73.790000000000006</v>
      </c>
      <c r="P22" s="37">
        <v>60.488502662438698</v>
      </c>
      <c r="Q22" s="37">
        <v>73.790000000000006</v>
      </c>
      <c r="R22" s="8">
        <v>0</v>
      </c>
      <c r="S22" s="8" t="str">
        <f t="shared" si="1"/>
        <v>TUSDA4VerdeNão se aplicaNão se aplicaNão se aplicaNão se aplicaFora ponta</v>
      </c>
      <c r="T22" s="8">
        <f>VLOOKUP(S22,'TAR FIN COPEL'!$R$2:$S$219,2,0)</f>
        <v>82.6</v>
      </c>
    </row>
    <row r="23" spans="1:20" ht="11.25" customHeight="1" x14ac:dyDescent="0.25">
      <c r="A23" s="37">
        <v>22</v>
      </c>
      <c r="B23" s="37" t="s">
        <v>561</v>
      </c>
      <c r="C23" s="37" t="s">
        <v>36</v>
      </c>
      <c r="D23" s="37" t="s">
        <v>74</v>
      </c>
      <c r="E23" s="37" t="s">
        <v>25</v>
      </c>
      <c r="F23" s="37" t="s">
        <v>25</v>
      </c>
      <c r="G23" s="37" t="s">
        <v>25</v>
      </c>
      <c r="H23" s="37" t="s">
        <v>25</v>
      </c>
      <c r="I23" s="37" t="s">
        <v>35</v>
      </c>
      <c r="J23" s="37" t="s">
        <v>678</v>
      </c>
      <c r="K23" s="37" t="s">
        <v>679</v>
      </c>
      <c r="L23" s="37" t="s">
        <v>75</v>
      </c>
      <c r="M23" s="37">
        <v>2021</v>
      </c>
      <c r="N23" s="37">
        <v>0</v>
      </c>
      <c r="O23" s="37">
        <f t="shared" si="0"/>
        <v>275.36</v>
      </c>
      <c r="P23" s="37"/>
      <c r="Q23" s="37">
        <v>266.70999999999998</v>
      </c>
      <c r="R23" s="8">
        <v>1</v>
      </c>
      <c r="S23" s="8" t="str">
        <f t="shared" si="1"/>
        <v>TEB3Energia horáriaNão se aplicaNão se aplicaNão se aplicaNão se aplicaIntermediário</v>
      </c>
      <c r="T23" s="8">
        <f>VLOOKUP(S23,'TAR FIN COPEL'!$R$2:$S$219,2,0)</f>
        <v>275.36</v>
      </c>
    </row>
    <row r="24" spans="1:20" ht="11.25" customHeight="1" x14ac:dyDescent="0.25">
      <c r="A24" s="37">
        <v>23</v>
      </c>
      <c r="B24" s="37" t="s">
        <v>561</v>
      </c>
      <c r="C24" s="37" t="s">
        <v>36</v>
      </c>
      <c r="D24" s="37" t="s">
        <v>74</v>
      </c>
      <c r="E24" s="37" t="s">
        <v>25</v>
      </c>
      <c r="F24" s="37" t="s">
        <v>25</v>
      </c>
      <c r="G24" s="37" t="s">
        <v>25</v>
      </c>
      <c r="H24" s="37" t="s">
        <v>25</v>
      </c>
      <c r="I24" s="37" t="s">
        <v>34</v>
      </c>
      <c r="J24" s="37" t="s">
        <v>678</v>
      </c>
      <c r="K24" s="37" t="s">
        <v>679</v>
      </c>
      <c r="L24" s="37" t="s">
        <v>75</v>
      </c>
      <c r="M24" s="37">
        <v>2021</v>
      </c>
      <c r="N24" s="37">
        <v>0</v>
      </c>
      <c r="O24" s="37">
        <f t="shared" si="0"/>
        <v>275.36</v>
      </c>
      <c r="P24" s="37"/>
      <c r="Q24" s="37">
        <v>266.70999999999998</v>
      </c>
      <c r="R24" s="8">
        <v>1</v>
      </c>
      <c r="S24" s="8" t="str">
        <f t="shared" si="1"/>
        <v>TEB3Energia horáriaNão se aplicaNão se aplicaNão se aplicaNão se aplicaFora ponta</v>
      </c>
      <c r="T24" s="8">
        <f>VLOOKUP(S24,'TAR FIN COPEL'!$R$2:$S$219,2,0)</f>
        <v>275.36</v>
      </c>
    </row>
    <row r="25" spans="1:20" ht="11.25" customHeight="1" x14ac:dyDescent="0.25">
      <c r="A25" s="37">
        <v>24</v>
      </c>
      <c r="B25" s="37" t="s">
        <v>533</v>
      </c>
      <c r="C25" s="37" t="s">
        <v>38</v>
      </c>
      <c r="D25" s="37" t="s">
        <v>39</v>
      </c>
      <c r="E25" s="37" t="s">
        <v>25</v>
      </c>
      <c r="F25" s="37" t="s">
        <v>25</v>
      </c>
      <c r="G25" s="37" t="s">
        <v>83</v>
      </c>
      <c r="H25" s="37" t="s">
        <v>25</v>
      </c>
      <c r="I25" s="37" t="s">
        <v>33</v>
      </c>
      <c r="J25" s="37" t="s">
        <v>678</v>
      </c>
      <c r="K25" s="37" t="s">
        <v>679</v>
      </c>
      <c r="L25" s="37" t="s">
        <v>75</v>
      </c>
      <c r="M25" s="37">
        <v>2021</v>
      </c>
      <c r="N25" s="37">
        <v>0</v>
      </c>
      <c r="O25" s="37">
        <f t="shared" si="0"/>
        <v>1227.6600000000001</v>
      </c>
      <c r="P25" s="37">
        <v>0</v>
      </c>
      <c r="Q25" s="37">
        <v>1227.6600000000001</v>
      </c>
      <c r="R25" s="8">
        <v>0</v>
      </c>
      <c r="S25" s="8" t="str">
        <f t="shared" si="1"/>
        <v>TUSDA4VerdeNão se aplicaNão se aplicaAPENão se aplicaPonta</v>
      </c>
      <c r="T25" s="8">
        <f>VLOOKUP(S25,'TAR FIN COPEL'!$R$2:$S$219,2,0)</f>
        <v>893.5</v>
      </c>
    </row>
    <row r="26" spans="1:20" ht="11.25" customHeight="1" x14ac:dyDescent="0.25">
      <c r="A26" s="37">
        <v>25</v>
      </c>
      <c r="B26" s="37" t="s">
        <v>561</v>
      </c>
      <c r="C26" s="37" t="s">
        <v>36</v>
      </c>
      <c r="D26" s="37" t="s">
        <v>78</v>
      </c>
      <c r="E26" s="37" t="s">
        <v>25</v>
      </c>
      <c r="F26" s="37" t="s">
        <v>25</v>
      </c>
      <c r="G26" s="37" t="s">
        <v>25</v>
      </c>
      <c r="H26" s="37" t="s">
        <v>25</v>
      </c>
      <c r="I26" s="37" t="s">
        <v>25</v>
      </c>
      <c r="J26" s="37" t="s">
        <v>678</v>
      </c>
      <c r="K26" s="37" t="s">
        <v>679</v>
      </c>
      <c r="L26" s="37" t="s">
        <v>75</v>
      </c>
      <c r="M26" s="37">
        <v>2021</v>
      </c>
      <c r="N26" s="37">
        <v>0</v>
      </c>
      <c r="O26" s="37">
        <f t="shared" si="0"/>
        <v>288.89999999999998</v>
      </c>
      <c r="P26" s="37"/>
      <c r="Q26" s="37">
        <v>280.73</v>
      </c>
      <c r="R26" s="8">
        <v>1</v>
      </c>
      <c r="S26" s="8" t="str">
        <f t="shared" si="1"/>
        <v>TEB3Energia convencionalNão se aplicaNão se aplicaNão se aplicaNão se aplicaNão se aplica</v>
      </c>
      <c r="T26" s="8">
        <f>VLOOKUP(S26,'TAR FIN COPEL'!$R$2:$S$219,2,0)</f>
        <v>288.89999999999998</v>
      </c>
    </row>
    <row r="27" spans="1:20" ht="11.25" customHeight="1" x14ac:dyDescent="0.25">
      <c r="A27" s="37">
        <v>26</v>
      </c>
      <c r="B27" s="37" t="s">
        <v>533</v>
      </c>
      <c r="C27" s="37" t="s">
        <v>38</v>
      </c>
      <c r="D27" s="37" t="s">
        <v>39</v>
      </c>
      <c r="E27" s="37" t="s">
        <v>25</v>
      </c>
      <c r="F27" s="37" t="s">
        <v>25</v>
      </c>
      <c r="G27" s="37" t="s">
        <v>83</v>
      </c>
      <c r="H27" s="37" t="s">
        <v>25</v>
      </c>
      <c r="I27" s="37" t="s">
        <v>34</v>
      </c>
      <c r="J27" s="37" t="s">
        <v>678</v>
      </c>
      <c r="K27" s="37" t="s">
        <v>679</v>
      </c>
      <c r="L27" s="37" t="s">
        <v>75</v>
      </c>
      <c r="M27" s="37">
        <v>2021</v>
      </c>
      <c r="N27" s="37">
        <v>0</v>
      </c>
      <c r="O27" s="37">
        <f t="shared" si="0"/>
        <v>5.61</v>
      </c>
      <c r="P27" s="37">
        <v>0</v>
      </c>
      <c r="Q27" s="37">
        <v>5.61</v>
      </c>
      <c r="R27" s="8">
        <v>0</v>
      </c>
      <c r="S27" s="8" t="str">
        <f t="shared" si="1"/>
        <v>TUSDA4VerdeNão se aplicaNão se aplicaAPENão se aplicaFora ponta</v>
      </c>
      <c r="T27" s="8">
        <f>VLOOKUP(S27,'TAR FIN COPEL'!$R$2:$S$219,2,0)</f>
        <v>16.87</v>
      </c>
    </row>
    <row r="28" spans="1:20" ht="11.25" customHeight="1" x14ac:dyDescent="0.25">
      <c r="A28" s="37">
        <v>27</v>
      </c>
      <c r="B28" s="37" t="s">
        <v>561</v>
      </c>
      <c r="C28" s="37" t="s">
        <v>36</v>
      </c>
      <c r="D28" s="37" t="s">
        <v>89</v>
      </c>
      <c r="E28" s="37" t="s">
        <v>25</v>
      </c>
      <c r="F28" s="37" t="s">
        <v>25</v>
      </c>
      <c r="G28" s="37" t="s">
        <v>25</v>
      </c>
      <c r="H28" s="37" t="s">
        <v>25</v>
      </c>
      <c r="I28" s="37" t="s">
        <v>25</v>
      </c>
      <c r="J28" s="37" t="s">
        <v>678</v>
      </c>
      <c r="K28" s="37" t="s">
        <v>679</v>
      </c>
      <c r="L28" s="37" t="s">
        <v>75</v>
      </c>
      <c r="M28" s="37">
        <v>2021</v>
      </c>
      <c r="N28" s="37">
        <v>0</v>
      </c>
      <c r="O28" s="37">
        <f t="shared" si="0"/>
        <v>288.89999999999998</v>
      </c>
      <c r="P28" s="37"/>
      <c r="Q28" s="37">
        <v>280.73</v>
      </c>
      <c r="R28" s="8">
        <v>1</v>
      </c>
      <c r="S28" s="8" t="str">
        <f t="shared" si="1"/>
        <v>TEB3Energia convencional pré-pagamentoNão se aplicaNão se aplicaNão se aplicaNão se aplicaNão se aplica</v>
      </c>
      <c r="T28" s="8">
        <f>VLOOKUP(S28,'TAR FIN COPEL'!$R$2:$S$219,2,0)</f>
        <v>288.89999999999998</v>
      </c>
    </row>
    <row r="29" spans="1:20" ht="11.25" customHeight="1" x14ac:dyDescent="0.25">
      <c r="A29" s="37">
        <v>28</v>
      </c>
      <c r="B29" s="37" t="s">
        <v>561</v>
      </c>
      <c r="C29" s="37" t="s">
        <v>44</v>
      </c>
      <c r="D29" s="37" t="s">
        <v>78</v>
      </c>
      <c r="E29" s="37" t="s">
        <v>45</v>
      </c>
      <c r="F29" s="37" t="s">
        <v>93</v>
      </c>
      <c r="G29" s="37" t="s">
        <v>25</v>
      </c>
      <c r="H29" s="37" t="s">
        <v>25</v>
      </c>
      <c r="I29" s="37" t="s">
        <v>25</v>
      </c>
      <c r="J29" s="37" t="s">
        <v>678</v>
      </c>
      <c r="K29" s="37" t="s">
        <v>679</v>
      </c>
      <c r="L29" s="37" t="s">
        <v>75</v>
      </c>
      <c r="M29" s="37">
        <v>2021</v>
      </c>
      <c r="N29" s="37">
        <v>0</v>
      </c>
      <c r="O29" s="37">
        <f t="shared" si="0"/>
        <v>158.9</v>
      </c>
      <c r="P29" s="37"/>
      <c r="Q29" s="37">
        <v>154.4</v>
      </c>
      <c r="R29" s="8">
        <v>1</v>
      </c>
      <c r="S29" s="8" t="str">
        <f t="shared" si="1"/>
        <v>TEB4Energia convencionalIluminação públicaIluminação pública – B4aNão se aplicaNão se aplicaNão se aplica</v>
      </c>
      <c r="T29" s="8">
        <f>VLOOKUP(S29,'TAR FIN COPEL'!$R$2:$S$219,2,0)</f>
        <v>158.9</v>
      </c>
    </row>
    <row r="30" spans="1:20" ht="11.25" customHeight="1" x14ac:dyDescent="0.25">
      <c r="A30" s="37">
        <v>29</v>
      </c>
      <c r="B30" s="37" t="s">
        <v>561</v>
      </c>
      <c r="C30" s="37" t="s">
        <v>44</v>
      </c>
      <c r="D30" s="37" t="s">
        <v>78</v>
      </c>
      <c r="E30" s="37" t="s">
        <v>45</v>
      </c>
      <c r="F30" s="37" t="s">
        <v>46</v>
      </c>
      <c r="G30" s="37" t="s">
        <v>25</v>
      </c>
      <c r="H30" s="37" t="s">
        <v>25</v>
      </c>
      <c r="I30" s="37" t="s">
        <v>25</v>
      </c>
      <c r="J30" s="37" t="s">
        <v>678</v>
      </c>
      <c r="K30" s="37" t="s">
        <v>679</v>
      </c>
      <c r="L30" s="37" t="s">
        <v>75</v>
      </c>
      <c r="M30" s="37">
        <v>2021</v>
      </c>
      <c r="N30" s="37">
        <v>0</v>
      </c>
      <c r="O30" s="37">
        <f t="shared" si="0"/>
        <v>173.34</v>
      </c>
      <c r="P30" s="37"/>
      <c r="Q30" s="37">
        <v>168.44</v>
      </c>
      <c r="R30" s="8">
        <v>1</v>
      </c>
      <c r="S30" s="8" t="str">
        <f t="shared" si="1"/>
        <v>TEB4Energia convencionalIluminação públicaIluminação pública – B4bNão se aplicaNão se aplicaNão se aplica</v>
      </c>
      <c r="T30" s="8">
        <f>VLOOKUP(S30,'TAR FIN COPEL'!$R$2:$S$219,2,0)</f>
        <v>173.34</v>
      </c>
    </row>
    <row r="31" spans="1:20" ht="11.25" customHeight="1" x14ac:dyDescent="0.25">
      <c r="A31" s="37">
        <v>30</v>
      </c>
      <c r="B31" s="37" t="s">
        <v>533</v>
      </c>
      <c r="C31" s="37" t="s">
        <v>38</v>
      </c>
      <c r="D31" s="37" t="s">
        <v>23</v>
      </c>
      <c r="E31" s="37" t="s">
        <v>25</v>
      </c>
      <c r="F31" s="37" t="s">
        <v>25</v>
      </c>
      <c r="G31" s="37" t="s">
        <v>25</v>
      </c>
      <c r="H31" s="37" t="s">
        <v>25</v>
      </c>
      <c r="I31" s="37" t="s">
        <v>25</v>
      </c>
      <c r="J31" s="37" t="s">
        <v>680</v>
      </c>
      <c r="K31" s="37" t="s">
        <v>679</v>
      </c>
      <c r="L31" s="37" t="s">
        <v>80</v>
      </c>
      <c r="M31" s="37">
        <v>2021</v>
      </c>
      <c r="N31" s="37">
        <v>0</v>
      </c>
      <c r="O31" s="37">
        <f t="shared" si="0"/>
        <v>53.23</v>
      </c>
      <c r="P31" s="37">
        <v>0</v>
      </c>
      <c r="Q31" s="37">
        <v>53.23</v>
      </c>
      <c r="R31" s="8">
        <v>0</v>
      </c>
      <c r="S31" s="8" t="str">
        <f t="shared" si="1"/>
        <v>TUSDA4ConvencionalNão se aplicaNão se aplicaNão se aplicaNão se aplicaNão se aplica</v>
      </c>
      <c r="T31" s="8">
        <f>VLOOKUP(S31,'TAR FIN COPEL'!$R$2:$S$219,2,0)</f>
        <v>43.17</v>
      </c>
    </row>
    <row r="32" spans="1:20" ht="11.25" customHeight="1" x14ac:dyDescent="0.25">
      <c r="A32" s="37">
        <v>31</v>
      </c>
      <c r="B32" s="37" t="s">
        <v>533</v>
      </c>
      <c r="C32" s="37" t="s">
        <v>38</v>
      </c>
      <c r="D32" s="37" t="s">
        <v>23</v>
      </c>
      <c r="E32" s="37" t="s">
        <v>25</v>
      </c>
      <c r="F32" s="37" t="s">
        <v>25</v>
      </c>
      <c r="G32" s="37" t="s">
        <v>25</v>
      </c>
      <c r="H32" s="37" t="s">
        <v>25</v>
      </c>
      <c r="I32" s="37" t="s">
        <v>25</v>
      </c>
      <c r="J32" s="37" t="s">
        <v>678</v>
      </c>
      <c r="K32" s="37" t="s">
        <v>679</v>
      </c>
      <c r="L32" s="37" t="s">
        <v>75</v>
      </c>
      <c r="M32" s="37">
        <v>2021</v>
      </c>
      <c r="N32" s="37">
        <v>0</v>
      </c>
      <c r="O32" s="37">
        <f t="shared" si="0"/>
        <v>73.790000000000006</v>
      </c>
      <c r="P32" s="37">
        <v>60.488502662438698</v>
      </c>
      <c r="Q32" s="37">
        <v>73.790000000000006</v>
      </c>
      <c r="R32" s="8">
        <v>0</v>
      </c>
      <c r="S32" s="8" t="str">
        <f t="shared" si="1"/>
        <v>TUSDA4ConvencionalNão se aplicaNão se aplicaNão se aplicaNão se aplicaNão se aplica</v>
      </c>
      <c r="T32" s="8">
        <f>VLOOKUP(S32,'TAR FIN COPEL'!$R$2:$S$219,2,0)</f>
        <v>43.17</v>
      </c>
    </row>
    <row r="33" spans="1:20" ht="11.25" customHeight="1" x14ac:dyDescent="0.25">
      <c r="A33" s="37">
        <v>32</v>
      </c>
      <c r="B33" s="37" t="s">
        <v>533</v>
      </c>
      <c r="C33" s="37" t="s">
        <v>85</v>
      </c>
      <c r="D33" s="37" t="s">
        <v>84</v>
      </c>
      <c r="E33" s="37" t="s">
        <v>25</v>
      </c>
      <c r="F33" s="37" t="s">
        <v>25</v>
      </c>
      <c r="G33" s="37" t="s">
        <v>86</v>
      </c>
      <c r="H33" s="37" t="s">
        <v>25</v>
      </c>
      <c r="I33" s="37" t="s">
        <v>25</v>
      </c>
      <c r="J33" s="37" t="s">
        <v>680</v>
      </c>
      <c r="K33" s="37" t="s">
        <v>679</v>
      </c>
      <c r="L33" s="37" t="s">
        <v>80</v>
      </c>
      <c r="M33" s="37">
        <v>2021</v>
      </c>
      <c r="N33" s="37">
        <v>0</v>
      </c>
      <c r="O33" s="37">
        <f t="shared" si="0"/>
        <v>5.51</v>
      </c>
      <c r="P33" s="37">
        <v>0</v>
      </c>
      <c r="Q33" s="37">
        <v>5.51</v>
      </c>
      <c r="R33" s="8">
        <v>0</v>
      </c>
      <c r="S33" s="8" t="str">
        <f t="shared" si="1"/>
        <v>TUSDBGeraçãoNão se aplicaNão se aplicaTIPO 01Não se aplicaNão se aplica</v>
      </c>
      <c r="T33" s="8">
        <f>VLOOKUP(S33,'TAR FIN COPEL'!$R$2:$S$219,2,0)</f>
        <v>2.35</v>
      </c>
    </row>
    <row r="34" spans="1:20" ht="11.25" customHeight="1" x14ac:dyDescent="0.25">
      <c r="A34" s="37">
        <v>33</v>
      </c>
      <c r="B34" s="37" t="s">
        <v>533</v>
      </c>
      <c r="C34" s="37" t="s">
        <v>85</v>
      </c>
      <c r="D34" s="37" t="s">
        <v>84</v>
      </c>
      <c r="E34" s="37" t="s">
        <v>25</v>
      </c>
      <c r="F34" s="37" t="s">
        <v>25</v>
      </c>
      <c r="G34" s="37" t="s">
        <v>87</v>
      </c>
      <c r="H34" s="37" t="s">
        <v>25</v>
      </c>
      <c r="I34" s="37" t="s">
        <v>25</v>
      </c>
      <c r="J34" s="37" t="s">
        <v>680</v>
      </c>
      <c r="K34" s="37" t="s">
        <v>679</v>
      </c>
      <c r="L34" s="37" t="s">
        <v>80</v>
      </c>
      <c r="M34" s="37">
        <v>2021</v>
      </c>
      <c r="N34" s="37">
        <v>0</v>
      </c>
      <c r="O34" s="37">
        <f t="shared" si="0"/>
        <v>13.13</v>
      </c>
      <c r="P34" s="37">
        <v>0</v>
      </c>
      <c r="Q34" s="37">
        <v>13.13</v>
      </c>
      <c r="R34" s="8">
        <v>0</v>
      </c>
      <c r="S34" s="8" t="str">
        <f t="shared" si="1"/>
        <v>TUSDBGeraçãoNão se aplicaNão se aplicaTIPO 02Não se aplicaNão se aplica</v>
      </c>
      <c r="T34" s="8">
        <f>VLOOKUP(S34,'TAR FIN COPEL'!$R$2:$S$219,2,0)</f>
        <v>7.42</v>
      </c>
    </row>
    <row r="35" spans="1:20" ht="11.25" customHeight="1" x14ac:dyDescent="0.25">
      <c r="A35" s="37">
        <v>34</v>
      </c>
      <c r="B35" s="37" t="s">
        <v>533</v>
      </c>
      <c r="C35" s="37" t="s">
        <v>22</v>
      </c>
      <c r="D35" s="37" t="s">
        <v>32</v>
      </c>
      <c r="E35" s="37" t="s">
        <v>24</v>
      </c>
      <c r="F35" s="37" t="s">
        <v>24</v>
      </c>
      <c r="G35" s="37" t="s">
        <v>25</v>
      </c>
      <c r="H35" s="37" t="s">
        <v>25</v>
      </c>
      <c r="I35" s="37" t="s">
        <v>33</v>
      </c>
      <c r="J35" s="37" t="s">
        <v>678</v>
      </c>
      <c r="K35" s="37" t="s">
        <v>679</v>
      </c>
      <c r="L35" s="37" t="s">
        <v>75</v>
      </c>
      <c r="M35" s="37">
        <v>2021</v>
      </c>
      <c r="N35" s="37">
        <v>0</v>
      </c>
      <c r="O35" s="37">
        <f t="shared" si="0"/>
        <v>561.79999999999995</v>
      </c>
      <c r="P35" s="37">
        <v>69.527014554527298</v>
      </c>
      <c r="Q35" s="37">
        <v>946.35</v>
      </c>
      <c r="R35" s="8">
        <v>1</v>
      </c>
      <c r="S35" s="8" t="str">
        <f t="shared" si="1"/>
        <v>TUSDB1BrancaResidencialResidencialNão se aplicaNão se aplicaPonta</v>
      </c>
      <c r="T35" s="8">
        <f>VLOOKUP(S35,'TAR FIN COPEL'!$R$2:$S$219,2,0)</f>
        <v>561.79999999999995</v>
      </c>
    </row>
    <row r="36" spans="1:20" ht="11.25" customHeight="1" x14ac:dyDescent="0.25">
      <c r="A36" s="37">
        <v>35</v>
      </c>
      <c r="B36" s="37" t="s">
        <v>533</v>
      </c>
      <c r="C36" s="37" t="s">
        <v>22</v>
      </c>
      <c r="D36" s="37" t="s">
        <v>32</v>
      </c>
      <c r="E36" s="37" t="s">
        <v>24</v>
      </c>
      <c r="F36" s="37" t="s">
        <v>24</v>
      </c>
      <c r="G36" s="37" t="s">
        <v>25</v>
      </c>
      <c r="H36" s="37" t="s">
        <v>25</v>
      </c>
      <c r="I36" s="37" t="s">
        <v>35</v>
      </c>
      <c r="J36" s="37" t="s">
        <v>678</v>
      </c>
      <c r="K36" s="37" t="s">
        <v>679</v>
      </c>
      <c r="L36" s="37" t="s">
        <v>75</v>
      </c>
      <c r="M36" s="37">
        <v>2021</v>
      </c>
      <c r="N36" s="37">
        <v>0</v>
      </c>
      <c r="O36" s="37">
        <f t="shared" si="0"/>
        <v>380.18</v>
      </c>
      <c r="P36" s="37">
        <v>69.527014554527298</v>
      </c>
      <c r="Q36" s="37">
        <v>611.01</v>
      </c>
      <c r="R36" s="8">
        <v>1</v>
      </c>
      <c r="S36" s="8" t="str">
        <f t="shared" si="1"/>
        <v>TUSDB1BrancaResidencialResidencialNão se aplicaNão se aplicaIntermediário</v>
      </c>
      <c r="T36" s="8">
        <f>VLOOKUP(S36,'TAR FIN COPEL'!$R$2:$S$219,2,0)</f>
        <v>380.18</v>
      </c>
    </row>
    <row r="37" spans="1:20" ht="11.25" customHeight="1" x14ac:dyDescent="0.25">
      <c r="A37" s="37">
        <v>36</v>
      </c>
      <c r="B37" s="37" t="s">
        <v>533</v>
      </c>
      <c r="C37" s="37" t="s">
        <v>22</v>
      </c>
      <c r="D37" s="37" t="s">
        <v>32</v>
      </c>
      <c r="E37" s="37" t="s">
        <v>24</v>
      </c>
      <c r="F37" s="37" t="s">
        <v>24</v>
      </c>
      <c r="G37" s="37" t="s">
        <v>25</v>
      </c>
      <c r="H37" s="37" t="s">
        <v>25</v>
      </c>
      <c r="I37" s="37" t="s">
        <v>34</v>
      </c>
      <c r="J37" s="37" t="s">
        <v>678</v>
      </c>
      <c r="K37" s="37" t="s">
        <v>679</v>
      </c>
      <c r="L37" s="37" t="s">
        <v>75</v>
      </c>
      <c r="M37" s="37">
        <v>2021</v>
      </c>
      <c r="N37" s="37">
        <v>0</v>
      </c>
      <c r="O37" s="37">
        <f t="shared" si="0"/>
        <v>198.56</v>
      </c>
      <c r="P37" s="37">
        <v>69.527014554527298</v>
      </c>
      <c r="Q37" s="37">
        <v>275.68</v>
      </c>
      <c r="R37" s="8">
        <v>1</v>
      </c>
      <c r="S37" s="8" t="str">
        <f t="shared" si="1"/>
        <v>TUSDB1BrancaResidencialResidencialNão se aplicaNão se aplicaFora ponta</v>
      </c>
      <c r="T37" s="8">
        <f>VLOOKUP(S37,'TAR FIN COPEL'!$R$2:$S$219,2,0)</f>
        <v>198.56</v>
      </c>
    </row>
    <row r="38" spans="1:20" ht="11.25" customHeight="1" x14ac:dyDescent="0.25">
      <c r="A38" s="37">
        <v>37</v>
      </c>
      <c r="B38" s="37" t="s">
        <v>533</v>
      </c>
      <c r="C38" s="37" t="s">
        <v>22</v>
      </c>
      <c r="D38" s="37" t="s">
        <v>23</v>
      </c>
      <c r="E38" s="37" t="s">
        <v>24</v>
      </c>
      <c r="F38" s="37" t="s">
        <v>24</v>
      </c>
      <c r="G38" s="37" t="s">
        <v>25</v>
      </c>
      <c r="H38" s="37" t="s">
        <v>25</v>
      </c>
      <c r="I38" s="37" t="s">
        <v>25</v>
      </c>
      <c r="J38" s="37" t="s">
        <v>678</v>
      </c>
      <c r="K38" s="37" t="s">
        <v>679</v>
      </c>
      <c r="L38" s="37" t="s">
        <v>75</v>
      </c>
      <c r="M38" s="37">
        <v>2021</v>
      </c>
      <c r="N38" s="37">
        <v>0</v>
      </c>
      <c r="O38" s="37">
        <f t="shared" si="0"/>
        <v>269.91000000000003</v>
      </c>
      <c r="P38" s="37">
        <v>69.527014554527298</v>
      </c>
      <c r="Q38" s="37">
        <v>407.42</v>
      </c>
      <c r="R38" s="8">
        <v>1</v>
      </c>
      <c r="S38" s="8" t="str">
        <f t="shared" si="1"/>
        <v>TUSDB1ConvencionalResidencialResidencialNão se aplicaNão se aplicaNão se aplica</v>
      </c>
      <c r="T38" s="8">
        <f>VLOOKUP(S38,'TAR FIN COPEL'!$R$2:$S$219,2,0)</f>
        <v>269.91000000000003</v>
      </c>
    </row>
    <row r="39" spans="1:20" ht="11.25" customHeight="1" x14ac:dyDescent="0.25">
      <c r="A39" s="37">
        <v>38</v>
      </c>
      <c r="B39" s="37" t="s">
        <v>533</v>
      </c>
      <c r="C39" s="37" t="s">
        <v>22</v>
      </c>
      <c r="D39" s="37" t="s">
        <v>23</v>
      </c>
      <c r="E39" s="37" t="s">
        <v>24</v>
      </c>
      <c r="F39" s="37" t="s">
        <v>28</v>
      </c>
      <c r="G39" s="37" t="s">
        <v>25</v>
      </c>
      <c r="H39" s="37" t="s">
        <v>25</v>
      </c>
      <c r="I39" s="37" t="s">
        <v>25</v>
      </c>
      <c r="J39" s="37" t="s">
        <v>678</v>
      </c>
      <c r="K39" s="37" t="s">
        <v>679</v>
      </c>
      <c r="L39" s="37" t="s">
        <v>75</v>
      </c>
      <c r="M39" s="37">
        <v>2021</v>
      </c>
      <c r="N39" s="37">
        <v>0</v>
      </c>
      <c r="O39" s="37">
        <f t="shared" si="0"/>
        <v>68.53</v>
      </c>
      <c r="P39" s="37">
        <v>0</v>
      </c>
      <c r="Q39" s="37">
        <v>115.69</v>
      </c>
      <c r="R39" s="8">
        <v>1</v>
      </c>
      <c r="S39" s="8" t="str">
        <f t="shared" si="1"/>
        <v>TUSDB1ConvencionalResidencialResidencial baixa renda – faixa 01Não se aplicaNão se aplicaNão se aplica</v>
      </c>
      <c r="T39" s="8">
        <f>VLOOKUP(S39,'TAR FIN COPEL'!$R$2:$S$219,2,0)</f>
        <v>68.53</v>
      </c>
    </row>
    <row r="40" spans="1:20" ht="11.25" customHeight="1" x14ac:dyDescent="0.25">
      <c r="A40" s="37">
        <v>39</v>
      </c>
      <c r="B40" s="37" t="s">
        <v>533</v>
      </c>
      <c r="C40" s="37" t="s">
        <v>22</v>
      </c>
      <c r="D40" s="37" t="s">
        <v>23</v>
      </c>
      <c r="E40" s="37" t="s">
        <v>24</v>
      </c>
      <c r="F40" s="37" t="s">
        <v>29</v>
      </c>
      <c r="G40" s="37" t="s">
        <v>25</v>
      </c>
      <c r="H40" s="37" t="s">
        <v>25</v>
      </c>
      <c r="I40" s="37" t="s">
        <v>25</v>
      </c>
      <c r="J40" s="37" t="s">
        <v>678</v>
      </c>
      <c r="K40" s="37" t="s">
        <v>679</v>
      </c>
      <c r="L40" s="37" t="s">
        <v>75</v>
      </c>
      <c r="M40" s="37">
        <v>2021</v>
      </c>
      <c r="N40" s="37">
        <v>0</v>
      </c>
      <c r="O40" s="37">
        <f t="shared" si="0"/>
        <v>117.48</v>
      </c>
      <c r="P40" s="37">
        <v>0</v>
      </c>
      <c r="Q40" s="37">
        <v>198.33</v>
      </c>
      <c r="R40" s="8">
        <v>1</v>
      </c>
      <c r="S40" s="8" t="str">
        <f t="shared" si="1"/>
        <v>TUSDB1ConvencionalResidencialResidencial baixa renda – faixa 02Não se aplicaNão se aplicaNão se aplica</v>
      </c>
      <c r="T40" s="8">
        <f>VLOOKUP(S40,'TAR FIN COPEL'!$R$2:$S$219,2,0)</f>
        <v>117.48</v>
      </c>
    </row>
    <row r="41" spans="1:20" ht="11.25" customHeight="1" x14ac:dyDescent="0.25">
      <c r="A41" s="37">
        <v>40</v>
      </c>
      <c r="B41" s="37" t="s">
        <v>533</v>
      </c>
      <c r="C41" s="37" t="s">
        <v>22</v>
      </c>
      <c r="D41" s="37" t="s">
        <v>23</v>
      </c>
      <c r="E41" s="37" t="s">
        <v>24</v>
      </c>
      <c r="F41" s="37" t="s">
        <v>30</v>
      </c>
      <c r="G41" s="37" t="s">
        <v>25</v>
      </c>
      <c r="H41" s="37" t="s">
        <v>25</v>
      </c>
      <c r="I41" s="37" t="s">
        <v>25</v>
      </c>
      <c r="J41" s="37" t="s">
        <v>678</v>
      </c>
      <c r="K41" s="37" t="s">
        <v>679</v>
      </c>
      <c r="L41" s="37" t="s">
        <v>75</v>
      </c>
      <c r="M41" s="37">
        <v>2021</v>
      </c>
      <c r="N41" s="37">
        <v>0</v>
      </c>
      <c r="O41" s="37">
        <f t="shared" si="0"/>
        <v>176.22</v>
      </c>
      <c r="P41" s="37">
        <v>0</v>
      </c>
      <c r="Q41" s="37">
        <v>297.49</v>
      </c>
      <c r="R41" s="8">
        <v>1</v>
      </c>
      <c r="S41" s="8" t="str">
        <f t="shared" si="1"/>
        <v>TUSDB1ConvencionalResidencialResidencial baixa renda – faixa 03Não se aplicaNão se aplicaNão se aplica</v>
      </c>
      <c r="T41" s="8">
        <f>VLOOKUP(S41,'TAR FIN COPEL'!$R$2:$S$219,2,0)</f>
        <v>176.22</v>
      </c>
    </row>
    <row r="42" spans="1:20" ht="11.25" customHeight="1" x14ac:dyDescent="0.25">
      <c r="A42" s="37">
        <v>41</v>
      </c>
      <c r="B42" s="37" t="s">
        <v>533</v>
      </c>
      <c r="C42" s="37" t="s">
        <v>22</v>
      </c>
      <c r="D42" s="37" t="s">
        <v>23</v>
      </c>
      <c r="E42" s="37" t="s">
        <v>24</v>
      </c>
      <c r="F42" s="37" t="s">
        <v>31</v>
      </c>
      <c r="G42" s="37" t="s">
        <v>25</v>
      </c>
      <c r="H42" s="37" t="s">
        <v>25</v>
      </c>
      <c r="I42" s="37" t="s">
        <v>25</v>
      </c>
      <c r="J42" s="37" t="s">
        <v>678</v>
      </c>
      <c r="K42" s="37" t="s">
        <v>679</v>
      </c>
      <c r="L42" s="37" t="s">
        <v>75</v>
      </c>
      <c r="M42" s="37">
        <v>2021</v>
      </c>
      <c r="N42" s="37">
        <v>0</v>
      </c>
      <c r="O42" s="37">
        <f t="shared" si="0"/>
        <v>195.8</v>
      </c>
      <c r="P42" s="37">
        <v>0</v>
      </c>
      <c r="Q42" s="37">
        <v>330.54</v>
      </c>
      <c r="R42" s="8">
        <v>1</v>
      </c>
      <c r="S42" s="8" t="str">
        <f t="shared" si="1"/>
        <v>TUSDB1ConvencionalResidencialResidencial baixa renda – faixa 04Não se aplicaNão se aplicaNão se aplica</v>
      </c>
      <c r="T42" s="8">
        <f>VLOOKUP(S42,'TAR FIN COPEL'!$R$2:$S$219,2,0)</f>
        <v>195.8</v>
      </c>
    </row>
    <row r="43" spans="1:20" ht="11.25" customHeight="1" x14ac:dyDescent="0.25">
      <c r="A43" s="37">
        <v>42</v>
      </c>
      <c r="B43" s="37" t="s">
        <v>533</v>
      </c>
      <c r="C43" s="37" t="s">
        <v>22</v>
      </c>
      <c r="D43" s="37" t="s">
        <v>90</v>
      </c>
      <c r="E43" s="37" t="s">
        <v>24</v>
      </c>
      <c r="F43" s="37" t="s">
        <v>24</v>
      </c>
      <c r="G43" s="37" t="s">
        <v>25</v>
      </c>
      <c r="H43" s="37" t="s">
        <v>25</v>
      </c>
      <c r="I43" s="37" t="s">
        <v>25</v>
      </c>
      <c r="J43" s="37" t="s">
        <v>678</v>
      </c>
      <c r="K43" s="37" t="s">
        <v>679</v>
      </c>
      <c r="L43" s="37" t="s">
        <v>75</v>
      </c>
      <c r="M43" s="37">
        <v>2021</v>
      </c>
      <c r="N43" s="37">
        <v>0</v>
      </c>
      <c r="O43" s="37">
        <f t="shared" si="0"/>
        <v>269.91000000000003</v>
      </c>
      <c r="P43" s="37">
        <v>69.527014554527298</v>
      </c>
      <c r="Q43" s="37">
        <v>407.42</v>
      </c>
      <c r="R43" s="8">
        <v>1</v>
      </c>
      <c r="S43" s="8" t="str">
        <f t="shared" si="1"/>
        <v>TUSDB1Convencional pré-pagamentoResidencialResidencialNão se aplicaNão se aplicaNão se aplica</v>
      </c>
      <c r="T43" s="8">
        <f>VLOOKUP(S43,'TAR FIN COPEL'!$R$2:$S$219,2,0)</f>
        <v>269.91000000000003</v>
      </c>
    </row>
    <row r="44" spans="1:20" ht="11.25" customHeight="1" x14ac:dyDescent="0.25">
      <c r="A44" s="37">
        <v>43</v>
      </c>
      <c r="B44" s="37" t="s">
        <v>533</v>
      </c>
      <c r="C44" s="37" t="s">
        <v>22</v>
      </c>
      <c r="D44" s="37" t="s">
        <v>90</v>
      </c>
      <c r="E44" s="37" t="s">
        <v>24</v>
      </c>
      <c r="F44" s="37" t="s">
        <v>28</v>
      </c>
      <c r="G44" s="37" t="s">
        <v>25</v>
      </c>
      <c r="H44" s="37" t="s">
        <v>25</v>
      </c>
      <c r="I44" s="37" t="s">
        <v>25</v>
      </c>
      <c r="J44" s="37" t="s">
        <v>678</v>
      </c>
      <c r="K44" s="37" t="s">
        <v>679</v>
      </c>
      <c r="L44" s="37" t="s">
        <v>75</v>
      </c>
      <c r="M44" s="37">
        <v>2021</v>
      </c>
      <c r="N44" s="37">
        <v>0</v>
      </c>
      <c r="O44" s="37">
        <f t="shared" si="0"/>
        <v>68.53</v>
      </c>
      <c r="P44" s="37">
        <v>0</v>
      </c>
      <c r="Q44" s="37">
        <v>115.69</v>
      </c>
      <c r="R44" s="8">
        <v>1</v>
      </c>
      <c r="S44" s="8" t="str">
        <f t="shared" si="1"/>
        <v>TUSDB1Convencional pré-pagamentoResidencialResidencial baixa renda – faixa 01Não se aplicaNão se aplicaNão se aplica</v>
      </c>
      <c r="T44" s="8">
        <f>VLOOKUP(S44,'TAR FIN COPEL'!$R$2:$S$219,2,0)</f>
        <v>68.53</v>
      </c>
    </row>
    <row r="45" spans="1:20" ht="11.25" customHeight="1" x14ac:dyDescent="0.25">
      <c r="A45" s="37">
        <v>44</v>
      </c>
      <c r="B45" s="37" t="s">
        <v>533</v>
      </c>
      <c r="C45" s="37" t="s">
        <v>22</v>
      </c>
      <c r="D45" s="37" t="s">
        <v>90</v>
      </c>
      <c r="E45" s="37" t="s">
        <v>24</v>
      </c>
      <c r="F45" s="37" t="s">
        <v>29</v>
      </c>
      <c r="G45" s="37" t="s">
        <v>25</v>
      </c>
      <c r="H45" s="37" t="s">
        <v>25</v>
      </c>
      <c r="I45" s="37" t="s">
        <v>25</v>
      </c>
      <c r="J45" s="37" t="s">
        <v>678</v>
      </c>
      <c r="K45" s="37" t="s">
        <v>679</v>
      </c>
      <c r="L45" s="37" t="s">
        <v>75</v>
      </c>
      <c r="M45" s="37">
        <v>2021</v>
      </c>
      <c r="N45" s="37">
        <v>0</v>
      </c>
      <c r="O45" s="37">
        <f t="shared" si="0"/>
        <v>117.48</v>
      </c>
      <c r="P45" s="37">
        <v>0</v>
      </c>
      <c r="Q45" s="37">
        <v>198.33</v>
      </c>
      <c r="R45" s="8">
        <v>1</v>
      </c>
      <c r="S45" s="8" t="str">
        <f t="shared" si="1"/>
        <v>TUSDB1Convencional pré-pagamentoResidencialResidencial baixa renda – faixa 02Não se aplicaNão se aplicaNão se aplica</v>
      </c>
      <c r="T45" s="8">
        <f>VLOOKUP(S45,'TAR FIN COPEL'!$R$2:$S$219,2,0)</f>
        <v>117.48</v>
      </c>
    </row>
    <row r="46" spans="1:20" ht="11.25" customHeight="1" x14ac:dyDescent="0.25">
      <c r="A46" s="37">
        <v>45</v>
      </c>
      <c r="B46" s="37" t="s">
        <v>533</v>
      </c>
      <c r="C46" s="37" t="s">
        <v>22</v>
      </c>
      <c r="D46" s="37" t="s">
        <v>90</v>
      </c>
      <c r="E46" s="37" t="s">
        <v>24</v>
      </c>
      <c r="F46" s="37" t="s">
        <v>30</v>
      </c>
      <c r="G46" s="37" t="s">
        <v>25</v>
      </c>
      <c r="H46" s="37" t="s">
        <v>25</v>
      </c>
      <c r="I46" s="37" t="s">
        <v>25</v>
      </c>
      <c r="J46" s="37" t="s">
        <v>678</v>
      </c>
      <c r="K46" s="37" t="s">
        <v>679</v>
      </c>
      <c r="L46" s="37" t="s">
        <v>75</v>
      </c>
      <c r="M46" s="37">
        <v>2021</v>
      </c>
      <c r="N46" s="37">
        <v>0</v>
      </c>
      <c r="O46" s="37">
        <f t="shared" si="0"/>
        <v>176.22</v>
      </c>
      <c r="P46" s="37">
        <v>0</v>
      </c>
      <c r="Q46" s="37">
        <v>297.49</v>
      </c>
      <c r="R46" s="8">
        <v>1</v>
      </c>
      <c r="S46" s="8" t="str">
        <f t="shared" si="1"/>
        <v>TUSDB1Convencional pré-pagamentoResidencialResidencial baixa renda – faixa 03Não se aplicaNão se aplicaNão se aplica</v>
      </c>
      <c r="T46" s="8">
        <f>VLOOKUP(S46,'TAR FIN COPEL'!$R$2:$S$219,2,0)</f>
        <v>176.22</v>
      </c>
    </row>
    <row r="47" spans="1:20" ht="11.25" customHeight="1" x14ac:dyDescent="0.25">
      <c r="A47" s="37">
        <v>46</v>
      </c>
      <c r="B47" s="37" t="s">
        <v>533</v>
      </c>
      <c r="C47" s="37" t="s">
        <v>22</v>
      </c>
      <c r="D47" s="37" t="s">
        <v>90</v>
      </c>
      <c r="E47" s="37" t="s">
        <v>24</v>
      </c>
      <c r="F47" s="37" t="s">
        <v>31</v>
      </c>
      <c r="G47" s="37" t="s">
        <v>25</v>
      </c>
      <c r="H47" s="37" t="s">
        <v>25</v>
      </c>
      <c r="I47" s="37" t="s">
        <v>25</v>
      </c>
      <c r="J47" s="37" t="s">
        <v>678</v>
      </c>
      <c r="K47" s="37" t="s">
        <v>679</v>
      </c>
      <c r="L47" s="37" t="s">
        <v>75</v>
      </c>
      <c r="M47" s="37">
        <v>2021</v>
      </c>
      <c r="N47" s="37">
        <v>0</v>
      </c>
      <c r="O47" s="37">
        <f t="shared" si="0"/>
        <v>195.8</v>
      </c>
      <c r="P47" s="37">
        <v>0</v>
      </c>
      <c r="Q47" s="37">
        <v>330.54</v>
      </c>
      <c r="R47" s="8">
        <v>1</v>
      </c>
      <c r="S47" s="8" t="str">
        <f t="shared" si="1"/>
        <v>TUSDB1Convencional pré-pagamentoResidencialResidencial baixa renda – faixa 04Não se aplicaNão se aplicaNão se aplica</v>
      </c>
      <c r="T47" s="8">
        <f>VLOOKUP(S47,'TAR FIN COPEL'!$R$2:$S$219,2,0)</f>
        <v>195.8</v>
      </c>
    </row>
    <row r="48" spans="1:20" ht="11.25" customHeight="1" x14ac:dyDescent="0.25">
      <c r="A48" s="37">
        <v>47</v>
      </c>
      <c r="B48" s="37" t="s">
        <v>533</v>
      </c>
      <c r="C48" s="37" t="s">
        <v>41</v>
      </c>
      <c r="D48" s="37" t="s">
        <v>32</v>
      </c>
      <c r="E48" s="37" t="s">
        <v>42</v>
      </c>
      <c r="F48" s="37" t="s">
        <v>25</v>
      </c>
      <c r="G48" s="37" t="s">
        <v>25</v>
      </c>
      <c r="H48" s="37" t="s">
        <v>25</v>
      </c>
      <c r="I48" s="37" t="s">
        <v>33</v>
      </c>
      <c r="J48" s="37" t="s">
        <v>678</v>
      </c>
      <c r="K48" s="37" t="s">
        <v>679</v>
      </c>
      <c r="L48" s="37" t="s">
        <v>75</v>
      </c>
      <c r="M48" s="37">
        <v>2021</v>
      </c>
      <c r="N48" s="37">
        <v>0</v>
      </c>
      <c r="O48" s="37">
        <f t="shared" si="0"/>
        <v>515.79</v>
      </c>
      <c r="P48" s="37">
        <v>61.183772807983999</v>
      </c>
      <c r="Q48" s="37">
        <v>845.96</v>
      </c>
      <c r="R48" s="8">
        <v>1</v>
      </c>
      <c r="S48" s="8" t="str">
        <f t="shared" si="1"/>
        <v>TUSDB2BrancaRuralNão se aplicaNão se aplicaNão se aplicaPonta</v>
      </c>
      <c r="T48" s="8">
        <f>VLOOKUP(S48,'TAR FIN COPEL'!$R$2:$S$219,2,0)</f>
        <v>515.79</v>
      </c>
    </row>
    <row r="49" spans="1:20" ht="11.25" customHeight="1" x14ac:dyDescent="0.25">
      <c r="A49" s="37">
        <v>48</v>
      </c>
      <c r="B49" s="37" t="s">
        <v>533</v>
      </c>
      <c r="C49" s="37" t="s">
        <v>41</v>
      </c>
      <c r="D49" s="37" t="s">
        <v>32</v>
      </c>
      <c r="E49" s="37" t="s">
        <v>42</v>
      </c>
      <c r="F49" s="37" t="s">
        <v>25</v>
      </c>
      <c r="G49" s="37" t="s">
        <v>25</v>
      </c>
      <c r="H49" s="37" t="s">
        <v>25</v>
      </c>
      <c r="I49" s="37" t="s">
        <v>35</v>
      </c>
      <c r="J49" s="37" t="s">
        <v>678</v>
      </c>
      <c r="K49" s="37" t="s">
        <v>679</v>
      </c>
      <c r="L49" s="37" t="s">
        <v>75</v>
      </c>
      <c r="M49" s="37">
        <v>2021</v>
      </c>
      <c r="N49" s="37">
        <v>0</v>
      </c>
      <c r="O49" s="37">
        <f t="shared" si="0"/>
        <v>347.4</v>
      </c>
      <c r="P49" s="37">
        <v>61.183772807983999</v>
      </c>
      <c r="Q49" s="37">
        <v>545.6</v>
      </c>
      <c r="R49" s="8">
        <v>1</v>
      </c>
      <c r="S49" s="8" t="str">
        <f t="shared" si="1"/>
        <v>TUSDB2BrancaRuralNão se aplicaNão se aplicaNão se aplicaIntermediário</v>
      </c>
      <c r="T49" s="8">
        <f>VLOOKUP(S49,'TAR FIN COPEL'!$R$2:$S$219,2,0)</f>
        <v>347.4</v>
      </c>
    </row>
    <row r="50" spans="1:20" ht="11.25" customHeight="1" x14ac:dyDescent="0.25">
      <c r="A50" s="37">
        <v>49</v>
      </c>
      <c r="B50" s="37" t="s">
        <v>533</v>
      </c>
      <c r="C50" s="37" t="s">
        <v>41</v>
      </c>
      <c r="D50" s="37" t="s">
        <v>32</v>
      </c>
      <c r="E50" s="37" t="s">
        <v>42</v>
      </c>
      <c r="F50" s="37" t="s">
        <v>25</v>
      </c>
      <c r="G50" s="37" t="s">
        <v>25</v>
      </c>
      <c r="H50" s="37" t="s">
        <v>25</v>
      </c>
      <c r="I50" s="37" t="s">
        <v>34</v>
      </c>
      <c r="J50" s="37" t="s">
        <v>678</v>
      </c>
      <c r="K50" s="37" t="s">
        <v>679</v>
      </c>
      <c r="L50" s="37" t="s">
        <v>75</v>
      </c>
      <c r="M50" s="37">
        <v>2021</v>
      </c>
      <c r="N50" s="37">
        <v>0</v>
      </c>
      <c r="O50" s="37">
        <f t="shared" si="0"/>
        <v>179.01</v>
      </c>
      <c r="P50" s="37">
        <v>61.183772807983999</v>
      </c>
      <c r="Q50" s="37">
        <v>245.23</v>
      </c>
      <c r="R50" s="8">
        <v>1</v>
      </c>
      <c r="S50" s="8" t="str">
        <f t="shared" si="1"/>
        <v>TUSDB2BrancaRuralNão se aplicaNão se aplicaNão se aplicaFora ponta</v>
      </c>
      <c r="T50" s="8">
        <f>VLOOKUP(S50,'TAR FIN COPEL'!$R$2:$S$219,2,0)</f>
        <v>179.01</v>
      </c>
    </row>
    <row r="51" spans="1:20" ht="11.25" customHeight="1" x14ac:dyDescent="0.25">
      <c r="A51" s="37">
        <v>50</v>
      </c>
      <c r="B51" s="37" t="s">
        <v>533</v>
      </c>
      <c r="C51" s="37" t="s">
        <v>41</v>
      </c>
      <c r="D51" s="37" t="s">
        <v>23</v>
      </c>
      <c r="E51" s="37" t="s">
        <v>42</v>
      </c>
      <c r="F51" s="37" t="s">
        <v>25</v>
      </c>
      <c r="G51" s="37" t="s">
        <v>25</v>
      </c>
      <c r="H51" s="37" t="s">
        <v>25</v>
      </c>
      <c r="I51" s="37" t="s">
        <v>25</v>
      </c>
      <c r="J51" s="37" t="s">
        <v>678</v>
      </c>
      <c r="K51" s="37" t="s">
        <v>679</v>
      </c>
      <c r="L51" s="37" t="s">
        <v>75</v>
      </c>
      <c r="M51" s="37">
        <v>2021</v>
      </c>
      <c r="N51" s="37">
        <v>0</v>
      </c>
      <c r="O51" s="37">
        <f t="shared" si="0"/>
        <v>237.52</v>
      </c>
      <c r="P51" s="37">
        <v>61.183772807983999</v>
      </c>
      <c r="Q51" s="37">
        <v>358.53</v>
      </c>
      <c r="R51" s="8">
        <v>1</v>
      </c>
      <c r="S51" s="8" t="str">
        <f t="shared" si="1"/>
        <v>TUSDB2ConvencionalRuralNão se aplicaNão se aplicaNão se aplicaNão se aplica</v>
      </c>
      <c r="T51" s="8">
        <f>VLOOKUP(S51,'TAR FIN COPEL'!$R$2:$S$219,2,0)</f>
        <v>237.52</v>
      </c>
    </row>
    <row r="52" spans="1:20" ht="11.25" customHeight="1" x14ac:dyDescent="0.25">
      <c r="A52" s="37">
        <v>51</v>
      </c>
      <c r="B52" s="37" t="s">
        <v>533</v>
      </c>
      <c r="C52" s="37" t="s">
        <v>41</v>
      </c>
      <c r="D52" s="37" t="s">
        <v>32</v>
      </c>
      <c r="E52" s="37" t="s">
        <v>42</v>
      </c>
      <c r="F52" s="37" t="s">
        <v>91</v>
      </c>
      <c r="G52" s="37" t="s">
        <v>25</v>
      </c>
      <c r="H52" s="37" t="s">
        <v>25</v>
      </c>
      <c r="I52" s="37" t="s">
        <v>33</v>
      </c>
      <c r="J52" s="37" t="s">
        <v>678</v>
      </c>
      <c r="K52" s="37" t="s">
        <v>679</v>
      </c>
      <c r="L52" s="37" t="s">
        <v>75</v>
      </c>
      <c r="M52" s="37">
        <v>2021</v>
      </c>
      <c r="N52" s="37">
        <v>0</v>
      </c>
      <c r="O52" s="37">
        <f t="shared" si="0"/>
        <v>500.85</v>
      </c>
      <c r="P52" s="37">
        <v>61.183772807983999</v>
      </c>
      <c r="Q52" s="37">
        <v>845.96</v>
      </c>
      <c r="R52" s="8">
        <v>1</v>
      </c>
      <c r="S52" s="8" t="str">
        <f t="shared" si="1"/>
        <v>TUSDB2BrancaRuralCooperativa de eletrificação ruralNão se aplicaNão se aplicaPonta</v>
      </c>
      <c r="T52" s="8">
        <f>VLOOKUP(S52,'TAR FIN COPEL'!$R$2:$S$219,2,0)</f>
        <v>500.85</v>
      </c>
    </row>
    <row r="53" spans="1:20" ht="11.25" customHeight="1" x14ac:dyDescent="0.25">
      <c r="A53" s="37">
        <v>52</v>
      </c>
      <c r="B53" s="37" t="s">
        <v>533</v>
      </c>
      <c r="C53" s="37" t="s">
        <v>41</v>
      </c>
      <c r="D53" s="37" t="s">
        <v>32</v>
      </c>
      <c r="E53" s="37" t="s">
        <v>42</v>
      </c>
      <c r="F53" s="37" t="s">
        <v>91</v>
      </c>
      <c r="G53" s="37" t="s">
        <v>25</v>
      </c>
      <c r="H53" s="37" t="s">
        <v>25</v>
      </c>
      <c r="I53" s="37" t="s">
        <v>35</v>
      </c>
      <c r="J53" s="37" t="s">
        <v>678</v>
      </c>
      <c r="K53" s="37" t="s">
        <v>679</v>
      </c>
      <c r="L53" s="37" t="s">
        <v>75</v>
      </c>
      <c r="M53" s="37">
        <v>2021</v>
      </c>
      <c r="N53" s="37">
        <v>0</v>
      </c>
      <c r="O53" s="37">
        <f t="shared" si="0"/>
        <v>337.34</v>
      </c>
      <c r="P53" s="37">
        <v>61.183772807983999</v>
      </c>
      <c r="Q53" s="37">
        <v>545.6</v>
      </c>
      <c r="R53" s="8">
        <v>1</v>
      </c>
      <c r="S53" s="8" t="str">
        <f t="shared" si="1"/>
        <v>TUSDB2BrancaRuralCooperativa de eletrificação ruralNão se aplicaNão se aplicaIntermediário</v>
      </c>
      <c r="T53" s="8">
        <f>VLOOKUP(S53,'TAR FIN COPEL'!$R$2:$S$219,2,0)</f>
        <v>337.34</v>
      </c>
    </row>
    <row r="54" spans="1:20" ht="11.25" customHeight="1" x14ac:dyDescent="0.25">
      <c r="A54" s="37">
        <v>53</v>
      </c>
      <c r="B54" s="37" t="s">
        <v>533</v>
      </c>
      <c r="C54" s="37" t="s">
        <v>41</v>
      </c>
      <c r="D54" s="37" t="s">
        <v>32</v>
      </c>
      <c r="E54" s="37" t="s">
        <v>42</v>
      </c>
      <c r="F54" s="37" t="s">
        <v>91</v>
      </c>
      <c r="G54" s="37" t="s">
        <v>25</v>
      </c>
      <c r="H54" s="37" t="s">
        <v>25</v>
      </c>
      <c r="I54" s="37" t="s">
        <v>34</v>
      </c>
      <c r="J54" s="37" t="s">
        <v>678</v>
      </c>
      <c r="K54" s="37" t="s">
        <v>679</v>
      </c>
      <c r="L54" s="37" t="s">
        <v>75</v>
      </c>
      <c r="M54" s="37">
        <v>2021</v>
      </c>
      <c r="N54" s="37">
        <v>0</v>
      </c>
      <c r="O54" s="37">
        <f t="shared" si="0"/>
        <v>173.83</v>
      </c>
      <c r="P54" s="37">
        <v>61.183772807983999</v>
      </c>
      <c r="Q54" s="37">
        <v>245.23</v>
      </c>
      <c r="R54" s="8">
        <v>1</v>
      </c>
      <c r="S54" s="8" t="str">
        <f t="shared" si="1"/>
        <v>TUSDB2BrancaRuralCooperativa de eletrificação ruralNão se aplicaNão se aplicaFora ponta</v>
      </c>
      <c r="T54" s="8">
        <f>VLOOKUP(S54,'TAR FIN COPEL'!$R$2:$S$219,2,0)</f>
        <v>173.83</v>
      </c>
    </row>
    <row r="55" spans="1:20" ht="11.25" customHeight="1" x14ac:dyDescent="0.25">
      <c r="A55" s="37">
        <v>54</v>
      </c>
      <c r="B55" s="37" t="s">
        <v>533</v>
      </c>
      <c r="C55" s="37" t="s">
        <v>41</v>
      </c>
      <c r="D55" s="37" t="s">
        <v>23</v>
      </c>
      <c r="E55" s="37" t="s">
        <v>42</v>
      </c>
      <c r="F55" s="37" t="s">
        <v>91</v>
      </c>
      <c r="G55" s="37" t="s">
        <v>25</v>
      </c>
      <c r="H55" s="37" t="s">
        <v>25</v>
      </c>
      <c r="I55" s="37" t="s">
        <v>25</v>
      </c>
      <c r="J55" s="37" t="s">
        <v>678</v>
      </c>
      <c r="K55" s="37" t="s">
        <v>679</v>
      </c>
      <c r="L55" s="37" t="s">
        <v>75</v>
      </c>
      <c r="M55" s="37">
        <v>2021</v>
      </c>
      <c r="N55" s="37">
        <v>0</v>
      </c>
      <c r="O55" s="37">
        <f t="shared" si="0"/>
        <v>230.64</v>
      </c>
      <c r="P55" s="37">
        <v>61.183772807983999</v>
      </c>
      <c r="Q55" s="37">
        <v>358.53</v>
      </c>
      <c r="R55" s="8">
        <v>1</v>
      </c>
      <c r="S55" s="8" t="str">
        <f t="shared" si="1"/>
        <v>TUSDB2ConvencionalRuralCooperativa de eletrificação ruralNão se aplicaNão se aplicaNão se aplica</v>
      </c>
      <c r="T55" s="8">
        <f>VLOOKUP(S55,'TAR FIN COPEL'!$R$2:$S$219,2,0)</f>
        <v>230.64</v>
      </c>
    </row>
    <row r="56" spans="1:20" ht="11.25" customHeight="1" x14ac:dyDescent="0.25">
      <c r="A56" s="37">
        <v>55</v>
      </c>
      <c r="B56" s="37" t="s">
        <v>533</v>
      </c>
      <c r="C56" s="37" t="s">
        <v>41</v>
      </c>
      <c r="D56" s="37" t="s">
        <v>32</v>
      </c>
      <c r="E56" s="37" t="s">
        <v>42</v>
      </c>
      <c r="F56" s="37" t="s">
        <v>92</v>
      </c>
      <c r="G56" s="37" t="s">
        <v>25</v>
      </c>
      <c r="H56" s="37" t="s">
        <v>25</v>
      </c>
      <c r="I56" s="37" t="s">
        <v>33</v>
      </c>
      <c r="J56" s="37" t="s">
        <v>678</v>
      </c>
      <c r="K56" s="37" t="s">
        <v>679</v>
      </c>
      <c r="L56" s="37" t="s">
        <v>75</v>
      </c>
      <c r="M56" s="37">
        <v>2021</v>
      </c>
      <c r="N56" s="37">
        <v>0</v>
      </c>
      <c r="O56" s="37">
        <f t="shared" si="0"/>
        <v>492.35</v>
      </c>
      <c r="P56" s="37">
        <v>58.402692225802902</v>
      </c>
      <c r="Q56" s="37">
        <v>807.51</v>
      </c>
      <c r="R56" s="8">
        <v>1</v>
      </c>
      <c r="S56" s="8" t="str">
        <f t="shared" si="1"/>
        <v>TUSDB2BrancaRuralServiço público de irrigação ruralNão se aplicaNão se aplicaPonta</v>
      </c>
      <c r="T56" s="8">
        <f>VLOOKUP(S56,'TAR FIN COPEL'!$R$2:$S$219,2,0)</f>
        <v>492.35</v>
      </c>
    </row>
    <row r="57" spans="1:20" ht="11.25" customHeight="1" x14ac:dyDescent="0.25">
      <c r="A57" s="37">
        <v>56</v>
      </c>
      <c r="B57" s="37" t="s">
        <v>533</v>
      </c>
      <c r="C57" s="37" t="s">
        <v>41</v>
      </c>
      <c r="D57" s="37" t="s">
        <v>32</v>
      </c>
      <c r="E57" s="37" t="s">
        <v>42</v>
      </c>
      <c r="F57" s="37" t="s">
        <v>92</v>
      </c>
      <c r="G57" s="37" t="s">
        <v>25</v>
      </c>
      <c r="H57" s="37" t="s">
        <v>25</v>
      </c>
      <c r="I57" s="37" t="s">
        <v>35</v>
      </c>
      <c r="J57" s="37" t="s">
        <v>678</v>
      </c>
      <c r="K57" s="37" t="s">
        <v>679</v>
      </c>
      <c r="L57" s="37" t="s">
        <v>75</v>
      </c>
      <c r="M57" s="37">
        <v>2021</v>
      </c>
      <c r="N57" s="37">
        <v>0</v>
      </c>
      <c r="O57" s="37">
        <f t="shared" si="0"/>
        <v>331.61</v>
      </c>
      <c r="P57" s="37">
        <v>58.402692225802902</v>
      </c>
      <c r="Q57" s="37">
        <v>520.79999999999995</v>
      </c>
      <c r="R57" s="8">
        <v>1</v>
      </c>
      <c r="S57" s="8" t="str">
        <f t="shared" si="1"/>
        <v>TUSDB2BrancaRuralServiço público de irrigação ruralNão se aplicaNão se aplicaIntermediário</v>
      </c>
      <c r="T57" s="8">
        <f>VLOOKUP(S57,'TAR FIN COPEL'!$R$2:$S$219,2,0)</f>
        <v>331.61</v>
      </c>
    </row>
    <row r="58" spans="1:20" ht="11.25" customHeight="1" x14ac:dyDescent="0.25">
      <c r="A58" s="37">
        <v>57</v>
      </c>
      <c r="B58" s="37" t="s">
        <v>533</v>
      </c>
      <c r="C58" s="37" t="s">
        <v>41</v>
      </c>
      <c r="D58" s="37" t="s">
        <v>32</v>
      </c>
      <c r="E58" s="37" t="s">
        <v>42</v>
      </c>
      <c r="F58" s="37" t="s">
        <v>92</v>
      </c>
      <c r="G58" s="37" t="s">
        <v>25</v>
      </c>
      <c r="H58" s="37" t="s">
        <v>25</v>
      </c>
      <c r="I58" s="37" t="s">
        <v>34</v>
      </c>
      <c r="J58" s="37" t="s">
        <v>678</v>
      </c>
      <c r="K58" s="37" t="s">
        <v>679</v>
      </c>
      <c r="L58" s="37" t="s">
        <v>75</v>
      </c>
      <c r="M58" s="37">
        <v>2021</v>
      </c>
      <c r="N58" s="37">
        <v>0</v>
      </c>
      <c r="O58" s="37">
        <f t="shared" si="0"/>
        <v>170.88</v>
      </c>
      <c r="P58" s="37">
        <v>58.402692225802902</v>
      </c>
      <c r="Q58" s="37">
        <v>234.09</v>
      </c>
      <c r="R58" s="8">
        <v>1</v>
      </c>
      <c r="S58" s="8" t="str">
        <f t="shared" si="1"/>
        <v>TUSDB2BrancaRuralServiço público de irrigação ruralNão se aplicaNão se aplicaFora ponta</v>
      </c>
      <c r="T58" s="8">
        <f>VLOOKUP(S58,'TAR FIN COPEL'!$R$2:$S$219,2,0)</f>
        <v>170.88</v>
      </c>
    </row>
    <row r="59" spans="1:20" ht="11.25" customHeight="1" x14ac:dyDescent="0.25">
      <c r="A59" s="37">
        <v>58</v>
      </c>
      <c r="B59" s="37" t="s">
        <v>533</v>
      </c>
      <c r="C59" s="37" t="s">
        <v>41</v>
      </c>
      <c r="D59" s="37" t="s">
        <v>23</v>
      </c>
      <c r="E59" s="37" t="s">
        <v>42</v>
      </c>
      <c r="F59" s="37" t="s">
        <v>92</v>
      </c>
      <c r="G59" s="37" t="s">
        <v>25</v>
      </c>
      <c r="H59" s="37" t="s">
        <v>25</v>
      </c>
      <c r="I59" s="37" t="s">
        <v>25</v>
      </c>
      <c r="J59" s="37" t="s">
        <v>678</v>
      </c>
      <c r="K59" s="37" t="s">
        <v>679</v>
      </c>
      <c r="L59" s="37" t="s">
        <v>75</v>
      </c>
      <c r="M59" s="37">
        <v>2021</v>
      </c>
      <c r="N59" s="37">
        <v>0</v>
      </c>
      <c r="O59" s="37">
        <f t="shared" si="0"/>
        <v>226.72</v>
      </c>
      <c r="P59" s="37">
        <v>58.402692225802902</v>
      </c>
      <c r="Q59" s="37">
        <v>342.23</v>
      </c>
      <c r="R59" s="8">
        <v>1</v>
      </c>
      <c r="S59" s="8" t="str">
        <f t="shared" si="1"/>
        <v>TUSDB2ConvencionalRuralServiço público de irrigação ruralNão se aplicaNão se aplicaNão se aplica</v>
      </c>
      <c r="T59" s="8">
        <f>VLOOKUP(S59,'TAR FIN COPEL'!$R$2:$S$219,2,0)</f>
        <v>226.72</v>
      </c>
    </row>
    <row r="60" spans="1:20" ht="11.25" customHeight="1" x14ac:dyDescent="0.25">
      <c r="A60" s="37">
        <v>59</v>
      </c>
      <c r="B60" s="37" t="s">
        <v>533</v>
      </c>
      <c r="C60" s="37" t="s">
        <v>41</v>
      </c>
      <c r="D60" s="37" t="s">
        <v>90</v>
      </c>
      <c r="E60" s="37" t="s">
        <v>42</v>
      </c>
      <c r="F60" s="37" t="s">
        <v>25</v>
      </c>
      <c r="G60" s="37" t="s">
        <v>25</v>
      </c>
      <c r="H60" s="37" t="s">
        <v>25</v>
      </c>
      <c r="I60" s="37" t="s">
        <v>25</v>
      </c>
      <c r="J60" s="37" t="s">
        <v>678</v>
      </c>
      <c r="K60" s="37" t="s">
        <v>679</v>
      </c>
      <c r="L60" s="37" t="s">
        <v>75</v>
      </c>
      <c r="M60" s="37">
        <v>2021</v>
      </c>
      <c r="N60" s="37">
        <v>0</v>
      </c>
      <c r="O60" s="37">
        <f t="shared" si="0"/>
        <v>237.52</v>
      </c>
      <c r="P60" s="37">
        <v>61.183772807983999</v>
      </c>
      <c r="Q60" s="37">
        <v>358.53</v>
      </c>
      <c r="R60" s="8">
        <v>1</v>
      </c>
      <c r="S60" s="8" t="str">
        <f t="shared" si="1"/>
        <v>TUSDB2Convencional pré-pagamentoRuralNão se aplicaNão se aplicaNão se aplicaNão se aplica</v>
      </c>
      <c r="T60" s="8">
        <f>VLOOKUP(S60,'TAR FIN COPEL'!$R$2:$S$219,2,0)</f>
        <v>237.52</v>
      </c>
    </row>
    <row r="61" spans="1:20" ht="11.25" customHeight="1" x14ac:dyDescent="0.25">
      <c r="A61" s="37">
        <v>60</v>
      </c>
      <c r="B61" s="37" t="s">
        <v>533</v>
      </c>
      <c r="C61" s="37" t="s">
        <v>41</v>
      </c>
      <c r="D61" s="37" t="s">
        <v>90</v>
      </c>
      <c r="E61" s="37" t="s">
        <v>42</v>
      </c>
      <c r="F61" s="37" t="s">
        <v>91</v>
      </c>
      <c r="G61" s="37" t="s">
        <v>25</v>
      </c>
      <c r="H61" s="37" t="s">
        <v>25</v>
      </c>
      <c r="I61" s="37" t="s">
        <v>25</v>
      </c>
      <c r="J61" s="37" t="s">
        <v>678</v>
      </c>
      <c r="K61" s="37" t="s">
        <v>679</v>
      </c>
      <c r="L61" s="37" t="s">
        <v>75</v>
      </c>
      <c r="M61" s="37">
        <v>2021</v>
      </c>
      <c r="N61" s="37">
        <v>0</v>
      </c>
      <c r="O61" s="37">
        <f t="shared" si="0"/>
        <v>230.64</v>
      </c>
      <c r="P61" s="37">
        <v>61.183772807983999</v>
      </c>
      <c r="Q61" s="37">
        <v>358.53</v>
      </c>
      <c r="R61" s="8">
        <v>1</v>
      </c>
      <c r="S61" s="8" t="str">
        <f t="shared" si="1"/>
        <v>TUSDB2Convencional pré-pagamentoRuralCooperativa de eletrificação ruralNão se aplicaNão se aplicaNão se aplica</v>
      </c>
      <c r="T61" s="8">
        <f>VLOOKUP(S61,'TAR FIN COPEL'!$R$2:$S$219,2,0)</f>
        <v>230.64</v>
      </c>
    </row>
    <row r="62" spans="1:20" ht="11.25" customHeight="1" x14ac:dyDescent="0.25">
      <c r="A62" s="37">
        <v>61</v>
      </c>
      <c r="B62" s="37" t="s">
        <v>533</v>
      </c>
      <c r="C62" s="37" t="s">
        <v>41</v>
      </c>
      <c r="D62" s="37" t="s">
        <v>90</v>
      </c>
      <c r="E62" s="37" t="s">
        <v>42</v>
      </c>
      <c r="F62" s="37" t="s">
        <v>92</v>
      </c>
      <c r="G62" s="37" t="s">
        <v>25</v>
      </c>
      <c r="H62" s="37" t="s">
        <v>25</v>
      </c>
      <c r="I62" s="37" t="s">
        <v>25</v>
      </c>
      <c r="J62" s="37" t="s">
        <v>678</v>
      </c>
      <c r="K62" s="37" t="s">
        <v>679</v>
      </c>
      <c r="L62" s="37" t="s">
        <v>75</v>
      </c>
      <c r="M62" s="37">
        <v>2021</v>
      </c>
      <c r="N62" s="37">
        <v>0</v>
      </c>
      <c r="O62" s="37">
        <f t="shared" si="0"/>
        <v>226.72</v>
      </c>
      <c r="P62" s="37">
        <v>58.402692225802902</v>
      </c>
      <c r="Q62" s="37">
        <v>342.23</v>
      </c>
      <c r="R62" s="8">
        <v>1</v>
      </c>
      <c r="S62" s="8" t="str">
        <f t="shared" si="1"/>
        <v>TUSDB2Convencional pré-pagamentoRuralServiço público de irrigação ruralNão se aplicaNão se aplicaNão se aplica</v>
      </c>
      <c r="T62" s="8">
        <f>VLOOKUP(S62,'TAR FIN COPEL'!$R$2:$S$219,2,0)</f>
        <v>226.72</v>
      </c>
    </row>
    <row r="63" spans="1:20" ht="11.25" customHeight="1" x14ac:dyDescent="0.25">
      <c r="A63" s="37">
        <v>62</v>
      </c>
      <c r="B63" s="37" t="s">
        <v>533</v>
      </c>
      <c r="C63" s="37" t="s">
        <v>36</v>
      </c>
      <c r="D63" s="37" t="s">
        <v>32</v>
      </c>
      <c r="E63" s="37" t="s">
        <v>25</v>
      </c>
      <c r="F63" s="37" t="s">
        <v>25</v>
      </c>
      <c r="G63" s="37" t="s">
        <v>25</v>
      </c>
      <c r="H63" s="37" t="s">
        <v>25</v>
      </c>
      <c r="I63" s="37" t="s">
        <v>33</v>
      </c>
      <c r="J63" s="37" t="s">
        <v>678</v>
      </c>
      <c r="K63" s="37" t="s">
        <v>679</v>
      </c>
      <c r="L63" s="37" t="s">
        <v>75</v>
      </c>
      <c r="M63" s="37">
        <v>2021</v>
      </c>
      <c r="N63" s="37">
        <v>0</v>
      </c>
      <c r="O63" s="37">
        <f t="shared" si="0"/>
        <v>642.88</v>
      </c>
      <c r="P63" s="37">
        <v>69.527014554527298</v>
      </c>
      <c r="Q63" s="37">
        <v>1096.05</v>
      </c>
      <c r="R63" s="8">
        <v>1</v>
      </c>
      <c r="S63" s="8" t="str">
        <f t="shared" si="1"/>
        <v>TUSDB3BrancaNão se aplicaNão se aplicaNão se aplicaNão se aplicaPonta</v>
      </c>
      <c r="T63" s="8">
        <f>VLOOKUP(S63,'TAR FIN COPEL'!$R$2:$S$219,2,0)</f>
        <v>642.88</v>
      </c>
    </row>
    <row r="64" spans="1:20" ht="11.25" customHeight="1" x14ac:dyDescent="0.25">
      <c r="A64" s="37">
        <v>63</v>
      </c>
      <c r="B64" s="37" t="s">
        <v>533</v>
      </c>
      <c r="C64" s="37" t="s">
        <v>36</v>
      </c>
      <c r="D64" s="37" t="s">
        <v>32</v>
      </c>
      <c r="E64" s="37" t="s">
        <v>25</v>
      </c>
      <c r="F64" s="37" t="s">
        <v>25</v>
      </c>
      <c r="G64" s="37" t="s">
        <v>25</v>
      </c>
      <c r="H64" s="37" t="s">
        <v>25</v>
      </c>
      <c r="I64" s="37" t="s">
        <v>35</v>
      </c>
      <c r="J64" s="37" t="s">
        <v>678</v>
      </c>
      <c r="K64" s="37" t="s">
        <v>679</v>
      </c>
      <c r="L64" s="37" t="s">
        <v>75</v>
      </c>
      <c r="M64" s="37">
        <v>2021</v>
      </c>
      <c r="N64" s="37">
        <v>0</v>
      </c>
      <c r="O64" s="37">
        <f t="shared" si="0"/>
        <v>428.83</v>
      </c>
      <c r="P64" s="37">
        <v>69.527014554527298</v>
      </c>
      <c r="Q64" s="37">
        <v>700.84</v>
      </c>
      <c r="R64" s="8">
        <v>1</v>
      </c>
      <c r="S64" s="8" t="str">
        <f t="shared" si="1"/>
        <v>TUSDB3BrancaNão se aplicaNão se aplicaNão se aplicaNão se aplicaIntermediário</v>
      </c>
      <c r="T64" s="8">
        <f>VLOOKUP(S64,'TAR FIN COPEL'!$R$2:$S$219,2,0)</f>
        <v>428.83</v>
      </c>
    </row>
    <row r="65" spans="1:20" ht="11.25" customHeight="1" x14ac:dyDescent="0.25">
      <c r="A65" s="37">
        <v>64</v>
      </c>
      <c r="B65" s="37" t="s">
        <v>533</v>
      </c>
      <c r="C65" s="37" t="s">
        <v>36</v>
      </c>
      <c r="D65" s="37" t="s">
        <v>32</v>
      </c>
      <c r="E65" s="37" t="s">
        <v>25</v>
      </c>
      <c r="F65" s="37" t="s">
        <v>25</v>
      </c>
      <c r="G65" s="37" t="s">
        <v>25</v>
      </c>
      <c r="H65" s="37" t="s">
        <v>25</v>
      </c>
      <c r="I65" s="37" t="s">
        <v>34</v>
      </c>
      <c r="J65" s="37" t="s">
        <v>678</v>
      </c>
      <c r="K65" s="37" t="s">
        <v>679</v>
      </c>
      <c r="L65" s="37" t="s">
        <v>75</v>
      </c>
      <c r="M65" s="37">
        <v>2021</v>
      </c>
      <c r="N65" s="37">
        <v>0</v>
      </c>
      <c r="O65" s="37">
        <f t="shared" si="0"/>
        <v>214.77</v>
      </c>
      <c r="P65" s="37">
        <v>69.527014554527298</v>
      </c>
      <c r="Q65" s="37">
        <v>305.62</v>
      </c>
      <c r="R65" s="8">
        <v>1</v>
      </c>
      <c r="S65" s="8" t="str">
        <f t="shared" si="1"/>
        <v>TUSDB3BrancaNão se aplicaNão se aplicaNão se aplicaNão se aplicaFora ponta</v>
      </c>
      <c r="T65" s="8">
        <f>VLOOKUP(S65,'TAR FIN COPEL'!$R$2:$S$219,2,0)</f>
        <v>214.77</v>
      </c>
    </row>
    <row r="66" spans="1:20" ht="11.25" customHeight="1" x14ac:dyDescent="0.25">
      <c r="A66" s="37">
        <v>65</v>
      </c>
      <c r="B66" s="37" t="s">
        <v>533</v>
      </c>
      <c r="C66" s="37" t="s">
        <v>36</v>
      </c>
      <c r="D66" s="37" t="s">
        <v>23</v>
      </c>
      <c r="E66" s="37" t="s">
        <v>25</v>
      </c>
      <c r="F66" s="37" t="s">
        <v>25</v>
      </c>
      <c r="G66" s="37" t="s">
        <v>25</v>
      </c>
      <c r="H66" s="37" t="s">
        <v>25</v>
      </c>
      <c r="I66" s="37" t="s">
        <v>25</v>
      </c>
      <c r="J66" s="37" t="s">
        <v>678</v>
      </c>
      <c r="K66" s="37" t="s">
        <v>679</v>
      </c>
      <c r="L66" s="37" t="s">
        <v>75</v>
      </c>
      <c r="M66" s="37">
        <v>2021</v>
      </c>
      <c r="N66" s="37">
        <v>0</v>
      </c>
      <c r="O66" s="37">
        <f t="shared" si="0"/>
        <v>269.91000000000003</v>
      </c>
      <c r="P66" s="37">
        <v>69.527014554527298</v>
      </c>
      <c r="Q66" s="37">
        <v>407.42</v>
      </c>
      <c r="R66" s="8">
        <v>1</v>
      </c>
      <c r="S66" s="8" t="str">
        <f t="shared" si="1"/>
        <v>TUSDB3ConvencionalNão se aplicaNão se aplicaNão se aplicaNão se aplicaNão se aplica</v>
      </c>
      <c r="T66" s="8">
        <f>VLOOKUP(S66,'TAR FIN COPEL'!$R$2:$S$219,2,0)</f>
        <v>269.91000000000003</v>
      </c>
    </row>
    <row r="67" spans="1:20" ht="11.25" customHeight="1" x14ac:dyDescent="0.25">
      <c r="A67" s="37">
        <v>66</v>
      </c>
      <c r="B67" s="37" t="s">
        <v>533</v>
      </c>
      <c r="C67" s="37" t="s">
        <v>36</v>
      </c>
      <c r="D67" s="37" t="s">
        <v>90</v>
      </c>
      <c r="E67" s="37" t="s">
        <v>25</v>
      </c>
      <c r="F67" s="37" t="s">
        <v>25</v>
      </c>
      <c r="G67" s="37" t="s">
        <v>25</v>
      </c>
      <c r="H67" s="37" t="s">
        <v>25</v>
      </c>
      <c r="I67" s="37" t="s">
        <v>25</v>
      </c>
      <c r="J67" s="37" t="s">
        <v>678</v>
      </c>
      <c r="K67" s="37" t="s">
        <v>679</v>
      </c>
      <c r="L67" s="37" t="s">
        <v>75</v>
      </c>
      <c r="M67" s="37">
        <v>2021</v>
      </c>
      <c r="N67" s="37">
        <v>0</v>
      </c>
      <c r="O67" s="37">
        <f t="shared" ref="O67:O88" si="2">IF(R67=0,Q67,T67)</f>
        <v>269.91000000000003</v>
      </c>
      <c r="P67" s="37">
        <v>69.527014554527298</v>
      </c>
      <c r="Q67" s="37">
        <v>407.42</v>
      </c>
      <c r="R67" s="8">
        <v>1</v>
      </c>
      <c r="S67" s="8" t="str">
        <f t="shared" ref="S67:S88" si="3">B67&amp;C67&amp;D67&amp;E67&amp;F67&amp;G67&amp;H67&amp;I67</f>
        <v>TUSDB3Convencional pré-pagamentoNão se aplicaNão se aplicaNão se aplicaNão se aplicaNão se aplica</v>
      </c>
      <c r="T67" s="8">
        <f>VLOOKUP(S67,'TAR FIN COPEL'!$R$2:$S$219,2,0)</f>
        <v>269.91000000000003</v>
      </c>
    </row>
    <row r="68" spans="1:20" ht="11.25" customHeight="1" x14ac:dyDescent="0.25">
      <c r="A68" s="37">
        <v>67</v>
      </c>
      <c r="B68" s="37" t="s">
        <v>533</v>
      </c>
      <c r="C68" s="37" t="s">
        <v>44</v>
      </c>
      <c r="D68" s="37" t="s">
        <v>23</v>
      </c>
      <c r="E68" s="37" t="s">
        <v>45</v>
      </c>
      <c r="F68" s="37" t="s">
        <v>93</v>
      </c>
      <c r="G68" s="37" t="s">
        <v>25</v>
      </c>
      <c r="H68" s="37" t="s">
        <v>25</v>
      </c>
      <c r="I68" s="37" t="s">
        <v>25</v>
      </c>
      <c r="J68" s="37" t="s">
        <v>678</v>
      </c>
      <c r="K68" s="37" t="s">
        <v>679</v>
      </c>
      <c r="L68" s="37" t="s">
        <v>75</v>
      </c>
      <c r="M68" s="37">
        <v>2021</v>
      </c>
      <c r="N68" s="37">
        <v>0</v>
      </c>
      <c r="O68" s="37">
        <f t="shared" si="2"/>
        <v>148.44999999999999</v>
      </c>
      <c r="P68" s="37">
        <v>38.239858004989998</v>
      </c>
      <c r="Q68" s="37">
        <v>224.08</v>
      </c>
      <c r="R68" s="8">
        <v>1</v>
      </c>
      <c r="S68" s="8" t="str">
        <f t="shared" si="3"/>
        <v>TUSDB4ConvencionalIluminação públicaIluminação pública – B4aNão se aplicaNão se aplicaNão se aplica</v>
      </c>
      <c r="T68" s="8">
        <f>VLOOKUP(S68,'TAR FIN COPEL'!$R$2:$S$219,2,0)</f>
        <v>148.44999999999999</v>
      </c>
    </row>
    <row r="69" spans="1:20" ht="11.25" customHeight="1" x14ac:dyDescent="0.25">
      <c r="A69" s="37">
        <v>68</v>
      </c>
      <c r="B69" s="37" t="s">
        <v>533</v>
      </c>
      <c r="C69" s="37" t="s">
        <v>44</v>
      </c>
      <c r="D69" s="37" t="s">
        <v>23</v>
      </c>
      <c r="E69" s="37" t="s">
        <v>45</v>
      </c>
      <c r="F69" s="37" t="s">
        <v>46</v>
      </c>
      <c r="G69" s="37" t="s">
        <v>25</v>
      </c>
      <c r="H69" s="37" t="s">
        <v>25</v>
      </c>
      <c r="I69" s="37" t="s">
        <v>25</v>
      </c>
      <c r="J69" s="37" t="s">
        <v>678</v>
      </c>
      <c r="K69" s="37" t="s">
        <v>679</v>
      </c>
      <c r="L69" s="37" t="s">
        <v>75</v>
      </c>
      <c r="M69" s="37">
        <v>2021</v>
      </c>
      <c r="N69" s="37">
        <v>0</v>
      </c>
      <c r="O69" s="37">
        <f t="shared" si="2"/>
        <v>161.94999999999999</v>
      </c>
      <c r="P69" s="37">
        <v>41.716208732716403</v>
      </c>
      <c r="Q69" s="37">
        <v>244.45</v>
      </c>
      <c r="R69" s="8">
        <v>1</v>
      </c>
      <c r="S69" s="8" t="str">
        <f t="shared" si="3"/>
        <v>TUSDB4ConvencionalIluminação públicaIluminação pública – B4bNão se aplicaNão se aplicaNão se aplica</v>
      </c>
      <c r="T69" s="8">
        <f>VLOOKUP(S69,'TAR FIN COPEL'!$R$2:$S$219,2,0)</f>
        <v>161.94999999999999</v>
      </c>
    </row>
    <row r="70" spans="1:20" ht="11.25" customHeight="1" x14ac:dyDescent="0.25">
      <c r="A70" s="37">
        <v>69</v>
      </c>
      <c r="B70" s="37" t="s">
        <v>561</v>
      </c>
      <c r="C70" s="37" t="s">
        <v>38</v>
      </c>
      <c r="D70" s="37" t="s">
        <v>74</v>
      </c>
      <c r="E70" s="37" t="s">
        <v>25</v>
      </c>
      <c r="F70" s="37" t="s">
        <v>25</v>
      </c>
      <c r="G70" s="37" t="s">
        <v>25</v>
      </c>
      <c r="H70" s="37" t="s">
        <v>25</v>
      </c>
      <c r="I70" s="37" t="s">
        <v>33</v>
      </c>
      <c r="J70" s="37" t="s">
        <v>678</v>
      </c>
      <c r="K70" s="37" t="s">
        <v>679</v>
      </c>
      <c r="L70" s="37" t="s">
        <v>75</v>
      </c>
      <c r="M70" s="37">
        <v>2021</v>
      </c>
      <c r="N70" s="37">
        <v>0</v>
      </c>
      <c r="O70" s="37">
        <f t="shared" si="2"/>
        <v>434.95</v>
      </c>
      <c r="P70" s="37"/>
      <c r="Q70" s="37">
        <v>434.95</v>
      </c>
      <c r="R70" s="8">
        <v>0</v>
      </c>
      <c r="S70" s="8" t="str">
        <f t="shared" si="3"/>
        <v>TEA4Energia horáriaNão se aplicaNão se aplicaNão se aplicaNão se aplicaPonta</v>
      </c>
      <c r="T70" s="8">
        <f>VLOOKUP(S70,'TAR FIN COPEL'!$R$2:$S$219,2,0)</f>
        <v>437.87</v>
      </c>
    </row>
    <row r="71" spans="1:20" ht="11.25" customHeight="1" x14ac:dyDescent="0.25">
      <c r="A71" s="37">
        <v>70</v>
      </c>
      <c r="B71" s="37" t="s">
        <v>561</v>
      </c>
      <c r="C71" s="37" t="s">
        <v>38</v>
      </c>
      <c r="D71" s="37" t="s">
        <v>74</v>
      </c>
      <c r="E71" s="37" t="s">
        <v>25</v>
      </c>
      <c r="F71" s="37" t="s">
        <v>25</v>
      </c>
      <c r="G71" s="37" t="s">
        <v>25</v>
      </c>
      <c r="H71" s="37" t="s">
        <v>25</v>
      </c>
      <c r="I71" s="37" t="s">
        <v>34</v>
      </c>
      <c r="J71" s="37" t="s">
        <v>678</v>
      </c>
      <c r="K71" s="37" t="s">
        <v>679</v>
      </c>
      <c r="L71" s="37" t="s">
        <v>75</v>
      </c>
      <c r="M71" s="37">
        <v>2021</v>
      </c>
      <c r="N71" s="37">
        <v>0</v>
      </c>
      <c r="O71" s="37">
        <f t="shared" si="2"/>
        <v>266.70999999999998</v>
      </c>
      <c r="P71" s="37"/>
      <c r="Q71" s="37">
        <v>266.70999999999998</v>
      </c>
      <c r="R71" s="8">
        <v>0</v>
      </c>
      <c r="S71" s="8" t="str">
        <f t="shared" si="3"/>
        <v>TEA4Energia horáriaNão se aplicaNão se aplicaNão se aplicaNão se aplicaFora ponta</v>
      </c>
      <c r="T71" s="8">
        <f>VLOOKUP(S71,'TAR FIN COPEL'!$R$2:$S$219,2,0)</f>
        <v>275.36</v>
      </c>
    </row>
    <row r="72" spans="1:20" ht="11.25" customHeight="1" x14ac:dyDescent="0.25">
      <c r="A72" s="37">
        <v>71</v>
      </c>
      <c r="B72" s="37" t="s">
        <v>561</v>
      </c>
      <c r="C72" s="37" t="s">
        <v>38</v>
      </c>
      <c r="D72" s="37" t="s">
        <v>78</v>
      </c>
      <c r="E72" s="37" t="s">
        <v>25</v>
      </c>
      <c r="F72" s="37" t="s">
        <v>25</v>
      </c>
      <c r="G72" s="37" t="s">
        <v>25</v>
      </c>
      <c r="H72" s="37" t="s">
        <v>25</v>
      </c>
      <c r="I72" s="37" t="s">
        <v>25</v>
      </c>
      <c r="J72" s="37" t="s">
        <v>678</v>
      </c>
      <c r="K72" s="37" t="s">
        <v>679</v>
      </c>
      <c r="L72" s="37" t="s">
        <v>75</v>
      </c>
      <c r="M72" s="37">
        <v>2021</v>
      </c>
      <c r="N72" s="37">
        <v>0</v>
      </c>
      <c r="O72" s="37">
        <f t="shared" si="2"/>
        <v>280.73</v>
      </c>
      <c r="P72" s="37"/>
      <c r="Q72" s="37">
        <v>280.73</v>
      </c>
      <c r="R72" s="8">
        <v>0</v>
      </c>
      <c r="S72" s="8" t="str">
        <f t="shared" si="3"/>
        <v>TEA4Energia convencionalNão se aplicaNão se aplicaNão se aplicaNão se aplicaNão se aplica</v>
      </c>
      <c r="T72" s="8">
        <f>VLOOKUP(S72,'TAR FIN COPEL'!$R$2:$S$219,2,0)</f>
        <v>288.89999999999998</v>
      </c>
    </row>
    <row r="73" spans="1:20" ht="11.25" customHeight="1" x14ac:dyDescent="0.25">
      <c r="A73" s="37">
        <v>72</v>
      </c>
      <c r="B73" s="37" t="s">
        <v>561</v>
      </c>
      <c r="C73" s="37" t="s">
        <v>22</v>
      </c>
      <c r="D73" s="37" t="s">
        <v>74</v>
      </c>
      <c r="E73" s="37" t="s">
        <v>24</v>
      </c>
      <c r="F73" s="37" t="s">
        <v>24</v>
      </c>
      <c r="G73" s="37" t="s">
        <v>25</v>
      </c>
      <c r="H73" s="37" t="s">
        <v>25</v>
      </c>
      <c r="I73" s="37" t="s">
        <v>33</v>
      </c>
      <c r="J73" s="37" t="s">
        <v>678</v>
      </c>
      <c r="K73" s="37" t="s">
        <v>679</v>
      </c>
      <c r="L73" s="37" t="s">
        <v>75</v>
      </c>
      <c r="M73" s="37">
        <v>2021</v>
      </c>
      <c r="N73" s="37">
        <v>0</v>
      </c>
      <c r="O73" s="37">
        <f t="shared" si="2"/>
        <v>437.87</v>
      </c>
      <c r="P73" s="37"/>
      <c r="Q73" s="37">
        <v>434.95</v>
      </c>
      <c r="R73" s="8">
        <v>1</v>
      </c>
      <c r="S73" s="8" t="str">
        <f t="shared" si="3"/>
        <v>TEB1Energia horáriaResidencialResidencialNão se aplicaNão se aplicaPonta</v>
      </c>
      <c r="T73" s="8">
        <f>VLOOKUP(S73,'TAR FIN COPEL'!$R$2:$S$219,2,0)</f>
        <v>437.87</v>
      </c>
    </row>
    <row r="74" spans="1:20" ht="11.25" customHeight="1" x14ac:dyDescent="0.25">
      <c r="A74" s="37">
        <v>73</v>
      </c>
      <c r="B74" s="37" t="s">
        <v>561</v>
      </c>
      <c r="C74" s="37" t="s">
        <v>22</v>
      </c>
      <c r="D74" s="37" t="s">
        <v>74</v>
      </c>
      <c r="E74" s="37" t="s">
        <v>24</v>
      </c>
      <c r="F74" s="37" t="s">
        <v>24</v>
      </c>
      <c r="G74" s="37" t="s">
        <v>25</v>
      </c>
      <c r="H74" s="37" t="s">
        <v>25</v>
      </c>
      <c r="I74" s="37" t="s">
        <v>35</v>
      </c>
      <c r="J74" s="37" t="s">
        <v>678</v>
      </c>
      <c r="K74" s="37" t="s">
        <v>679</v>
      </c>
      <c r="L74" s="37" t="s">
        <v>75</v>
      </c>
      <c r="M74" s="37">
        <v>2021</v>
      </c>
      <c r="N74" s="37">
        <v>0</v>
      </c>
      <c r="O74" s="37">
        <f t="shared" si="2"/>
        <v>275.36</v>
      </c>
      <c r="P74" s="37"/>
      <c r="Q74" s="37">
        <v>266.70999999999998</v>
      </c>
      <c r="R74" s="8">
        <v>1</v>
      </c>
      <c r="S74" s="8" t="str">
        <f t="shared" si="3"/>
        <v>TEB1Energia horáriaResidencialResidencialNão se aplicaNão se aplicaIntermediário</v>
      </c>
      <c r="T74" s="8">
        <f>VLOOKUP(S74,'TAR FIN COPEL'!$R$2:$S$219,2,0)</f>
        <v>275.36</v>
      </c>
    </row>
    <row r="75" spans="1:20" ht="11.25" customHeight="1" x14ac:dyDescent="0.25">
      <c r="A75" s="37">
        <v>74</v>
      </c>
      <c r="B75" s="37" t="s">
        <v>561</v>
      </c>
      <c r="C75" s="37" t="s">
        <v>22</v>
      </c>
      <c r="D75" s="37" t="s">
        <v>74</v>
      </c>
      <c r="E75" s="37" t="s">
        <v>24</v>
      </c>
      <c r="F75" s="37" t="s">
        <v>24</v>
      </c>
      <c r="G75" s="37" t="s">
        <v>25</v>
      </c>
      <c r="H75" s="37" t="s">
        <v>25</v>
      </c>
      <c r="I75" s="37" t="s">
        <v>34</v>
      </c>
      <c r="J75" s="37" t="s">
        <v>678</v>
      </c>
      <c r="K75" s="37" t="s">
        <v>679</v>
      </c>
      <c r="L75" s="37" t="s">
        <v>75</v>
      </c>
      <c r="M75" s="37">
        <v>2021</v>
      </c>
      <c r="N75" s="37">
        <v>0</v>
      </c>
      <c r="O75" s="37">
        <f t="shared" si="2"/>
        <v>275.36</v>
      </c>
      <c r="P75" s="37"/>
      <c r="Q75" s="37">
        <v>266.70999999999998</v>
      </c>
      <c r="R75" s="8">
        <v>1</v>
      </c>
      <c r="S75" s="8" t="str">
        <f t="shared" si="3"/>
        <v>TEB1Energia horáriaResidencialResidencialNão se aplicaNão se aplicaFora ponta</v>
      </c>
      <c r="T75" s="8">
        <f>VLOOKUP(S75,'TAR FIN COPEL'!$R$2:$S$219,2,0)</f>
        <v>275.36</v>
      </c>
    </row>
    <row r="76" spans="1:20" ht="11.25" customHeight="1" x14ac:dyDescent="0.25">
      <c r="A76" s="37">
        <v>75</v>
      </c>
      <c r="B76" s="37" t="s">
        <v>561</v>
      </c>
      <c r="C76" s="37" t="s">
        <v>22</v>
      </c>
      <c r="D76" s="37" t="s">
        <v>78</v>
      </c>
      <c r="E76" s="37" t="s">
        <v>24</v>
      </c>
      <c r="F76" s="37" t="s">
        <v>24</v>
      </c>
      <c r="G76" s="37" t="s">
        <v>25</v>
      </c>
      <c r="H76" s="37" t="s">
        <v>25</v>
      </c>
      <c r="I76" s="37" t="s">
        <v>25</v>
      </c>
      <c r="J76" s="37" t="s">
        <v>678</v>
      </c>
      <c r="K76" s="37" t="s">
        <v>679</v>
      </c>
      <c r="L76" s="37" t="s">
        <v>75</v>
      </c>
      <c r="M76" s="37">
        <v>2021</v>
      </c>
      <c r="N76" s="37">
        <v>0</v>
      </c>
      <c r="O76" s="37">
        <f t="shared" si="2"/>
        <v>288.89999999999998</v>
      </c>
      <c r="P76" s="37"/>
      <c r="Q76" s="37">
        <v>280.73</v>
      </c>
      <c r="R76" s="8">
        <v>1</v>
      </c>
      <c r="S76" s="8" t="str">
        <f t="shared" si="3"/>
        <v>TEB1Energia convencionalResidencialResidencialNão se aplicaNão se aplicaNão se aplica</v>
      </c>
      <c r="T76" s="8">
        <f>VLOOKUP(S76,'TAR FIN COPEL'!$R$2:$S$219,2,0)</f>
        <v>288.89999999999998</v>
      </c>
    </row>
    <row r="77" spans="1:20" ht="11.25" customHeight="1" x14ac:dyDescent="0.25">
      <c r="A77" s="37">
        <v>76</v>
      </c>
      <c r="B77" s="37" t="s">
        <v>561</v>
      </c>
      <c r="C77" s="37" t="s">
        <v>22</v>
      </c>
      <c r="D77" s="37" t="s">
        <v>78</v>
      </c>
      <c r="E77" s="37" t="s">
        <v>24</v>
      </c>
      <c r="F77" s="37" t="s">
        <v>28</v>
      </c>
      <c r="G77" s="37" t="s">
        <v>25</v>
      </c>
      <c r="H77" s="37" t="s">
        <v>25</v>
      </c>
      <c r="I77" s="37" t="s">
        <v>25</v>
      </c>
      <c r="J77" s="37" t="s">
        <v>678</v>
      </c>
      <c r="K77" s="37" t="s">
        <v>679</v>
      </c>
      <c r="L77" s="37" t="s">
        <v>75</v>
      </c>
      <c r="M77" s="37">
        <v>2021</v>
      </c>
      <c r="N77" s="37">
        <v>0</v>
      </c>
      <c r="O77" s="37">
        <f t="shared" si="2"/>
        <v>101.12</v>
      </c>
      <c r="P77" s="37"/>
      <c r="Q77" s="37">
        <v>98.26</v>
      </c>
      <c r="R77" s="8">
        <v>1</v>
      </c>
      <c r="S77" s="8" t="str">
        <f t="shared" si="3"/>
        <v>TEB1Energia convencionalResidencialResidencial baixa renda – faixa 01Não se aplicaNão se aplicaNão se aplica</v>
      </c>
      <c r="T77" s="8">
        <f>VLOOKUP(S77,'TAR FIN COPEL'!$R$2:$S$219,2,0)</f>
        <v>101.12</v>
      </c>
    </row>
    <row r="78" spans="1:20" ht="11.25" customHeight="1" x14ac:dyDescent="0.25">
      <c r="A78" s="37">
        <v>77</v>
      </c>
      <c r="B78" s="37" t="s">
        <v>561</v>
      </c>
      <c r="C78" s="37" t="s">
        <v>22</v>
      </c>
      <c r="D78" s="37" t="s">
        <v>78</v>
      </c>
      <c r="E78" s="37" t="s">
        <v>24</v>
      </c>
      <c r="F78" s="37" t="s">
        <v>29</v>
      </c>
      <c r="G78" s="37" t="s">
        <v>25</v>
      </c>
      <c r="H78" s="37" t="s">
        <v>25</v>
      </c>
      <c r="I78" s="37" t="s">
        <v>25</v>
      </c>
      <c r="J78" s="37" t="s">
        <v>678</v>
      </c>
      <c r="K78" s="37" t="s">
        <v>679</v>
      </c>
      <c r="L78" s="37" t="s">
        <v>75</v>
      </c>
      <c r="M78" s="37">
        <v>2021</v>
      </c>
      <c r="N78" s="37">
        <v>0</v>
      </c>
      <c r="O78" s="37">
        <f t="shared" si="2"/>
        <v>173.34</v>
      </c>
      <c r="P78" s="37"/>
      <c r="Q78" s="37">
        <v>168.44</v>
      </c>
      <c r="R78" s="8">
        <v>1</v>
      </c>
      <c r="S78" s="8" t="str">
        <f t="shared" si="3"/>
        <v>TEB1Energia convencionalResidencialResidencial baixa renda – faixa 02Não se aplicaNão se aplicaNão se aplica</v>
      </c>
      <c r="T78" s="8">
        <f>VLOOKUP(S78,'TAR FIN COPEL'!$R$2:$S$219,2,0)</f>
        <v>173.34</v>
      </c>
    </row>
    <row r="79" spans="1:20" ht="11.25" customHeight="1" x14ac:dyDescent="0.25">
      <c r="A79" s="37">
        <v>78</v>
      </c>
      <c r="B79" s="37" t="s">
        <v>561</v>
      </c>
      <c r="C79" s="37" t="s">
        <v>22</v>
      </c>
      <c r="D79" s="37" t="s">
        <v>78</v>
      </c>
      <c r="E79" s="37" t="s">
        <v>24</v>
      </c>
      <c r="F79" s="37" t="s">
        <v>30</v>
      </c>
      <c r="G79" s="37" t="s">
        <v>25</v>
      </c>
      <c r="H79" s="37" t="s">
        <v>25</v>
      </c>
      <c r="I79" s="37" t="s">
        <v>25</v>
      </c>
      <c r="J79" s="37" t="s">
        <v>678</v>
      </c>
      <c r="K79" s="37" t="s">
        <v>679</v>
      </c>
      <c r="L79" s="37" t="s">
        <v>75</v>
      </c>
      <c r="M79" s="37">
        <v>2021</v>
      </c>
      <c r="N79" s="37">
        <v>0</v>
      </c>
      <c r="O79" s="37">
        <f t="shared" si="2"/>
        <v>260.01</v>
      </c>
      <c r="P79" s="37"/>
      <c r="Q79" s="37">
        <v>252.66</v>
      </c>
      <c r="R79" s="8">
        <v>1</v>
      </c>
      <c r="S79" s="8" t="str">
        <f t="shared" si="3"/>
        <v>TEB1Energia convencionalResidencialResidencial baixa renda – faixa 03Não se aplicaNão se aplicaNão se aplica</v>
      </c>
      <c r="T79" s="8">
        <f>VLOOKUP(S79,'TAR FIN COPEL'!$R$2:$S$219,2,0)</f>
        <v>260.01</v>
      </c>
    </row>
    <row r="80" spans="1:20" ht="11.25" customHeight="1" x14ac:dyDescent="0.25">
      <c r="A80" s="37">
        <v>79</v>
      </c>
      <c r="B80" s="37" t="s">
        <v>561</v>
      </c>
      <c r="C80" s="37" t="s">
        <v>22</v>
      </c>
      <c r="D80" s="37" t="s">
        <v>78</v>
      </c>
      <c r="E80" s="37" t="s">
        <v>24</v>
      </c>
      <c r="F80" s="37" t="s">
        <v>31</v>
      </c>
      <c r="G80" s="37" t="s">
        <v>25</v>
      </c>
      <c r="H80" s="37" t="s">
        <v>25</v>
      </c>
      <c r="I80" s="37" t="s">
        <v>25</v>
      </c>
      <c r="J80" s="37" t="s">
        <v>678</v>
      </c>
      <c r="K80" s="37" t="s">
        <v>679</v>
      </c>
      <c r="L80" s="37" t="s">
        <v>75</v>
      </c>
      <c r="M80" s="37">
        <v>2021</v>
      </c>
      <c r="N80" s="37">
        <v>0</v>
      </c>
      <c r="O80" s="37">
        <f t="shared" si="2"/>
        <v>288.89999999999998</v>
      </c>
      <c r="P80" s="37"/>
      <c r="Q80" s="37">
        <v>280.73</v>
      </c>
      <c r="R80" s="8">
        <v>1</v>
      </c>
      <c r="S80" s="8" t="str">
        <f t="shared" si="3"/>
        <v>TEB1Energia convencionalResidencialResidencial baixa renda – faixa 04Não se aplicaNão se aplicaNão se aplica</v>
      </c>
      <c r="T80" s="8">
        <f>VLOOKUP(S80,'TAR FIN COPEL'!$R$2:$S$219,2,0)</f>
        <v>288.89999999999998</v>
      </c>
    </row>
    <row r="81" spans="1:20" ht="11.25" customHeight="1" x14ac:dyDescent="0.25">
      <c r="A81" s="37">
        <v>80</v>
      </c>
      <c r="B81" s="37" t="s">
        <v>561</v>
      </c>
      <c r="C81" s="37" t="s">
        <v>22</v>
      </c>
      <c r="D81" s="37" t="s">
        <v>89</v>
      </c>
      <c r="E81" s="37" t="s">
        <v>24</v>
      </c>
      <c r="F81" s="37" t="s">
        <v>24</v>
      </c>
      <c r="G81" s="37" t="s">
        <v>25</v>
      </c>
      <c r="H81" s="37" t="s">
        <v>25</v>
      </c>
      <c r="I81" s="37" t="s">
        <v>25</v>
      </c>
      <c r="J81" s="37" t="s">
        <v>678</v>
      </c>
      <c r="K81" s="37" t="s">
        <v>679</v>
      </c>
      <c r="L81" s="37" t="s">
        <v>75</v>
      </c>
      <c r="M81" s="37">
        <v>2021</v>
      </c>
      <c r="N81" s="37">
        <v>0</v>
      </c>
      <c r="O81" s="37">
        <f t="shared" si="2"/>
        <v>288.89999999999998</v>
      </c>
      <c r="P81" s="37"/>
      <c r="Q81" s="37">
        <v>280.73</v>
      </c>
      <c r="R81" s="8">
        <v>1</v>
      </c>
      <c r="S81" s="8" t="str">
        <f t="shared" si="3"/>
        <v>TEB1Energia convencional pré-pagamentoResidencialResidencialNão se aplicaNão se aplicaNão se aplica</v>
      </c>
      <c r="T81" s="8">
        <f>VLOOKUP(S81,'TAR FIN COPEL'!$R$2:$S$219,2,0)</f>
        <v>288.89999999999998</v>
      </c>
    </row>
    <row r="82" spans="1:20" ht="11.25" customHeight="1" x14ac:dyDescent="0.25">
      <c r="A82" s="37">
        <v>81</v>
      </c>
      <c r="B82" s="37" t="s">
        <v>561</v>
      </c>
      <c r="C82" s="37" t="s">
        <v>22</v>
      </c>
      <c r="D82" s="37" t="s">
        <v>89</v>
      </c>
      <c r="E82" s="37" t="s">
        <v>24</v>
      </c>
      <c r="F82" s="37" t="s">
        <v>28</v>
      </c>
      <c r="G82" s="37" t="s">
        <v>25</v>
      </c>
      <c r="H82" s="37" t="s">
        <v>25</v>
      </c>
      <c r="I82" s="37" t="s">
        <v>25</v>
      </c>
      <c r="J82" s="37" t="s">
        <v>678</v>
      </c>
      <c r="K82" s="37" t="s">
        <v>679</v>
      </c>
      <c r="L82" s="37" t="s">
        <v>75</v>
      </c>
      <c r="M82" s="37">
        <v>2021</v>
      </c>
      <c r="N82" s="37">
        <v>0</v>
      </c>
      <c r="O82" s="37">
        <f t="shared" si="2"/>
        <v>101.12</v>
      </c>
      <c r="P82" s="37"/>
      <c r="Q82" s="37">
        <v>98.26</v>
      </c>
      <c r="R82" s="8">
        <v>1</v>
      </c>
      <c r="S82" s="8" t="str">
        <f t="shared" si="3"/>
        <v>TEB1Energia convencional pré-pagamentoResidencialResidencial baixa renda – faixa 01Não se aplicaNão se aplicaNão se aplica</v>
      </c>
      <c r="T82" s="8">
        <f>VLOOKUP(S82,'TAR FIN COPEL'!$R$2:$S$219,2,0)</f>
        <v>101.12</v>
      </c>
    </row>
    <row r="83" spans="1:20" ht="11.25" customHeight="1" x14ac:dyDescent="0.25">
      <c r="A83" s="37">
        <v>82</v>
      </c>
      <c r="B83" s="37" t="s">
        <v>561</v>
      </c>
      <c r="C83" s="37" t="s">
        <v>22</v>
      </c>
      <c r="D83" s="37" t="s">
        <v>89</v>
      </c>
      <c r="E83" s="37" t="s">
        <v>24</v>
      </c>
      <c r="F83" s="37" t="s">
        <v>29</v>
      </c>
      <c r="G83" s="37" t="s">
        <v>25</v>
      </c>
      <c r="H83" s="37" t="s">
        <v>25</v>
      </c>
      <c r="I83" s="37" t="s">
        <v>25</v>
      </c>
      <c r="J83" s="37" t="s">
        <v>678</v>
      </c>
      <c r="K83" s="37" t="s">
        <v>679</v>
      </c>
      <c r="L83" s="37" t="s">
        <v>75</v>
      </c>
      <c r="M83" s="37">
        <v>2021</v>
      </c>
      <c r="N83" s="37">
        <v>0</v>
      </c>
      <c r="O83" s="37">
        <f t="shared" si="2"/>
        <v>173.34</v>
      </c>
      <c r="P83" s="37"/>
      <c r="Q83" s="37">
        <v>168.44</v>
      </c>
      <c r="R83" s="8">
        <v>1</v>
      </c>
      <c r="S83" s="8" t="str">
        <f t="shared" si="3"/>
        <v>TEB1Energia convencional pré-pagamentoResidencialResidencial baixa renda – faixa 02Não se aplicaNão se aplicaNão se aplica</v>
      </c>
      <c r="T83" s="8">
        <f>VLOOKUP(S83,'TAR FIN COPEL'!$R$2:$S$219,2,0)</f>
        <v>173.34</v>
      </c>
    </row>
    <row r="84" spans="1:20" ht="11.25" customHeight="1" x14ac:dyDescent="0.25">
      <c r="A84" s="37">
        <v>83</v>
      </c>
      <c r="B84" s="37" t="s">
        <v>561</v>
      </c>
      <c r="C84" s="37" t="s">
        <v>22</v>
      </c>
      <c r="D84" s="37" t="s">
        <v>89</v>
      </c>
      <c r="E84" s="37" t="s">
        <v>24</v>
      </c>
      <c r="F84" s="37" t="s">
        <v>30</v>
      </c>
      <c r="G84" s="37" t="s">
        <v>25</v>
      </c>
      <c r="H84" s="37" t="s">
        <v>25</v>
      </c>
      <c r="I84" s="37" t="s">
        <v>25</v>
      </c>
      <c r="J84" s="37" t="s">
        <v>678</v>
      </c>
      <c r="K84" s="37" t="s">
        <v>679</v>
      </c>
      <c r="L84" s="37" t="s">
        <v>75</v>
      </c>
      <c r="M84" s="37">
        <v>2021</v>
      </c>
      <c r="N84" s="37">
        <v>0</v>
      </c>
      <c r="O84" s="37">
        <f t="shared" si="2"/>
        <v>260.01</v>
      </c>
      <c r="P84" s="37"/>
      <c r="Q84" s="37">
        <v>252.66</v>
      </c>
      <c r="R84" s="8">
        <v>1</v>
      </c>
      <c r="S84" s="8" t="str">
        <f t="shared" si="3"/>
        <v>TEB1Energia convencional pré-pagamentoResidencialResidencial baixa renda – faixa 03Não se aplicaNão se aplicaNão se aplica</v>
      </c>
      <c r="T84" s="8">
        <f>VLOOKUP(S84,'TAR FIN COPEL'!$R$2:$S$219,2,0)</f>
        <v>260.01</v>
      </c>
    </row>
    <row r="85" spans="1:20" ht="11.25" customHeight="1" x14ac:dyDescent="0.25">
      <c r="A85" s="37">
        <v>84</v>
      </c>
      <c r="B85" s="37" t="s">
        <v>561</v>
      </c>
      <c r="C85" s="37" t="s">
        <v>22</v>
      </c>
      <c r="D85" s="37" t="s">
        <v>89</v>
      </c>
      <c r="E85" s="37" t="s">
        <v>24</v>
      </c>
      <c r="F85" s="37" t="s">
        <v>31</v>
      </c>
      <c r="G85" s="37" t="s">
        <v>25</v>
      </c>
      <c r="H85" s="37" t="s">
        <v>25</v>
      </c>
      <c r="I85" s="37" t="s">
        <v>25</v>
      </c>
      <c r="J85" s="37" t="s">
        <v>678</v>
      </c>
      <c r="K85" s="37" t="s">
        <v>679</v>
      </c>
      <c r="L85" s="37" t="s">
        <v>75</v>
      </c>
      <c r="M85" s="37">
        <v>2021</v>
      </c>
      <c r="N85" s="37">
        <v>0</v>
      </c>
      <c r="O85" s="37">
        <f t="shared" si="2"/>
        <v>288.89999999999998</v>
      </c>
      <c r="P85" s="37"/>
      <c r="Q85" s="37">
        <v>280.73</v>
      </c>
      <c r="R85" s="8">
        <v>1</v>
      </c>
      <c r="S85" s="8" t="str">
        <f t="shared" si="3"/>
        <v>TEB1Energia convencional pré-pagamentoResidencialResidencial baixa renda – faixa 04Não se aplicaNão se aplicaNão se aplica</v>
      </c>
      <c r="T85" s="8">
        <f>VLOOKUP(S85,'TAR FIN COPEL'!$R$2:$S$219,2,0)</f>
        <v>288.89999999999998</v>
      </c>
    </row>
    <row r="86" spans="1:20" ht="11.25" customHeight="1" x14ac:dyDescent="0.25">
      <c r="A86" s="37">
        <v>85</v>
      </c>
      <c r="B86" s="37" t="s">
        <v>561</v>
      </c>
      <c r="C86" s="37" t="s">
        <v>41</v>
      </c>
      <c r="D86" s="37" t="s">
        <v>74</v>
      </c>
      <c r="E86" s="37" t="s">
        <v>42</v>
      </c>
      <c r="F86" s="37" t="s">
        <v>25</v>
      </c>
      <c r="G86" s="37" t="s">
        <v>25</v>
      </c>
      <c r="H86" s="37" t="s">
        <v>25</v>
      </c>
      <c r="I86" s="37" t="s">
        <v>33</v>
      </c>
      <c r="J86" s="37" t="s">
        <v>678</v>
      </c>
      <c r="K86" s="37" t="s">
        <v>679</v>
      </c>
      <c r="L86" s="37" t="s">
        <v>75</v>
      </c>
      <c r="M86" s="37">
        <v>2021</v>
      </c>
      <c r="N86" s="37">
        <v>0</v>
      </c>
      <c r="O86" s="37">
        <f t="shared" si="2"/>
        <v>385.33</v>
      </c>
      <c r="P86" s="37"/>
      <c r="Q86" s="37">
        <v>382.76</v>
      </c>
      <c r="R86" s="8">
        <v>1</v>
      </c>
      <c r="S86" s="8" t="str">
        <f t="shared" si="3"/>
        <v>TEB2Energia horáriaRuralNão se aplicaNão se aplicaNão se aplicaPonta</v>
      </c>
      <c r="T86" s="8">
        <f>VLOOKUP(S86,'TAR FIN COPEL'!$R$2:$S$219,2,0)</f>
        <v>385.33</v>
      </c>
    </row>
    <row r="87" spans="1:20" ht="11.25" customHeight="1" x14ac:dyDescent="0.25">
      <c r="A87" s="37">
        <v>86</v>
      </c>
      <c r="B87" s="37" t="s">
        <v>561</v>
      </c>
      <c r="C87" s="37" t="s">
        <v>41</v>
      </c>
      <c r="D87" s="37" t="s">
        <v>74</v>
      </c>
      <c r="E87" s="37" t="s">
        <v>42</v>
      </c>
      <c r="F87" s="37" t="s">
        <v>25</v>
      </c>
      <c r="G87" s="37" t="s">
        <v>25</v>
      </c>
      <c r="H87" s="37" t="s">
        <v>25</v>
      </c>
      <c r="I87" s="37" t="s">
        <v>35</v>
      </c>
      <c r="J87" s="37" t="s">
        <v>678</v>
      </c>
      <c r="K87" s="37" t="s">
        <v>679</v>
      </c>
      <c r="L87" s="37" t="s">
        <v>75</v>
      </c>
      <c r="M87" s="37">
        <v>2021</v>
      </c>
      <c r="N87" s="37">
        <v>0</v>
      </c>
      <c r="O87" s="37">
        <f t="shared" si="2"/>
        <v>242.31</v>
      </c>
      <c r="P87" s="37"/>
      <c r="Q87" s="37">
        <v>234.71</v>
      </c>
      <c r="R87" s="8">
        <v>1</v>
      </c>
      <c r="S87" s="8" t="str">
        <f t="shared" si="3"/>
        <v>TEB2Energia horáriaRuralNão se aplicaNão se aplicaNão se aplicaIntermediário</v>
      </c>
      <c r="T87" s="8">
        <f>VLOOKUP(S87,'TAR FIN COPEL'!$R$2:$S$219,2,0)</f>
        <v>242.31</v>
      </c>
    </row>
    <row r="88" spans="1:20" ht="11.25" customHeight="1" x14ac:dyDescent="0.25">
      <c r="A88" s="37">
        <v>87</v>
      </c>
      <c r="B88" s="37" t="s">
        <v>561</v>
      </c>
      <c r="C88" s="37" t="s">
        <v>41</v>
      </c>
      <c r="D88" s="37" t="s">
        <v>74</v>
      </c>
      <c r="E88" s="37" t="s">
        <v>42</v>
      </c>
      <c r="F88" s="37" t="s">
        <v>25</v>
      </c>
      <c r="G88" s="37" t="s">
        <v>25</v>
      </c>
      <c r="H88" s="37" t="s">
        <v>25</v>
      </c>
      <c r="I88" s="37" t="s">
        <v>34</v>
      </c>
      <c r="J88" s="37" t="s">
        <v>678</v>
      </c>
      <c r="K88" s="37" t="s">
        <v>679</v>
      </c>
      <c r="L88" s="37" t="s">
        <v>75</v>
      </c>
      <c r="M88" s="37">
        <v>2021</v>
      </c>
      <c r="N88" s="37">
        <v>0</v>
      </c>
      <c r="O88" s="37">
        <f t="shared" si="2"/>
        <v>242.31</v>
      </c>
      <c r="P88" s="37"/>
      <c r="Q88" s="37">
        <v>234.71</v>
      </c>
      <c r="R88" s="8">
        <v>1</v>
      </c>
      <c r="S88" s="8" t="str">
        <f t="shared" si="3"/>
        <v>TEB2Energia horáriaRuralNão se aplicaNão se aplicaNão se aplicaFora ponta</v>
      </c>
      <c r="T88" s="8">
        <f>VLOOKUP(S88,'TAR FIN COPEL'!$R$2:$S$219,2,0)</f>
        <v>242.31</v>
      </c>
    </row>
  </sheetData>
  <autoFilter ref="A1:AX88" xr:uid="{6007CD9F-A7D1-4230-805A-A75389AB4BD9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C268-A6C3-48DC-B77A-6B8F061DBD1D}">
  <dimension ref="A1:AD49"/>
  <sheetViews>
    <sheetView showGridLines="0" workbookViewId="0">
      <selection sqref="A1:W4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65</v>
      </c>
      <c r="B1" s="10" t="s">
        <v>66</v>
      </c>
      <c r="C1" s="10" t="s">
        <v>67</v>
      </c>
      <c r="D1" s="10" t="s">
        <v>68</v>
      </c>
      <c r="E1" s="10" t="s">
        <v>69</v>
      </c>
      <c r="F1" s="10" t="s">
        <v>70</v>
      </c>
      <c r="G1" s="10" t="s">
        <v>71</v>
      </c>
      <c r="H1" s="10" t="s">
        <v>72</v>
      </c>
      <c r="I1" s="11">
        <v>44409</v>
      </c>
      <c r="J1" s="11">
        <v>44440</v>
      </c>
      <c r="K1" s="11">
        <v>44470</v>
      </c>
      <c r="L1" s="11">
        <v>44501</v>
      </c>
      <c r="M1" s="11">
        <v>44531</v>
      </c>
      <c r="N1" s="11">
        <v>44562</v>
      </c>
      <c r="O1" s="11">
        <v>44593</v>
      </c>
      <c r="P1" s="11">
        <v>44621</v>
      </c>
      <c r="Q1" s="11">
        <v>44652</v>
      </c>
      <c r="R1" s="11">
        <v>44682</v>
      </c>
      <c r="S1" s="11">
        <v>44713</v>
      </c>
      <c r="T1" s="11">
        <v>44743</v>
      </c>
      <c r="U1" s="10" t="s">
        <v>73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23" t="s">
        <v>38</v>
      </c>
      <c r="B2" s="123" t="s">
        <v>56</v>
      </c>
      <c r="C2" s="123" t="s">
        <v>25</v>
      </c>
      <c r="D2" s="123" t="s">
        <v>25</v>
      </c>
      <c r="E2" s="123" t="s">
        <v>25</v>
      </c>
      <c r="F2" s="123" t="s">
        <v>25</v>
      </c>
      <c r="G2" s="13" t="s">
        <v>81</v>
      </c>
      <c r="H2" s="13" t="s">
        <v>80</v>
      </c>
      <c r="I2" s="13">
        <f>SUMIF(Mercado_Receita!$S$2:$S$475,"44409A4AzulNão se aplicaNão se aplicaNão se aplicaNão se aplicaPonta",Mercado_Receita!$J$2:$J$475)+SUMIF(Mercado_Receita!$S$2:$S$475,"44409A4AzulNão se aplicaNão se aplicaAPENão se aplicaPonta",Mercado_Receita!$J$2:$J$475)</f>
        <v>3350</v>
      </c>
      <c r="J2" s="13">
        <f>SUMIF(Mercado_Receita!$S$2:$S$475,"44440A4AzulNão se aplicaNão se aplicaNão se aplicaNão se aplicaPonta",Mercado_Receita!$J$2:$J$475)+SUMIF(Mercado_Receita!$S$2:$S$475,"44440A4AzulNão se aplicaNão se aplicaAPENão se aplicaPonta",Mercado_Receita!$J$2:$J$475)</f>
        <v>3350</v>
      </c>
      <c r="K2" s="13">
        <f>SUMIF(Mercado_Receita!$S$2:$S$475,"44470A4AzulNão se aplicaNão se aplicaNão se aplicaNão se aplicaPonta",Mercado_Receita!$J$2:$J$475)+SUMIF(Mercado_Receita!$S$2:$S$475,"44470A4AzulNão se aplicaNão se aplicaAPENão se aplicaPonta",Mercado_Receita!$J$2:$J$475)</f>
        <v>3350</v>
      </c>
      <c r="L2" s="13">
        <f>SUMIF(Mercado_Receita!$S$2:$S$475,"44501A4AzulNão se aplicaNão se aplicaNão se aplicaNão se aplicaPonta",Mercado_Receita!$J$2:$J$475)+SUMIF(Mercado_Receita!$S$2:$S$475,"44501A4AzulNão se aplicaNão se aplicaAPENão se aplicaPonta",Mercado_Receita!$J$2:$J$475)</f>
        <v>3350</v>
      </c>
      <c r="M2" s="13">
        <f>SUMIF(Mercado_Receita!$S$2:$S$475,"44531A4AzulNão se aplicaNão se aplicaNão se aplicaNão se aplicaPonta",Mercado_Receita!$J$2:$J$475)+SUMIF(Mercado_Receita!$S$2:$S$475,"44531A4AzulNão se aplicaNão se aplicaAPENão se aplicaPonta",Mercado_Receita!$J$2:$J$475)</f>
        <v>3350</v>
      </c>
      <c r="N2" s="13">
        <f>SUMIF(Mercado_Receita!$S$2:$S$475,"44562A4AzulNão se aplicaNão se aplicaNão se aplicaNão se aplicaPonta",Mercado_Receita!$J$2:$J$475)+SUMIF(Mercado_Receita!$S$2:$S$475,"44562A4AzulNão se aplicaNão se aplicaAPENão se aplicaPonta",Mercado_Receita!$J$2:$J$475)</f>
        <v>3364</v>
      </c>
      <c r="O2" s="13">
        <f>SUMIF(Mercado_Receita!$S$2:$S$475,"44593A4AzulNão se aplicaNão se aplicaNão se aplicaNão se aplicaPonta",Mercado_Receita!$J$2:$J$475)+SUMIF(Mercado_Receita!$S$2:$S$475,"44593A4AzulNão se aplicaNão se aplicaAPENão se aplicaPonta",Mercado_Receita!$J$2:$J$475)</f>
        <v>3350</v>
      </c>
      <c r="P2" s="13">
        <f>SUMIF(Mercado_Receita!$S$2:$S$475,"44621A4AzulNão se aplicaNão se aplicaNão se aplicaNão se aplicaPonta",Mercado_Receita!$J$2:$J$475)+SUMIF(Mercado_Receita!$S$2:$S$475,"44621A4AzulNão se aplicaNão se aplicaAPENão se aplicaPonta",Mercado_Receita!$J$2:$J$475)</f>
        <v>3350</v>
      </c>
      <c r="Q2" s="13">
        <f>SUMIF(Mercado_Receita!$S$2:$S$475,"44652A4AzulNão se aplicaNão se aplicaNão se aplicaNão se aplicaPonta",Mercado_Receita!$J$2:$J$475)+SUMIF(Mercado_Receita!$S$2:$S$475,"44652A4AzulNão se aplicaNão se aplicaAPENão se aplicaPonta",Mercado_Receita!$J$2:$J$475)</f>
        <v>3398</v>
      </c>
      <c r="R2" s="13">
        <f>SUMIF(Mercado_Receita!$S$2:$S$475,"44682A4AzulNão se aplicaNão se aplicaNão se aplicaNão se aplicaPonta",Mercado_Receita!$J$2:$J$475)+SUMIF(Mercado_Receita!$S$2:$S$475,"44682A4AzulNão se aplicaNão se aplicaAPENão se aplicaPonta",Mercado_Receita!$J$2:$J$475)</f>
        <v>3237</v>
      </c>
      <c r="S2" s="13">
        <f>SUMIF(Mercado_Receita!$S$2:$S$475,"44713A4AzulNão se aplicaNão se aplicaNão se aplicaNão se aplicaPonta",Mercado_Receita!$J$2:$J$475)+SUMIF(Mercado_Receita!$S$2:$S$475,"44713A4AzulNão se aplicaNão se aplicaAPENão se aplicaPonta",Mercado_Receita!$J$2:$J$475)</f>
        <v>3283</v>
      </c>
      <c r="T2" s="13">
        <f>SUMIF(Mercado_Receita!$S$2:$S$475,"44743A4AzulNão se aplicaNão se aplicaNão se aplicaNão se aplicaPonta",Mercado_Receita!$J$2:$J$475)+SUMIF(Mercado_Receita!$S$2:$S$475,"44743A4AzulNão se aplicaNão se aplicaAPENão se aplicaPonta",Mercado_Receita!$J$2:$J$475)</f>
        <v>3283</v>
      </c>
      <c r="U2" s="13">
        <f t="shared" ref="U2:U48" si="0">SUM(I2:T2)</f>
        <v>40015</v>
      </c>
      <c r="V2" s="13"/>
      <c r="W2" s="13"/>
    </row>
    <row r="3" spans="1:30" ht="11.25" customHeight="1" x14ac:dyDescent="0.25">
      <c r="A3" s="124"/>
      <c r="B3" s="124"/>
      <c r="C3" s="124"/>
      <c r="D3" s="124"/>
      <c r="E3" s="124"/>
      <c r="F3" s="124"/>
      <c r="G3" s="13" t="s">
        <v>82</v>
      </c>
      <c r="H3" s="13" t="s">
        <v>80</v>
      </c>
      <c r="I3" s="13">
        <f>SUMIF(Mercado_Receita!$S$2:$S$475,"44409A4AzulNão se aplicaNão se aplicaNão se aplicaNão se aplicaFora ponta",Mercado_Receita!$J$2:$J$475)+SUMIF(Mercado_Receita!$S$2:$S$475,"44409A4AzulNão se aplicaNão se aplicaAPENão se aplicaFora ponta",Mercado_Receita!$J$2:$J$475)</f>
        <v>7152</v>
      </c>
      <c r="J3" s="13">
        <f>SUMIF(Mercado_Receita!$S$2:$S$475,"44440A4AzulNão se aplicaNão se aplicaNão se aplicaNão se aplicaFora ponta",Mercado_Receita!$J$2:$J$475)+SUMIF(Mercado_Receita!$S$2:$S$475,"44440A4AzulNão se aplicaNão se aplicaAPENão se aplicaFora ponta",Mercado_Receita!$J$2:$J$475)</f>
        <v>7212</v>
      </c>
      <c r="K3" s="13">
        <f>SUMIF(Mercado_Receita!$S$2:$S$475,"44470A4AzulNão se aplicaNão se aplicaNão se aplicaNão se aplicaFora ponta",Mercado_Receita!$J$2:$J$475)+SUMIF(Mercado_Receita!$S$2:$S$475,"44470A4AzulNão se aplicaNão se aplicaAPENão se aplicaFora ponta",Mercado_Receita!$J$2:$J$475)</f>
        <v>7403</v>
      </c>
      <c r="L3" s="13">
        <f>SUMIF(Mercado_Receita!$S$2:$S$475,"44501A4AzulNão se aplicaNão se aplicaNão se aplicaNão se aplicaFora ponta",Mercado_Receita!$J$2:$J$475)+SUMIF(Mercado_Receita!$S$2:$S$475,"44501A4AzulNão se aplicaNão se aplicaAPENão se aplicaFora ponta",Mercado_Receita!$J$2:$J$475)</f>
        <v>7236</v>
      </c>
      <c r="M3" s="13">
        <f>SUMIF(Mercado_Receita!$S$2:$S$475,"44531A4AzulNão se aplicaNão se aplicaNão se aplicaNão se aplicaFora ponta",Mercado_Receita!$J$2:$J$475)+SUMIF(Mercado_Receita!$S$2:$S$475,"44531A4AzulNão se aplicaNão se aplicaAPENão se aplicaFora ponta",Mercado_Receita!$J$2:$J$475)</f>
        <v>7075</v>
      </c>
      <c r="N3" s="13">
        <f>SUMIF(Mercado_Receita!$S$2:$S$475,"44562A4AzulNão se aplicaNão se aplicaNão se aplicaNão se aplicaFora ponta",Mercado_Receita!$J$2:$J$475)+SUMIF(Mercado_Receita!$S$2:$S$475,"44562A4AzulNão se aplicaNão se aplicaAPENão se aplicaFora ponta",Mercado_Receita!$J$2:$J$475)</f>
        <v>7194</v>
      </c>
      <c r="O3" s="13">
        <f>SUMIF(Mercado_Receita!$S$2:$S$475,"44593A4AzulNão se aplicaNão se aplicaNão se aplicaNão se aplicaFora ponta",Mercado_Receita!$J$2:$J$475)+SUMIF(Mercado_Receita!$S$2:$S$475,"44593A4AzulNão se aplicaNão se aplicaAPENão se aplicaFora ponta",Mercado_Receita!$J$2:$J$475)</f>
        <v>7408</v>
      </c>
      <c r="P3" s="13">
        <f>SUMIF(Mercado_Receita!$S$2:$S$475,"44621A4AzulNão se aplicaNão se aplicaNão se aplicaNão se aplicaFora ponta",Mercado_Receita!$J$2:$J$475)+SUMIF(Mercado_Receita!$S$2:$S$475,"44621A4AzulNão se aplicaNão se aplicaAPENão se aplicaFora ponta",Mercado_Receita!$J$2:$J$475)</f>
        <v>7588</v>
      </c>
      <c r="Q3" s="13">
        <f>SUMIF(Mercado_Receita!$S$2:$S$475,"44652A4AzulNão se aplicaNão se aplicaNão se aplicaNão se aplicaFora ponta",Mercado_Receita!$J$2:$J$475)+SUMIF(Mercado_Receita!$S$2:$S$475,"44652A4AzulNão se aplicaNão se aplicaAPENão se aplicaFora ponta",Mercado_Receita!$J$2:$J$475)</f>
        <v>7439</v>
      </c>
      <c r="R3" s="13">
        <f>SUMIF(Mercado_Receita!$S$2:$S$475,"44682A4AzulNão se aplicaNão se aplicaNão se aplicaNão se aplicaFora ponta",Mercado_Receita!$J$2:$J$475)+SUMIF(Mercado_Receita!$S$2:$S$475,"44682A4AzulNão se aplicaNão se aplicaAPENão se aplicaFora ponta",Mercado_Receita!$J$2:$J$475)</f>
        <v>7134</v>
      </c>
      <c r="S3" s="13">
        <f>SUMIF(Mercado_Receita!$S$2:$S$475,"44713A4AzulNão se aplicaNão se aplicaNão se aplicaNão se aplicaFora ponta",Mercado_Receita!$J$2:$J$475)+SUMIF(Mercado_Receita!$S$2:$S$475,"44713A4AzulNão se aplicaNão se aplicaAPENão se aplicaFora ponta",Mercado_Receita!$J$2:$J$475)</f>
        <v>7229</v>
      </c>
      <c r="T3" s="13">
        <f>SUMIF(Mercado_Receita!$S$2:$S$475,"44743A4AzulNão se aplicaNão se aplicaNão se aplicaNão se aplicaFora ponta",Mercado_Receita!$J$2:$J$475)+SUMIF(Mercado_Receita!$S$2:$S$475,"44743A4AzulNão se aplicaNão se aplicaAPENão se aplicaFora ponta",Mercado_Receita!$J$2:$J$475)</f>
        <v>7229</v>
      </c>
      <c r="U3" s="13">
        <f t="shared" si="0"/>
        <v>87299</v>
      </c>
      <c r="V3" s="13"/>
      <c r="W3" s="13"/>
    </row>
    <row r="4" spans="1:30" ht="11.25" customHeight="1" x14ac:dyDescent="0.25">
      <c r="A4" s="124"/>
      <c r="B4" s="124"/>
      <c r="C4" s="124"/>
      <c r="D4" s="124"/>
      <c r="E4" s="124"/>
      <c r="F4" s="124"/>
      <c r="G4" s="13" t="s">
        <v>79</v>
      </c>
      <c r="H4" s="13" t="s">
        <v>75</v>
      </c>
      <c r="I4" s="13">
        <f>SUMIF(Mercado_Receita!$S$2:$S$475,"44409A4AzulNão se aplicaNão se aplicaNão se aplicaNão se aplicaPonta",Mercado_Receita!$L$2:$L$475)+SUMIF(Mercado_Receita!$S$2:$S$475,"44409A4AzulNão se aplicaNão se aplicaNão se aplicaNão se aplicaFora ponta",Mercado_Receita!$L$2:$L$475)+SUMIF(Mercado_Receita!$S$2:$S$475,"44409A4AzulNão se aplicaNão se aplicaNão se aplicaNão se aplicaIntermediário",Mercado_Receita!$L$2:$L$475)+SUMIF(Mercado_Receita!$S$2:$S$475,"44409A4AzulNão se aplicaNão se aplicaNão se aplicaNão se aplicaNão se aplica",Mercado_Receita!$L$2:$L$475)</f>
        <v>3408.886</v>
      </c>
      <c r="J4" s="13">
        <f>SUMIF(Mercado_Receita!$S$2:$S$475,"44440A4AzulNão se aplicaNão se aplicaNão se aplicaNão se aplicaPonta",Mercado_Receita!$L$2:$L$475)+SUMIF(Mercado_Receita!$S$2:$S$475,"44440A4AzulNão se aplicaNão se aplicaNão se aplicaNão se aplicaFora ponta",Mercado_Receita!$L$2:$L$475)+SUMIF(Mercado_Receita!$S$2:$S$475,"44440A4AzulNão se aplicaNão se aplicaNão se aplicaNão se aplicaIntermediário",Mercado_Receita!$L$2:$L$475)+SUMIF(Mercado_Receita!$S$2:$S$475,"44440A4AzulNão se aplicaNão se aplicaNão se aplicaNão se aplicaNão se aplica",Mercado_Receita!$L$2:$L$475)</f>
        <v>3332.1570000000002</v>
      </c>
      <c r="K4" s="13">
        <f>SUMIF(Mercado_Receita!$S$2:$S$475,"44470A4AzulNão se aplicaNão se aplicaNão se aplicaNão se aplicaPonta",Mercado_Receita!$L$2:$L$475)+SUMIF(Mercado_Receita!$S$2:$S$475,"44470A4AzulNão se aplicaNão se aplicaNão se aplicaNão se aplicaFora ponta",Mercado_Receita!$L$2:$L$475)+SUMIF(Mercado_Receita!$S$2:$S$475,"44470A4AzulNão se aplicaNão se aplicaNão se aplicaNão se aplicaIntermediário",Mercado_Receita!$L$2:$L$475)+SUMIF(Mercado_Receita!$S$2:$S$475,"44470A4AzulNão se aplicaNão se aplicaNão se aplicaNão se aplicaNão se aplica",Mercado_Receita!$L$2:$L$475)</f>
        <v>3444.0309999999999</v>
      </c>
      <c r="L4" s="13">
        <f>SUMIF(Mercado_Receita!$S$2:$S$475,"44501A4AzulNão se aplicaNão se aplicaNão se aplicaNão se aplicaPonta",Mercado_Receita!$L$2:$L$475)+SUMIF(Mercado_Receita!$S$2:$S$475,"44501A4AzulNão se aplicaNão se aplicaNão se aplicaNão se aplicaFora ponta",Mercado_Receita!$L$2:$L$475)+SUMIF(Mercado_Receita!$S$2:$S$475,"44501A4AzulNão se aplicaNão se aplicaNão se aplicaNão se aplicaIntermediário",Mercado_Receita!$L$2:$L$475)+SUMIF(Mercado_Receita!$S$2:$S$475,"44501A4AzulNão se aplicaNão se aplicaNão se aplicaNão se aplicaNão se aplica",Mercado_Receita!$L$2:$L$475)</f>
        <v>3415.11</v>
      </c>
      <c r="M4" s="13">
        <f>SUMIF(Mercado_Receita!$S$2:$S$475,"44531A4AzulNão se aplicaNão se aplicaNão se aplicaNão se aplicaPonta",Mercado_Receita!$L$2:$L$475)+SUMIF(Mercado_Receita!$S$2:$S$475,"44531A4AzulNão se aplicaNão se aplicaNão se aplicaNão se aplicaFora ponta",Mercado_Receita!$L$2:$L$475)+SUMIF(Mercado_Receita!$S$2:$S$475,"44531A4AzulNão se aplicaNão se aplicaNão se aplicaNão se aplicaIntermediário",Mercado_Receita!$L$2:$L$475)+SUMIF(Mercado_Receita!$S$2:$S$475,"44531A4AzulNão se aplicaNão se aplicaNão se aplicaNão se aplicaNão se aplica",Mercado_Receita!$L$2:$L$475)</f>
        <v>3030.1959999999999</v>
      </c>
      <c r="N4" s="13">
        <f>SUMIF(Mercado_Receita!$S$2:$S$475,"44562A4AzulNão se aplicaNão se aplicaNão se aplicaNão se aplicaPonta",Mercado_Receita!$L$2:$L$475)+SUMIF(Mercado_Receita!$S$2:$S$475,"44562A4AzulNão se aplicaNão se aplicaNão se aplicaNão se aplicaFora ponta",Mercado_Receita!$L$2:$L$475)+SUMIF(Mercado_Receita!$S$2:$S$475,"44562A4AzulNão se aplicaNão se aplicaNão se aplicaNão se aplicaIntermediário",Mercado_Receita!$L$2:$L$475)+SUMIF(Mercado_Receita!$S$2:$S$475,"44562A4AzulNão se aplicaNão se aplicaNão se aplicaNão se aplicaNão se aplica",Mercado_Receita!$L$2:$L$475)</f>
        <v>3510.837</v>
      </c>
      <c r="O4" s="13">
        <f>SUMIF(Mercado_Receita!$S$2:$S$475,"44593A4AzulNão se aplicaNão se aplicaNão se aplicaNão se aplicaPonta",Mercado_Receita!$L$2:$L$475)+SUMIF(Mercado_Receita!$S$2:$S$475,"44593A4AzulNão se aplicaNão se aplicaNão se aplicaNão se aplicaFora ponta",Mercado_Receita!$L$2:$L$475)+SUMIF(Mercado_Receita!$S$2:$S$475,"44593A4AzulNão se aplicaNão se aplicaNão se aplicaNão se aplicaIntermediário",Mercado_Receita!$L$2:$L$475)+SUMIF(Mercado_Receita!$S$2:$S$475,"44593A4AzulNão se aplicaNão se aplicaNão se aplicaNão se aplicaNão se aplica",Mercado_Receita!$L$2:$L$475)</f>
        <v>3237.096</v>
      </c>
      <c r="P4" s="13">
        <f>SUMIF(Mercado_Receita!$S$2:$S$475,"44621A4AzulNão se aplicaNão se aplicaNão se aplicaNão se aplicaPonta",Mercado_Receita!$L$2:$L$475)+SUMIF(Mercado_Receita!$S$2:$S$475,"44621A4AzulNão se aplicaNão se aplicaNão se aplicaNão se aplicaFora ponta",Mercado_Receita!$L$2:$L$475)+SUMIF(Mercado_Receita!$S$2:$S$475,"44621A4AzulNão se aplicaNão se aplicaNão se aplicaNão se aplicaIntermediário",Mercado_Receita!$L$2:$L$475)+SUMIF(Mercado_Receita!$S$2:$S$475,"44621A4AzulNão se aplicaNão se aplicaNão se aplicaNão se aplicaNão se aplica",Mercado_Receita!$L$2:$L$475)</f>
        <v>3688.7570000000001</v>
      </c>
      <c r="Q4" s="13">
        <f>SUMIF(Mercado_Receita!$S$2:$S$475,"44652A4AzulNão se aplicaNão se aplicaNão se aplicaNão se aplicaPonta",Mercado_Receita!$L$2:$L$475)+SUMIF(Mercado_Receita!$S$2:$S$475,"44652A4AzulNão se aplicaNão se aplicaNão se aplicaNão se aplicaFora ponta",Mercado_Receita!$L$2:$L$475)+SUMIF(Mercado_Receita!$S$2:$S$475,"44652A4AzulNão se aplicaNão se aplicaNão se aplicaNão se aplicaIntermediário",Mercado_Receita!$L$2:$L$475)+SUMIF(Mercado_Receita!$S$2:$S$475,"44652A4AzulNão se aplicaNão se aplicaNão se aplicaNão se aplicaNão se aplica",Mercado_Receita!$L$2:$L$475)</f>
        <v>3372.8220000000001</v>
      </c>
      <c r="R4" s="13">
        <f>SUMIF(Mercado_Receita!$S$2:$S$475,"44682A4AzulNão se aplicaNão se aplicaNão se aplicaNão se aplicaPonta",Mercado_Receita!$L$2:$L$475)+SUMIF(Mercado_Receita!$S$2:$S$475,"44682A4AzulNão se aplicaNão se aplicaNão se aplicaNão se aplicaFora ponta",Mercado_Receita!$L$2:$L$475)+SUMIF(Mercado_Receita!$S$2:$S$475,"44682A4AzulNão se aplicaNão se aplicaNão se aplicaNão se aplicaIntermediário",Mercado_Receita!$L$2:$L$475)+SUMIF(Mercado_Receita!$S$2:$S$475,"44682A4AzulNão se aplicaNão se aplicaNão se aplicaNão se aplicaNão se aplica",Mercado_Receita!$L$2:$L$475)</f>
        <v>3390.308</v>
      </c>
      <c r="S4" s="13">
        <f>SUMIF(Mercado_Receita!$S$2:$S$475,"44713A4AzulNão se aplicaNão se aplicaNão se aplicaNão se aplicaPonta",Mercado_Receita!$L$2:$L$475)+SUMIF(Mercado_Receita!$S$2:$S$475,"44713A4AzulNão se aplicaNão se aplicaNão se aplicaNão se aplicaFora ponta",Mercado_Receita!$L$2:$L$475)+SUMIF(Mercado_Receita!$S$2:$S$475,"44713A4AzulNão se aplicaNão se aplicaNão se aplicaNão se aplicaIntermediário",Mercado_Receita!$L$2:$L$475)+SUMIF(Mercado_Receita!$S$2:$S$475,"44713A4AzulNão se aplicaNão se aplicaNão se aplicaNão se aplicaNão se aplica",Mercado_Receita!$L$2:$L$475)</f>
        <v>3363.3820000000001</v>
      </c>
      <c r="T4" s="13">
        <f>SUMIF(Mercado_Receita!$S$2:$S$475,"44743A4AzulNão se aplicaNão se aplicaNão se aplicaNão se aplicaPonta",Mercado_Receita!$L$2:$L$475)+SUMIF(Mercado_Receita!$S$2:$S$475,"44743A4AzulNão se aplicaNão se aplicaNão se aplicaNão se aplicaFora ponta",Mercado_Receita!$L$2:$L$475)+SUMIF(Mercado_Receita!$S$2:$S$475,"44743A4AzulNão se aplicaNão se aplicaNão se aplicaNão se aplicaIntermediário",Mercado_Receita!$L$2:$L$475)+SUMIF(Mercado_Receita!$S$2:$S$475,"44743A4AzulNão se aplicaNão se aplicaNão se aplicaNão se aplicaNão se aplica",Mercado_Receita!$L$2:$L$475)</f>
        <v>3363.3820000000001</v>
      </c>
      <c r="U4" s="13">
        <f t="shared" si="0"/>
        <v>40556.964</v>
      </c>
      <c r="V4" s="13"/>
      <c r="W4" s="13"/>
    </row>
    <row r="5" spans="1:30" ht="11.25" customHeight="1" x14ac:dyDescent="0.25">
      <c r="A5" s="124"/>
      <c r="B5" s="124"/>
      <c r="C5" s="124"/>
      <c r="D5" s="124"/>
      <c r="E5" s="12" t="s">
        <v>83</v>
      </c>
      <c r="F5" s="12" t="s">
        <v>25</v>
      </c>
      <c r="G5" s="13" t="s">
        <v>79</v>
      </c>
      <c r="H5" s="13" t="s">
        <v>75</v>
      </c>
      <c r="I5" s="13">
        <f>SUMIF(Mercado_Receita!$S$2:$S$475,"44409A4AzulNão se aplicaNão se aplicaAPENão se aplicaPonta",Mercado_Receita!$L$2:$L$475)+SUMIF(Mercado_Receita!$S$2:$S$475,"44409A4AzulNão se aplicaNão se aplicaAPENão se aplicaFora ponta",Mercado_Receita!$L$2:$L$475)+SUMIF(Mercado_Receita!$S$2:$S$475,"44409A4AzulNão se aplicaNão se aplicaAPENão se aplicaIntermediário",Mercado_Receita!$L$2:$L$475)+SUMIF(Mercado_Receita!$S$2:$S$475,"44409A4AzulNão se aplicaNão se aplicaAPENão se aplicaNão se aplica",Mercado_Receita!$L$2:$L$475)</f>
        <v>0</v>
      </c>
      <c r="J5" s="13">
        <f>SUMIF(Mercado_Receita!$S$2:$S$475,"44440A4AzulNão se aplicaNão se aplicaAPENão se aplicaPonta",Mercado_Receita!$L$2:$L$475)+SUMIF(Mercado_Receita!$S$2:$S$475,"44440A4AzulNão se aplicaNão se aplicaAPENão se aplicaFora ponta",Mercado_Receita!$L$2:$L$475)+SUMIF(Mercado_Receita!$S$2:$S$475,"44440A4AzulNão se aplicaNão se aplicaAPENão se aplicaIntermediário",Mercado_Receita!$L$2:$L$475)+SUMIF(Mercado_Receita!$S$2:$S$475,"44440A4AzulNão se aplicaNão se aplicaAPENão se aplicaNão se aplica",Mercado_Receita!$L$2:$L$475)</f>
        <v>0</v>
      </c>
      <c r="K5" s="13">
        <f>SUMIF(Mercado_Receita!$S$2:$S$475,"44470A4AzulNão se aplicaNão se aplicaAPENão se aplicaPonta",Mercado_Receita!$L$2:$L$475)+SUMIF(Mercado_Receita!$S$2:$S$475,"44470A4AzulNão se aplicaNão se aplicaAPENão se aplicaFora ponta",Mercado_Receita!$L$2:$L$475)+SUMIF(Mercado_Receita!$S$2:$S$475,"44470A4AzulNão se aplicaNão se aplicaAPENão se aplicaIntermediário",Mercado_Receita!$L$2:$L$475)+SUMIF(Mercado_Receita!$S$2:$S$475,"44470A4AzulNão se aplicaNão se aplicaAPENão se aplicaNão se aplica",Mercado_Receita!$L$2:$L$475)</f>
        <v>0</v>
      </c>
      <c r="L5" s="13">
        <f>SUMIF(Mercado_Receita!$S$2:$S$475,"44501A4AzulNão se aplicaNão se aplicaAPENão se aplicaPonta",Mercado_Receita!$L$2:$L$475)+SUMIF(Mercado_Receita!$S$2:$S$475,"44501A4AzulNão se aplicaNão se aplicaAPENão se aplicaFora ponta",Mercado_Receita!$L$2:$L$475)+SUMIF(Mercado_Receita!$S$2:$S$475,"44501A4AzulNão se aplicaNão se aplicaAPENão se aplicaIntermediário",Mercado_Receita!$L$2:$L$475)+SUMIF(Mercado_Receita!$S$2:$S$475,"44501A4AzulNão se aplicaNão se aplicaAPENão se aplicaNão se aplica",Mercado_Receita!$L$2:$L$475)</f>
        <v>0</v>
      </c>
      <c r="M5" s="13">
        <f>SUMIF(Mercado_Receita!$S$2:$S$475,"44531A4AzulNão se aplicaNão se aplicaAPENão se aplicaPonta",Mercado_Receita!$L$2:$L$475)+SUMIF(Mercado_Receita!$S$2:$S$475,"44531A4AzulNão se aplicaNão se aplicaAPENão se aplicaFora ponta",Mercado_Receita!$L$2:$L$475)+SUMIF(Mercado_Receita!$S$2:$S$475,"44531A4AzulNão se aplicaNão se aplicaAPENão se aplicaIntermediário",Mercado_Receita!$L$2:$L$475)+SUMIF(Mercado_Receita!$S$2:$S$475,"44531A4AzulNão se aplicaNão se aplicaAPENão se aplicaNão se aplica",Mercado_Receita!$L$2:$L$475)</f>
        <v>0</v>
      </c>
      <c r="N5" s="13">
        <f>SUMIF(Mercado_Receita!$S$2:$S$475,"44562A4AzulNão se aplicaNão se aplicaAPENão se aplicaPonta",Mercado_Receita!$L$2:$L$475)+SUMIF(Mercado_Receita!$S$2:$S$475,"44562A4AzulNão se aplicaNão se aplicaAPENão se aplicaFora ponta",Mercado_Receita!$L$2:$L$475)+SUMIF(Mercado_Receita!$S$2:$S$475,"44562A4AzulNão se aplicaNão se aplicaAPENão se aplicaIntermediário",Mercado_Receita!$L$2:$L$475)+SUMIF(Mercado_Receita!$S$2:$S$475,"44562A4AzulNão se aplicaNão se aplicaAPENão se aplicaNão se aplica",Mercado_Receita!$L$2:$L$475)</f>
        <v>0</v>
      </c>
      <c r="O5" s="13">
        <f>SUMIF(Mercado_Receita!$S$2:$S$475,"44593A4AzulNão se aplicaNão se aplicaAPENão se aplicaPonta",Mercado_Receita!$L$2:$L$475)+SUMIF(Mercado_Receita!$S$2:$S$475,"44593A4AzulNão se aplicaNão se aplicaAPENão se aplicaFora ponta",Mercado_Receita!$L$2:$L$475)+SUMIF(Mercado_Receita!$S$2:$S$475,"44593A4AzulNão se aplicaNão se aplicaAPENão se aplicaIntermediário",Mercado_Receita!$L$2:$L$475)+SUMIF(Mercado_Receita!$S$2:$S$475,"44593A4AzulNão se aplicaNão se aplicaAPENão se aplicaNão se aplica",Mercado_Receita!$L$2:$L$475)</f>
        <v>0</v>
      </c>
      <c r="P5" s="13">
        <f>SUMIF(Mercado_Receita!$S$2:$S$475,"44621A4AzulNão se aplicaNão se aplicaAPENão se aplicaPonta",Mercado_Receita!$L$2:$L$475)+SUMIF(Mercado_Receita!$S$2:$S$475,"44621A4AzulNão se aplicaNão se aplicaAPENão se aplicaFora ponta",Mercado_Receita!$L$2:$L$475)+SUMIF(Mercado_Receita!$S$2:$S$475,"44621A4AzulNão se aplicaNão se aplicaAPENão se aplicaIntermediário",Mercado_Receita!$L$2:$L$475)+SUMIF(Mercado_Receita!$S$2:$S$475,"44621A4AzulNão se aplicaNão se aplicaAPENão se aplicaNão se aplica",Mercado_Receita!$L$2:$L$475)</f>
        <v>0</v>
      </c>
      <c r="Q5" s="13">
        <f>SUMIF(Mercado_Receita!$S$2:$S$475,"44652A4AzulNão se aplicaNão se aplicaAPENão se aplicaPonta",Mercado_Receita!$L$2:$L$475)+SUMIF(Mercado_Receita!$S$2:$S$475,"44652A4AzulNão se aplicaNão se aplicaAPENão se aplicaFora ponta",Mercado_Receita!$L$2:$L$475)+SUMIF(Mercado_Receita!$S$2:$S$475,"44652A4AzulNão se aplicaNão se aplicaAPENão se aplicaIntermediário",Mercado_Receita!$L$2:$L$475)+SUMIF(Mercado_Receita!$S$2:$S$475,"44652A4AzulNão se aplicaNão se aplicaAPENão se aplicaNão se aplica",Mercado_Receita!$L$2:$L$475)</f>
        <v>0</v>
      </c>
      <c r="R5" s="13">
        <f>SUMIF(Mercado_Receita!$S$2:$S$475,"44682A4AzulNão se aplicaNão se aplicaAPENão se aplicaPonta",Mercado_Receita!$L$2:$L$475)+SUMIF(Mercado_Receita!$S$2:$S$475,"44682A4AzulNão se aplicaNão se aplicaAPENão se aplicaFora ponta",Mercado_Receita!$L$2:$L$475)+SUMIF(Mercado_Receita!$S$2:$S$475,"44682A4AzulNão se aplicaNão se aplicaAPENão se aplicaIntermediário",Mercado_Receita!$L$2:$L$475)+SUMIF(Mercado_Receita!$S$2:$S$475,"44682A4AzulNão se aplicaNão se aplicaAPENão se aplicaNão se aplica",Mercado_Receita!$L$2:$L$475)</f>
        <v>0</v>
      </c>
      <c r="S5" s="13">
        <f>SUMIF(Mercado_Receita!$S$2:$S$475,"44713A4AzulNão se aplicaNão se aplicaAPENão se aplicaPonta",Mercado_Receita!$L$2:$L$475)+SUMIF(Mercado_Receita!$S$2:$S$475,"44713A4AzulNão se aplicaNão se aplicaAPENão se aplicaFora ponta",Mercado_Receita!$L$2:$L$475)+SUMIF(Mercado_Receita!$S$2:$S$475,"44713A4AzulNão se aplicaNão se aplicaAPENão se aplicaIntermediário",Mercado_Receita!$L$2:$L$475)+SUMIF(Mercado_Receita!$S$2:$S$475,"44713A4AzulNão se aplicaNão se aplicaAPENão se aplicaNão se aplica",Mercado_Receita!$L$2:$L$475)</f>
        <v>0</v>
      </c>
      <c r="T5" s="13">
        <f>SUMIF(Mercado_Receita!$S$2:$S$475,"44743A4AzulNão se aplicaNão se aplicaAPENão se aplicaPonta",Mercado_Receita!$L$2:$L$475)+SUMIF(Mercado_Receita!$S$2:$S$475,"44743A4AzulNão se aplicaNão se aplicaAPENão se aplicaFora ponta",Mercado_Receita!$L$2:$L$475)+SUMIF(Mercado_Receita!$S$2:$S$475,"44743A4AzulNão se aplicaNão se aplicaAPENão se aplicaIntermediário",Mercado_Receita!$L$2:$L$475)+SUMIF(Mercado_Receita!$S$2:$S$475,"44743A4AzulNão se aplicaNão se aplicaAPENão se aplicaNão se aplica",Mercado_Receita!$L$2:$L$475)</f>
        <v>0</v>
      </c>
      <c r="U5" s="13">
        <f t="shared" si="0"/>
        <v>0</v>
      </c>
      <c r="V5" s="13"/>
      <c r="W5" s="13"/>
    </row>
    <row r="6" spans="1:30" ht="11.25" customHeight="1" x14ac:dyDescent="0.25">
      <c r="A6" s="124"/>
      <c r="B6" s="12" t="s">
        <v>84</v>
      </c>
      <c r="C6" s="12" t="s">
        <v>25</v>
      </c>
      <c r="D6" s="12" t="s">
        <v>25</v>
      </c>
      <c r="E6" s="12" t="s">
        <v>25</v>
      </c>
      <c r="F6" s="12" t="s">
        <v>25</v>
      </c>
      <c r="G6" s="13" t="s">
        <v>9</v>
      </c>
      <c r="H6" s="13" t="s">
        <v>80</v>
      </c>
      <c r="I6" s="13">
        <f>SUMIF(Mercado_Receita!$S$2:$S$475,"44409A4GeraçãoNão se aplicaNão se aplicaNão se aplicaNão se aplicaNão se aplica",Mercado_Receita!$J$2:$J$475)+SUMIF(Mercado_Receita!$S$2:$S$475,"44409A4GeraçãoNão se aplicaNão se aplicaAPENão se aplicaNão se aplica",Mercado_Receita!$J$2:$J$475)</f>
        <v>0</v>
      </c>
      <c r="J6" s="13">
        <f>SUMIF(Mercado_Receita!$S$2:$S$475,"44440A4GeraçãoNão se aplicaNão se aplicaNão se aplicaNão se aplicaNão se aplica",Mercado_Receita!$J$2:$J$475)+SUMIF(Mercado_Receita!$S$2:$S$475,"44440A4GeraçãoNão se aplicaNão se aplicaAPENão se aplicaNão se aplica",Mercado_Receita!$J$2:$J$475)</f>
        <v>0</v>
      </c>
      <c r="K6" s="13">
        <f>SUMIF(Mercado_Receita!$S$2:$S$475,"44470A4GeraçãoNão se aplicaNão se aplicaNão se aplicaNão se aplicaNão se aplica",Mercado_Receita!$J$2:$J$475)+SUMIF(Mercado_Receita!$S$2:$S$475,"44470A4GeraçãoNão se aplicaNão se aplicaAPENão se aplicaNão se aplica",Mercado_Receita!$J$2:$J$475)</f>
        <v>0</v>
      </c>
      <c r="L6" s="13">
        <f>SUMIF(Mercado_Receita!$S$2:$S$475,"44501A4GeraçãoNão se aplicaNão se aplicaNão se aplicaNão se aplicaNão se aplica",Mercado_Receita!$J$2:$J$475)+SUMIF(Mercado_Receita!$S$2:$S$475,"44501A4GeraçãoNão se aplicaNão se aplicaAPENão se aplicaNão se aplica",Mercado_Receita!$J$2:$J$475)</f>
        <v>0</v>
      </c>
      <c r="M6" s="13">
        <f>SUMIF(Mercado_Receita!$S$2:$S$475,"44531A4GeraçãoNão se aplicaNão se aplicaNão se aplicaNão se aplicaNão se aplica",Mercado_Receita!$J$2:$J$475)+SUMIF(Mercado_Receita!$S$2:$S$475,"44531A4GeraçãoNão se aplicaNão se aplicaAPENão se aplicaNão se aplica",Mercado_Receita!$J$2:$J$475)</f>
        <v>0</v>
      </c>
      <c r="N6" s="13">
        <f>SUMIF(Mercado_Receita!$S$2:$S$475,"44562A4GeraçãoNão se aplicaNão se aplicaNão se aplicaNão se aplicaNão se aplica",Mercado_Receita!$J$2:$J$475)+SUMIF(Mercado_Receita!$S$2:$S$475,"44562A4GeraçãoNão se aplicaNão se aplicaAPENão se aplicaNão se aplica",Mercado_Receita!$J$2:$J$475)</f>
        <v>0</v>
      </c>
      <c r="O6" s="13">
        <f>SUMIF(Mercado_Receita!$S$2:$S$475,"44593A4GeraçãoNão se aplicaNão se aplicaNão se aplicaNão se aplicaNão se aplica",Mercado_Receita!$J$2:$J$475)+SUMIF(Mercado_Receita!$S$2:$S$475,"44593A4GeraçãoNão se aplicaNão se aplicaAPENão se aplicaNão se aplica",Mercado_Receita!$J$2:$J$475)</f>
        <v>0</v>
      </c>
      <c r="P6" s="13">
        <f>SUMIF(Mercado_Receita!$S$2:$S$475,"44621A4GeraçãoNão se aplicaNão se aplicaNão se aplicaNão se aplicaNão se aplica",Mercado_Receita!$J$2:$J$475)+SUMIF(Mercado_Receita!$S$2:$S$475,"44621A4GeraçãoNão se aplicaNão se aplicaAPENão se aplicaNão se aplica",Mercado_Receita!$J$2:$J$475)</f>
        <v>0</v>
      </c>
      <c r="Q6" s="13">
        <f>SUMIF(Mercado_Receita!$S$2:$S$475,"44652A4GeraçãoNão se aplicaNão se aplicaNão se aplicaNão se aplicaNão se aplica",Mercado_Receita!$J$2:$J$475)+SUMIF(Mercado_Receita!$S$2:$S$475,"44652A4GeraçãoNão se aplicaNão se aplicaAPENão se aplicaNão se aplica",Mercado_Receita!$J$2:$J$475)</f>
        <v>0</v>
      </c>
      <c r="R6" s="13">
        <f>SUMIF(Mercado_Receita!$S$2:$S$475,"44682A4GeraçãoNão se aplicaNão se aplicaNão se aplicaNão se aplicaNão se aplica",Mercado_Receita!$J$2:$J$475)+SUMIF(Mercado_Receita!$S$2:$S$475,"44682A4GeraçãoNão se aplicaNão se aplicaAPENão se aplicaNão se aplica",Mercado_Receita!$J$2:$J$475)</f>
        <v>0</v>
      </c>
      <c r="S6" s="13">
        <f>SUMIF(Mercado_Receita!$S$2:$S$475,"44713A4GeraçãoNão se aplicaNão se aplicaNão se aplicaNão se aplicaNão se aplica",Mercado_Receita!$J$2:$J$475)+SUMIF(Mercado_Receita!$S$2:$S$475,"44713A4GeraçãoNão se aplicaNão se aplicaAPENão se aplicaNão se aplica",Mercado_Receita!$J$2:$J$475)</f>
        <v>0</v>
      </c>
      <c r="T6" s="13">
        <f>SUMIF(Mercado_Receita!$S$2:$S$475,"44743A4GeraçãoNão se aplicaNão se aplicaNão se aplicaNão se aplicaNão se aplica",Mercado_Receita!$J$2:$J$475)+SUMIF(Mercado_Receita!$S$2:$S$475,"44743A4GeraçãoNão se aplicaNão se aplicaAPENão se aplicaNão se aplica",Mercado_Receita!$J$2:$J$475)</f>
        <v>0</v>
      </c>
      <c r="U6" s="13">
        <f t="shared" si="0"/>
        <v>0</v>
      </c>
      <c r="V6" s="13"/>
      <c r="W6" s="13"/>
    </row>
    <row r="7" spans="1:30" ht="11.25" customHeight="1" x14ac:dyDescent="0.25">
      <c r="A7" s="124"/>
      <c r="B7" s="123" t="s">
        <v>39</v>
      </c>
      <c r="C7" s="123" t="s">
        <v>25</v>
      </c>
      <c r="D7" s="123" t="s">
        <v>25</v>
      </c>
      <c r="E7" s="123" t="s">
        <v>25</v>
      </c>
      <c r="F7" s="123" t="s">
        <v>25</v>
      </c>
      <c r="G7" s="13" t="s">
        <v>9</v>
      </c>
      <c r="H7" s="13" t="s">
        <v>80</v>
      </c>
      <c r="I7" s="13">
        <f>SUMIF(Mercado_Receita!$S$2:$S$475,"44409A4VerdeNão se aplicaNão se aplicaNão se aplicaNão se aplicaNão se aplica",Mercado_Receita!$J$2:$J$475)+SUMIF(Mercado_Receita!$S$2:$S$475,"44409A4VerdeNão se aplicaNão se aplicaAPENão se aplicaNão se aplica",Mercado_Receita!$J$2:$J$475)</f>
        <v>3006</v>
      </c>
      <c r="J7" s="13">
        <f>SUMIF(Mercado_Receita!$S$2:$S$475,"44440A4VerdeNão se aplicaNão se aplicaNão se aplicaNão se aplicaNão se aplica",Mercado_Receita!$J$2:$J$475)+SUMIF(Mercado_Receita!$S$2:$S$475,"44440A4VerdeNão se aplicaNão se aplicaAPENão se aplicaNão se aplica",Mercado_Receita!$J$2:$J$475)</f>
        <v>2987</v>
      </c>
      <c r="K7" s="13">
        <f>SUMIF(Mercado_Receita!$S$2:$S$475,"44470A4VerdeNão se aplicaNão se aplicaNão se aplicaNão se aplicaNão se aplica",Mercado_Receita!$J$2:$J$475)+SUMIF(Mercado_Receita!$S$2:$S$475,"44470A4VerdeNão se aplicaNão se aplicaAPENão se aplicaNão se aplica",Mercado_Receita!$J$2:$J$475)</f>
        <v>3212</v>
      </c>
      <c r="L7" s="13">
        <f>SUMIF(Mercado_Receita!$S$2:$S$475,"44501A4VerdeNão se aplicaNão se aplicaNão se aplicaNão se aplicaNão se aplica",Mercado_Receita!$J$2:$J$475)+SUMIF(Mercado_Receita!$S$2:$S$475,"44501A4VerdeNão se aplicaNão se aplicaAPENão se aplicaNão se aplica",Mercado_Receita!$J$2:$J$475)</f>
        <v>3127</v>
      </c>
      <c r="M7" s="13">
        <f>SUMIF(Mercado_Receita!$S$2:$S$475,"44531A4VerdeNão se aplicaNão se aplicaNão se aplicaNão se aplicaNão se aplica",Mercado_Receita!$J$2:$J$475)+SUMIF(Mercado_Receita!$S$2:$S$475,"44531A4VerdeNão se aplicaNão se aplicaAPENão se aplicaNão se aplica",Mercado_Receita!$J$2:$J$475)</f>
        <v>3062</v>
      </c>
      <c r="N7" s="13">
        <f>SUMIF(Mercado_Receita!$S$2:$S$475,"44562A4VerdeNão se aplicaNão se aplicaNão se aplicaNão se aplicaNão se aplica",Mercado_Receita!$J$2:$J$475)+SUMIF(Mercado_Receita!$S$2:$S$475,"44562A4VerdeNão se aplicaNão se aplicaAPENão se aplicaNão se aplica",Mercado_Receita!$J$2:$J$475)</f>
        <v>3092</v>
      </c>
      <c r="O7" s="13">
        <f>SUMIF(Mercado_Receita!$S$2:$S$475,"44593A4VerdeNão se aplicaNão se aplicaNão se aplicaNão se aplicaNão se aplica",Mercado_Receita!$J$2:$J$475)+SUMIF(Mercado_Receita!$S$2:$S$475,"44593A4VerdeNão se aplicaNão se aplicaAPENão se aplicaNão se aplica",Mercado_Receita!$J$2:$J$475)</f>
        <v>3284</v>
      </c>
      <c r="P7" s="13">
        <f>SUMIF(Mercado_Receita!$S$2:$S$475,"44621A4VerdeNão se aplicaNão se aplicaNão se aplicaNão se aplicaNão se aplica",Mercado_Receita!$J$2:$J$475)+SUMIF(Mercado_Receita!$S$2:$S$475,"44621A4VerdeNão se aplicaNão se aplicaAPENão se aplicaNão se aplica",Mercado_Receita!$J$2:$J$475)</f>
        <v>3235</v>
      </c>
      <c r="Q7" s="13">
        <f>SUMIF(Mercado_Receita!$S$2:$S$475,"44652A4VerdeNão se aplicaNão se aplicaNão se aplicaNão se aplicaNão se aplica",Mercado_Receita!$J$2:$J$475)+SUMIF(Mercado_Receita!$S$2:$S$475,"44652A4VerdeNão se aplicaNão se aplicaAPENão se aplicaNão se aplica",Mercado_Receita!$J$2:$J$475)</f>
        <v>3229</v>
      </c>
      <c r="R7" s="13">
        <f>SUMIF(Mercado_Receita!$S$2:$S$475,"44682A4VerdeNão se aplicaNão se aplicaNão se aplicaNão se aplicaNão se aplica",Mercado_Receita!$J$2:$J$475)+SUMIF(Mercado_Receita!$S$2:$S$475,"44682A4VerdeNão se aplicaNão se aplicaAPENão se aplicaNão se aplica",Mercado_Receita!$J$2:$J$475)</f>
        <v>2999</v>
      </c>
      <c r="S7" s="13">
        <f>SUMIF(Mercado_Receita!$S$2:$S$475,"44713A4VerdeNão se aplicaNão se aplicaNão se aplicaNão se aplicaNão se aplica",Mercado_Receita!$J$2:$J$475)+SUMIF(Mercado_Receita!$S$2:$S$475,"44713A4VerdeNão se aplicaNão se aplicaAPENão se aplicaNão se aplica",Mercado_Receita!$J$2:$J$475)</f>
        <v>2944</v>
      </c>
      <c r="T7" s="13">
        <f>SUMIF(Mercado_Receita!$S$2:$S$475,"44743A4VerdeNão se aplicaNão se aplicaNão se aplicaNão se aplicaNão se aplica",Mercado_Receita!$J$2:$J$475)+SUMIF(Mercado_Receita!$S$2:$S$475,"44743A4VerdeNão se aplicaNão se aplicaAPENão se aplicaNão se aplica",Mercado_Receita!$J$2:$J$475)</f>
        <v>2944</v>
      </c>
      <c r="U7" s="13">
        <f t="shared" si="0"/>
        <v>37121</v>
      </c>
      <c r="V7" s="13"/>
      <c r="W7" s="13"/>
    </row>
    <row r="8" spans="1:30" ht="11.25" customHeight="1" x14ac:dyDescent="0.25">
      <c r="A8" s="124"/>
      <c r="B8" s="124"/>
      <c r="C8" s="124"/>
      <c r="D8" s="124"/>
      <c r="E8" s="124"/>
      <c r="F8" s="124"/>
      <c r="G8" s="13" t="s">
        <v>76</v>
      </c>
      <c r="H8" s="13" t="s">
        <v>75</v>
      </c>
      <c r="I8" s="13">
        <f>SUMIF(Mercado_Receita!$S$2:$S$475,"44409A4VerdeNão se aplicaNão se aplicaNão se aplicaNão se aplicaPonta",Mercado_Receita!$L$2:$L$475)</f>
        <v>21.65</v>
      </c>
      <c r="J8" s="13">
        <f>SUMIF(Mercado_Receita!$S$2:$S$475,"44440A4VerdeNão se aplicaNão se aplicaNão se aplicaNão se aplicaPonta",Mercado_Receita!$L$2:$L$475)</f>
        <v>21.783000000000001</v>
      </c>
      <c r="K8" s="13">
        <f>SUMIF(Mercado_Receita!$S$2:$S$475,"44470A4VerdeNão se aplicaNão se aplicaNão se aplicaNão se aplicaPonta",Mercado_Receita!$L$2:$L$475)</f>
        <v>28.081</v>
      </c>
      <c r="L8" s="13">
        <f>SUMIF(Mercado_Receita!$S$2:$S$475,"44501A4VerdeNão se aplicaNão se aplicaNão se aplicaNão se aplicaPonta",Mercado_Receita!$L$2:$L$475)</f>
        <v>21.2</v>
      </c>
      <c r="M8" s="13">
        <f>SUMIF(Mercado_Receita!$S$2:$S$475,"44531A4VerdeNão se aplicaNão se aplicaNão se aplicaNão se aplicaPonta",Mercado_Receita!$L$2:$L$475)</f>
        <v>26.979999999999997</v>
      </c>
      <c r="N8" s="13">
        <f>SUMIF(Mercado_Receita!$S$2:$S$475,"44562A4VerdeNão se aplicaNão se aplicaNão se aplicaNão se aplicaPonta",Mercado_Receita!$L$2:$L$475)</f>
        <v>23.660000000000004</v>
      </c>
      <c r="O8" s="13">
        <f>SUMIF(Mercado_Receita!$S$2:$S$475,"44593A4VerdeNão se aplicaNão se aplicaNão se aplicaNão se aplicaPonta",Mercado_Receita!$L$2:$L$475)</f>
        <v>24.347000000000001</v>
      </c>
      <c r="P8" s="13">
        <f>SUMIF(Mercado_Receita!$S$2:$S$475,"44621A4VerdeNão se aplicaNão se aplicaNão se aplicaNão se aplicaPonta",Mercado_Receita!$L$2:$L$475)</f>
        <v>27.718</v>
      </c>
      <c r="Q8" s="13">
        <f>SUMIF(Mercado_Receita!$S$2:$S$475,"44652A4VerdeNão se aplicaNão se aplicaNão se aplicaNão se aplicaPonta",Mercado_Receita!$L$2:$L$475)</f>
        <v>19.664000000000001</v>
      </c>
      <c r="R8" s="13">
        <f>SUMIF(Mercado_Receita!$S$2:$S$475,"44682A4VerdeNão se aplicaNão se aplicaNão se aplicaNão se aplicaPonta",Mercado_Receita!$L$2:$L$475)</f>
        <v>21.118999999999996</v>
      </c>
      <c r="S8" s="13">
        <f>SUMIF(Mercado_Receita!$S$2:$S$475,"44713A4VerdeNão se aplicaNão se aplicaNão se aplicaNão se aplicaPonta",Mercado_Receita!$L$2:$L$475)</f>
        <v>22.151</v>
      </c>
      <c r="T8" s="13">
        <f>SUMIF(Mercado_Receita!$S$2:$S$475,"44743A4VerdeNão se aplicaNão se aplicaNão se aplicaNão se aplicaPonta",Mercado_Receita!$L$2:$L$475)</f>
        <v>22.151</v>
      </c>
      <c r="U8" s="13">
        <f t="shared" si="0"/>
        <v>280.50399999999996</v>
      </c>
      <c r="V8" s="13"/>
      <c r="W8" s="13"/>
    </row>
    <row r="9" spans="1:30" ht="11.25" customHeight="1" x14ac:dyDescent="0.25">
      <c r="A9" s="124"/>
      <c r="B9" s="124"/>
      <c r="C9" s="124"/>
      <c r="D9" s="124"/>
      <c r="E9" s="124"/>
      <c r="F9" s="124"/>
      <c r="G9" s="13" t="s">
        <v>77</v>
      </c>
      <c r="H9" s="13" t="s">
        <v>75</v>
      </c>
      <c r="I9" s="13">
        <f>SUMIF(Mercado_Receita!$S$2:$S$475,"44409A4VerdeNão se aplicaNão se aplicaNão se aplicaNão se aplicaFora ponta",Mercado_Receita!$L$2:$L$475)</f>
        <v>617.90700000000004</v>
      </c>
      <c r="J9" s="13">
        <f>SUMIF(Mercado_Receita!$S$2:$S$475,"44440A4VerdeNão se aplicaNão se aplicaNão se aplicaNão se aplicaFora ponta",Mercado_Receita!$L$2:$L$475)</f>
        <v>590.81299999999999</v>
      </c>
      <c r="K9" s="13">
        <f>SUMIF(Mercado_Receita!$S$2:$S$475,"44470A4VerdeNão se aplicaNão se aplicaNão se aplicaNão se aplicaFora ponta",Mercado_Receita!$L$2:$L$475)</f>
        <v>640.26400000000001</v>
      </c>
      <c r="L9" s="13">
        <f>SUMIF(Mercado_Receita!$S$2:$S$475,"44501A4VerdeNão se aplicaNão se aplicaNão se aplicaNão se aplicaFora ponta",Mercado_Receita!$L$2:$L$475)</f>
        <v>662.35799999999995</v>
      </c>
      <c r="M9" s="13">
        <f>SUMIF(Mercado_Receita!$S$2:$S$475,"44531A4VerdeNão se aplicaNão se aplicaNão se aplicaNão se aplicaFora ponta",Mercado_Receita!$L$2:$L$475)</f>
        <v>636.3839999999999</v>
      </c>
      <c r="N9" s="13">
        <f>SUMIF(Mercado_Receita!$S$2:$S$475,"44562A4VerdeNão se aplicaNão se aplicaNão se aplicaNão se aplicaFora ponta",Mercado_Receita!$L$2:$L$475)</f>
        <v>596.024</v>
      </c>
      <c r="O9" s="13">
        <f>SUMIF(Mercado_Receita!$S$2:$S$475,"44593A4VerdeNão se aplicaNão se aplicaNão se aplicaNão se aplicaFora ponta",Mercado_Receita!$L$2:$L$475)</f>
        <v>652.57399999999984</v>
      </c>
      <c r="P9" s="13">
        <f>SUMIF(Mercado_Receita!$S$2:$S$475,"44621A4VerdeNão se aplicaNão se aplicaNão se aplicaNão se aplicaFora ponta",Mercado_Receita!$L$2:$L$475)</f>
        <v>730.33500000000004</v>
      </c>
      <c r="Q9" s="13">
        <f>SUMIF(Mercado_Receita!$S$2:$S$475,"44652A4VerdeNão se aplicaNão se aplicaNão se aplicaNão se aplicaFora ponta",Mercado_Receita!$L$2:$L$475)</f>
        <v>622.92000000000007</v>
      </c>
      <c r="R9" s="13">
        <f>SUMIF(Mercado_Receita!$S$2:$S$475,"44682A4VerdeNão se aplicaNão se aplicaNão se aplicaNão se aplicaFora ponta",Mercado_Receita!$L$2:$L$475)</f>
        <v>643.54200000000014</v>
      </c>
      <c r="S9" s="13">
        <f>SUMIF(Mercado_Receita!$S$2:$S$475,"44713A4VerdeNão se aplicaNão se aplicaNão se aplicaNão se aplicaFora ponta",Mercado_Receita!$L$2:$L$475)</f>
        <v>582.77</v>
      </c>
      <c r="T9" s="13">
        <f>SUMIF(Mercado_Receita!$S$2:$S$475,"44743A4VerdeNão se aplicaNão se aplicaNão se aplicaNão se aplicaFora ponta",Mercado_Receita!$L$2:$L$475)</f>
        <v>582.77</v>
      </c>
      <c r="U9" s="13">
        <f t="shared" si="0"/>
        <v>7558.6610000000001</v>
      </c>
      <c r="V9" s="13"/>
      <c r="W9" s="13"/>
    </row>
    <row r="10" spans="1:30" ht="11.25" customHeight="1" x14ac:dyDescent="0.25">
      <c r="A10" s="124"/>
      <c r="B10" s="124"/>
      <c r="C10" s="124"/>
      <c r="D10" s="124"/>
      <c r="E10" s="123" t="s">
        <v>83</v>
      </c>
      <c r="F10" s="123" t="s">
        <v>25</v>
      </c>
      <c r="G10" s="13" t="s">
        <v>76</v>
      </c>
      <c r="H10" s="13" t="s">
        <v>75</v>
      </c>
      <c r="I10" s="13">
        <f>SUMIF(Mercado_Receita!$S$2:$S$475,"44409A4VerdeNão se aplicaNão se aplicaAPENão se aplicaPonta",Mercado_Receita!$L$2:$L$475)</f>
        <v>0</v>
      </c>
      <c r="J10" s="13">
        <f>SUMIF(Mercado_Receita!$S$2:$S$475,"44440A4VerdeNão se aplicaNão se aplicaAPENão se aplicaPonta",Mercado_Receita!$L$2:$L$475)</f>
        <v>0</v>
      </c>
      <c r="K10" s="13">
        <f>SUMIF(Mercado_Receita!$S$2:$S$475,"44470A4VerdeNão se aplicaNão se aplicaAPENão se aplicaPonta",Mercado_Receita!$L$2:$L$475)</f>
        <v>0</v>
      </c>
      <c r="L10" s="13">
        <f>SUMIF(Mercado_Receita!$S$2:$S$475,"44501A4VerdeNão se aplicaNão se aplicaAPENão se aplicaPonta",Mercado_Receita!$L$2:$L$475)</f>
        <v>0</v>
      </c>
      <c r="M10" s="13">
        <f>SUMIF(Mercado_Receita!$S$2:$S$475,"44531A4VerdeNão se aplicaNão se aplicaAPENão se aplicaPonta",Mercado_Receita!$L$2:$L$475)</f>
        <v>0</v>
      </c>
      <c r="N10" s="13">
        <f>SUMIF(Mercado_Receita!$S$2:$S$475,"44562A4VerdeNão se aplicaNão se aplicaAPENão se aplicaPonta",Mercado_Receita!$L$2:$L$475)</f>
        <v>0</v>
      </c>
      <c r="O10" s="13">
        <f>SUMIF(Mercado_Receita!$S$2:$S$475,"44593A4VerdeNão se aplicaNão se aplicaAPENão se aplicaPonta",Mercado_Receita!$L$2:$L$475)</f>
        <v>0</v>
      </c>
      <c r="P10" s="13">
        <f>SUMIF(Mercado_Receita!$S$2:$S$475,"44621A4VerdeNão se aplicaNão se aplicaAPENão se aplicaPonta",Mercado_Receita!$L$2:$L$475)</f>
        <v>0</v>
      </c>
      <c r="Q10" s="13">
        <f>SUMIF(Mercado_Receita!$S$2:$S$475,"44652A4VerdeNão se aplicaNão se aplicaAPENão se aplicaPonta",Mercado_Receita!$L$2:$L$475)</f>
        <v>0</v>
      </c>
      <c r="R10" s="13">
        <f>SUMIF(Mercado_Receita!$S$2:$S$475,"44682A4VerdeNão se aplicaNão se aplicaAPENão se aplicaPonta",Mercado_Receita!$L$2:$L$475)</f>
        <v>0</v>
      </c>
      <c r="S10" s="13">
        <f>SUMIF(Mercado_Receita!$S$2:$S$475,"44713A4VerdeNão se aplicaNão se aplicaAPENão se aplicaPonta",Mercado_Receita!$L$2:$L$475)</f>
        <v>0</v>
      </c>
      <c r="T10" s="13">
        <f>SUMIF(Mercado_Receita!$S$2:$S$475,"44743A4VerdeNão se aplicaNão se aplicaAPENão se aplicaPonta",Mercado_Receita!$L$2:$L$475)</f>
        <v>0</v>
      </c>
      <c r="U10" s="13">
        <f t="shared" si="0"/>
        <v>0</v>
      </c>
      <c r="V10" s="13"/>
      <c r="W10" s="13"/>
    </row>
    <row r="11" spans="1:30" ht="11.25" customHeight="1" x14ac:dyDescent="0.25">
      <c r="A11" s="124"/>
      <c r="B11" s="124"/>
      <c r="C11" s="124"/>
      <c r="D11" s="124"/>
      <c r="E11" s="124"/>
      <c r="F11" s="124"/>
      <c r="G11" s="13" t="s">
        <v>77</v>
      </c>
      <c r="H11" s="13" t="s">
        <v>75</v>
      </c>
      <c r="I11" s="13">
        <f>SUMIF(Mercado_Receita!$S$2:$S$475,"44409A4VerdeNão se aplicaNão se aplicaAPENão se aplicaFora ponta",Mercado_Receita!$L$2:$L$475)</f>
        <v>0</v>
      </c>
      <c r="J11" s="13">
        <f>SUMIF(Mercado_Receita!$S$2:$S$475,"44440A4VerdeNão se aplicaNão se aplicaAPENão se aplicaFora ponta",Mercado_Receita!$L$2:$L$475)</f>
        <v>0</v>
      </c>
      <c r="K11" s="13">
        <f>SUMIF(Mercado_Receita!$S$2:$S$475,"44470A4VerdeNão se aplicaNão se aplicaAPENão se aplicaFora ponta",Mercado_Receita!$L$2:$L$475)</f>
        <v>0</v>
      </c>
      <c r="L11" s="13">
        <f>SUMIF(Mercado_Receita!$S$2:$S$475,"44501A4VerdeNão se aplicaNão se aplicaAPENão se aplicaFora ponta",Mercado_Receita!$L$2:$L$475)</f>
        <v>0</v>
      </c>
      <c r="M11" s="13">
        <f>SUMIF(Mercado_Receita!$S$2:$S$475,"44531A4VerdeNão se aplicaNão se aplicaAPENão se aplicaFora ponta",Mercado_Receita!$L$2:$L$475)</f>
        <v>0</v>
      </c>
      <c r="N11" s="13">
        <f>SUMIF(Mercado_Receita!$S$2:$S$475,"44562A4VerdeNão se aplicaNão se aplicaAPENão se aplicaFora ponta",Mercado_Receita!$L$2:$L$475)</f>
        <v>0</v>
      </c>
      <c r="O11" s="13">
        <f>SUMIF(Mercado_Receita!$S$2:$S$475,"44593A4VerdeNão se aplicaNão se aplicaAPENão se aplicaFora ponta",Mercado_Receita!$L$2:$L$475)</f>
        <v>0</v>
      </c>
      <c r="P11" s="13">
        <f>SUMIF(Mercado_Receita!$S$2:$S$475,"44621A4VerdeNão se aplicaNão se aplicaAPENão se aplicaFora ponta",Mercado_Receita!$L$2:$L$475)</f>
        <v>0</v>
      </c>
      <c r="Q11" s="13">
        <f>SUMIF(Mercado_Receita!$S$2:$S$475,"44652A4VerdeNão se aplicaNão se aplicaAPENão se aplicaFora ponta",Mercado_Receita!$L$2:$L$475)</f>
        <v>0</v>
      </c>
      <c r="R11" s="13">
        <f>SUMIF(Mercado_Receita!$S$2:$S$475,"44682A4VerdeNão se aplicaNão se aplicaAPENão se aplicaFora ponta",Mercado_Receita!$L$2:$L$475)</f>
        <v>0</v>
      </c>
      <c r="S11" s="13">
        <f>SUMIF(Mercado_Receita!$S$2:$S$475,"44713A4VerdeNão se aplicaNão se aplicaAPENão se aplicaFora ponta",Mercado_Receita!$L$2:$L$475)</f>
        <v>0</v>
      </c>
      <c r="T11" s="13">
        <f>SUMIF(Mercado_Receita!$S$2:$S$475,"44743A4VerdeNão se aplicaNão se aplicaAPENão se aplicaFora ponta",Mercado_Receita!$L$2:$L$475)</f>
        <v>0</v>
      </c>
      <c r="U11" s="13">
        <f t="shared" si="0"/>
        <v>0</v>
      </c>
      <c r="V11" s="13"/>
      <c r="W11" s="13"/>
    </row>
    <row r="12" spans="1:30" ht="11.25" customHeight="1" x14ac:dyDescent="0.25">
      <c r="A12" s="123" t="s">
        <v>85</v>
      </c>
      <c r="B12" s="123" t="s">
        <v>84</v>
      </c>
      <c r="C12" s="123" t="s">
        <v>25</v>
      </c>
      <c r="D12" s="123" t="s">
        <v>25</v>
      </c>
      <c r="E12" s="12" t="s">
        <v>86</v>
      </c>
      <c r="F12" s="12" t="s">
        <v>25</v>
      </c>
      <c r="G12" s="13" t="s">
        <v>9</v>
      </c>
      <c r="H12" s="13" t="s">
        <v>80</v>
      </c>
      <c r="I12" s="13">
        <f>SUMIF(Mercado_Receita!$S$2:$S$475,"44409BGeraçãoNão se aplicaNão se aplicaTIPO 01Não se aplicaNão se aplica",Mercado_Receita!$J$2:$J$475)+SUMIF(Mercado_Receita!$S$2:$S$475,"44409BGeraçãoNão se aplicaNão se aplicaAPENão se aplicaNão se aplica",Mercado_Receita!$J$2:$J$475)</f>
        <v>0</v>
      </c>
      <c r="J12" s="13">
        <f>SUMIF(Mercado_Receita!$S$2:$S$475,"44440BGeraçãoNão se aplicaNão se aplicaTIPO 01Não se aplicaNão se aplica",Mercado_Receita!$J$2:$J$475)+SUMIF(Mercado_Receita!$S$2:$S$475,"44440BGeraçãoNão se aplicaNão se aplicaAPENão se aplicaNão se aplica",Mercado_Receita!$J$2:$J$475)</f>
        <v>0</v>
      </c>
      <c r="K12" s="13">
        <f>SUMIF(Mercado_Receita!$S$2:$S$475,"44470BGeraçãoNão se aplicaNão se aplicaTIPO 01Não se aplicaNão se aplica",Mercado_Receita!$J$2:$J$475)+SUMIF(Mercado_Receita!$S$2:$S$475,"44470BGeraçãoNão se aplicaNão se aplicaAPENão se aplicaNão se aplica",Mercado_Receita!$J$2:$J$475)</f>
        <v>0</v>
      </c>
      <c r="L12" s="13">
        <f>SUMIF(Mercado_Receita!$S$2:$S$475,"44501BGeraçãoNão se aplicaNão se aplicaTIPO 01Não se aplicaNão se aplica",Mercado_Receita!$J$2:$J$475)+SUMIF(Mercado_Receita!$S$2:$S$475,"44501BGeraçãoNão se aplicaNão se aplicaAPENão se aplicaNão se aplica",Mercado_Receita!$J$2:$J$475)</f>
        <v>0</v>
      </c>
      <c r="M12" s="13">
        <f>SUMIF(Mercado_Receita!$S$2:$S$475,"44531BGeraçãoNão se aplicaNão se aplicaTIPO 01Não se aplicaNão se aplica",Mercado_Receita!$J$2:$J$475)+SUMIF(Mercado_Receita!$S$2:$S$475,"44531BGeraçãoNão se aplicaNão se aplicaAPENão se aplicaNão se aplica",Mercado_Receita!$J$2:$J$475)</f>
        <v>0</v>
      </c>
      <c r="N12" s="13">
        <f>SUMIF(Mercado_Receita!$S$2:$S$475,"44562BGeraçãoNão se aplicaNão se aplicaTIPO 01Não se aplicaNão se aplica",Mercado_Receita!$J$2:$J$475)+SUMIF(Mercado_Receita!$S$2:$S$475,"44562BGeraçãoNão se aplicaNão se aplicaAPENão se aplicaNão se aplica",Mercado_Receita!$J$2:$J$475)</f>
        <v>0</v>
      </c>
      <c r="O12" s="13">
        <f>SUMIF(Mercado_Receita!$S$2:$S$475,"44593BGeraçãoNão se aplicaNão se aplicaTIPO 01Não se aplicaNão se aplica",Mercado_Receita!$J$2:$J$475)+SUMIF(Mercado_Receita!$S$2:$S$475,"44593BGeraçãoNão se aplicaNão se aplicaAPENão se aplicaNão se aplica",Mercado_Receita!$J$2:$J$475)</f>
        <v>0</v>
      </c>
      <c r="P12" s="13">
        <f>SUMIF(Mercado_Receita!$S$2:$S$475,"44621BGeraçãoNão se aplicaNão se aplicaTIPO 01Não se aplicaNão se aplica",Mercado_Receita!$J$2:$J$475)+SUMIF(Mercado_Receita!$S$2:$S$475,"44621BGeraçãoNão se aplicaNão se aplicaAPENão se aplicaNão se aplica",Mercado_Receita!$J$2:$J$475)</f>
        <v>0</v>
      </c>
      <c r="Q12" s="13">
        <f>SUMIF(Mercado_Receita!$S$2:$S$475,"44652BGeraçãoNão se aplicaNão se aplicaTIPO 01Não se aplicaNão se aplica",Mercado_Receita!$J$2:$J$475)+SUMIF(Mercado_Receita!$S$2:$S$475,"44652BGeraçãoNão se aplicaNão se aplicaAPENão se aplicaNão se aplica",Mercado_Receita!$J$2:$J$475)</f>
        <v>0</v>
      </c>
      <c r="R12" s="13">
        <f>SUMIF(Mercado_Receita!$S$2:$S$475,"44682BGeraçãoNão se aplicaNão se aplicaTIPO 01Não se aplicaNão se aplica",Mercado_Receita!$J$2:$J$475)+SUMIF(Mercado_Receita!$S$2:$S$475,"44682BGeraçãoNão se aplicaNão se aplicaAPENão se aplicaNão se aplica",Mercado_Receita!$J$2:$J$475)</f>
        <v>0</v>
      </c>
      <c r="S12" s="13">
        <f>SUMIF(Mercado_Receita!$S$2:$S$475,"44713BGeraçãoNão se aplicaNão se aplicaTIPO 01Não se aplicaNão se aplica",Mercado_Receita!$J$2:$J$475)+SUMIF(Mercado_Receita!$S$2:$S$475,"44713BGeraçãoNão se aplicaNão se aplicaAPENão se aplicaNão se aplica",Mercado_Receita!$J$2:$J$475)</f>
        <v>0</v>
      </c>
      <c r="T12" s="13">
        <f>SUMIF(Mercado_Receita!$S$2:$S$475,"44743BGeraçãoNão se aplicaNão se aplicaTIPO 01Não se aplicaNão se aplica",Mercado_Receita!$J$2:$J$475)+SUMIF(Mercado_Receita!$S$2:$S$475,"44743BGeraçãoNão se aplicaNão se aplicaAPENão se aplicaNão se aplica",Mercado_Receita!$J$2:$J$475)</f>
        <v>0</v>
      </c>
      <c r="U12" s="13">
        <f t="shared" si="0"/>
        <v>0</v>
      </c>
      <c r="V12" s="13"/>
      <c r="W12" s="13"/>
    </row>
    <row r="13" spans="1:30" ht="11.25" customHeight="1" x14ac:dyDescent="0.25">
      <c r="A13" s="124"/>
      <c r="B13" s="124"/>
      <c r="C13" s="124"/>
      <c r="D13" s="124"/>
      <c r="E13" s="12" t="s">
        <v>87</v>
      </c>
      <c r="F13" s="12" t="s">
        <v>25</v>
      </c>
      <c r="G13" s="13" t="s">
        <v>9</v>
      </c>
      <c r="H13" s="13" t="s">
        <v>80</v>
      </c>
      <c r="I13" s="13">
        <f>SUMIF(Mercado_Receita!$S$2:$S$475,"44409BGeraçãoNão se aplicaNão se aplicaTIPO 02Não se aplicaNão se aplica",Mercado_Receita!$J$2:$J$475)+SUMIF(Mercado_Receita!$S$2:$S$475,"44409BGeraçãoNão se aplicaNão se aplicaAPENão se aplicaNão se aplica",Mercado_Receita!$J$2:$J$475)</f>
        <v>0</v>
      </c>
      <c r="J13" s="13">
        <f>SUMIF(Mercado_Receita!$S$2:$S$475,"44440BGeraçãoNão se aplicaNão se aplicaTIPO 02Não se aplicaNão se aplica",Mercado_Receita!$J$2:$J$475)+SUMIF(Mercado_Receita!$S$2:$S$475,"44440BGeraçãoNão se aplicaNão se aplicaAPENão se aplicaNão se aplica",Mercado_Receita!$J$2:$J$475)</f>
        <v>0</v>
      </c>
      <c r="K13" s="13">
        <f>SUMIF(Mercado_Receita!$S$2:$S$475,"44470BGeraçãoNão se aplicaNão se aplicaTIPO 02Não se aplicaNão se aplica",Mercado_Receita!$J$2:$J$475)+SUMIF(Mercado_Receita!$S$2:$S$475,"44470BGeraçãoNão se aplicaNão se aplicaAPENão se aplicaNão se aplica",Mercado_Receita!$J$2:$J$475)</f>
        <v>0</v>
      </c>
      <c r="L13" s="13">
        <f>SUMIF(Mercado_Receita!$S$2:$S$475,"44501BGeraçãoNão se aplicaNão se aplicaTIPO 02Não se aplicaNão se aplica",Mercado_Receita!$J$2:$J$475)+SUMIF(Mercado_Receita!$S$2:$S$475,"44501BGeraçãoNão se aplicaNão se aplicaAPENão se aplicaNão se aplica",Mercado_Receita!$J$2:$J$475)</f>
        <v>0</v>
      </c>
      <c r="M13" s="13">
        <f>SUMIF(Mercado_Receita!$S$2:$S$475,"44531BGeraçãoNão se aplicaNão se aplicaTIPO 02Não se aplicaNão se aplica",Mercado_Receita!$J$2:$J$475)+SUMIF(Mercado_Receita!$S$2:$S$475,"44531BGeraçãoNão se aplicaNão se aplicaAPENão se aplicaNão se aplica",Mercado_Receita!$J$2:$J$475)</f>
        <v>0</v>
      </c>
      <c r="N13" s="13">
        <f>SUMIF(Mercado_Receita!$S$2:$S$475,"44562BGeraçãoNão se aplicaNão se aplicaTIPO 02Não se aplicaNão se aplica",Mercado_Receita!$J$2:$J$475)+SUMIF(Mercado_Receita!$S$2:$S$475,"44562BGeraçãoNão se aplicaNão se aplicaAPENão se aplicaNão se aplica",Mercado_Receita!$J$2:$J$475)</f>
        <v>0</v>
      </c>
      <c r="O13" s="13">
        <f>SUMIF(Mercado_Receita!$S$2:$S$475,"44593BGeraçãoNão se aplicaNão se aplicaTIPO 02Não se aplicaNão se aplica",Mercado_Receita!$J$2:$J$475)+SUMIF(Mercado_Receita!$S$2:$S$475,"44593BGeraçãoNão se aplicaNão se aplicaAPENão se aplicaNão se aplica",Mercado_Receita!$J$2:$J$475)</f>
        <v>0</v>
      </c>
      <c r="P13" s="13">
        <f>SUMIF(Mercado_Receita!$S$2:$S$475,"44621BGeraçãoNão se aplicaNão se aplicaTIPO 02Não se aplicaNão se aplica",Mercado_Receita!$J$2:$J$475)+SUMIF(Mercado_Receita!$S$2:$S$475,"44621BGeraçãoNão se aplicaNão se aplicaAPENão se aplicaNão se aplica",Mercado_Receita!$J$2:$J$475)</f>
        <v>0</v>
      </c>
      <c r="Q13" s="13">
        <f>SUMIF(Mercado_Receita!$S$2:$S$475,"44652BGeraçãoNão se aplicaNão se aplicaTIPO 02Não se aplicaNão se aplica",Mercado_Receita!$J$2:$J$475)+SUMIF(Mercado_Receita!$S$2:$S$475,"44652BGeraçãoNão se aplicaNão se aplicaAPENão se aplicaNão se aplica",Mercado_Receita!$J$2:$J$475)</f>
        <v>0</v>
      </c>
      <c r="R13" s="13">
        <f>SUMIF(Mercado_Receita!$S$2:$S$475,"44682BGeraçãoNão se aplicaNão se aplicaTIPO 02Não se aplicaNão se aplica",Mercado_Receita!$J$2:$J$475)+SUMIF(Mercado_Receita!$S$2:$S$475,"44682BGeraçãoNão se aplicaNão se aplicaAPENão se aplicaNão se aplica",Mercado_Receita!$J$2:$J$475)</f>
        <v>0</v>
      </c>
      <c r="S13" s="13">
        <f>SUMIF(Mercado_Receita!$S$2:$S$475,"44713BGeraçãoNão se aplicaNão se aplicaTIPO 02Não se aplicaNão se aplica",Mercado_Receita!$J$2:$J$475)+SUMIF(Mercado_Receita!$S$2:$S$475,"44713BGeraçãoNão se aplicaNão se aplicaAPENão se aplicaNão se aplica",Mercado_Receita!$J$2:$J$475)</f>
        <v>0</v>
      </c>
      <c r="T13" s="13">
        <f>SUMIF(Mercado_Receita!$S$2:$S$475,"44743BGeraçãoNão se aplicaNão se aplicaTIPO 02Não se aplicaNão se aplica",Mercado_Receita!$J$2:$J$475)+SUMIF(Mercado_Receita!$S$2:$S$475,"44743BGeraçãoNão se aplicaNão se aplicaAPENão se aplicaNão se aplica",Mercado_Receita!$J$2:$J$475)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123" t="s">
        <v>22</v>
      </c>
      <c r="B14" s="123" t="s">
        <v>32</v>
      </c>
      <c r="C14" s="123" t="s">
        <v>24</v>
      </c>
      <c r="D14" s="123" t="s">
        <v>24</v>
      </c>
      <c r="E14" s="123" t="s">
        <v>25</v>
      </c>
      <c r="F14" s="123" t="s">
        <v>25</v>
      </c>
      <c r="G14" s="13" t="s">
        <v>76</v>
      </c>
      <c r="H14" s="13" t="s">
        <v>75</v>
      </c>
      <c r="I14" s="13">
        <f>SUMIF(Mercado_Receita!$S$2:$S$475,"44409B1BrancaResidencialResidencialNão se aplicaNão se aplicaPonta",Mercado_Receita!$L$2:$L$475)</f>
        <v>1.7999999999999999E-2</v>
      </c>
      <c r="J14" s="13">
        <f>SUMIF(Mercado_Receita!$S$2:$S$475,"44440B1BrancaResidencialResidencialNão se aplicaNão se aplicaPonta",Mercado_Receita!$L$2:$L$475)</f>
        <v>1.6E-2</v>
      </c>
      <c r="K14" s="13">
        <f>SUMIF(Mercado_Receita!$S$2:$S$475,"44470B1BrancaResidencialResidencialNão se aplicaNão se aplicaPonta",Mercado_Receita!$L$2:$L$475)</f>
        <v>1.7999999999999999E-2</v>
      </c>
      <c r="L14" s="13">
        <f>SUMIF(Mercado_Receita!$S$2:$S$475,"44501B1BrancaResidencialResidencialNão se aplicaNão se aplicaPonta",Mercado_Receita!$L$2:$L$475)</f>
        <v>1.4E-2</v>
      </c>
      <c r="M14" s="13">
        <f>SUMIF(Mercado_Receita!$S$2:$S$475,"44531B1BrancaResidencialResidencialNão se aplicaNão se aplicaPonta",Mercado_Receita!$L$2:$L$475)</f>
        <v>1.7000000000000001E-2</v>
      </c>
      <c r="N14" s="13">
        <f>SUMIF(Mercado_Receita!$S$2:$S$475,"44562B1BrancaResidencialResidencialNão se aplicaNão se aplicaPonta",Mercado_Receita!$L$2:$L$475)</f>
        <v>2.5999999999999999E-2</v>
      </c>
      <c r="O14" s="13">
        <f>SUMIF(Mercado_Receita!$S$2:$S$475,"44593B1BrancaResidencialResidencialNão se aplicaNão se aplicaPonta",Mercado_Receita!$L$2:$L$475)</f>
        <v>0.01</v>
      </c>
      <c r="P14" s="13">
        <f>SUMIF(Mercado_Receita!$S$2:$S$475,"44621B1BrancaResidencialResidencialNão se aplicaNão se aplicaPonta",Mercado_Receita!$L$2:$L$475)</f>
        <v>0.01</v>
      </c>
      <c r="Q14" s="13">
        <f>SUMIF(Mercado_Receita!$S$2:$S$475,"44652B1BrancaResidencialResidencialNão se aplicaNão se aplicaPonta",Mercado_Receita!$L$2:$L$475)</f>
        <v>0.01</v>
      </c>
      <c r="R14" s="13">
        <f>SUMIF(Mercado_Receita!$S$2:$S$475,"44682B1BrancaResidencialResidencialNão se aplicaNão se aplicaPonta",Mercado_Receita!$L$2:$L$475)</f>
        <v>8.9999999999999993E-3</v>
      </c>
      <c r="S14" s="13">
        <f>SUMIF(Mercado_Receita!$S$2:$S$475,"44713B1BrancaResidencialResidencialNão se aplicaNão se aplicaPonta",Mercado_Receita!$L$2:$L$475)</f>
        <v>1.0999999999999999E-2</v>
      </c>
      <c r="T14" s="13">
        <f>SUMIF(Mercado_Receita!$S$2:$S$475,"44743B1BrancaResidencialResidencialNão se aplicaNão se aplicaPonta",Mercado_Receita!$L$2:$L$475)</f>
        <v>1.0999999999999999E-2</v>
      </c>
      <c r="U14" s="13">
        <f t="shared" si="0"/>
        <v>0.17000000000000004</v>
      </c>
      <c r="V14" s="13"/>
      <c r="W14" s="13"/>
    </row>
    <row r="15" spans="1:30" ht="11.25" customHeight="1" x14ac:dyDescent="0.25">
      <c r="A15" s="124"/>
      <c r="B15" s="124"/>
      <c r="C15" s="124"/>
      <c r="D15" s="124"/>
      <c r="E15" s="124"/>
      <c r="F15" s="124"/>
      <c r="G15" s="13" t="s">
        <v>88</v>
      </c>
      <c r="H15" s="13" t="s">
        <v>75</v>
      </c>
      <c r="I15" s="13">
        <f>SUMIF(Mercado_Receita!$S$2:$S$475,"44409B1BrancaResidencialResidencialNão se aplicaNão se aplicaIntermediário",Mercado_Receita!$L$2:$L$475)</f>
        <v>1.0999999999999999E-2</v>
      </c>
      <c r="J15" s="13">
        <f>SUMIF(Mercado_Receita!$S$2:$S$475,"44440B1BrancaResidencialResidencialNão se aplicaNão se aplicaIntermediário",Mercado_Receita!$L$2:$L$475)</f>
        <v>8.9999999999999993E-3</v>
      </c>
      <c r="K15" s="13">
        <f>SUMIF(Mercado_Receita!$S$2:$S$475,"44470B1BrancaResidencialResidencialNão se aplicaNão se aplicaIntermediário",Mercado_Receita!$L$2:$L$475)</f>
        <v>1.6E-2</v>
      </c>
      <c r="L15" s="13">
        <f>SUMIF(Mercado_Receita!$S$2:$S$475,"44501B1BrancaResidencialResidencialNão se aplicaNão se aplicaIntermediário",Mercado_Receita!$L$2:$L$475)</f>
        <v>8.9999999999999993E-3</v>
      </c>
      <c r="M15" s="13">
        <f>SUMIF(Mercado_Receita!$S$2:$S$475,"44531B1BrancaResidencialResidencialNão se aplicaNão se aplicaIntermediário",Mercado_Receita!$L$2:$L$475)</f>
        <v>1.6E-2</v>
      </c>
      <c r="N15" s="13">
        <f>SUMIF(Mercado_Receita!$S$2:$S$475,"44562B1BrancaResidencialResidencialNão se aplicaNão se aplicaIntermediário",Mercado_Receita!$L$2:$L$475)</f>
        <v>0.02</v>
      </c>
      <c r="O15" s="13">
        <f>SUMIF(Mercado_Receita!$S$2:$S$475,"44593B1BrancaResidencialResidencialNão se aplicaNão se aplicaIntermediário",Mercado_Receita!$L$2:$L$475)</f>
        <v>7.0000000000000001E-3</v>
      </c>
      <c r="P15" s="13">
        <f>SUMIF(Mercado_Receita!$S$2:$S$475,"44621B1BrancaResidencialResidencialNão se aplicaNão se aplicaIntermediário",Mercado_Receita!$L$2:$L$475)</f>
        <v>1.2999999999999999E-2</v>
      </c>
      <c r="Q15" s="13">
        <f>SUMIF(Mercado_Receita!$S$2:$S$475,"44652B1BrancaResidencialResidencialNão se aplicaNão se aplicaIntermediário",Mercado_Receita!$L$2:$L$475)</f>
        <v>8.0000000000000002E-3</v>
      </c>
      <c r="R15" s="13">
        <f>SUMIF(Mercado_Receita!$S$2:$S$475,"44682B1BrancaResidencialResidencialNão se aplicaNão se aplicaIntermediário",Mercado_Receita!$L$2:$L$475)</f>
        <v>5.0000000000000001E-3</v>
      </c>
      <c r="S15" s="13">
        <f>SUMIF(Mercado_Receita!$S$2:$S$475,"44713B1BrancaResidencialResidencialNão se aplicaNão se aplicaIntermediário",Mercado_Receita!$L$2:$L$475)</f>
        <v>8.0000000000000002E-3</v>
      </c>
      <c r="T15" s="13">
        <f>SUMIF(Mercado_Receita!$S$2:$S$475,"44743B1BrancaResidencialResidencialNão se aplicaNão se aplicaIntermediário",Mercado_Receita!$L$2:$L$475)</f>
        <v>8.0000000000000002E-3</v>
      </c>
      <c r="U15" s="13">
        <f t="shared" si="0"/>
        <v>0.13000000000000003</v>
      </c>
      <c r="V15" s="13"/>
      <c r="W15" s="13"/>
    </row>
    <row r="16" spans="1:30" ht="11.25" customHeight="1" x14ac:dyDescent="0.25">
      <c r="A16" s="124"/>
      <c r="B16" s="124"/>
      <c r="C16" s="124"/>
      <c r="D16" s="124"/>
      <c r="E16" s="124"/>
      <c r="F16" s="124"/>
      <c r="G16" s="13" t="s">
        <v>77</v>
      </c>
      <c r="H16" s="13" t="s">
        <v>75</v>
      </c>
      <c r="I16" s="13">
        <f>SUMIF(Mercado_Receita!$S$2:$S$475,"44409B1BrancaResidencialResidencialNão se aplicaNão se aplicaFora ponta",Mercado_Receita!$L$2:$L$475)</f>
        <v>0.20899999999999999</v>
      </c>
      <c r="J16" s="13">
        <f>SUMIF(Mercado_Receita!$S$2:$S$475,"44440B1BrancaResidencialResidencialNão se aplicaNão se aplicaFora ponta",Mercado_Receita!$L$2:$L$475)</f>
        <v>0.16200000000000001</v>
      </c>
      <c r="K16" s="13">
        <f>SUMIF(Mercado_Receita!$S$2:$S$475,"44470B1BrancaResidencialResidencialNão se aplicaNão se aplicaFora ponta",Mercado_Receita!$L$2:$L$475)</f>
        <v>0.20200000000000001</v>
      </c>
      <c r="L16" s="13">
        <f>SUMIF(Mercado_Receita!$S$2:$S$475,"44501B1BrancaResidencialResidencialNão se aplicaNão se aplicaFora ponta",Mercado_Receita!$L$2:$L$475)</f>
        <v>0.182</v>
      </c>
      <c r="M16" s="13">
        <f>SUMIF(Mercado_Receita!$S$2:$S$475,"44531B1BrancaResidencialResidencialNão se aplicaNão se aplicaFora ponta",Mercado_Receita!$L$2:$L$475)</f>
        <v>0.28599999999999998</v>
      </c>
      <c r="N16" s="13">
        <f>SUMIF(Mercado_Receita!$S$2:$S$475,"44562B1BrancaResidencialResidencialNão se aplicaNão se aplicaFora ponta",Mercado_Receita!$L$2:$L$475)</f>
        <v>0.47099999999999997</v>
      </c>
      <c r="O16" s="13">
        <f>SUMIF(Mercado_Receita!$S$2:$S$475,"44593B1BrancaResidencialResidencialNão se aplicaNão se aplicaFora ponta",Mercado_Receita!$L$2:$L$475)</f>
        <v>0.20799999999999999</v>
      </c>
      <c r="P16" s="13">
        <f>SUMIF(Mercado_Receita!$S$2:$S$475,"44621B1BrancaResidencialResidencialNão se aplicaNão se aplicaFora ponta",Mercado_Receita!$L$2:$L$475)</f>
        <v>0.36099999999999999</v>
      </c>
      <c r="Q16" s="13">
        <f>SUMIF(Mercado_Receita!$S$2:$S$475,"44652B1BrancaResidencialResidencialNão se aplicaNão se aplicaFora ponta",Mercado_Receita!$L$2:$L$475)</f>
        <v>0.12</v>
      </c>
      <c r="R16" s="13">
        <f>SUMIF(Mercado_Receita!$S$2:$S$475,"44682B1BrancaResidencialResidencialNão se aplicaNão se aplicaFora ponta",Mercado_Receita!$L$2:$L$475)</f>
        <v>7.2999999999999995E-2</v>
      </c>
      <c r="S16" s="13">
        <f>SUMIF(Mercado_Receita!$S$2:$S$475,"44713B1BrancaResidencialResidencialNão se aplicaNão se aplicaFora ponta",Mercado_Receita!$L$2:$L$475)</f>
        <v>0.09</v>
      </c>
      <c r="T16" s="13">
        <f>SUMIF(Mercado_Receita!$S$2:$S$475,"44743B1BrancaResidencialResidencialNão se aplicaNão se aplicaFora ponta",Mercado_Receita!$L$2:$L$475)</f>
        <v>0.09</v>
      </c>
      <c r="U16" s="13">
        <f t="shared" si="0"/>
        <v>2.4539999999999997</v>
      </c>
      <c r="V16" s="13"/>
      <c r="W16" s="13"/>
    </row>
    <row r="17" spans="1:23" ht="11.25" customHeight="1" x14ac:dyDescent="0.25">
      <c r="A17" s="124"/>
      <c r="B17" s="123" t="s">
        <v>23</v>
      </c>
      <c r="C17" s="123" t="s">
        <v>24</v>
      </c>
      <c r="D17" s="12" t="s">
        <v>24</v>
      </c>
      <c r="E17" s="12" t="s">
        <v>25</v>
      </c>
      <c r="F17" s="12" t="s">
        <v>25</v>
      </c>
      <c r="G17" s="13" t="s">
        <v>79</v>
      </c>
      <c r="H17" s="13" t="s">
        <v>75</v>
      </c>
      <c r="I17" s="13">
        <f>SUMIF(Mercado_Receita!$S$2:$S$475,"44409B1ConvencionalResidencialResidencialNão se aplicaNão se aplicaPonta",Mercado_Receita!$L$2:$L$475)+SUMIF(Mercado_Receita!$S$2:$S$475,"44409B1ConvencionalResidencialResidencialNão se aplicaNão se aplicaFora ponta",Mercado_Receita!$L$2:$L$475)+SUMIF(Mercado_Receita!$S$2:$S$475,"44409B1ConvencionalResidencialResidencialNão se aplicaNão se aplicaIntermediário",Mercado_Receita!$L$2:$L$475)+SUMIF(Mercado_Receita!$S$2:$S$475,"44409B1ConvencionalResidencialResidencialNão se aplicaNão se aplicaNão se aplica",Mercado_Receita!$L$2:$L$475)</f>
        <v>863.58299999999997</v>
      </c>
      <c r="J17" s="13">
        <f>SUMIF(Mercado_Receita!$S$2:$S$475,"44440B1ConvencionalResidencialResidencialNão se aplicaNão se aplicaPonta",Mercado_Receita!$L$2:$L$475)+SUMIF(Mercado_Receita!$S$2:$S$475,"44440B1ConvencionalResidencialResidencialNão se aplicaNão se aplicaFora ponta",Mercado_Receita!$L$2:$L$475)+SUMIF(Mercado_Receita!$S$2:$S$475,"44440B1ConvencionalResidencialResidencialNão se aplicaNão se aplicaIntermediário",Mercado_Receita!$L$2:$L$475)+SUMIF(Mercado_Receita!$S$2:$S$475,"44440B1ConvencionalResidencialResidencialNão se aplicaNão se aplicaNão se aplica",Mercado_Receita!$L$2:$L$475)</f>
        <v>912.76200000000006</v>
      </c>
      <c r="K17" s="13">
        <f>SUMIF(Mercado_Receita!$S$2:$S$475,"44470B1ConvencionalResidencialResidencialNão se aplicaNão se aplicaPonta",Mercado_Receita!$L$2:$L$475)+SUMIF(Mercado_Receita!$S$2:$S$475,"44470B1ConvencionalResidencialResidencialNão se aplicaNão se aplicaFora ponta",Mercado_Receita!$L$2:$L$475)+SUMIF(Mercado_Receita!$S$2:$S$475,"44470B1ConvencionalResidencialResidencialNão se aplicaNão se aplicaIntermediário",Mercado_Receita!$L$2:$L$475)+SUMIF(Mercado_Receita!$S$2:$S$475,"44470B1ConvencionalResidencialResidencialNão se aplicaNão se aplicaNão se aplica",Mercado_Receita!$L$2:$L$475)</f>
        <v>814.00700000000006</v>
      </c>
      <c r="L17" s="13">
        <f>SUMIF(Mercado_Receita!$S$2:$S$475,"44501B1ConvencionalResidencialResidencialNão se aplicaNão se aplicaPonta",Mercado_Receita!$L$2:$L$475)+SUMIF(Mercado_Receita!$S$2:$S$475,"44501B1ConvencionalResidencialResidencialNão se aplicaNão se aplicaFora ponta",Mercado_Receita!$L$2:$L$475)+SUMIF(Mercado_Receita!$S$2:$S$475,"44501B1ConvencionalResidencialResidencialNão se aplicaNão se aplicaIntermediário",Mercado_Receita!$L$2:$L$475)+SUMIF(Mercado_Receita!$S$2:$S$475,"44501B1ConvencionalResidencialResidencialNão se aplicaNão se aplicaNão se aplica",Mercado_Receita!$L$2:$L$475)</f>
        <v>887.0630000000001</v>
      </c>
      <c r="M17" s="13">
        <f>SUMIF(Mercado_Receita!$S$2:$S$475,"44531B1ConvencionalResidencialResidencialNão se aplicaNão se aplicaPonta",Mercado_Receita!$L$2:$L$475)+SUMIF(Mercado_Receita!$S$2:$S$475,"44531B1ConvencionalResidencialResidencialNão se aplicaNão se aplicaFora ponta",Mercado_Receita!$L$2:$L$475)+SUMIF(Mercado_Receita!$S$2:$S$475,"44531B1ConvencionalResidencialResidencialNão se aplicaNão se aplicaIntermediário",Mercado_Receita!$L$2:$L$475)+SUMIF(Mercado_Receita!$S$2:$S$475,"44531B1ConvencionalResidencialResidencialNão se aplicaNão se aplicaNão se aplica",Mercado_Receita!$L$2:$L$475)</f>
        <v>1000.0519999999999</v>
      </c>
      <c r="N17" s="13">
        <f>SUMIF(Mercado_Receita!$S$2:$S$475,"44562B1ConvencionalResidencialResidencialNão se aplicaNão se aplicaPonta",Mercado_Receita!$L$2:$L$475)+SUMIF(Mercado_Receita!$S$2:$S$475,"44562B1ConvencionalResidencialResidencialNão se aplicaNão se aplicaFora ponta",Mercado_Receita!$L$2:$L$475)+SUMIF(Mercado_Receita!$S$2:$S$475,"44562B1ConvencionalResidencialResidencialNão se aplicaNão se aplicaIntermediário",Mercado_Receita!$L$2:$L$475)+SUMIF(Mercado_Receita!$S$2:$S$475,"44562B1ConvencionalResidencialResidencialNão se aplicaNão se aplicaNão se aplica",Mercado_Receita!$L$2:$L$475)</f>
        <v>972.53599999999994</v>
      </c>
      <c r="O17" s="13">
        <f>SUMIF(Mercado_Receita!$S$2:$S$475,"44593B1ConvencionalResidencialResidencialNão se aplicaNão se aplicaPonta",Mercado_Receita!$L$2:$L$475)+SUMIF(Mercado_Receita!$S$2:$S$475,"44593B1ConvencionalResidencialResidencialNão se aplicaNão se aplicaFora ponta",Mercado_Receita!$L$2:$L$475)+SUMIF(Mercado_Receita!$S$2:$S$475,"44593B1ConvencionalResidencialResidencialNão se aplicaNão se aplicaIntermediário",Mercado_Receita!$L$2:$L$475)+SUMIF(Mercado_Receita!$S$2:$S$475,"44593B1ConvencionalResidencialResidencialNão se aplicaNão se aplicaNão se aplica",Mercado_Receita!$L$2:$L$475)</f>
        <v>860.76300000000003</v>
      </c>
      <c r="P17" s="13">
        <f>SUMIF(Mercado_Receita!$S$2:$S$475,"44621B1ConvencionalResidencialResidencialNão se aplicaNão se aplicaPonta",Mercado_Receita!$L$2:$L$475)+SUMIF(Mercado_Receita!$S$2:$S$475,"44621B1ConvencionalResidencialResidencialNão se aplicaNão se aplicaFora ponta",Mercado_Receita!$L$2:$L$475)+SUMIF(Mercado_Receita!$S$2:$S$475,"44621B1ConvencionalResidencialResidencialNão se aplicaNão se aplicaIntermediário",Mercado_Receita!$L$2:$L$475)+SUMIF(Mercado_Receita!$S$2:$S$475,"44621B1ConvencionalResidencialResidencialNão se aplicaNão se aplicaNão se aplica",Mercado_Receita!$L$2:$L$475)</f>
        <v>941.65800000000002</v>
      </c>
      <c r="Q17" s="13">
        <f>SUMIF(Mercado_Receita!$S$2:$S$475,"44652B1ConvencionalResidencialResidencialNão se aplicaNão se aplicaPonta",Mercado_Receita!$L$2:$L$475)+SUMIF(Mercado_Receita!$S$2:$S$475,"44652B1ConvencionalResidencialResidencialNão se aplicaNão se aplicaFora ponta",Mercado_Receita!$L$2:$L$475)+SUMIF(Mercado_Receita!$S$2:$S$475,"44652B1ConvencionalResidencialResidencialNão se aplicaNão se aplicaIntermediário",Mercado_Receita!$L$2:$L$475)+SUMIF(Mercado_Receita!$S$2:$S$475,"44652B1ConvencionalResidencialResidencialNão se aplicaNão se aplicaNão se aplica",Mercado_Receita!$L$2:$L$475)</f>
        <v>829.50900000000001</v>
      </c>
      <c r="R17" s="13">
        <f>SUMIF(Mercado_Receita!$S$2:$S$475,"44682B1ConvencionalResidencialResidencialNão se aplicaNão se aplicaPonta",Mercado_Receita!$L$2:$L$475)+SUMIF(Mercado_Receita!$S$2:$S$475,"44682B1ConvencionalResidencialResidencialNão se aplicaNão se aplicaFora ponta",Mercado_Receita!$L$2:$L$475)+SUMIF(Mercado_Receita!$S$2:$S$475,"44682B1ConvencionalResidencialResidencialNão se aplicaNão se aplicaIntermediário",Mercado_Receita!$L$2:$L$475)+SUMIF(Mercado_Receita!$S$2:$S$475,"44682B1ConvencionalResidencialResidencialNão se aplicaNão se aplicaNão se aplica",Mercado_Receita!$L$2:$L$475)</f>
        <v>804.31200000000001</v>
      </c>
      <c r="S17" s="13">
        <f>SUMIF(Mercado_Receita!$S$2:$S$475,"44713B1ConvencionalResidencialResidencialNão se aplicaNão se aplicaPonta",Mercado_Receita!$L$2:$L$475)+SUMIF(Mercado_Receita!$S$2:$S$475,"44713B1ConvencionalResidencialResidencialNão se aplicaNão se aplicaFora ponta",Mercado_Receita!$L$2:$L$475)+SUMIF(Mercado_Receita!$S$2:$S$475,"44713B1ConvencionalResidencialResidencialNão se aplicaNão se aplicaIntermediário",Mercado_Receita!$L$2:$L$475)+SUMIF(Mercado_Receita!$S$2:$S$475,"44713B1ConvencionalResidencialResidencialNão se aplicaNão se aplicaNão se aplica",Mercado_Receita!$L$2:$L$475)</f>
        <v>844.36800000000005</v>
      </c>
      <c r="T17" s="13">
        <f>SUMIF(Mercado_Receita!$S$2:$S$475,"44743B1ConvencionalResidencialResidencialNão se aplicaNão se aplicaPonta",Mercado_Receita!$L$2:$L$475)+SUMIF(Mercado_Receita!$S$2:$S$475,"44743B1ConvencionalResidencialResidencialNão se aplicaNão se aplicaFora ponta",Mercado_Receita!$L$2:$L$475)+SUMIF(Mercado_Receita!$S$2:$S$475,"44743B1ConvencionalResidencialResidencialNão se aplicaNão se aplicaIntermediário",Mercado_Receita!$L$2:$L$475)+SUMIF(Mercado_Receita!$S$2:$S$475,"44743B1ConvencionalResidencialResidencialNão se aplicaNão se aplicaNão se aplica",Mercado_Receita!$L$2:$L$475)</f>
        <v>844.36800000000005</v>
      </c>
      <c r="U17" s="13">
        <f t="shared" si="0"/>
        <v>10574.981000000002</v>
      </c>
      <c r="V17" s="13"/>
      <c r="W17" s="13"/>
    </row>
    <row r="18" spans="1:23" ht="11.25" customHeight="1" x14ac:dyDescent="0.25">
      <c r="A18" s="124"/>
      <c r="B18" s="124"/>
      <c r="C18" s="124"/>
      <c r="D18" s="12" t="s">
        <v>28</v>
      </c>
      <c r="E18" s="12" t="s">
        <v>25</v>
      </c>
      <c r="F18" s="12" t="s">
        <v>25</v>
      </c>
      <c r="G18" s="13" t="s">
        <v>79</v>
      </c>
      <c r="H18" s="13" t="s">
        <v>75</v>
      </c>
      <c r="I18" s="13">
        <f>SUMIF(Mercado_Receita!$S$2:$S$475,"44409B1ConvencionalResidencialResidencial baixa renda – faixa 01Não se aplicaNão se aplicaPonta",Mercado_Receita!$L$2:$L$475)+SUMIF(Mercado_Receita!$S$2:$S$475,"44409B1ConvencionalResidencialResidencial baixa renda – faixa 01Não se aplicaNão se aplicaFora ponta",Mercado_Receita!$L$2:$L$475)+SUMIF(Mercado_Receita!$S$2:$S$475,"44409B1ConvencionalResidencialResidencial baixa renda – faixa 01Não se aplicaNão se aplicaIntermediário",Mercado_Receita!$L$2:$L$475)+SUMIF(Mercado_Receita!$S$2:$S$475,"44409B1ConvencionalResidencialResidencial baixa renda – faixa 01Não se aplicaNão se aplicaNão se aplica",Mercado_Receita!$L$2:$L$475)</f>
        <v>17.309999999999999</v>
      </c>
      <c r="J18" s="13">
        <f>SUMIF(Mercado_Receita!$S$2:$S$475,"44440B1ConvencionalResidencialResidencial baixa renda – faixa 01Não se aplicaNão se aplicaPonta",Mercado_Receita!$L$2:$L$475)+SUMIF(Mercado_Receita!$S$2:$S$475,"44440B1ConvencionalResidencialResidencial baixa renda – faixa 01Não se aplicaNão se aplicaFora ponta",Mercado_Receita!$L$2:$L$475)+SUMIF(Mercado_Receita!$S$2:$S$475,"44440B1ConvencionalResidencialResidencial baixa renda – faixa 01Não se aplicaNão se aplicaIntermediário",Mercado_Receita!$L$2:$L$475)+SUMIF(Mercado_Receita!$S$2:$S$475,"44440B1ConvencionalResidencialResidencial baixa renda – faixa 01Não se aplicaNão se aplicaNão se aplica",Mercado_Receita!$L$2:$L$475)</f>
        <v>16.2</v>
      </c>
      <c r="K18" s="13">
        <f>SUMIF(Mercado_Receita!$S$2:$S$475,"44470B1ConvencionalResidencialResidencial baixa renda – faixa 01Não se aplicaNão se aplicaPonta",Mercado_Receita!$L$2:$L$475)+SUMIF(Mercado_Receita!$S$2:$S$475,"44470B1ConvencionalResidencialResidencial baixa renda – faixa 01Não se aplicaNão se aplicaFora ponta",Mercado_Receita!$L$2:$L$475)+SUMIF(Mercado_Receita!$S$2:$S$475,"44470B1ConvencionalResidencialResidencial baixa renda – faixa 01Não se aplicaNão se aplicaIntermediário",Mercado_Receita!$L$2:$L$475)+SUMIF(Mercado_Receita!$S$2:$S$475,"44470B1ConvencionalResidencialResidencial baixa renda – faixa 01Não se aplicaNão se aplicaNão se aplica",Mercado_Receita!$L$2:$L$475)</f>
        <v>15.93</v>
      </c>
      <c r="L18" s="13">
        <f>SUMIF(Mercado_Receita!$S$2:$S$475,"44501B1ConvencionalResidencialResidencial baixa renda – faixa 01Não se aplicaNão se aplicaPonta",Mercado_Receita!$L$2:$L$475)+SUMIF(Mercado_Receita!$S$2:$S$475,"44501B1ConvencionalResidencialResidencial baixa renda – faixa 01Não se aplicaNão se aplicaFora ponta",Mercado_Receita!$L$2:$L$475)+SUMIF(Mercado_Receita!$S$2:$S$475,"44501B1ConvencionalResidencialResidencial baixa renda – faixa 01Não se aplicaNão se aplicaIntermediário",Mercado_Receita!$L$2:$L$475)+SUMIF(Mercado_Receita!$S$2:$S$475,"44501B1ConvencionalResidencialResidencial baixa renda – faixa 01Não se aplicaNão se aplicaNão se aplica",Mercado_Receita!$L$2:$L$475)</f>
        <v>16.260000000000002</v>
      </c>
      <c r="M18" s="13">
        <f>SUMIF(Mercado_Receita!$S$2:$S$475,"44531B1ConvencionalResidencialResidencial baixa renda – faixa 01Não se aplicaNão se aplicaPonta",Mercado_Receita!$L$2:$L$475)+SUMIF(Mercado_Receita!$S$2:$S$475,"44531B1ConvencionalResidencialResidencial baixa renda – faixa 01Não se aplicaNão se aplicaFora ponta",Mercado_Receita!$L$2:$L$475)+SUMIF(Mercado_Receita!$S$2:$S$475,"44531B1ConvencionalResidencialResidencial baixa renda – faixa 01Não se aplicaNão se aplicaIntermediário",Mercado_Receita!$L$2:$L$475)+SUMIF(Mercado_Receita!$S$2:$S$475,"44531B1ConvencionalResidencialResidencial baixa renda – faixa 01Não se aplicaNão se aplicaNão se aplica",Mercado_Receita!$L$2:$L$475)</f>
        <v>16.62</v>
      </c>
      <c r="N18" s="13">
        <f>SUMIF(Mercado_Receita!$S$2:$S$475,"44562B1ConvencionalResidencialResidencial baixa renda – faixa 01Não se aplicaNão se aplicaPonta",Mercado_Receita!$L$2:$L$475)+SUMIF(Mercado_Receita!$S$2:$S$475,"44562B1ConvencionalResidencialResidencial baixa renda – faixa 01Não se aplicaNão se aplicaFora ponta",Mercado_Receita!$L$2:$L$475)+SUMIF(Mercado_Receita!$S$2:$S$475,"44562B1ConvencionalResidencialResidencial baixa renda – faixa 01Não se aplicaNão se aplicaIntermediário",Mercado_Receita!$L$2:$L$475)+SUMIF(Mercado_Receita!$S$2:$S$475,"44562B1ConvencionalResidencialResidencial baixa renda – faixa 01Não se aplicaNão se aplicaNão se aplica",Mercado_Receita!$L$2:$L$475)</f>
        <v>16.739999999999998</v>
      </c>
      <c r="O18" s="13">
        <f>SUMIF(Mercado_Receita!$S$2:$S$475,"44593B1ConvencionalResidencialResidencial baixa renda – faixa 01Não se aplicaNão se aplicaPonta",Mercado_Receita!$L$2:$L$475)+SUMIF(Mercado_Receita!$S$2:$S$475,"44593B1ConvencionalResidencialResidencial baixa renda – faixa 01Não se aplicaNão se aplicaFora ponta",Mercado_Receita!$L$2:$L$475)+SUMIF(Mercado_Receita!$S$2:$S$475,"44593B1ConvencionalResidencialResidencial baixa renda – faixa 01Não se aplicaNão se aplicaIntermediário",Mercado_Receita!$L$2:$L$475)+SUMIF(Mercado_Receita!$S$2:$S$475,"44593B1ConvencionalResidencialResidencial baixa renda – faixa 01Não se aplicaNão se aplicaNão se aplica",Mercado_Receita!$L$2:$L$475)</f>
        <v>16.940000000000001</v>
      </c>
      <c r="P18" s="13">
        <f>SUMIF(Mercado_Receita!$S$2:$S$475,"44621B1ConvencionalResidencialResidencial baixa renda – faixa 01Não se aplicaNão se aplicaPonta",Mercado_Receita!$L$2:$L$475)+SUMIF(Mercado_Receita!$S$2:$S$475,"44621B1ConvencionalResidencialResidencial baixa renda – faixa 01Não se aplicaNão se aplicaFora ponta",Mercado_Receita!$L$2:$L$475)+SUMIF(Mercado_Receita!$S$2:$S$475,"44621B1ConvencionalResidencialResidencial baixa renda – faixa 01Não se aplicaNão se aplicaIntermediário",Mercado_Receita!$L$2:$L$475)+SUMIF(Mercado_Receita!$S$2:$S$475,"44621B1ConvencionalResidencialResidencial baixa renda – faixa 01Não se aplicaNão se aplicaNão se aplica",Mercado_Receita!$L$2:$L$475)</f>
        <v>17.22</v>
      </c>
      <c r="Q18" s="13">
        <f>SUMIF(Mercado_Receita!$S$2:$S$475,"44652B1ConvencionalResidencialResidencial baixa renda – faixa 01Não se aplicaNão se aplicaPonta",Mercado_Receita!$L$2:$L$475)+SUMIF(Mercado_Receita!$S$2:$S$475,"44652B1ConvencionalResidencialResidencial baixa renda – faixa 01Não se aplicaNão se aplicaFora ponta",Mercado_Receita!$L$2:$L$475)+SUMIF(Mercado_Receita!$S$2:$S$475,"44652B1ConvencionalResidencialResidencial baixa renda – faixa 01Não se aplicaNão se aplicaIntermediário",Mercado_Receita!$L$2:$L$475)+SUMIF(Mercado_Receita!$S$2:$S$475,"44652B1ConvencionalResidencialResidencial baixa renda – faixa 01Não se aplicaNão se aplicaNão se aplica",Mercado_Receita!$L$2:$L$475)</f>
        <v>17.399999999999999</v>
      </c>
      <c r="R18" s="13">
        <f>SUMIF(Mercado_Receita!$S$2:$S$475,"44682B1ConvencionalResidencialResidencial baixa renda – faixa 01Não se aplicaNão se aplicaPonta",Mercado_Receita!$L$2:$L$475)+SUMIF(Mercado_Receita!$S$2:$S$475,"44682B1ConvencionalResidencialResidencial baixa renda – faixa 01Não se aplicaNão se aplicaFora ponta",Mercado_Receita!$L$2:$L$475)+SUMIF(Mercado_Receita!$S$2:$S$475,"44682B1ConvencionalResidencialResidencial baixa renda – faixa 01Não se aplicaNão se aplicaIntermediário",Mercado_Receita!$L$2:$L$475)+SUMIF(Mercado_Receita!$S$2:$S$475,"44682B1ConvencionalResidencialResidencial baixa renda – faixa 01Não se aplicaNão se aplicaNão se aplica",Mercado_Receita!$L$2:$L$475)</f>
        <v>17.7</v>
      </c>
      <c r="S18" s="13">
        <f>SUMIF(Mercado_Receita!$S$2:$S$475,"44713B1ConvencionalResidencialResidencial baixa renda – faixa 01Não se aplicaNão se aplicaPonta",Mercado_Receita!$L$2:$L$475)+SUMIF(Mercado_Receita!$S$2:$S$475,"44713B1ConvencionalResidencialResidencial baixa renda – faixa 01Não se aplicaNão se aplicaFora ponta",Mercado_Receita!$L$2:$L$475)+SUMIF(Mercado_Receita!$S$2:$S$475,"44713B1ConvencionalResidencialResidencial baixa renda – faixa 01Não se aplicaNão se aplicaIntermediário",Mercado_Receita!$L$2:$L$475)+SUMIF(Mercado_Receita!$S$2:$S$475,"44713B1ConvencionalResidencialResidencial baixa renda – faixa 01Não se aplicaNão se aplicaNão se aplica",Mercado_Receita!$L$2:$L$475)</f>
        <v>18.149999999999999</v>
      </c>
      <c r="T18" s="13">
        <f>SUMIF(Mercado_Receita!$S$2:$S$475,"44743B1ConvencionalResidencialResidencial baixa renda – faixa 01Não se aplicaNão se aplicaPonta",Mercado_Receita!$L$2:$L$475)+SUMIF(Mercado_Receita!$S$2:$S$475,"44743B1ConvencionalResidencialResidencial baixa renda – faixa 01Não se aplicaNão se aplicaFora ponta",Mercado_Receita!$L$2:$L$475)+SUMIF(Mercado_Receita!$S$2:$S$475,"44743B1ConvencionalResidencialResidencial baixa renda – faixa 01Não se aplicaNão se aplicaIntermediário",Mercado_Receita!$L$2:$L$475)+SUMIF(Mercado_Receita!$S$2:$S$475,"44743B1ConvencionalResidencialResidencial baixa renda – faixa 01Não se aplicaNão se aplicaNão se aplica",Mercado_Receita!$L$2:$L$475)</f>
        <v>18.149999999999999</v>
      </c>
      <c r="U18" s="13">
        <f t="shared" si="0"/>
        <v>204.62</v>
      </c>
      <c r="V18" s="13"/>
      <c r="W18" s="13"/>
    </row>
    <row r="19" spans="1:23" ht="11.25" customHeight="1" x14ac:dyDescent="0.25">
      <c r="A19" s="124"/>
      <c r="B19" s="124"/>
      <c r="C19" s="124"/>
      <c r="D19" s="12" t="s">
        <v>29</v>
      </c>
      <c r="E19" s="12" t="s">
        <v>25</v>
      </c>
      <c r="F19" s="12" t="s">
        <v>25</v>
      </c>
      <c r="G19" s="13" t="s">
        <v>79</v>
      </c>
      <c r="H19" s="13" t="s">
        <v>75</v>
      </c>
      <c r="I19" s="13">
        <f>SUMIF(Mercado_Receita!$S$2:$S$475,"44409B1ConvencionalResidencialResidencial baixa renda – faixa 02Não se aplicaNão se aplicaPonta",Mercado_Receita!$L$2:$L$475)+SUMIF(Mercado_Receita!$S$2:$S$475,"44409B1ConvencionalResidencialResidencial baixa renda – faixa 02Não se aplicaNão se aplicaFora ponta",Mercado_Receita!$L$2:$L$475)+SUMIF(Mercado_Receita!$S$2:$S$475,"44409B1ConvencionalResidencialResidencial baixa renda – faixa 02Não se aplicaNão se aplicaIntermediário",Mercado_Receita!$L$2:$L$475)+SUMIF(Mercado_Receita!$S$2:$S$475,"44409B1ConvencionalResidencialResidencial baixa renda – faixa 02Não se aplicaNão se aplicaNão se aplica",Mercado_Receita!$L$2:$L$475)</f>
        <v>30.582999999999998</v>
      </c>
      <c r="J19" s="13">
        <f>SUMIF(Mercado_Receita!$S$2:$S$475,"44440B1ConvencionalResidencialResidencial baixa renda – faixa 02Não se aplicaNão se aplicaPonta",Mercado_Receita!$L$2:$L$475)+SUMIF(Mercado_Receita!$S$2:$S$475,"44440B1ConvencionalResidencialResidencial baixa renda – faixa 02Não se aplicaNão se aplicaFora ponta",Mercado_Receita!$L$2:$L$475)+SUMIF(Mercado_Receita!$S$2:$S$475,"44440B1ConvencionalResidencialResidencial baixa renda – faixa 02Não se aplicaNão se aplicaIntermediário",Mercado_Receita!$L$2:$L$475)+SUMIF(Mercado_Receita!$S$2:$S$475,"44440B1ConvencionalResidencialResidencial baixa renda – faixa 02Não se aplicaNão se aplicaNão se aplica",Mercado_Receita!$L$2:$L$475)</f>
        <v>30.933</v>
      </c>
      <c r="K19" s="13">
        <f>SUMIF(Mercado_Receita!$S$2:$S$475,"44470B1ConvencionalResidencialResidencial baixa renda – faixa 02Não se aplicaNão se aplicaPonta",Mercado_Receita!$L$2:$L$475)+SUMIF(Mercado_Receita!$S$2:$S$475,"44470B1ConvencionalResidencialResidencial baixa renda – faixa 02Não se aplicaNão se aplicaFora ponta",Mercado_Receita!$L$2:$L$475)+SUMIF(Mercado_Receita!$S$2:$S$475,"44470B1ConvencionalResidencialResidencial baixa renda – faixa 02Não se aplicaNão se aplicaIntermediário",Mercado_Receita!$L$2:$L$475)+SUMIF(Mercado_Receita!$S$2:$S$475,"44470B1ConvencionalResidencialResidencial baixa renda – faixa 02Não se aplicaNão se aplicaNão se aplica",Mercado_Receita!$L$2:$L$475)</f>
        <v>28.279</v>
      </c>
      <c r="L19" s="13">
        <f>SUMIF(Mercado_Receita!$S$2:$S$475,"44501B1ConvencionalResidencialResidencial baixa renda – faixa 02Não se aplicaNão se aplicaPonta",Mercado_Receita!$L$2:$L$475)+SUMIF(Mercado_Receita!$S$2:$S$475,"44501B1ConvencionalResidencialResidencial baixa renda – faixa 02Não se aplicaNão se aplicaFora ponta",Mercado_Receita!$L$2:$L$475)+SUMIF(Mercado_Receita!$S$2:$S$475,"44501B1ConvencionalResidencialResidencial baixa renda – faixa 02Não se aplicaNão se aplicaIntermediário",Mercado_Receita!$L$2:$L$475)+SUMIF(Mercado_Receita!$S$2:$S$475,"44501B1ConvencionalResidencialResidencial baixa renda – faixa 02Não se aplicaNão se aplicaNão se aplica",Mercado_Receita!$L$2:$L$475)</f>
        <v>31.254000000000001</v>
      </c>
      <c r="M19" s="13">
        <f>SUMIF(Mercado_Receita!$S$2:$S$475,"44531B1ConvencionalResidencialResidencial baixa renda – faixa 02Não se aplicaNão se aplicaPonta",Mercado_Receita!$L$2:$L$475)+SUMIF(Mercado_Receita!$S$2:$S$475,"44531B1ConvencionalResidencialResidencial baixa renda – faixa 02Não se aplicaNão se aplicaFora ponta",Mercado_Receita!$L$2:$L$475)+SUMIF(Mercado_Receita!$S$2:$S$475,"44531B1ConvencionalResidencialResidencial baixa renda – faixa 02Não se aplicaNão se aplicaIntermediário",Mercado_Receita!$L$2:$L$475)+SUMIF(Mercado_Receita!$S$2:$S$475,"44531B1ConvencionalResidencialResidencial baixa renda – faixa 02Não se aplicaNão se aplicaNão se aplica",Mercado_Receita!$L$2:$L$475)</f>
        <v>32.868000000000002</v>
      </c>
      <c r="N19" s="13">
        <f>SUMIF(Mercado_Receita!$S$2:$S$475,"44562B1ConvencionalResidencialResidencial baixa renda – faixa 02Não se aplicaNão se aplicaPonta",Mercado_Receita!$L$2:$L$475)+SUMIF(Mercado_Receita!$S$2:$S$475,"44562B1ConvencionalResidencialResidencial baixa renda – faixa 02Não se aplicaNão se aplicaFora ponta",Mercado_Receita!$L$2:$L$475)+SUMIF(Mercado_Receita!$S$2:$S$475,"44562B1ConvencionalResidencialResidencial baixa renda – faixa 02Não se aplicaNão se aplicaIntermediário",Mercado_Receita!$L$2:$L$475)+SUMIF(Mercado_Receita!$S$2:$S$475,"44562B1ConvencionalResidencialResidencial baixa renda – faixa 02Não se aplicaNão se aplicaNão se aplica",Mercado_Receita!$L$2:$L$475)</f>
        <v>32.591999999999999</v>
      </c>
      <c r="O19" s="13">
        <f>SUMIF(Mercado_Receita!$S$2:$S$475,"44593B1ConvencionalResidencialResidencial baixa renda – faixa 02Não se aplicaNão se aplicaPonta",Mercado_Receita!$L$2:$L$475)+SUMIF(Mercado_Receita!$S$2:$S$475,"44593B1ConvencionalResidencialResidencial baixa renda – faixa 02Não se aplicaNão se aplicaFora ponta",Mercado_Receita!$L$2:$L$475)+SUMIF(Mercado_Receita!$S$2:$S$475,"44593B1ConvencionalResidencialResidencial baixa renda – faixa 02Não se aplicaNão se aplicaIntermediário",Mercado_Receita!$L$2:$L$475)+SUMIF(Mercado_Receita!$S$2:$S$475,"44593B1ConvencionalResidencialResidencial baixa renda – faixa 02Não se aplicaNão se aplicaNão se aplica",Mercado_Receita!$L$2:$L$475)</f>
        <v>31.766999999999999</v>
      </c>
      <c r="P19" s="13">
        <f>SUMIF(Mercado_Receita!$S$2:$S$475,"44621B1ConvencionalResidencialResidencial baixa renda – faixa 02Não se aplicaNão se aplicaPonta",Mercado_Receita!$L$2:$L$475)+SUMIF(Mercado_Receita!$S$2:$S$475,"44621B1ConvencionalResidencialResidencial baixa renda – faixa 02Não se aplicaNão se aplicaFora ponta",Mercado_Receita!$L$2:$L$475)+SUMIF(Mercado_Receita!$S$2:$S$475,"44621B1ConvencionalResidencialResidencial baixa renda – faixa 02Não se aplicaNão se aplicaIntermediário",Mercado_Receita!$L$2:$L$475)+SUMIF(Mercado_Receita!$S$2:$S$475,"44621B1ConvencionalResidencialResidencial baixa renda – faixa 02Não se aplicaNão se aplicaNão se aplica",Mercado_Receita!$L$2:$L$475)</f>
        <v>33.64</v>
      </c>
      <c r="Q19" s="13">
        <f>SUMIF(Mercado_Receita!$S$2:$S$475,"44652B1ConvencionalResidencialResidencial baixa renda – faixa 02Não se aplicaNão se aplicaPonta",Mercado_Receita!$L$2:$L$475)+SUMIF(Mercado_Receita!$S$2:$S$475,"44652B1ConvencionalResidencialResidencial baixa renda – faixa 02Não se aplicaNão se aplicaFora ponta",Mercado_Receita!$L$2:$L$475)+SUMIF(Mercado_Receita!$S$2:$S$475,"44652B1ConvencionalResidencialResidencial baixa renda – faixa 02Não se aplicaNão se aplicaIntermediário",Mercado_Receita!$L$2:$L$475)+SUMIF(Mercado_Receita!$S$2:$S$475,"44652B1ConvencionalResidencialResidencial baixa renda – faixa 02Não se aplicaNão se aplicaNão se aplica",Mercado_Receita!$L$2:$L$475)</f>
        <v>31.475999999999999</v>
      </c>
      <c r="R19" s="13">
        <f>SUMIF(Mercado_Receita!$S$2:$S$475,"44682B1ConvencionalResidencialResidencial baixa renda – faixa 02Não se aplicaNão se aplicaPonta",Mercado_Receita!$L$2:$L$475)+SUMIF(Mercado_Receita!$S$2:$S$475,"44682B1ConvencionalResidencialResidencial baixa renda – faixa 02Não se aplicaNão se aplicaFora ponta",Mercado_Receita!$L$2:$L$475)+SUMIF(Mercado_Receita!$S$2:$S$475,"44682B1ConvencionalResidencialResidencial baixa renda – faixa 02Não se aplicaNão se aplicaIntermediário",Mercado_Receita!$L$2:$L$475)+SUMIF(Mercado_Receita!$S$2:$S$475,"44682B1ConvencionalResidencialResidencial baixa renda – faixa 02Não se aplicaNão se aplicaNão se aplica",Mercado_Receita!$L$2:$L$475)</f>
        <v>30.445</v>
      </c>
      <c r="S19" s="13">
        <f>SUMIF(Mercado_Receita!$S$2:$S$475,"44713B1ConvencionalResidencialResidencial baixa renda – faixa 02Não se aplicaNão se aplicaPonta",Mercado_Receita!$L$2:$L$475)+SUMIF(Mercado_Receita!$S$2:$S$475,"44713B1ConvencionalResidencialResidencial baixa renda – faixa 02Não se aplicaNão se aplicaFora ponta",Mercado_Receita!$L$2:$L$475)+SUMIF(Mercado_Receita!$S$2:$S$475,"44713B1ConvencionalResidencialResidencial baixa renda – faixa 02Não se aplicaNão se aplicaIntermediário",Mercado_Receita!$L$2:$L$475)+SUMIF(Mercado_Receita!$S$2:$S$475,"44713B1ConvencionalResidencialResidencial baixa renda – faixa 02Não se aplicaNão se aplicaNão se aplica",Mercado_Receita!$L$2:$L$475)</f>
        <v>31.358000000000001</v>
      </c>
      <c r="T19" s="13">
        <f>SUMIF(Mercado_Receita!$S$2:$S$475,"44743B1ConvencionalResidencialResidencial baixa renda – faixa 02Não se aplicaNão se aplicaPonta",Mercado_Receita!$L$2:$L$475)+SUMIF(Mercado_Receita!$S$2:$S$475,"44743B1ConvencionalResidencialResidencial baixa renda – faixa 02Não se aplicaNão se aplicaFora ponta",Mercado_Receita!$L$2:$L$475)+SUMIF(Mercado_Receita!$S$2:$S$475,"44743B1ConvencionalResidencialResidencial baixa renda – faixa 02Não se aplicaNão se aplicaIntermediário",Mercado_Receita!$L$2:$L$475)+SUMIF(Mercado_Receita!$S$2:$S$475,"44743B1ConvencionalResidencialResidencial baixa renda – faixa 02Não se aplicaNão se aplicaNão se aplica",Mercado_Receita!$L$2:$L$475)</f>
        <v>31.358000000000001</v>
      </c>
      <c r="U19" s="13">
        <f t="shared" si="0"/>
        <v>376.553</v>
      </c>
      <c r="V19" s="13"/>
      <c r="W19" s="13"/>
    </row>
    <row r="20" spans="1:23" ht="11.25" customHeight="1" x14ac:dyDescent="0.25">
      <c r="A20" s="124"/>
      <c r="B20" s="124"/>
      <c r="C20" s="124"/>
      <c r="D20" s="12" t="s">
        <v>30</v>
      </c>
      <c r="E20" s="12" t="s">
        <v>25</v>
      </c>
      <c r="F20" s="12" t="s">
        <v>25</v>
      </c>
      <c r="G20" s="13" t="s">
        <v>79</v>
      </c>
      <c r="H20" s="13" t="s">
        <v>75</v>
      </c>
      <c r="I20" s="13">
        <f>SUMIF(Mercado_Receita!$S$2:$S$475,"44409B1ConvencionalResidencialResidencial baixa renda – faixa 03Não se aplicaNão se aplicaPonta",Mercado_Receita!$L$2:$L$475)+SUMIF(Mercado_Receita!$S$2:$S$475,"44409B1ConvencionalResidencialResidencial baixa renda – faixa 03Não se aplicaNão se aplicaFora ponta",Mercado_Receita!$L$2:$L$475)+SUMIF(Mercado_Receita!$S$2:$S$475,"44409B1ConvencionalResidencialResidencial baixa renda – faixa 03Não se aplicaNão se aplicaIntermediário",Mercado_Receita!$L$2:$L$475)+SUMIF(Mercado_Receita!$S$2:$S$475,"44409B1ConvencionalResidencialResidencial baixa renda – faixa 03Não se aplicaNão se aplicaNão se aplica",Mercado_Receita!$L$2:$L$475)</f>
        <v>13.061</v>
      </c>
      <c r="J20" s="13">
        <f>SUMIF(Mercado_Receita!$S$2:$S$475,"44440B1ConvencionalResidencialResidencial baixa renda – faixa 03Não se aplicaNão se aplicaPonta",Mercado_Receita!$L$2:$L$475)+SUMIF(Mercado_Receita!$S$2:$S$475,"44440B1ConvencionalResidencialResidencial baixa renda – faixa 03Não se aplicaNão se aplicaFora ponta",Mercado_Receita!$L$2:$L$475)+SUMIF(Mercado_Receita!$S$2:$S$475,"44440B1ConvencionalResidencialResidencial baixa renda – faixa 03Não se aplicaNão se aplicaIntermediário",Mercado_Receita!$L$2:$L$475)+SUMIF(Mercado_Receita!$S$2:$S$475,"44440B1ConvencionalResidencialResidencial baixa renda – faixa 03Não se aplicaNão se aplicaNão se aplica",Mercado_Receita!$L$2:$L$475)</f>
        <v>15.353999999999999</v>
      </c>
      <c r="K20" s="13">
        <f>SUMIF(Mercado_Receita!$S$2:$S$475,"44470B1ConvencionalResidencialResidencial baixa renda – faixa 03Não se aplicaNão se aplicaPonta",Mercado_Receita!$L$2:$L$475)+SUMIF(Mercado_Receita!$S$2:$S$475,"44470B1ConvencionalResidencialResidencial baixa renda – faixa 03Não se aplicaNão se aplicaFora ponta",Mercado_Receita!$L$2:$L$475)+SUMIF(Mercado_Receita!$S$2:$S$475,"44470B1ConvencionalResidencialResidencial baixa renda – faixa 03Não se aplicaNão se aplicaIntermediário",Mercado_Receita!$L$2:$L$475)+SUMIF(Mercado_Receita!$S$2:$S$475,"44470B1ConvencionalResidencialResidencial baixa renda – faixa 03Não se aplicaNão se aplicaNão se aplica",Mercado_Receita!$L$2:$L$475)</f>
        <v>10.358000000000001</v>
      </c>
      <c r="L20" s="13">
        <f>SUMIF(Mercado_Receita!$S$2:$S$475,"44501B1ConvencionalResidencialResidencial baixa renda – faixa 03Não se aplicaNão se aplicaPonta",Mercado_Receita!$L$2:$L$475)+SUMIF(Mercado_Receita!$S$2:$S$475,"44501B1ConvencionalResidencialResidencial baixa renda – faixa 03Não se aplicaNão se aplicaFora ponta",Mercado_Receita!$L$2:$L$475)+SUMIF(Mercado_Receita!$S$2:$S$475,"44501B1ConvencionalResidencialResidencial baixa renda – faixa 03Não se aplicaNão se aplicaIntermediário",Mercado_Receita!$L$2:$L$475)+SUMIF(Mercado_Receita!$S$2:$S$475,"44501B1ConvencionalResidencialResidencial baixa renda – faixa 03Não se aplicaNão se aplicaNão se aplica",Mercado_Receita!$L$2:$L$475)</f>
        <v>14.414</v>
      </c>
      <c r="M20" s="13">
        <f>SUMIF(Mercado_Receita!$S$2:$S$475,"44531B1ConvencionalResidencialResidencial baixa renda – faixa 03Não se aplicaNão se aplicaPonta",Mercado_Receita!$L$2:$L$475)+SUMIF(Mercado_Receita!$S$2:$S$475,"44531B1ConvencionalResidencialResidencial baixa renda – faixa 03Não se aplicaNão se aplicaFora ponta",Mercado_Receita!$L$2:$L$475)+SUMIF(Mercado_Receita!$S$2:$S$475,"44531B1ConvencionalResidencialResidencial baixa renda – faixa 03Não se aplicaNão se aplicaIntermediário",Mercado_Receita!$L$2:$L$475)+SUMIF(Mercado_Receita!$S$2:$S$475,"44531B1ConvencionalResidencialResidencial baixa renda – faixa 03Não se aplicaNão se aplicaNão se aplica",Mercado_Receita!$L$2:$L$475)</f>
        <v>18.116</v>
      </c>
      <c r="N20" s="13">
        <f>SUMIF(Mercado_Receita!$S$2:$S$475,"44562B1ConvencionalResidencialResidencial baixa renda – faixa 03Não se aplicaNão se aplicaPonta",Mercado_Receita!$L$2:$L$475)+SUMIF(Mercado_Receita!$S$2:$S$475,"44562B1ConvencionalResidencialResidencial baixa renda – faixa 03Não se aplicaNão se aplicaFora ponta",Mercado_Receita!$L$2:$L$475)+SUMIF(Mercado_Receita!$S$2:$S$475,"44562B1ConvencionalResidencialResidencial baixa renda – faixa 03Não se aplicaNão se aplicaIntermediário",Mercado_Receita!$L$2:$L$475)+SUMIF(Mercado_Receita!$S$2:$S$475,"44562B1ConvencionalResidencialResidencial baixa renda – faixa 03Não se aplicaNão se aplicaNão se aplica",Mercado_Receita!$L$2:$L$475)</f>
        <v>16.149999999999999</v>
      </c>
      <c r="O20" s="13">
        <f>SUMIF(Mercado_Receita!$S$2:$S$475,"44593B1ConvencionalResidencialResidencial baixa renda – faixa 03Não se aplicaNão se aplicaPonta",Mercado_Receita!$L$2:$L$475)+SUMIF(Mercado_Receita!$S$2:$S$475,"44593B1ConvencionalResidencialResidencial baixa renda – faixa 03Não se aplicaNão se aplicaFora ponta",Mercado_Receita!$L$2:$L$475)+SUMIF(Mercado_Receita!$S$2:$S$475,"44593B1ConvencionalResidencialResidencial baixa renda – faixa 03Não se aplicaNão se aplicaIntermediário",Mercado_Receita!$L$2:$L$475)+SUMIF(Mercado_Receita!$S$2:$S$475,"44593B1ConvencionalResidencialResidencial baixa renda – faixa 03Não se aplicaNão se aplicaNão se aplica",Mercado_Receita!$L$2:$L$475)</f>
        <v>13.394</v>
      </c>
      <c r="P20" s="13">
        <f>SUMIF(Mercado_Receita!$S$2:$S$475,"44621B1ConvencionalResidencialResidencial baixa renda – faixa 03Não se aplicaNão se aplicaPonta",Mercado_Receita!$L$2:$L$475)+SUMIF(Mercado_Receita!$S$2:$S$475,"44621B1ConvencionalResidencialResidencial baixa renda – faixa 03Não se aplicaNão se aplicaFora ponta",Mercado_Receita!$L$2:$L$475)+SUMIF(Mercado_Receita!$S$2:$S$475,"44621B1ConvencionalResidencialResidencial baixa renda – faixa 03Não se aplicaNão se aplicaIntermediário",Mercado_Receita!$L$2:$L$475)+SUMIF(Mercado_Receita!$S$2:$S$475,"44621B1ConvencionalResidencialResidencial baixa renda – faixa 03Não se aplicaNão se aplicaNão se aplica",Mercado_Receita!$L$2:$L$475)</f>
        <v>16.189</v>
      </c>
      <c r="Q20" s="13">
        <f>SUMIF(Mercado_Receita!$S$2:$S$475,"44652B1ConvencionalResidencialResidencial baixa renda – faixa 03Não se aplicaNão se aplicaPonta",Mercado_Receita!$L$2:$L$475)+SUMIF(Mercado_Receita!$S$2:$S$475,"44652B1ConvencionalResidencialResidencial baixa renda – faixa 03Não se aplicaNão se aplicaFora ponta",Mercado_Receita!$L$2:$L$475)+SUMIF(Mercado_Receita!$S$2:$S$475,"44652B1ConvencionalResidencialResidencial baixa renda – faixa 03Não se aplicaNão se aplicaIntermediário",Mercado_Receita!$L$2:$L$475)+SUMIF(Mercado_Receita!$S$2:$S$475,"44652B1ConvencionalResidencialResidencial baixa renda – faixa 03Não se aplicaNão se aplicaNão se aplica",Mercado_Receita!$L$2:$L$475)</f>
        <v>12.414999999999999</v>
      </c>
      <c r="R20" s="13">
        <f>SUMIF(Mercado_Receita!$S$2:$S$475,"44682B1ConvencionalResidencialResidencial baixa renda – faixa 03Não se aplicaNão se aplicaPonta",Mercado_Receita!$L$2:$L$475)+SUMIF(Mercado_Receita!$S$2:$S$475,"44682B1ConvencionalResidencialResidencial baixa renda – faixa 03Não se aplicaNão se aplicaFora ponta",Mercado_Receita!$L$2:$L$475)+SUMIF(Mercado_Receita!$S$2:$S$475,"44682B1ConvencionalResidencialResidencial baixa renda – faixa 03Não se aplicaNão se aplicaIntermediário",Mercado_Receita!$L$2:$L$475)+SUMIF(Mercado_Receita!$S$2:$S$475,"44682B1ConvencionalResidencialResidencial baixa renda – faixa 03Não se aplicaNão se aplicaNão se aplica",Mercado_Receita!$L$2:$L$475)</f>
        <v>10.862</v>
      </c>
      <c r="S20" s="13">
        <f>SUMIF(Mercado_Receita!$S$2:$S$475,"44713B1ConvencionalResidencialResidencial baixa renda – faixa 03Não se aplicaNão se aplicaPonta",Mercado_Receita!$L$2:$L$475)+SUMIF(Mercado_Receita!$S$2:$S$475,"44713B1ConvencionalResidencialResidencial baixa renda – faixa 03Não se aplicaNão se aplicaFora ponta",Mercado_Receita!$L$2:$L$475)+SUMIF(Mercado_Receita!$S$2:$S$475,"44713B1ConvencionalResidencialResidencial baixa renda – faixa 03Não se aplicaNão se aplicaIntermediário",Mercado_Receita!$L$2:$L$475)+SUMIF(Mercado_Receita!$S$2:$S$475,"44713B1ConvencionalResidencialResidencial baixa renda – faixa 03Não se aplicaNão se aplicaNão se aplica",Mercado_Receita!$L$2:$L$475)</f>
        <v>12.992000000000001</v>
      </c>
      <c r="T20" s="13">
        <f>SUMIF(Mercado_Receita!$S$2:$S$475,"44743B1ConvencionalResidencialResidencial baixa renda – faixa 03Não se aplicaNão se aplicaPonta",Mercado_Receita!$L$2:$L$475)+SUMIF(Mercado_Receita!$S$2:$S$475,"44743B1ConvencionalResidencialResidencial baixa renda – faixa 03Não se aplicaNão se aplicaFora ponta",Mercado_Receita!$L$2:$L$475)+SUMIF(Mercado_Receita!$S$2:$S$475,"44743B1ConvencionalResidencialResidencial baixa renda – faixa 03Não se aplicaNão se aplicaIntermediário",Mercado_Receita!$L$2:$L$475)+SUMIF(Mercado_Receita!$S$2:$S$475,"44743B1ConvencionalResidencialResidencial baixa renda – faixa 03Não se aplicaNão se aplicaNão se aplica",Mercado_Receita!$L$2:$L$475)</f>
        <v>12.992000000000001</v>
      </c>
      <c r="U20" s="13">
        <f t="shared" si="0"/>
        <v>166.29699999999997</v>
      </c>
      <c r="V20" s="13"/>
      <c r="W20" s="13"/>
    </row>
    <row r="21" spans="1:23" ht="11.25" customHeight="1" x14ac:dyDescent="0.25">
      <c r="A21" s="124"/>
      <c r="B21" s="124"/>
      <c r="C21" s="124"/>
      <c r="D21" s="12" t="s">
        <v>31</v>
      </c>
      <c r="E21" s="12" t="s">
        <v>25</v>
      </c>
      <c r="F21" s="12" t="s">
        <v>25</v>
      </c>
      <c r="G21" s="13" t="s">
        <v>79</v>
      </c>
      <c r="H21" s="13" t="s">
        <v>75</v>
      </c>
      <c r="I21" s="13">
        <f>SUMIF(Mercado_Receita!$S$2:$S$475,"44409B1ConvencionalResidencialResidencial baixa renda – faixa 04Não se aplicaNão se aplicaPonta",Mercado_Receita!$L$2:$L$475)+SUMIF(Mercado_Receita!$S$2:$S$475,"44409B1ConvencionalResidencialResidencial baixa renda – faixa 04Não se aplicaNão se aplicaFora ponta",Mercado_Receita!$L$2:$L$475)+SUMIF(Mercado_Receita!$S$2:$S$475,"44409B1ConvencionalResidencialResidencial baixa renda – faixa 04Não se aplicaNão se aplicaIntermediário",Mercado_Receita!$L$2:$L$475)+SUMIF(Mercado_Receita!$S$2:$S$475,"44409B1ConvencionalResidencialResidencial baixa renda – faixa 04Não se aplicaNão se aplicaNão se aplica",Mercado_Receita!$L$2:$L$475)</f>
        <v>0.874</v>
      </c>
      <c r="J21" s="13">
        <f>SUMIF(Mercado_Receita!$S$2:$S$475,"44440B1ConvencionalResidencialResidencial baixa renda – faixa 04Não se aplicaNão se aplicaPonta",Mercado_Receita!$L$2:$L$475)+SUMIF(Mercado_Receita!$S$2:$S$475,"44440B1ConvencionalResidencialResidencial baixa renda – faixa 04Não se aplicaNão se aplicaFora ponta",Mercado_Receita!$L$2:$L$475)+SUMIF(Mercado_Receita!$S$2:$S$475,"44440B1ConvencionalResidencialResidencial baixa renda – faixa 04Não se aplicaNão se aplicaIntermediário",Mercado_Receita!$L$2:$L$475)+SUMIF(Mercado_Receita!$S$2:$S$475,"44440B1ConvencionalResidencialResidencial baixa renda – faixa 04Não se aplicaNão se aplicaNão se aplica",Mercado_Receita!$L$2:$L$475)</f>
        <v>1.5940000000000001</v>
      </c>
      <c r="K21" s="13">
        <f>SUMIF(Mercado_Receita!$S$2:$S$475,"44470B1ConvencionalResidencialResidencial baixa renda – faixa 04Não se aplicaNão se aplicaPonta",Mercado_Receita!$L$2:$L$475)+SUMIF(Mercado_Receita!$S$2:$S$475,"44470B1ConvencionalResidencialResidencial baixa renda – faixa 04Não se aplicaNão se aplicaFora ponta",Mercado_Receita!$L$2:$L$475)+SUMIF(Mercado_Receita!$S$2:$S$475,"44470B1ConvencionalResidencialResidencial baixa renda – faixa 04Não se aplicaNão se aplicaIntermediário",Mercado_Receita!$L$2:$L$475)+SUMIF(Mercado_Receita!$S$2:$S$475,"44470B1ConvencionalResidencialResidencial baixa renda – faixa 04Não se aplicaNão se aplicaNão se aplica",Mercado_Receita!$L$2:$L$475)</f>
        <v>0.61299999999999999</v>
      </c>
      <c r="L21" s="13">
        <f>SUMIF(Mercado_Receita!$S$2:$S$475,"44501B1ConvencionalResidencialResidencial baixa renda – faixa 04Não se aplicaNão se aplicaPonta",Mercado_Receita!$L$2:$L$475)+SUMIF(Mercado_Receita!$S$2:$S$475,"44501B1ConvencionalResidencialResidencial baixa renda – faixa 04Não se aplicaNão se aplicaFora ponta",Mercado_Receita!$L$2:$L$475)+SUMIF(Mercado_Receita!$S$2:$S$475,"44501B1ConvencionalResidencialResidencial baixa renda – faixa 04Não se aplicaNão se aplicaIntermediário",Mercado_Receita!$L$2:$L$475)+SUMIF(Mercado_Receita!$S$2:$S$475,"44501B1ConvencionalResidencialResidencial baixa renda – faixa 04Não se aplicaNão se aplicaNão se aplica",Mercado_Receita!$L$2:$L$475)</f>
        <v>1.5680000000000001</v>
      </c>
      <c r="M21" s="13">
        <f>SUMIF(Mercado_Receita!$S$2:$S$475,"44531B1ConvencionalResidencialResidencial baixa renda – faixa 04Não se aplicaNão se aplicaPonta",Mercado_Receita!$L$2:$L$475)+SUMIF(Mercado_Receita!$S$2:$S$475,"44531B1ConvencionalResidencialResidencial baixa renda – faixa 04Não se aplicaNão se aplicaFora ponta",Mercado_Receita!$L$2:$L$475)+SUMIF(Mercado_Receita!$S$2:$S$475,"44531B1ConvencionalResidencialResidencial baixa renda – faixa 04Não se aplicaNão se aplicaIntermediário",Mercado_Receita!$L$2:$L$475)+SUMIF(Mercado_Receita!$S$2:$S$475,"44531B1ConvencionalResidencialResidencial baixa renda – faixa 04Não se aplicaNão se aplicaNão se aplica",Mercado_Receita!$L$2:$L$475)</f>
        <v>2.3109999999999999</v>
      </c>
      <c r="N21" s="13">
        <f>SUMIF(Mercado_Receita!$S$2:$S$475,"44562B1ConvencionalResidencialResidencial baixa renda – faixa 04Não se aplicaNão se aplicaPonta",Mercado_Receita!$L$2:$L$475)+SUMIF(Mercado_Receita!$S$2:$S$475,"44562B1ConvencionalResidencialResidencial baixa renda – faixa 04Não se aplicaNão se aplicaFora ponta",Mercado_Receita!$L$2:$L$475)+SUMIF(Mercado_Receita!$S$2:$S$475,"44562B1ConvencionalResidencialResidencial baixa renda – faixa 04Não se aplicaNão se aplicaIntermediário",Mercado_Receita!$L$2:$L$475)+SUMIF(Mercado_Receita!$S$2:$S$475,"44562B1ConvencionalResidencialResidencial baixa renda – faixa 04Não se aplicaNão se aplicaNão se aplica",Mercado_Receita!$L$2:$L$475)</f>
        <v>1.925</v>
      </c>
      <c r="O21" s="13">
        <f>SUMIF(Mercado_Receita!$S$2:$S$475,"44593B1ConvencionalResidencialResidencial baixa renda – faixa 04Não se aplicaNão se aplicaPonta",Mercado_Receita!$L$2:$L$475)+SUMIF(Mercado_Receita!$S$2:$S$475,"44593B1ConvencionalResidencialResidencial baixa renda – faixa 04Não se aplicaNão se aplicaFora ponta",Mercado_Receita!$L$2:$L$475)+SUMIF(Mercado_Receita!$S$2:$S$475,"44593B1ConvencionalResidencialResidencial baixa renda – faixa 04Não se aplicaNão se aplicaIntermediário",Mercado_Receita!$L$2:$L$475)+SUMIF(Mercado_Receita!$S$2:$S$475,"44593B1ConvencionalResidencialResidencial baixa renda – faixa 04Não se aplicaNão se aplicaNão se aplica",Mercado_Receita!$L$2:$L$475)</f>
        <v>1.6319999999999999</v>
      </c>
      <c r="P21" s="13">
        <f>SUMIF(Mercado_Receita!$S$2:$S$475,"44621B1ConvencionalResidencialResidencial baixa renda – faixa 04Não se aplicaNão se aplicaPonta",Mercado_Receita!$L$2:$L$475)+SUMIF(Mercado_Receita!$S$2:$S$475,"44621B1ConvencionalResidencialResidencial baixa renda – faixa 04Não se aplicaNão se aplicaFora ponta",Mercado_Receita!$L$2:$L$475)+SUMIF(Mercado_Receita!$S$2:$S$475,"44621B1ConvencionalResidencialResidencial baixa renda – faixa 04Não se aplicaNão se aplicaIntermediário",Mercado_Receita!$L$2:$L$475)+SUMIF(Mercado_Receita!$S$2:$S$475,"44621B1ConvencionalResidencialResidencial baixa renda – faixa 04Não se aplicaNão se aplicaNão se aplica",Mercado_Receita!$L$2:$L$475)</f>
        <v>2.0339999999999998</v>
      </c>
      <c r="Q21" s="13">
        <f>SUMIF(Mercado_Receita!$S$2:$S$475,"44652B1ConvencionalResidencialResidencial baixa renda – faixa 04Não se aplicaNão se aplicaPonta",Mercado_Receita!$L$2:$L$475)+SUMIF(Mercado_Receita!$S$2:$S$475,"44652B1ConvencionalResidencialResidencial baixa renda – faixa 04Não se aplicaNão se aplicaFora ponta",Mercado_Receita!$L$2:$L$475)+SUMIF(Mercado_Receita!$S$2:$S$475,"44652B1ConvencionalResidencialResidencial baixa renda – faixa 04Não se aplicaNão se aplicaIntermediário",Mercado_Receita!$L$2:$L$475)+SUMIF(Mercado_Receita!$S$2:$S$475,"44652B1ConvencionalResidencialResidencial baixa renda – faixa 04Não se aplicaNão se aplicaNão se aplica",Mercado_Receita!$L$2:$L$475)</f>
        <v>0.96599999999999997</v>
      </c>
      <c r="R21" s="13">
        <f>SUMIF(Mercado_Receita!$S$2:$S$475,"44682B1ConvencionalResidencialResidencial baixa renda – faixa 04Não se aplicaNão se aplicaPonta",Mercado_Receita!$L$2:$L$475)+SUMIF(Mercado_Receita!$S$2:$S$475,"44682B1ConvencionalResidencialResidencial baixa renda – faixa 04Não se aplicaNão se aplicaFora ponta",Mercado_Receita!$L$2:$L$475)+SUMIF(Mercado_Receita!$S$2:$S$475,"44682B1ConvencionalResidencialResidencial baixa renda – faixa 04Não se aplicaNão se aplicaIntermediário",Mercado_Receita!$L$2:$L$475)+SUMIF(Mercado_Receita!$S$2:$S$475,"44682B1ConvencionalResidencialResidencial baixa renda – faixa 04Não se aplicaNão se aplicaNão se aplica",Mercado_Receita!$L$2:$L$475)</f>
        <v>1.1439999999999999</v>
      </c>
      <c r="S21" s="13">
        <f>SUMIF(Mercado_Receita!$S$2:$S$475,"44713B1ConvencionalResidencialResidencial baixa renda – faixa 04Não se aplicaNão se aplicaPonta",Mercado_Receita!$L$2:$L$475)+SUMIF(Mercado_Receita!$S$2:$S$475,"44713B1ConvencionalResidencialResidencial baixa renda – faixa 04Não se aplicaNão se aplicaFora ponta",Mercado_Receita!$L$2:$L$475)+SUMIF(Mercado_Receita!$S$2:$S$475,"44713B1ConvencionalResidencialResidencial baixa renda – faixa 04Não se aplicaNão se aplicaIntermediário",Mercado_Receita!$L$2:$L$475)+SUMIF(Mercado_Receita!$S$2:$S$475,"44713B1ConvencionalResidencialResidencial baixa renda – faixa 04Não se aplicaNão se aplicaNão se aplica",Mercado_Receita!$L$2:$L$475)</f>
        <v>1.573</v>
      </c>
      <c r="T21" s="13">
        <f>SUMIF(Mercado_Receita!$S$2:$S$475,"44743B1ConvencionalResidencialResidencial baixa renda – faixa 04Não se aplicaNão se aplicaPonta",Mercado_Receita!$L$2:$L$475)+SUMIF(Mercado_Receita!$S$2:$S$475,"44743B1ConvencionalResidencialResidencial baixa renda – faixa 04Não se aplicaNão se aplicaFora ponta",Mercado_Receita!$L$2:$L$475)+SUMIF(Mercado_Receita!$S$2:$S$475,"44743B1ConvencionalResidencialResidencial baixa renda – faixa 04Não se aplicaNão se aplicaIntermediário",Mercado_Receita!$L$2:$L$475)+SUMIF(Mercado_Receita!$S$2:$S$475,"44743B1ConvencionalResidencialResidencial baixa renda – faixa 04Não se aplicaNão se aplicaNão se aplica",Mercado_Receita!$L$2:$L$475)</f>
        <v>1.573</v>
      </c>
      <c r="U21" s="13">
        <f t="shared" si="0"/>
        <v>17.806999999999999</v>
      </c>
      <c r="V21" s="13"/>
      <c r="W21" s="13"/>
    </row>
    <row r="22" spans="1:23" ht="11.25" customHeight="1" x14ac:dyDescent="0.25">
      <c r="A22" s="124"/>
      <c r="B22" s="123" t="s">
        <v>90</v>
      </c>
      <c r="C22" s="123" t="s">
        <v>24</v>
      </c>
      <c r="D22" s="12" t="s">
        <v>24</v>
      </c>
      <c r="E22" s="12" t="s">
        <v>25</v>
      </c>
      <c r="F22" s="12" t="s">
        <v>25</v>
      </c>
      <c r="G22" s="13" t="s">
        <v>79</v>
      </c>
      <c r="H22" s="13" t="s">
        <v>75</v>
      </c>
      <c r="I22" s="13">
        <f>SUMIF(Mercado_Receita!$S$2:$S$475,"44409B1Convencional pré-pagamentoResidencialResidencialNão se aplicaNão se aplicaPonta",Mercado_Receita!$L$2:$L$475)+SUMIF(Mercado_Receita!$S$2:$S$475,"44409B1Convencional pré-pagamentoResidencialResidencialNão se aplicaNão se aplicaFora ponta",Mercado_Receita!$L$2:$L$475)+SUMIF(Mercado_Receita!$S$2:$S$475,"44409B1Convencional pré-pagamentoResidencialResidencialNão se aplicaNão se aplicaIntermediário",Mercado_Receita!$L$2:$L$475)+SUMIF(Mercado_Receita!$S$2:$S$475,"44409B1Convencional pré-pagamentoResidencialResidencialNão se aplicaNão se aplicaNão se aplica",Mercado_Receita!$L$2:$L$475)</f>
        <v>0</v>
      </c>
      <c r="J22" s="13">
        <f>SUMIF(Mercado_Receita!$S$2:$S$475,"44440B1Convencional pré-pagamentoResidencialResidencialNão se aplicaNão se aplicaPonta",Mercado_Receita!$L$2:$L$475)+SUMIF(Mercado_Receita!$S$2:$S$475,"44440B1Convencional pré-pagamentoResidencialResidencialNão se aplicaNão se aplicaFora ponta",Mercado_Receita!$L$2:$L$475)+SUMIF(Mercado_Receita!$S$2:$S$475,"44440B1Convencional pré-pagamentoResidencialResidencialNão se aplicaNão se aplicaIntermediário",Mercado_Receita!$L$2:$L$475)+SUMIF(Mercado_Receita!$S$2:$S$475,"44440B1Convencional pré-pagamentoResidencialResidencialNão se aplicaNão se aplicaNão se aplica",Mercado_Receita!$L$2:$L$475)</f>
        <v>0</v>
      </c>
      <c r="K22" s="13">
        <f>SUMIF(Mercado_Receita!$S$2:$S$475,"44470B1Convencional pré-pagamentoResidencialResidencialNão se aplicaNão se aplicaPonta",Mercado_Receita!$L$2:$L$475)+SUMIF(Mercado_Receita!$S$2:$S$475,"44470B1Convencional pré-pagamentoResidencialResidencialNão se aplicaNão se aplicaFora ponta",Mercado_Receita!$L$2:$L$475)+SUMIF(Mercado_Receita!$S$2:$S$475,"44470B1Convencional pré-pagamentoResidencialResidencialNão se aplicaNão se aplicaIntermediário",Mercado_Receita!$L$2:$L$475)+SUMIF(Mercado_Receita!$S$2:$S$475,"44470B1Convencional pré-pagamentoResidencialResidencialNão se aplicaNão se aplicaNão se aplica",Mercado_Receita!$L$2:$L$475)</f>
        <v>0</v>
      </c>
      <c r="L22" s="13">
        <f>SUMIF(Mercado_Receita!$S$2:$S$475,"44501B1Convencional pré-pagamentoResidencialResidencialNão se aplicaNão se aplicaPonta",Mercado_Receita!$L$2:$L$475)+SUMIF(Mercado_Receita!$S$2:$S$475,"44501B1Convencional pré-pagamentoResidencialResidencialNão se aplicaNão se aplicaFora ponta",Mercado_Receita!$L$2:$L$475)+SUMIF(Mercado_Receita!$S$2:$S$475,"44501B1Convencional pré-pagamentoResidencialResidencialNão se aplicaNão se aplicaIntermediário",Mercado_Receita!$L$2:$L$475)+SUMIF(Mercado_Receita!$S$2:$S$475,"44501B1Convencional pré-pagamentoResidencialResidencialNão se aplicaNão se aplicaNão se aplica",Mercado_Receita!$L$2:$L$475)</f>
        <v>0</v>
      </c>
      <c r="M22" s="13">
        <f>SUMIF(Mercado_Receita!$S$2:$S$475,"44531B1Convencional pré-pagamentoResidencialResidencialNão se aplicaNão se aplicaPonta",Mercado_Receita!$L$2:$L$475)+SUMIF(Mercado_Receita!$S$2:$S$475,"44531B1Convencional pré-pagamentoResidencialResidencialNão se aplicaNão se aplicaFora ponta",Mercado_Receita!$L$2:$L$475)+SUMIF(Mercado_Receita!$S$2:$S$475,"44531B1Convencional pré-pagamentoResidencialResidencialNão se aplicaNão se aplicaIntermediário",Mercado_Receita!$L$2:$L$475)+SUMIF(Mercado_Receita!$S$2:$S$475,"44531B1Convencional pré-pagamentoResidencialResidencialNão se aplicaNão se aplicaNão se aplica",Mercado_Receita!$L$2:$L$475)</f>
        <v>0</v>
      </c>
      <c r="N22" s="13">
        <f>SUMIF(Mercado_Receita!$S$2:$S$475,"44562B1Convencional pré-pagamentoResidencialResidencialNão se aplicaNão se aplicaPonta",Mercado_Receita!$L$2:$L$475)+SUMIF(Mercado_Receita!$S$2:$S$475,"44562B1Convencional pré-pagamentoResidencialResidencialNão se aplicaNão se aplicaFora ponta",Mercado_Receita!$L$2:$L$475)+SUMIF(Mercado_Receita!$S$2:$S$475,"44562B1Convencional pré-pagamentoResidencialResidencialNão se aplicaNão se aplicaIntermediário",Mercado_Receita!$L$2:$L$475)+SUMIF(Mercado_Receita!$S$2:$S$475,"44562B1Convencional pré-pagamentoResidencialResidencialNão se aplicaNão se aplicaNão se aplica",Mercado_Receita!$L$2:$L$475)</f>
        <v>0</v>
      </c>
      <c r="O22" s="13">
        <f>SUMIF(Mercado_Receita!$S$2:$S$475,"44593B1Convencional pré-pagamentoResidencialResidencialNão se aplicaNão se aplicaPonta",Mercado_Receita!$L$2:$L$475)+SUMIF(Mercado_Receita!$S$2:$S$475,"44593B1Convencional pré-pagamentoResidencialResidencialNão se aplicaNão se aplicaFora ponta",Mercado_Receita!$L$2:$L$475)+SUMIF(Mercado_Receita!$S$2:$S$475,"44593B1Convencional pré-pagamentoResidencialResidencialNão se aplicaNão se aplicaIntermediário",Mercado_Receita!$L$2:$L$475)+SUMIF(Mercado_Receita!$S$2:$S$475,"44593B1Convencional pré-pagamentoResidencialResidencialNão se aplicaNão se aplicaNão se aplica",Mercado_Receita!$L$2:$L$475)</f>
        <v>0</v>
      </c>
      <c r="P22" s="13">
        <f>SUMIF(Mercado_Receita!$S$2:$S$475,"44621B1Convencional pré-pagamentoResidencialResidencialNão se aplicaNão se aplicaPonta",Mercado_Receita!$L$2:$L$475)+SUMIF(Mercado_Receita!$S$2:$S$475,"44621B1Convencional pré-pagamentoResidencialResidencialNão se aplicaNão se aplicaFora ponta",Mercado_Receita!$L$2:$L$475)+SUMIF(Mercado_Receita!$S$2:$S$475,"44621B1Convencional pré-pagamentoResidencialResidencialNão se aplicaNão se aplicaIntermediário",Mercado_Receita!$L$2:$L$475)+SUMIF(Mercado_Receita!$S$2:$S$475,"44621B1Convencional pré-pagamentoResidencialResidencialNão se aplicaNão se aplicaNão se aplica",Mercado_Receita!$L$2:$L$475)</f>
        <v>0</v>
      </c>
      <c r="Q22" s="13">
        <f>SUMIF(Mercado_Receita!$S$2:$S$475,"44652B1Convencional pré-pagamentoResidencialResidencialNão se aplicaNão se aplicaPonta",Mercado_Receita!$L$2:$L$475)+SUMIF(Mercado_Receita!$S$2:$S$475,"44652B1Convencional pré-pagamentoResidencialResidencialNão se aplicaNão se aplicaFora ponta",Mercado_Receita!$L$2:$L$475)+SUMIF(Mercado_Receita!$S$2:$S$475,"44652B1Convencional pré-pagamentoResidencialResidencialNão se aplicaNão se aplicaIntermediário",Mercado_Receita!$L$2:$L$475)+SUMIF(Mercado_Receita!$S$2:$S$475,"44652B1Convencional pré-pagamentoResidencialResidencialNão se aplicaNão se aplicaNão se aplica",Mercado_Receita!$L$2:$L$475)</f>
        <v>0</v>
      </c>
      <c r="R22" s="13">
        <f>SUMIF(Mercado_Receita!$S$2:$S$475,"44682B1Convencional pré-pagamentoResidencialResidencialNão se aplicaNão se aplicaPonta",Mercado_Receita!$L$2:$L$475)+SUMIF(Mercado_Receita!$S$2:$S$475,"44682B1Convencional pré-pagamentoResidencialResidencialNão se aplicaNão se aplicaFora ponta",Mercado_Receita!$L$2:$L$475)+SUMIF(Mercado_Receita!$S$2:$S$475,"44682B1Convencional pré-pagamentoResidencialResidencialNão se aplicaNão se aplicaIntermediário",Mercado_Receita!$L$2:$L$475)+SUMIF(Mercado_Receita!$S$2:$S$475,"44682B1Convencional pré-pagamentoResidencialResidencialNão se aplicaNão se aplicaNão se aplica",Mercado_Receita!$L$2:$L$475)</f>
        <v>0</v>
      </c>
      <c r="S22" s="13">
        <f>SUMIF(Mercado_Receita!$S$2:$S$475,"44713B1Convencional pré-pagamentoResidencialResidencialNão se aplicaNão se aplicaPonta",Mercado_Receita!$L$2:$L$475)+SUMIF(Mercado_Receita!$S$2:$S$475,"44713B1Convencional pré-pagamentoResidencialResidencialNão se aplicaNão se aplicaFora ponta",Mercado_Receita!$L$2:$L$475)+SUMIF(Mercado_Receita!$S$2:$S$475,"44713B1Convencional pré-pagamentoResidencialResidencialNão se aplicaNão se aplicaIntermediário",Mercado_Receita!$L$2:$L$475)+SUMIF(Mercado_Receita!$S$2:$S$475,"44713B1Convencional pré-pagamentoResidencialResidencialNão se aplicaNão se aplicaNão se aplica",Mercado_Receita!$L$2:$L$475)</f>
        <v>0</v>
      </c>
      <c r="T22" s="13">
        <f>SUMIF(Mercado_Receita!$S$2:$S$475,"44743B1Convencional pré-pagamentoResidencialResidencialNão se aplicaNão se aplicaPonta",Mercado_Receita!$L$2:$L$475)+SUMIF(Mercado_Receita!$S$2:$S$475,"44743B1Convencional pré-pagamentoResidencialResidencialNão se aplicaNão se aplicaFora ponta",Mercado_Receita!$L$2:$L$475)+SUMIF(Mercado_Receita!$S$2:$S$475,"44743B1Convencional pré-pagamentoResidencialResidencialNão se aplicaNão se aplicaIntermediário",Mercado_Receita!$L$2:$L$475)+SUMIF(Mercado_Receita!$S$2:$S$475,"44743B1Convencional pré-pagamentoResidencialResidencialNão se aplicaNão se aplicaNão se aplica",Mercado_Receita!$L$2:$L$475)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124"/>
      <c r="B23" s="124"/>
      <c r="C23" s="124"/>
      <c r="D23" s="12" t="s">
        <v>28</v>
      </c>
      <c r="E23" s="12" t="s">
        <v>25</v>
      </c>
      <c r="F23" s="12" t="s">
        <v>25</v>
      </c>
      <c r="G23" s="13" t="s">
        <v>79</v>
      </c>
      <c r="H23" s="13" t="s">
        <v>75</v>
      </c>
      <c r="I23" s="13">
        <f>SUMIF(Mercado_Receita!$S$2:$S$475,"44409B1Convencional pré-pagamentoResidencialResidencial baixa renda – faixa 01Não se aplicaNão se aplicaPonta",Mercado_Receita!$L$2:$L$475)+SUMIF(Mercado_Receita!$S$2:$S$475,"44409B1Convencional pré-pagamentoResidencialResidencial baixa renda – faixa 01Não se aplicaNão se aplicaFora ponta",Mercado_Receita!$L$2:$L$475)+SUMIF(Mercado_Receita!$S$2:$S$475,"44409B1Convencional pré-pagamentoResidencialResidencial baixa renda – faixa 01Não se aplicaNão se aplicaIntermediário",Mercado_Receita!$L$2:$L$475)+SUMIF(Mercado_Receita!$S$2:$S$475,"44409B1Convencional pré-pagamentoResidencialResidencial baixa renda – faixa 01Não se aplicaNão se aplicaNão se aplica",Mercado_Receita!$L$2:$L$475)</f>
        <v>0</v>
      </c>
      <c r="J23" s="13">
        <f>SUMIF(Mercado_Receita!$S$2:$S$475,"44440B1Convencional pré-pagamentoResidencialResidencial baixa renda – faixa 01Não se aplicaNão se aplicaPonta",Mercado_Receita!$L$2:$L$475)+SUMIF(Mercado_Receita!$S$2:$S$475,"44440B1Convencional pré-pagamentoResidencialResidencial baixa renda – faixa 01Não se aplicaNão se aplicaFora ponta",Mercado_Receita!$L$2:$L$475)+SUMIF(Mercado_Receita!$S$2:$S$475,"44440B1Convencional pré-pagamentoResidencialResidencial baixa renda – faixa 01Não se aplicaNão se aplicaIntermediário",Mercado_Receita!$L$2:$L$475)+SUMIF(Mercado_Receita!$S$2:$S$475,"44440B1Convencional pré-pagamentoResidencialResidencial baixa renda – faixa 01Não se aplicaNão se aplicaNão se aplica",Mercado_Receita!$L$2:$L$475)</f>
        <v>0</v>
      </c>
      <c r="K23" s="13">
        <f>SUMIF(Mercado_Receita!$S$2:$S$475,"44470B1Convencional pré-pagamentoResidencialResidencial baixa renda – faixa 01Não se aplicaNão se aplicaPonta",Mercado_Receita!$L$2:$L$475)+SUMIF(Mercado_Receita!$S$2:$S$475,"44470B1Convencional pré-pagamentoResidencialResidencial baixa renda – faixa 01Não se aplicaNão se aplicaFora ponta",Mercado_Receita!$L$2:$L$475)+SUMIF(Mercado_Receita!$S$2:$S$475,"44470B1Convencional pré-pagamentoResidencialResidencial baixa renda – faixa 01Não se aplicaNão se aplicaIntermediário",Mercado_Receita!$L$2:$L$475)+SUMIF(Mercado_Receita!$S$2:$S$475,"44470B1Convencional pré-pagamentoResidencialResidencial baixa renda – faixa 01Não se aplicaNão se aplicaNão se aplica",Mercado_Receita!$L$2:$L$475)</f>
        <v>0</v>
      </c>
      <c r="L23" s="13">
        <f>SUMIF(Mercado_Receita!$S$2:$S$475,"44501B1Convencional pré-pagamentoResidencialResidencial baixa renda – faixa 01Não se aplicaNão se aplicaPonta",Mercado_Receita!$L$2:$L$475)+SUMIF(Mercado_Receita!$S$2:$S$475,"44501B1Convencional pré-pagamentoResidencialResidencial baixa renda – faixa 01Não se aplicaNão se aplicaFora ponta",Mercado_Receita!$L$2:$L$475)+SUMIF(Mercado_Receita!$S$2:$S$475,"44501B1Convencional pré-pagamentoResidencialResidencial baixa renda – faixa 01Não se aplicaNão se aplicaIntermediário",Mercado_Receita!$L$2:$L$475)+SUMIF(Mercado_Receita!$S$2:$S$475,"44501B1Convencional pré-pagamentoResidencialResidencial baixa renda – faixa 01Não se aplicaNão se aplicaNão se aplica",Mercado_Receita!$L$2:$L$475)</f>
        <v>0</v>
      </c>
      <c r="M23" s="13">
        <f>SUMIF(Mercado_Receita!$S$2:$S$475,"44531B1Convencional pré-pagamentoResidencialResidencial baixa renda – faixa 01Não se aplicaNão se aplicaPonta",Mercado_Receita!$L$2:$L$475)+SUMIF(Mercado_Receita!$S$2:$S$475,"44531B1Convencional pré-pagamentoResidencialResidencial baixa renda – faixa 01Não se aplicaNão se aplicaFora ponta",Mercado_Receita!$L$2:$L$475)+SUMIF(Mercado_Receita!$S$2:$S$475,"44531B1Convencional pré-pagamentoResidencialResidencial baixa renda – faixa 01Não se aplicaNão se aplicaIntermediário",Mercado_Receita!$L$2:$L$475)+SUMIF(Mercado_Receita!$S$2:$S$475,"44531B1Convencional pré-pagamentoResidencialResidencial baixa renda – faixa 01Não se aplicaNão se aplicaNão se aplica",Mercado_Receita!$L$2:$L$475)</f>
        <v>0</v>
      </c>
      <c r="N23" s="13">
        <f>SUMIF(Mercado_Receita!$S$2:$S$475,"44562B1Convencional pré-pagamentoResidencialResidencial baixa renda – faixa 01Não se aplicaNão se aplicaPonta",Mercado_Receita!$L$2:$L$475)+SUMIF(Mercado_Receita!$S$2:$S$475,"44562B1Convencional pré-pagamentoResidencialResidencial baixa renda – faixa 01Não se aplicaNão se aplicaFora ponta",Mercado_Receita!$L$2:$L$475)+SUMIF(Mercado_Receita!$S$2:$S$475,"44562B1Convencional pré-pagamentoResidencialResidencial baixa renda – faixa 01Não se aplicaNão se aplicaIntermediário",Mercado_Receita!$L$2:$L$475)+SUMIF(Mercado_Receita!$S$2:$S$475,"44562B1Convencional pré-pagamentoResidencialResidencial baixa renda – faixa 01Não se aplicaNão se aplicaNão se aplica",Mercado_Receita!$L$2:$L$475)</f>
        <v>0</v>
      </c>
      <c r="O23" s="13">
        <f>SUMIF(Mercado_Receita!$S$2:$S$475,"44593B1Convencional pré-pagamentoResidencialResidencial baixa renda – faixa 01Não se aplicaNão se aplicaPonta",Mercado_Receita!$L$2:$L$475)+SUMIF(Mercado_Receita!$S$2:$S$475,"44593B1Convencional pré-pagamentoResidencialResidencial baixa renda – faixa 01Não se aplicaNão se aplicaFora ponta",Mercado_Receita!$L$2:$L$475)+SUMIF(Mercado_Receita!$S$2:$S$475,"44593B1Convencional pré-pagamentoResidencialResidencial baixa renda – faixa 01Não se aplicaNão se aplicaIntermediário",Mercado_Receita!$L$2:$L$475)+SUMIF(Mercado_Receita!$S$2:$S$475,"44593B1Convencional pré-pagamentoResidencialResidencial baixa renda – faixa 01Não se aplicaNão se aplicaNão se aplica",Mercado_Receita!$L$2:$L$475)</f>
        <v>0</v>
      </c>
      <c r="P23" s="13">
        <f>SUMIF(Mercado_Receita!$S$2:$S$475,"44621B1Convencional pré-pagamentoResidencialResidencial baixa renda – faixa 01Não se aplicaNão se aplicaPonta",Mercado_Receita!$L$2:$L$475)+SUMIF(Mercado_Receita!$S$2:$S$475,"44621B1Convencional pré-pagamentoResidencialResidencial baixa renda – faixa 01Não se aplicaNão se aplicaFora ponta",Mercado_Receita!$L$2:$L$475)+SUMIF(Mercado_Receita!$S$2:$S$475,"44621B1Convencional pré-pagamentoResidencialResidencial baixa renda – faixa 01Não se aplicaNão se aplicaIntermediário",Mercado_Receita!$L$2:$L$475)+SUMIF(Mercado_Receita!$S$2:$S$475,"44621B1Convencional pré-pagamentoResidencialResidencial baixa renda – faixa 01Não se aplicaNão se aplicaNão se aplica",Mercado_Receita!$L$2:$L$475)</f>
        <v>0</v>
      </c>
      <c r="Q23" s="13">
        <f>SUMIF(Mercado_Receita!$S$2:$S$475,"44652B1Convencional pré-pagamentoResidencialResidencial baixa renda – faixa 01Não se aplicaNão se aplicaPonta",Mercado_Receita!$L$2:$L$475)+SUMIF(Mercado_Receita!$S$2:$S$475,"44652B1Convencional pré-pagamentoResidencialResidencial baixa renda – faixa 01Não se aplicaNão se aplicaFora ponta",Mercado_Receita!$L$2:$L$475)+SUMIF(Mercado_Receita!$S$2:$S$475,"44652B1Convencional pré-pagamentoResidencialResidencial baixa renda – faixa 01Não se aplicaNão se aplicaIntermediário",Mercado_Receita!$L$2:$L$475)+SUMIF(Mercado_Receita!$S$2:$S$475,"44652B1Convencional pré-pagamentoResidencialResidencial baixa renda – faixa 01Não se aplicaNão se aplicaNão se aplica",Mercado_Receita!$L$2:$L$475)</f>
        <v>0</v>
      </c>
      <c r="R23" s="13">
        <f>SUMIF(Mercado_Receita!$S$2:$S$475,"44682B1Convencional pré-pagamentoResidencialResidencial baixa renda – faixa 01Não se aplicaNão se aplicaPonta",Mercado_Receita!$L$2:$L$475)+SUMIF(Mercado_Receita!$S$2:$S$475,"44682B1Convencional pré-pagamentoResidencialResidencial baixa renda – faixa 01Não se aplicaNão se aplicaFora ponta",Mercado_Receita!$L$2:$L$475)+SUMIF(Mercado_Receita!$S$2:$S$475,"44682B1Convencional pré-pagamentoResidencialResidencial baixa renda – faixa 01Não se aplicaNão se aplicaIntermediário",Mercado_Receita!$L$2:$L$475)+SUMIF(Mercado_Receita!$S$2:$S$475,"44682B1Convencional pré-pagamentoResidencialResidencial baixa renda – faixa 01Não se aplicaNão se aplicaNão se aplica",Mercado_Receita!$L$2:$L$475)</f>
        <v>0</v>
      </c>
      <c r="S23" s="13">
        <f>SUMIF(Mercado_Receita!$S$2:$S$475,"44713B1Convencional pré-pagamentoResidencialResidencial baixa renda – faixa 01Não se aplicaNão se aplicaPonta",Mercado_Receita!$L$2:$L$475)+SUMIF(Mercado_Receita!$S$2:$S$475,"44713B1Convencional pré-pagamentoResidencialResidencial baixa renda – faixa 01Não se aplicaNão se aplicaFora ponta",Mercado_Receita!$L$2:$L$475)+SUMIF(Mercado_Receita!$S$2:$S$475,"44713B1Convencional pré-pagamentoResidencialResidencial baixa renda – faixa 01Não se aplicaNão se aplicaIntermediário",Mercado_Receita!$L$2:$L$475)+SUMIF(Mercado_Receita!$S$2:$S$475,"44713B1Convencional pré-pagamentoResidencialResidencial baixa renda – faixa 01Não se aplicaNão se aplicaNão se aplica",Mercado_Receita!$L$2:$L$475)</f>
        <v>0</v>
      </c>
      <c r="T23" s="13">
        <f>SUMIF(Mercado_Receita!$S$2:$S$475,"44743B1Convencional pré-pagamentoResidencialResidencial baixa renda – faixa 01Não se aplicaNão se aplicaPonta",Mercado_Receita!$L$2:$L$475)+SUMIF(Mercado_Receita!$S$2:$S$475,"44743B1Convencional pré-pagamentoResidencialResidencial baixa renda – faixa 01Não se aplicaNão se aplicaFora ponta",Mercado_Receita!$L$2:$L$475)+SUMIF(Mercado_Receita!$S$2:$S$475,"44743B1Convencional pré-pagamentoResidencialResidencial baixa renda – faixa 01Não se aplicaNão se aplicaIntermediário",Mercado_Receita!$L$2:$L$475)+SUMIF(Mercado_Receita!$S$2:$S$475,"44743B1Convencional pré-pagamentoResidencialResidencial baixa renda – faixa 01Não se aplicaNão se aplicaNão se aplica",Mercado_Receita!$L$2:$L$475)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124"/>
      <c r="B24" s="124"/>
      <c r="C24" s="124"/>
      <c r="D24" s="12" t="s">
        <v>29</v>
      </c>
      <c r="E24" s="12" t="s">
        <v>25</v>
      </c>
      <c r="F24" s="12" t="s">
        <v>25</v>
      </c>
      <c r="G24" s="13" t="s">
        <v>79</v>
      </c>
      <c r="H24" s="13" t="s">
        <v>75</v>
      </c>
      <c r="I24" s="13">
        <f>SUMIF(Mercado_Receita!$S$2:$S$475,"44409B1Convencional pré-pagamentoResidencialResidencial baixa renda – faixa 02Não se aplicaNão se aplicaPonta",Mercado_Receita!$L$2:$L$475)+SUMIF(Mercado_Receita!$S$2:$S$475,"44409B1Convencional pré-pagamentoResidencialResidencial baixa renda – faixa 02Não se aplicaNão se aplicaFora ponta",Mercado_Receita!$L$2:$L$475)+SUMIF(Mercado_Receita!$S$2:$S$475,"44409B1Convencional pré-pagamentoResidencialResidencial baixa renda – faixa 02Não se aplicaNão se aplicaIntermediário",Mercado_Receita!$L$2:$L$475)+SUMIF(Mercado_Receita!$S$2:$S$475,"44409B1Convencional pré-pagamentoResidencialResidencial baixa renda – faixa 02Não se aplicaNão se aplicaNão se aplica",Mercado_Receita!$L$2:$L$475)</f>
        <v>0</v>
      </c>
      <c r="J24" s="13">
        <f>SUMIF(Mercado_Receita!$S$2:$S$475,"44440B1Convencional pré-pagamentoResidencialResidencial baixa renda – faixa 02Não se aplicaNão se aplicaPonta",Mercado_Receita!$L$2:$L$475)+SUMIF(Mercado_Receita!$S$2:$S$475,"44440B1Convencional pré-pagamentoResidencialResidencial baixa renda – faixa 02Não se aplicaNão se aplicaFora ponta",Mercado_Receita!$L$2:$L$475)+SUMIF(Mercado_Receita!$S$2:$S$475,"44440B1Convencional pré-pagamentoResidencialResidencial baixa renda – faixa 02Não se aplicaNão se aplicaIntermediário",Mercado_Receita!$L$2:$L$475)+SUMIF(Mercado_Receita!$S$2:$S$475,"44440B1Convencional pré-pagamentoResidencialResidencial baixa renda – faixa 02Não se aplicaNão se aplicaNão se aplica",Mercado_Receita!$L$2:$L$475)</f>
        <v>0</v>
      </c>
      <c r="K24" s="13">
        <f>SUMIF(Mercado_Receita!$S$2:$S$475,"44470B1Convencional pré-pagamentoResidencialResidencial baixa renda – faixa 02Não se aplicaNão se aplicaPonta",Mercado_Receita!$L$2:$L$475)+SUMIF(Mercado_Receita!$S$2:$S$475,"44470B1Convencional pré-pagamentoResidencialResidencial baixa renda – faixa 02Não se aplicaNão se aplicaFora ponta",Mercado_Receita!$L$2:$L$475)+SUMIF(Mercado_Receita!$S$2:$S$475,"44470B1Convencional pré-pagamentoResidencialResidencial baixa renda – faixa 02Não se aplicaNão se aplicaIntermediário",Mercado_Receita!$L$2:$L$475)+SUMIF(Mercado_Receita!$S$2:$S$475,"44470B1Convencional pré-pagamentoResidencialResidencial baixa renda – faixa 02Não se aplicaNão se aplicaNão se aplica",Mercado_Receita!$L$2:$L$475)</f>
        <v>0</v>
      </c>
      <c r="L24" s="13">
        <f>SUMIF(Mercado_Receita!$S$2:$S$475,"44501B1Convencional pré-pagamentoResidencialResidencial baixa renda – faixa 02Não se aplicaNão se aplicaPonta",Mercado_Receita!$L$2:$L$475)+SUMIF(Mercado_Receita!$S$2:$S$475,"44501B1Convencional pré-pagamentoResidencialResidencial baixa renda – faixa 02Não se aplicaNão se aplicaFora ponta",Mercado_Receita!$L$2:$L$475)+SUMIF(Mercado_Receita!$S$2:$S$475,"44501B1Convencional pré-pagamentoResidencialResidencial baixa renda – faixa 02Não se aplicaNão se aplicaIntermediário",Mercado_Receita!$L$2:$L$475)+SUMIF(Mercado_Receita!$S$2:$S$475,"44501B1Convencional pré-pagamentoResidencialResidencial baixa renda – faixa 02Não se aplicaNão se aplicaNão se aplica",Mercado_Receita!$L$2:$L$475)</f>
        <v>0</v>
      </c>
      <c r="M24" s="13">
        <f>SUMIF(Mercado_Receita!$S$2:$S$475,"44531B1Convencional pré-pagamentoResidencialResidencial baixa renda – faixa 02Não se aplicaNão se aplicaPonta",Mercado_Receita!$L$2:$L$475)+SUMIF(Mercado_Receita!$S$2:$S$475,"44531B1Convencional pré-pagamentoResidencialResidencial baixa renda – faixa 02Não se aplicaNão se aplicaFora ponta",Mercado_Receita!$L$2:$L$475)+SUMIF(Mercado_Receita!$S$2:$S$475,"44531B1Convencional pré-pagamentoResidencialResidencial baixa renda – faixa 02Não se aplicaNão se aplicaIntermediário",Mercado_Receita!$L$2:$L$475)+SUMIF(Mercado_Receita!$S$2:$S$475,"44531B1Convencional pré-pagamentoResidencialResidencial baixa renda – faixa 02Não se aplicaNão se aplicaNão se aplica",Mercado_Receita!$L$2:$L$475)</f>
        <v>0</v>
      </c>
      <c r="N24" s="13">
        <f>SUMIF(Mercado_Receita!$S$2:$S$475,"44562B1Convencional pré-pagamentoResidencialResidencial baixa renda – faixa 02Não se aplicaNão se aplicaPonta",Mercado_Receita!$L$2:$L$475)+SUMIF(Mercado_Receita!$S$2:$S$475,"44562B1Convencional pré-pagamentoResidencialResidencial baixa renda – faixa 02Não se aplicaNão se aplicaFora ponta",Mercado_Receita!$L$2:$L$475)+SUMIF(Mercado_Receita!$S$2:$S$475,"44562B1Convencional pré-pagamentoResidencialResidencial baixa renda – faixa 02Não se aplicaNão se aplicaIntermediário",Mercado_Receita!$L$2:$L$475)+SUMIF(Mercado_Receita!$S$2:$S$475,"44562B1Convencional pré-pagamentoResidencialResidencial baixa renda – faixa 02Não se aplicaNão se aplicaNão se aplica",Mercado_Receita!$L$2:$L$475)</f>
        <v>0</v>
      </c>
      <c r="O24" s="13">
        <f>SUMIF(Mercado_Receita!$S$2:$S$475,"44593B1Convencional pré-pagamentoResidencialResidencial baixa renda – faixa 02Não se aplicaNão se aplicaPonta",Mercado_Receita!$L$2:$L$475)+SUMIF(Mercado_Receita!$S$2:$S$475,"44593B1Convencional pré-pagamentoResidencialResidencial baixa renda – faixa 02Não se aplicaNão se aplicaFora ponta",Mercado_Receita!$L$2:$L$475)+SUMIF(Mercado_Receita!$S$2:$S$475,"44593B1Convencional pré-pagamentoResidencialResidencial baixa renda – faixa 02Não se aplicaNão se aplicaIntermediário",Mercado_Receita!$L$2:$L$475)+SUMIF(Mercado_Receita!$S$2:$S$475,"44593B1Convencional pré-pagamentoResidencialResidencial baixa renda – faixa 02Não se aplicaNão se aplicaNão se aplica",Mercado_Receita!$L$2:$L$475)</f>
        <v>0</v>
      </c>
      <c r="P24" s="13">
        <f>SUMIF(Mercado_Receita!$S$2:$S$475,"44621B1Convencional pré-pagamentoResidencialResidencial baixa renda – faixa 02Não se aplicaNão se aplicaPonta",Mercado_Receita!$L$2:$L$475)+SUMIF(Mercado_Receita!$S$2:$S$475,"44621B1Convencional pré-pagamentoResidencialResidencial baixa renda – faixa 02Não se aplicaNão se aplicaFora ponta",Mercado_Receita!$L$2:$L$475)+SUMIF(Mercado_Receita!$S$2:$S$475,"44621B1Convencional pré-pagamentoResidencialResidencial baixa renda – faixa 02Não se aplicaNão se aplicaIntermediário",Mercado_Receita!$L$2:$L$475)+SUMIF(Mercado_Receita!$S$2:$S$475,"44621B1Convencional pré-pagamentoResidencialResidencial baixa renda – faixa 02Não se aplicaNão se aplicaNão se aplica",Mercado_Receita!$L$2:$L$475)</f>
        <v>0</v>
      </c>
      <c r="Q24" s="13">
        <f>SUMIF(Mercado_Receita!$S$2:$S$475,"44652B1Convencional pré-pagamentoResidencialResidencial baixa renda – faixa 02Não se aplicaNão se aplicaPonta",Mercado_Receita!$L$2:$L$475)+SUMIF(Mercado_Receita!$S$2:$S$475,"44652B1Convencional pré-pagamentoResidencialResidencial baixa renda – faixa 02Não se aplicaNão se aplicaFora ponta",Mercado_Receita!$L$2:$L$475)+SUMIF(Mercado_Receita!$S$2:$S$475,"44652B1Convencional pré-pagamentoResidencialResidencial baixa renda – faixa 02Não se aplicaNão se aplicaIntermediário",Mercado_Receita!$L$2:$L$475)+SUMIF(Mercado_Receita!$S$2:$S$475,"44652B1Convencional pré-pagamentoResidencialResidencial baixa renda – faixa 02Não se aplicaNão se aplicaNão se aplica",Mercado_Receita!$L$2:$L$475)</f>
        <v>0</v>
      </c>
      <c r="R24" s="13">
        <f>SUMIF(Mercado_Receita!$S$2:$S$475,"44682B1Convencional pré-pagamentoResidencialResidencial baixa renda – faixa 02Não se aplicaNão se aplicaPonta",Mercado_Receita!$L$2:$L$475)+SUMIF(Mercado_Receita!$S$2:$S$475,"44682B1Convencional pré-pagamentoResidencialResidencial baixa renda – faixa 02Não se aplicaNão se aplicaFora ponta",Mercado_Receita!$L$2:$L$475)+SUMIF(Mercado_Receita!$S$2:$S$475,"44682B1Convencional pré-pagamentoResidencialResidencial baixa renda – faixa 02Não se aplicaNão se aplicaIntermediário",Mercado_Receita!$L$2:$L$475)+SUMIF(Mercado_Receita!$S$2:$S$475,"44682B1Convencional pré-pagamentoResidencialResidencial baixa renda – faixa 02Não se aplicaNão se aplicaNão se aplica",Mercado_Receita!$L$2:$L$475)</f>
        <v>0</v>
      </c>
      <c r="S24" s="13">
        <f>SUMIF(Mercado_Receita!$S$2:$S$475,"44713B1Convencional pré-pagamentoResidencialResidencial baixa renda – faixa 02Não se aplicaNão se aplicaPonta",Mercado_Receita!$L$2:$L$475)+SUMIF(Mercado_Receita!$S$2:$S$475,"44713B1Convencional pré-pagamentoResidencialResidencial baixa renda – faixa 02Não se aplicaNão se aplicaFora ponta",Mercado_Receita!$L$2:$L$475)+SUMIF(Mercado_Receita!$S$2:$S$475,"44713B1Convencional pré-pagamentoResidencialResidencial baixa renda – faixa 02Não se aplicaNão se aplicaIntermediário",Mercado_Receita!$L$2:$L$475)+SUMIF(Mercado_Receita!$S$2:$S$475,"44713B1Convencional pré-pagamentoResidencialResidencial baixa renda – faixa 02Não se aplicaNão se aplicaNão se aplica",Mercado_Receita!$L$2:$L$475)</f>
        <v>0</v>
      </c>
      <c r="T24" s="13">
        <f>SUMIF(Mercado_Receita!$S$2:$S$475,"44743B1Convencional pré-pagamentoResidencialResidencial baixa renda – faixa 02Não se aplicaNão se aplicaPonta",Mercado_Receita!$L$2:$L$475)+SUMIF(Mercado_Receita!$S$2:$S$475,"44743B1Convencional pré-pagamentoResidencialResidencial baixa renda – faixa 02Não se aplicaNão se aplicaFora ponta",Mercado_Receita!$L$2:$L$475)+SUMIF(Mercado_Receita!$S$2:$S$475,"44743B1Convencional pré-pagamentoResidencialResidencial baixa renda – faixa 02Não se aplicaNão se aplicaIntermediário",Mercado_Receita!$L$2:$L$475)+SUMIF(Mercado_Receita!$S$2:$S$475,"44743B1Convencional pré-pagamentoResidencialResidencial baixa renda – faixa 02Não se aplicaNão se aplicaNão se aplica",Mercado_Receita!$L$2:$L$475)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124"/>
      <c r="B25" s="124"/>
      <c r="C25" s="124"/>
      <c r="D25" s="12" t="s">
        <v>30</v>
      </c>
      <c r="E25" s="12" t="s">
        <v>25</v>
      </c>
      <c r="F25" s="12" t="s">
        <v>25</v>
      </c>
      <c r="G25" s="13" t="s">
        <v>79</v>
      </c>
      <c r="H25" s="13" t="s">
        <v>75</v>
      </c>
      <c r="I25" s="13">
        <f>SUMIF(Mercado_Receita!$S$2:$S$475,"44409B1Convencional pré-pagamentoResidencialResidencial baixa renda – faixa 03Não se aplicaNão se aplicaPonta",Mercado_Receita!$L$2:$L$475)+SUMIF(Mercado_Receita!$S$2:$S$475,"44409B1Convencional pré-pagamentoResidencialResidencial baixa renda – faixa 03Não se aplicaNão se aplicaFora ponta",Mercado_Receita!$L$2:$L$475)+SUMIF(Mercado_Receita!$S$2:$S$475,"44409B1Convencional pré-pagamentoResidencialResidencial baixa renda – faixa 03Não se aplicaNão se aplicaIntermediário",Mercado_Receita!$L$2:$L$475)+SUMIF(Mercado_Receita!$S$2:$S$475,"44409B1Convencional pré-pagamentoResidencialResidencial baixa renda – faixa 03Não se aplicaNão se aplicaNão se aplica",Mercado_Receita!$L$2:$L$475)</f>
        <v>0</v>
      </c>
      <c r="J25" s="13">
        <f>SUMIF(Mercado_Receita!$S$2:$S$475,"44440B1Convencional pré-pagamentoResidencialResidencial baixa renda – faixa 03Não se aplicaNão se aplicaPonta",Mercado_Receita!$L$2:$L$475)+SUMIF(Mercado_Receita!$S$2:$S$475,"44440B1Convencional pré-pagamentoResidencialResidencial baixa renda – faixa 03Não se aplicaNão se aplicaFora ponta",Mercado_Receita!$L$2:$L$475)+SUMIF(Mercado_Receita!$S$2:$S$475,"44440B1Convencional pré-pagamentoResidencialResidencial baixa renda – faixa 03Não se aplicaNão se aplicaIntermediário",Mercado_Receita!$L$2:$L$475)+SUMIF(Mercado_Receita!$S$2:$S$475,"44440B1Convencional pré-pagamentoResidencialResidencial baixa renda – faixa 03Não se aplicaNão se aplicaNão se aplica",Mercado_Receita!$L$2:$L$475)</f>
        <v>0</v>
      </c>
      <c r="K25" s="13">
        <f>SUMIF(Mercado_Receita!$S$2:$S$475,"44470B1Convencional pré-pagamentoResidencialResidencial baixa renda – faixa 03Não se aplicaNão se aplicaPonta",Mercado_Receita!$L$2:$L$475)+SUMIF(Mercado_Receita!$S$2:$S$475,"44470B1Convencional pré-pagamentoResidencialResidencial baixa renda – faixa 03Não se aplicaNão se aplicaFora ponta",Mercado_Receita!$L$2:$L$475)+SUMIF(Mercado_Receita!$S$2:$S$475,"44470B1Convencional pré-pagamentoResidencialResidencial baixa renda – faixa 03Não se aplicaNão se aplicaIntermediário",Mercado_Receita!$L$2:$L$475)+SUMIF(Mercado_Receita!$S$2:$S$475,"44470B1Convencional pré-pagamentoResidencialResidencial baixa renda – faixa 03Não se aplicaNão se aplicaNão se aplica",Mercado_Receita!$L$2:$L$475)</f>
        <v>0</v>
      </c>
      <c r="L25" s="13">
        <f>SUMIF(Mercado_Receita!$S$2:$S$475,"44501B1Convencional pré-pagamentoResidencialResidencial baixa renda – faixa 03Não se aplicaNão se aplicaPonta",Mercado_Receita!$L$2:$L$475)+SUMIF(Mercado_Receita!$S$2:$S$475,"44501B1Convencional pré-pagamentoResidencialResidencial baixa renda – faixa 03Não se aplicaNão se aplicaFora ponta",Mercado_Receita!$L$2:$L$475)+SUMIF(Mercado_Receita!$S$2:$S$475,"44501B1Convencional pré-pagamentoResidencialResidencial baixa renda – faixa 03Não se aplicaNão se aplicaIntermediário",Mercado_Receita!$L$2:$L$475)+SUMIF(Mercado_Receita!$S$2:$S$475,"44501B1Convencional pré-pagamentoResidencialResidencial baixa renda – faixa 03Não se aplicaNão se aplicaNão se aplica",Mercado_Receita!$L$2:$L$475)</f>
        <v>0</v>
      </c>
      <c r="M25" s="13">
        <f>SUMIF(Mercado_Receita!$S$2:$S$475,"44531B1Convencional pré-pagamentoResidencialResidencial baixa renda – faixa 03Não se aplicaNão se aplicaPonta",Mercado_Receita!$L$2:$L$475)+SUMIF(Mercado_Receita!$S$2:$S$475,"44531B1Convencional pré-pagamentoResidencialResidencial baixa renda – faixa 03Não se aplicaNão se aplicaFora ponta",Mercado_Receita!$L$2:$L$475)+SUMIF(Mercado_Receita!$S$2:$S$475,"44531B1Convencional pré-pagamentoResidencialResidencial baixa renda – faixa 03Não se aplicaNão se aplicaIntermediário",Mercado_Receita!$L$2:$L$475)+SUMIF(Mercado_Receita!$S$2:$S$475,"44531B1Convencional pré-pagamentoResidencialResidencial baixa renda – faixa 03Não se aplicaNão se aplicaNão se aplica",Mercado_Receita!$L$2:$L$475)</f>
        <v>0</v>
      </c>
      <c r="N25" s="13">
        <f>SUMIF(Mercado_Receita!$S$2:$S$475,"44562B1Convencional pré-pagamentoResidencialResidencial baixa renda – faixa 03Não se aplicaNão se aplicaPonta",Mercado_Receita!$L$2:$L$475)+SUMIF(Mercado_Receita!$S$2:$S$475,"44562B1Convencional pré-pagamentoResidencialResidencial baixa renda – faixa 03Não se aplicaNão se aplicaFora ponta",Mercado_Receita!$L$2:$L$475)+SUMIF(Mercado_Receita!$S$2:$S$475,"44562B1Convencional pré-pagamentoResidencialResidencial baixa renda – faixa 03Não se aplicaNão se aplicaIntermediário",Mercado_Receita!$L$2:$L$475)+SUMIF(Mercado_Receita!$S$2:$S$475,"44562B1Convencional pré-pagamentoResidencialResidencial baixa renda – faixa 03Não se aplicaNão se aplicaNão se aplica",Mercado_Receita!$L$2:$L$475)</f>
        <v>0</v>
      </c>
      <c r="O25" s="13">
        <f>SUMIF(Mercado_Receita!$S$2:$S$475,"44593B1Convencional pré-pagamentoResidencialResidencial baixa renda – faixa 03Não se aplicaNão se aplicaPonta",Mercado_Receita!$L$2:$L$475)+SUMIF(Mercado_Receita!$S$2:$S$475,"44593B1Convencional pré-pagamentoResidencialResidencial baixa renda – faixa 03Não se aplicaNão se aplicaFora ponta",Mercado_Receita!$L$2:$L$475)+SUMIF(Mercado_Receita!$S$2:$S$475,"44593B1Convencional pré-pagamentoResidencialResidencial baixa renda – faixa 03Não se aplicaNão se aplicaIntermediário",Mercado_Receita!$L$2:$L$475)+SUMIF(Mercado_Receita!$S$2:$S$475,"44593B1Convencional pré-pagamentoResidencialResidencial baixa renda – faixa 03Não se aplicaNão se aplicaNão se aplica",Mercado_Receita!$L$2:$L$475)</f>
        <v>0</v>
      </c>
      <c r="P25" s="13">
        <f>SUMIF(Mercado_Receita!$S$2:$S$475,"44621B1Convencional pré-pagamentoResidencialResidencial baixa renda – faixa 03Não se aplicaNão se aplicaPonta",Mercado_Receita!$L$2:$L$475)+SUMIF(Mercado_Receita!$S$2:$S$475,"44621B1Convencional pré-pagamentoResidencialResidencial baixa renda – faixa 03Não se aplicaNão se aplicaFora ponta",Mercado_Receita!$L$2:$L$475)+SUMIF(Mercado_Receita!$S$2:$S$475,"44621B1Convencional pré-pagamentoResidencialResidencial baixa renda – faixa 03Não se aplicaNão se aplicaIntermediário",Mercado_Receita!$L$2:$L$475)+SUMIF(Mercado_Receita!$S$2:$S$475,"44621B1Convencional pré-pagamentoResidencialResidencial baixa renda – faixa 03Não se aplicaNão se aplicaNão se aplica",Mercado_Receita!$L$2:$L$475)</f>
        <v>0</v>
      </c>
      <c r="Q25" s="13">
        <f>SUMIF(Mercado_Receita!$S$2:$S$475,"44652B1Convencional pré-pagamentoResidencialResidencial baixa renda – faixa 03Não se aplicaNão se aplicaPonta",Mercado_Receita!$L$2:$L$475)+SUMIF(Mercado_Receita!$S$2:$S$475,"44652B1Convencional pré-pagamentoResidencialResidencial baixa renda – faixa 03Não se aplicaNão se aplicaFora ponta",Mercado_Receita!$L$2:$L$475)+SUMIF(Mercado_Receita!$S$2:$S$475,"44652B1Convencional pré-pagamentoResidencialResidencial baixa renda – faixa 03Não se aplicaNão se aplicaIntermediário",Mercado_Receita!$L$2:$L$475)+SUMIF(Mercado_Receita!$S$2:$S$475,"44652B1Convencional pré-pagamentoResidencialResidencial baixa renda – faixa 03Não se aplicaNão se aplicaNão se aplica",Mercado_Receita!$L$2:$L$475)</f>
        <v>0</v>
      </c>
      <c r="R25" s="13">
        <f>SUMIF(Mercado_Receita!$S$2:$S$475,"44682B1Convencional pré-pagamentoResidencialResidencial baixa renda – faixa 03Não se aplicaNão se aplicaPonta",Mercado_Receita!$L$2:$L$475)+SUMIF(Mercado_Receita!$S$2:$S$475,"44682B1Convencional pré-pagamentoResidencialResidencial baixa renda – faixa 03Não se aplicaNão se aplicaFora ponta",Mercado_Receita!$L$2:$L$475)+SUMIF(Mercado_Receita!$S$2:$S$475,"44682B1Convencional pré-pagamentoResidencialResidencial baixa renda – faixa 03Não se aplicaNão se aplicaIntermediário",Mercado_Receita!$L$2:$L$475)+SUMIF(Mercado_Receita!$S$2:$S$475,"44682B1Convencional pré-pagamentoResidencialResidencial baixa renda – faixa 03Não se aplicaNão se aplicaNão se aplica",Mercado_Receita!$L$2:$L$475)</f>
        <v>0</v>
      </c>
      <c r="S25" s="13">
        <f>SUMIF(Mercado_Receita!$S$2:$S$475,"44713B1Convencional pré-pagamentoResidencialResidencial baixa renda – faixa 03Não se aplicaNão se aplicaPonta",Mercado_Receita!$L$2:$L$475)+SUMIF(Mercado_Receita!$S$2:$S$475,"44713B1Convencional pré-pagamentoResidencialResidencial baixa renda – faixa 03Não se aplicaNão se aplicaFora ponta",Mercado_Receita!$L$2:$L$475)+SUMIF(Mercado_Receita!$S$2:$S$475,"44713B1Convencional pré-pagamentoResidencialResidencial baixa renda – faixa 03Não se aplicaNão se aplicaIntermediário",Mercado_Receita!$L$2:$L$475)+SUMIF(Mercado_Receita!$S$2:$S$475,"44713B1Convencional pré-pagamentoResidencialResidencial baixa renda – faixa 03Não se aplicaNão se aplicaNão se aplica",Mercado_Receita!$L$2:$L$475)</f>
        <v>0</v>
      </c>
      <c r="T25" s="13">
        <f>SUMIF(Mercado_Receita!$S$2:$S$475,"44743B1Convencional pré-pagamentoResidencialResidencial baixa renda – faixa 03Não se aplicaNão se aplicaPonta",Mercado_Receita!$L$2:$L$475)+SUMIF(Mercado_Receita!$S$2:$S$475,"44743B1Convencional pré-pagamentoResidencialResidencial baixa renda – faixa 03Não se aplicaNão se aplicaFora ponta",Mercado_Receita!$L$2:$L$475)+SUMIF(Mercado_Receita!$S$2:$S$475,"44743B1Convencional pré-pagamentoResidencialResidencial baixa renda – faixa 03Não se aplicaNão se aplicaIntermediário",Mercado_Receita!$L$2:$L$475)+SUMIF(Mercado_Receita!$S$2:$S$475,"44743B1Convencional pré-pagamentoResidencialResidencial baixa renda – faixa 03Não se aplicaNão se aplicaNão se aplica",Mercado_Receita!$L$2:$L$475)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124"/>
      <c r="B26" s="124"/>
      <c r="C26" s="124"/>
      <c r="D26" s="12" t="s">
        <v>31</v>
      </c>
      <c r="E26" s="12" t="s">
        <v>25</v>
      </c>
      <c r="F26" s="12" t="s">
        <v>25</v>
      </c>
      <c r="G26" s="13" t="s">
        <v>79</v>
      </c>
      <c r="H26" s="13" t="s">
        <v>75</v>
      </c>
      <c r="I26" s="13">
        <f>SUMIF(Mercado_Receita!$S$2:$S$475,"44409B1Convencional pré-pagamentoResidencialResidencial baixa renda – faixa 04Não se aplicaNão se aplicaPonta",Mercado_Receita!$L$2:$L$475)+SUMIF(Mercado_Receita!$S$2:$S$475,"44409B1Convencional pré-pagamentoResidencialResidencial baixa renda – faixa 04Não se aplicaNão se aplicaFora ponta",Mercado_Receita!$L$2:$L$475)+SUMIF(Mercado_Receita!$S$2:$S$475,"44409B1Convencional pré-pagamentoResidencialResidencial baixa renda – faixa 04Não se aplicaNão se aplicaIntermediário",Mercado_Receita!$L$2:$L$475)+SUMIF(Mercado_Receita!$S$2:$S$475,"44409B1Convencional pré-pagamentoResidencialResidencial baixa renda – faixa 04Não se aplicaNão se aplicaNão se aplica",Mercado_Receita!$L$2:$L$475)</f>
        <v>0</v>
      </c>
      <c r="J26" s="13">
        <f>SUMIF(Mercado_Receita!$S$2:$S$475,"44440B1Convencional pré-pagamentoResidencialResidencial baixa renda – faixa 04Não se aplicaNão se aplicaPonta",Mercado_Receita!$L$2:$L$475)+SUMIF(Mercado_Receita!$S$2:$S$475,"44440B1Convencional pré-pagamentoResidencialResidencial baixa renda – faixa 04Não se aplicaNão se aplicaFora ponta",Mercado_Receita!$L$2:$L$475)+SUMIF(Mercado_Receita!$S$2:$S$475,"44440B1Convencional pré-pagamentoResidencialResidencial baixa renda – faixa 04Não se aplicaNão se aplicaIntermediário",Mercado_Receita!$L$2:$L$475)+SUMIF(Mercado_Receita!$S$2:$S$475,"44440B1Convencional pré-pagamentoResidencialResidencial baixa renda – faixa 04Não se aplicaNão se aplicaNão se aplica",Mercado_Receita!$L$2:$L$475)</f>
        <v>0</v>
      </c>
      <c r="K26" s="13">
        <f>SUMIF(Mercado_Receita!$S$2:$S$475,"44470B1Convencional pré-pagamentoResidencialResidencial baixa renda – faixa 04Não se aplicaNão se aplicaPonta",Mercado_Receita!$L$2:$L$475)+SUMIF(Mercado_Receita!$S$2:$S$475,"44470B1Convencional pré-pagamentoResidencialResidencial baixa renda – faixa 04Não se aplicaNão se aplicaFora ponta",Mercado_Receita!$L$2:$L$475)+SUMIF(Mercado_Receita!$S$2:$S$475,"44470B1Convencional pré-pagamentoResidencialResidencial baixa renda – faixa 04Não se aplicaNão se aplicaIntermediário",Mercado_Receita!$L$2:$L$475)+SUMIF(Mercado_Receita!$S$2:$S$475,"44470B1Convencional pré-pagamentoResidencialResidencial baixa renda – faixa 04Não se aplicaNão se aplicaNão se aplica",Mercado_Receita!$L$2:$L$475)</f>
        <v>0</v>
      </c>
      <c r="L26" s="13">
        <f>SUMIF(Mercado_Receita!$S$2:$S$475,"44501B1Convencional pré-pagamentoResidencialResidencial baixa renda – faixa 04Não se aplicaNão se aplicaPonta",Mercado_Receita!$L$2:$L$475)+SUMIF(Mercado_Receita!$S$2:$S$475,"44501B1Convencional pré-pagamentoResidencialResidencial baixa renda – faixa 04Não se aplicaNão se aplicaFora ponta",Mercado_Receita!$L$2:$L$475)+SUMIF(Mercado_Receita!$S$2:$S$475,"44501B1Convencional pré-pagamentoResidencialResidencial baixa renda – faixa 04Não se aplicaNão se aplicaIntermediário",Mercado_Receita!$L$2:$L$475)+SUMIF(Mercado_Receita!$S$2:$S$475,"44501B1Convencional pré-pagamentoResidencialResidencial baixa renda – faixa 04Não se aplicaNão se aplicaNão se aplica",Mercado_Receita!$L$2:$L$475)</f>
        <v>0</v>
      </c>
      <c r="M26" s="13">
        <f>SUMIF(Mercado_Receita!$S$2:$S$475,"44531B1Convencional pré-pagamentoResidencialResidencial baixa renda – faixa 04Não se aplicaNão se aplicaPonta",Mercado_Receita!$L$2:$L$475)+SUMIF(Mercado_Receita!$S$2:$S$475,"44531B1Convencional pré-pagamentoResidencialResidencial baixa renda – faixa 04Não se aplicaNão se aplicaFora ponta",Mercado_Receita!$L$2:$L$475)+SUMIF(Mercado_Receita!$S$2:$S$475,"44531B1Convencional pré-pagamentoResidencialResidencial baixa renda – faixa 04Não se aplicaNão se aplicaIntermediário",Mercado_Receita!$L$2:$L$475)+SUMIF(Mercado_Receita!$S$2:$S$475,"44531B1Convencional pré-pagamentoResidencialResidencial baixa renda – faixa 04Não se aplicaNão se aplicaNão se aplica",Mercado_Receita!$L$2:$L$475)</f>
        <v>0</v>
      </c>
      <c r="N26" s="13">
        <f>SUMIF(Mercado_Receita!$S$2:$S$475,"44562B1Convencional pré-pagamentoResidencialResidencial baixa renda – faixa 04Não se aplicaNão se aplicaPonta",Mercado_Receita!$L$2:$L$475)+SUMIF(Mercado_Receita!$S$2:$S$475,"44562B1Convencional pré-pagamentoResidencialResidencial baixa renda – faixa 04Não se aplicaNão se aplicaFora ponta",Mercado_Receita!$L$2:$L$475)+SUMIF(Mercado_Receita!$S$2:$S$475,"44562B1Convencional pré-pagamentoResidencialResidencial baixa renda – faixa 04Não se aplicaNão se aplicaIntermediário",Mercado_Receita!$L$2:$L$475)+SUMIF(Mercado_Receita!$S$2:$S$475,"44562B1Convencional pré-pagamentoResidencialResidencial baixa renda – faixa 04Não se aplicaNão se aplicaNão se aplica",Mercado_Receita!$L$2:$L$475)</f>
        <v>0</v>
      </c>
      <c r="O26" s="13">
        <f>SUMIF(Mercado_Receita!$S$2:$S$475,"44593B1Convencional pré-pagamentoResidencialResidencial baixa renda – faixa 04Não se aplicaNão se aplicaPonta",Mercado_Receita!$L$2:$L$475)+SUMIF(Mercado_Receita!$S$2:$S$475,"44593B1Convencional pré-pagamentoResidencialResidencial baixa renda – faixa 04Não se aplicaNão se aplicaFora ponta",Mercado_Receita!$L$2:$L$475)+SUMIF(Mercado_Receita!$S$2:$S$475,"44593B1Convencional pré-pagamentoResidencialResidencial baixa renda – faixa 04Não se aplicaNão se aplicaIntermediário",Mercado_Receita!$L$2:$L$475)+SUMIF(Mercado_Receita!$S$2:$S$475,"44593B1Convencional pré-pagamentoResidencialResidencial baixa renda – faixa 04Não se aplicaNão se aplicaNão se aplica",Mercado_Receita!$L$2:$L$475)</f>
        <v>0</v>
      </c>
      <c r="P26" s="13">
        <f>SUMIF(Mercado_Receita!$S$2:$S$475,"44621B1Convencional pré-pagamentoResidencialResidencial baixa renda – faixa 04Não se aplicaNão se aplicaPonta",Mercado_Receita!$L$2:$L$475)+SUMIF(Mercado_Receita!$S$2:$S$475,"44621B1Convencional pré-pagamentoResidencialResidencial baixa renda – faixa 04Não se aplicaNão se aplicaFora ponta",Mercado_Receita!$L$2:$L$475)+SUMIF(Mercado_Receita!$S$2:$S$475,"44621B1Convencional pré-pagamentoResidencialResidencial baixa renda – faixa 04Não se aplicaNão se aplicaIntermediário",Mercado_Receita!$L$2:$L$475)+SUMIF(Mercado_Receita!$S$2:$S$475,"44621B1Convencional pré-pagamentoResidencialResidencial baixa renda – faixa 04Não se aplicaNão se aplicaNão se aplica",Mercado_Receita!$L$2:$L$475)</f>
        <v>0</v>
      </c>
      <c r="Q26" s="13">
        <f>SUMIF(Mercado_Receita!$S$2:$S$475,"44652B1Convencional pré-pagamentoResidencialResidencial baixa renda – faixa 04Não se aplicaNão se aplicaPonta",Mercado_Receita!$L$2:$L$475)+SUMIF(Mercado_Receita!$S$2:$S$475,"44652B1Convencional pré-pagamentoResidencialResidencial baixa renda – faixa 04Não se aplicaNão se aplicaFora ponta",Mercado_Receita!$L$2:$L$475)+SUMIF(Mercado_Receita!$S$2:$S$475,"44652B1Convencional pré-pagamentoResidencialResidencial baixa renda – faixa 04Não se aplicaNão se aplicaIntermediário",Mercado_Receita!$L$2:$L$475)+SUMIF(Mercado_Receita!$S$2:$S$475,"44652B1Convencional pré-pagamentoResidencialResidencial baixa renda – faixa 04Não se aplicaNão se aplicaNão se aplica",Mercado_Receita!$L$2:$L$475)</f>
        <v>0</v>
      </c>
      <c r="R26" s="13">
        <f>SUMIF(Mercado_Receita!$S$2:$S$475,"44682B1Convencional pré-pagamentoResidencialResidencial baixa renda – faixa 04Não se aplicaNão se aplicaPonta",Mercado_Receita!$L$2:$L$475)+SUMIF(Mercado_Receita!$S$2:$S$475,"44682B1Convencional pré-pagamentoResidencialResidencial baixa renda – faixa 04Não se aplicaNão se aplicaFora ponta",Mercado_Receita!$L$2:$L$475)+SUMIF(Mercado_Receita!$S$2:$S$475,"44682B1Convencional pré-pagamentoResidencialResidencial baixa renda – faixa 04Não se aplicaNão se aplicaIntermediário",Mercado_Receita!$L$2:$L$475)+SUMIF(Mercado_Receita!$S$2:$S$475,"44682B1Convencional pré-pagamentoResidencialResidencial baixa renda – faixa 04Não se aplicaNão se aplicaNão se aplica",Mercado_Receita!$L$2:$L$475)</f>
        <v>0</v>
      </c>
      <c r="S26" s="13">
        <f>SUMIF(Mercado_Receita!$S$2:$S$475,"44713B1Convencional pré-pagamentoResidencialResidencial baixa renda – faixa 04Não se aplicaNão se aplicaPonta",Mercado_Receita!$L$2:$L$475)+SUMIF(Mercado_Receita!$S$2:$S$475,"44713B1Convencional pré-pagamentoResidencialResidencial baixa renda – faixa 04Não se aplicaNão se aplicaFora ponta",Mercado_Receita!$L$2:$L$475)+SUMIF(Mercado_Receita!$S$2:$S$475,"44713B1Convencional pré-pagamentoResidencialResidencial baixa renda – faixa 04Não se aplicaNão se aplicaIntermediário",Mercado_Receita!$L$2:$L$475)+SUMIF(Mercado_Receita!$S$2:$S$475,"44713B1Convencional pré-pagamentoResidencialResidencial baixa renda – faixa 04Não se aplicaNão se aplicaNão se aplica",Mercado_Receita!$L$2:$L$475)</f>
        <v>0</v>
      </c>
      <c r="T26" s="13">
        <f>SUMIF(Mercado_Receita!$S$2:$S$475,"44743B1Convencional pré-pagamentoResidencialResidencial baixa renda – faixa 04Não se aplicaNão se aplicaPonta",Mercado_Receita!$L$2:$L$475)+SUMIF(Mercado_Receita!$S$2:$S$475,"44743B1Convencional pré-pagamentoResidencialResidencial baixa renda – faixa 04Não se aplicaNão se aplicaFora ponta",Mercado_Receita!$L$2:$L$475)+SUMIF(Mercado_Receita!$S$2:$S$475,"44743B1Convencional pré-pagamentoResidencialResidencial baixa renda – faixa 04Não se aplicaNão se aplicaIntermediário",Mercado_Receita!$L$2:$L$475)+SUMIF(Mercado_Receita!$S$2:$S$475,"44743B1Convencional pré-pagamentoResidencialResidencial baixa renda – faixa 04Não se aplicaNão se aplicaNão se aplica",Mercado_Receita!$L$2:$L$475)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123" t="s">
        <v>41</v>
      </c>
      <c r="B27" s="123" t="s">
        <v>32</v>
      </c>
      <c r="C27" s="123" t="s">
        <v>42</v>
      </c>
      <c r="D27" s="123" t="s">
        <v>25</v>
      </c>
      <c r="E27" s="123" t="s">
        <v>25</v>
      </c>
      <c r="F27" s="123" t="s">
        <v>25</v>
      </c>
      <c r="G27" s="13" t="s">
        <v>76</v>
      </c>
      <c r="H27" s="13" t="s">
        <v>75</v>
      </c>
      <c r="I27" s="13">
        <f>SUMIF(Mercado_Receita!$S$2:$S$475,"44409B2BrancaRuralNão se aplicaNão se aplicaNão se aplicaPonta",Mercado_Receita!$L$2:$L$475)</f>
        <v>0</v>
      </c>
      <c r="J27" s="13">
        <f>SUMIF(Mercado_Receita!$S$2:$S$475,"44440B2BrancaRuralNão se aplicaNão se aplicaNão se aplicaPonta",Mercado_Receita!$L$2:$L$475)</f>
        <v>0</v>
      </c>
      <c r="K27" s="13">
        <f>SUMIF(Mercado_Receita!$S$2:$S$475,"44470B2BrancaRuralNão se aplicaNão se aplicaNão se aplicaPonta",Mercado_Receita!$L$2:$L$475)</f>
        <v>0</v>
      </c>
      <c r="L27" s="13">
        <f>SUMIF(Mercado_Receita!$S$2:$S$475,"44501B2BrancaRuralNão se aplicaNão se aplicaNão se aplicaPonta",Mercado_Receita!$L$2:$L$475)</f>
        <v>0</v>
      </c>
      <c r="M27" s="13">
        <f>SUMIF(Mercado_Receita!$S$2:$S$475,"44531B2BrancaRuralNão se aplicaNão se aplicaNão se aplicaPonta",Mercado_Receita!$L$2:$L$475)</f>
        <v>0</v>
      </c>
      <c r="N27" s="13">
        <f>SUMIF(Mercado_Receita!$S$2:$S$475,"44562B2BrancaRuralNão se aplicaNão se aplicaNão se aplicaPonta",Mercado_Receita!$L$2:$L$475)</f>
        <v>0</v>
      </c>
      <c r="O27" s="13">
        <f>SUMIF(Mercado_Receita!$S$2:$S$475,"44593B2BrancaRuralNão se aplicaNão se aplicaNão se aplicaPonta",Mercado_Receita!$L$2:$L$475)</f>
        <v>0</v>
      </c>
      <c r="P27" s="13">
        <f>SUMIF(Mercado_Receita!$S$2:$S$475,"44621B2BrancaRuralNão se aplicaNão se aplicaNão se aplicaPonta",Mercado_Receita!$L$2:$L$475)</f>
        <v>0</v>
      </c>
      <c r="Q27" s="13">
        <f>SUMIF(Mercado_Receita!$S$2:$S$475,"44652B2BrancaRuralNão se aplicaNão se aplicaNão se aplicaPonta",Mercado_Receita!$L$2:$L$475)</f>
        <v>0</v>
      </c>
      <c r="R27" s="13">
        <f>SUMIF(Mercado_Receita!$S$2:$S$475,"44682B2BrancaRuralNão se aplicaNão se aplicaNão se aplicaPonta",Mercado_Receita!$L$2:$L$475)</f>
        <v>0</v>
      </c>
      <c r="S27" s="13">
        <f>SUMIF(Mercado_Receita!$S$2:$S$475,"44713B2BrancaRuralNão se aplicaNão se aplicaNão se aplicaPonta",Mercado_Receita!$L$2:$L$475)</f>
        <v>0</v>
      </c>
      <c r="T27" s="13">
        <f>SUMIF(Mercado_Receita!$S$2:$S$475,"44743B2BrancaRuralNão se aplicaNão se aplicaNão se aplicaPonta",Mercado_Receita!$L$2:$L$475)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124"/>
      <c r="B28" s="124"/>
      <c r="C28" s="124"/>
      <c r="D28" s="124"/>
      <c r="E28" s="124"/>
      <c r="F28" s="124"/>
      <c r="G28" s="13" t="s">
        <v>88</v>
      </c>
      <c r="H28" s="13" t="s">
        <v>75</v>
      </c>
      <c r="I28" s="13">
        <f>SUMIF(Mercado_Receita!$S$2:$S$475,"44409B2BrancaRuralNão se aplicaNão se aplicaNão se aplicaIntermediário",Mercado_Receita!$L$2:$L$475)</f>
        <v>0</v>
      </c>
      <c r="J28" s="13">
        <f>SUMIF(Mercado_Receita!$S$2:$S$475,"44440B2BrancaRuralNão se aplicaNão se aplicaNão se aplicaIntermediário",Mercado_Receita!$L$2:$L$475)</f>
        <v>0</v>
      </c>
      <c r="K28" s="13">
        <f>SUMIF(Mercado_Receita!$S$2:$S$475,"44470B2BrancaRuralNão se aplicaNão se aplicaNão se aplicaIntermediário",Mercado_Receita!$L$2:$L$475)</f>
        <v>0</v>
      </c>
      <c r="L28" s="13">
        <f>SUMIF(Mercado_Receita!$S$2:$S$475,"44501B2BrancaRuralNão se aplicaNão se aplicaNão se aplicaIntermediário",Mercado_Receita!$L$2:$L$475)</f>
        <v>0</v>
      </c>
      <c r="M28" s="13">
        <f>SUMIF(Mercado_Receita!$S$2:$S$475,"44531B2BrancaRuralNão se aplicaNão se aplicaNão se aplicaIntermediário",Mercado_Receita!$L$2:$L$475)</f>
        <v>0</v>
      </c>
      <c r="N28" s="13">
        <f>SUMIF(Mercado_Receita!$S$2:$S$475,"44562B2BrancaRuralNão se aplicaNão se aplicaNão se aplicaIntermediário",Mercado_Receita!$L$2:$L$475)</f>
        <v>0</v>
      </c>
      <c r="O28" s="13">
        <f>SUMIF(Mercado_Receita!$S$2:$S$475,"44593B2BrancaRuralNão se aplicaNão se aplicaNão se aplicaIntermediário",Mercado_Receita!$L$2:$L$475)</f>
        <v>0</v>
      </c>
      <c r="P28" s="13">
        <f>SUMIF(Mercado_Receita!$S$2:$S$475,"44621B2BrancaRuralNão se aplicaNão se aplicaNão se aplicaIntermediário",Mercado_Receita!$L$2:$L$475)</f>
        <v>0</v>
      </c>
      <c r="Q28" s="13">
        <f>SUMIF(Mercado_Receita!$S$2:$S$475,"44652B2BrancaRuralNão se aplicaNão se aplicaNão se aplicaIntermediário",Mercado_Receita!$L$2:$L$475)</f>
        <v>0</v>
      </c>
      <c r="R28" s="13">
        <f>SUMIF(Mercado_Receita!$S$2:$S$475,"44682B2BrancaRuralNão se aplicaNão se aplicaNão se aplicaIntermediário",Mercado_Receita!$L$2:$L$475)</f>
        <v>0</v>
      </c>
      <c r="S28" s="13">
        <f>SUMIF(Mercado_Receita!$S$2:$S$475,"44713B2BrancaRuralNão se aplicaNão se aplicaNão se aplicaIntermediário",Mercado_Receita!$L$2:$L$475)</f>
        <v>0</v>
      </c>
      <c r="T28" s="13">
        <f>SUMIF(Mercado_Receita!$S$2:$S$475,"44743B2BrancaRuralNão se aplicaNão se aplicaNão se aplicaIntermediário",Mercado_Receita!$L$2:$L$475)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124"/>
      <c r="B29" s="124"/>
      <c r="C29" s="124"/>
      <c r="D29" s="124"/>
      <c r="E29" s="124"/>
      <c r="F29" s="124"/>
      <c r="G29" s="13" t="s">
        <v>77</v>
      </c>
      <c r="H29" s="13" t="s">
        <v>75</v>
      </c>
      <c r="I29" s="13">
        <f>SUMIF(Mercado_Receita!$S$2:$S$475,"44409B2BrancaRuralNão se aplicaNão se aplicaNão se aplicaFora ponta",Mercado_Receita!$L$2:$L$475)</f>
        <v>0</v>
      </c>
      <c r="J29" s="13">
        <f>SUMIF(Mercado_Receita!$S$2:$S$475,"44440B2BrancaRuralNão se aplicaNão se aplicaNão se aplicaFora ponta",Mercado_Receita!$L$2:$L$475)</f>
        <v>0</v>
      </c>
      <c r="K29" s="13">
        <f>SUMIF(Mercado_Receita!$S$2:$S$475,"44470B2BrancaRuralNão se aplicaNão se aplicaNão se aplicaFora ponta",Mercado_Receita!$L$2:$L$475)</f>
        <v>0</v>
      </c>
      <c r="L29" s="13">
        <f>SUMIF(Mercado_Receita!$S$2:$S$475,"44501B2BrancaRuralNão se aplicaNão se aplicaNão se aplicaFora ponta",Mercado_Receita!$L$2:$L$475)</f>
        <v>0</v>
      </c>
      <c r="M29" s="13">
        <f>SUMIF(Mercado_Receita!$S$2:$S$475,"44531B2BrancaRuralNão se aplicaNão se aplicaNão se aplicaFora ponta",Mercado_Receita!$L$2:$L$475)</f>
        <v>0</v>
      </c>
      <c r="N29" s="13">
        <f>SUMIF(Mercado_Receita!$S$2:$S$475,"44562B2BrancaRuralNão se aplicaNão se aplicaNão se aplicaFora ponta",Mercado_Receita!$L$2:$L$475)</f>
        <v>0</v>
      </c>
      <c r="O29" s="13">
        <f>SUMIF(Mercado_Receita!$S$2:$S$475,"44593B2BrancaRuralNão se aplicaNão se aplicaNão se aplicaFora ponta",Mercado_Receita!$L$2:$L$475)</f>
        <v>0</v>
      </c>
      <c r="P29" s="13">
        <f>SUMIF(Mercado_Receita!$S$2:$S$475,"44621B2BrancaRuralNão se aplicaNão se aplicaNão se aplicaFora ponta",Mercado_Receita!$L$2:$L$475)</f>
        <v>0</v>
      </c>
      <c r="Q29" s="13">
        <f>SUMIF(Mercado_Receita!$S$2:$S$475,"44652B2BrancaRuralNão se aplicaNão se aplicaNão se aplicaFora ponta",Mercado_Receita!$L$2:$L$475)</f>
        <v>0</v>
      </c>
      <c r="R29" s="13">
        <f>SUMIF(Mercado_Receita!$S$2:$S$475,"44682B2BrancaRuralNão se aplicaNão se aplicaNão se aplicaFora ponta",Mercado_Receita!$L$2:$L$475)</f>
        <v>0</v>
      </c>
      <c r="S29" s="13">
        <f>SUMIF(Mercado_Receita!$S$2:$S$475,"44713B2BrancaRuralNão se aplicaNão se aplicaNão se aplicaFora ponta",Mercado_Receita!$L$2:$L$475)</f>
        <v>0</v>
      </c>
      <c r="T29" s="13">
        <f>SUMIF(Mercado_Receita!$S$2:$S$475,"44743B2BrancaRuralNão se aplicaNão se aplicaNão se aplicaFora ponta",Mercado_Receita!$L$2:$L$475)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124"/>
      <c r="B30" s="12" t="s">
        <v>23</v>
      </c>
      <c r="C30" s="12" t="s">
        <v>42</v>
      </c>
      <c r="D30" s="12" t="s">
        <v>25</v>
      </c>
      <c r="E30" s="12" t="s">
        <v>25</v>
      </c>
      <c r="F30" s="12" t="s">
        <v>25</v>
      </c>
      <c r="G30" s="13" t="s">
        <v>79</v>
      </c>
      <c r="H30" s="13" t="s">
        <v>75</v>
      </c>
      <c r="I30" s="13">
        <f>SUMIF(Mercado_Receita!$S$2:$S$475,"44409B2ConvencionalRuralNão se aplicaNão se aplicaNão se aplicaPonta",Mercado_Receita!$L$2:$L$475)+SUMIF(Mercado_Receita!$S$2:$S$475,"44409B2ConvencionalRuralNão se aplicaNão se aplicaNão se aplicaFora ponta",Mercado_Receita!$L$2:$L$475)+SUMIF(Mercado_Receita!$S$2:$S$475,"44409B2ConvencionalRuralNão se aplicaNão se aplicaNão se aplicaIntermediário",Mercado_Receita!$L$2:$L$475)+SUMIF(Mercado_Receita!$S$2:$S$475,"44409B2ConvencionalRuralNão se aplicaNão se aplicaNão se aplicaNão se aplica",Mercado_Receita!$L$2:$L$475)</f>
        <v>279.41199999999998</v>
      </c>
      <c r="J30" s="13">
        <f>SUMIF(Mercado_Receita!$S$2:$S$475,"44440B2ConvencionalRuralNão se aplicaNão se aplicaNão se aplicaPonta",Mercado_Receita!$L$2:$L$475)+SUMIF(Mercado_Receita!$S$2:$S$475,"44440B2ConvencionalRuralNão se aplicaNão se aplicaNão se aplicaFora ponta",Mercado_Receita!$L$2:$L$475)+SUMIF(Mercado_Receita!$S$2:$S$475,"44440B2ConvencionalRuralNão se aplicaNão se aplicaNão se aplicaIntermediário",Mercado_Receita!$L$2:$L$475)+SUMIF(Mercado_Receita!$S$2:$S$475,"44440B2ConvencionalRuralNão se aplicaNão se aplicaNão se aplicaNão se aplica",Mercado_Receita!$L$2:$L$475)</f>
        <v>277.59100000000001</v>
      </c>
      <c r="K30" s="13">
        <f>SUMIF(Mercado_Receita!$S$2:$S$475,"44470B2ConvencionalRuralNão se aplicaNão se aplicaNão se aplicaPonta",Mercado_Receita!$L$2:$L$475)+SUMIF(Mercado_Receita!$S$2:$S$475,"44470B2ConvencionalRuralNão se aplicaNão se aplicaNão se aplicaFora ponta",Mercado_Receita!$L$2:$L$475)+SUMIF(Mercado_Receita!$S$2:$S$475,"44470B2ConvencionalRuralNão se aplicaNão se aplicaNão se aplicaIntermediário",Mercado_Receita!$L$2:$L$475)+SUMIF(Mercado_Receita!$S$2:$S$475,"44470B2ConvencionalRuralNão se aplicaNão se aplicaNão se aplicaNão se aplica",Mercado_Receita!$L$2:$L$475)</f>
        <v>270.93200000000002</v>
      </c>
      <c r="L30" s="13">
        <f>SUMIF(Mercado_Receita!$S$2:$S$475,"44501B2ConvencionalRuralNão se aplicaNão se aplicaNão se aplicaPonta",Mercado_Receita!$L$2:$L$475)+SUMIF(Mercado_Receita!$S$2:$S$475,"44501B2ConvencionalRuralNão se aplicaNão se aplicaNão se aplicaFora ponta",Mercado_Receita!$L$2:$L$475)+SUMIF(Mercado_Receita!$S$2:$S$475,"44501B2ConvencionalRuralNão se aplicaNão se aplicaNão se aplicaIntermediário",Mercado_Receita!$L$2:$L$475)+SUMIF(Mercado_Receita!$S$2:$S$475,"44501B2ConvencionalRuralNão se aplicaNão se aplicaNão se aplicaNão se aplica",Mercado_Receita!$L$2:$L$475)</f>
        <v>285.89799999999997</v>
      </c>
      <c r="M30" s="13">
        <f>SUMIF(Mercado_Receita!$S$2:$S$475,"44531B2ConvencionalRuralNão se aplicaNão se aplicaNão se aplicaPonta",Mercado_Receita!$L$2:$L$475)+SUMIF(Mercado_Receita!$S$2:$S$475,"44531B2ConvencionalRuralNão se aplicaNão se aplicaNão se aplicaFora ponta",Mercado_Receita!$L$2:$L$475)+SUMIF(Mercado_Receita!$S$2:$S$475,"44531B2ConvencionalRuralNão se aplicaNão se aplicaNão se aplicaIntermediário",Mercado_Receita!$L$2:$L$475)+SUMIF(Mercado_Receita!$S$2:$S$475,"44531B2ConvencionalRuralNão se aplicaNão se aplicaNão se aplicaNão se aplica",Mercado_Receita!$L$2:$L$475)</f>
        <v>292.392</v>
      </c>
      <c r="N30" s="13">
        <f>SUMIF(Mercado_Receita!$S$2:$S$475,"44562B2ConvencionalRuralNão se aplicaNão se aplicaNão se aplicaPonta",Mercado_Receita!$L$2:$L$475)+SUMIF(Mercado_Receita!$S$2:$S$475,"44562B2ConvencionalRuralNão se aplicaNão se aplicaNão se aplicaFora ponta",Mercado_Receita!$L$2:$L$475)+SUMIF(Mercado_Receita!$S$2:$S$475,"44562B2ConvencionalRuralNão se aplicaNão se aplicaNão se aplicaIntermediário",Mercado_Receita!$L$2:$L$475)+SUMIF(Mercado_Receita!$S$2:$S$475,"44562B2ConvencionalRuralNão se aplicaNão se aplicaNão se aplicaNão se aplica",Mercado_Receita!$L$2:$L$475)</f>
        <v>290.33100000000002</v>
      </c>
      <c r="O30" s="13">
        <f>SUMIF(Mercado_Receita!$S$2:$S$475,"44593B2ConvencionalRuralNão se aplicaNão se aplicaNão se aplicaPonta",Mercado_Receita!$L$2:$L$475)+SUMIF(Mercado_Receita!$S$2:$S$475,"44593B2ConvencionalRuralNão se aplicaNão se aplicaNão se aplicaFora ponta",Mercado_Receita!$L$2:$L$475)+SUMIF(Mercado_Receita!$S$2:$S$475,"44593B2ConvencionalRuralNão se aplicaNão se aplicaNão se aplicaIntermediário",Mercado_Receita!$L$2:$L$475)+SUMIF(Mercado_Receita!$S$2:$S$475,"44593B2ConvencionalRuralNão se aplicaNão se aplicaNão se aplicaNão se aplica",Mercado_Receita!$L$2:$L$475)</f>
        <v>276.63099999999997</v>
      </c>
      <c r="P30" s="13">
        <f>SUMIF(Mercado_Receita!$S$2:$S$475,"44621B2ConvencionalRuralNão se aplicaNão se aplicaNão se aplicaPonta",Mercado_Receita!$L$2:$L$475)+SUMIF(Mercado_Receita!$S$2:$S$475,"44621B2ConvencionalRuralNão se aplicaNão se aplicaNão se aplicaFora ponta",Mercado_Receita!$L$2:$L$475)+SUMIF(Mercado_Receita!$S$2:$S$475,"44621B2ConvencionalRuralNão se aplicaNão se aplicaNão se aplicaIntermediário",Mercado_Receita!$L$2:$L$475)+SUMIF(Mercado_Receita!$S$2:$S$475,"44621B2ConvencionalRuralNão se aplicaNão se aplicaNão se aplicaNão se aplica",Mercado_Receita!$L$2:$L$475)</f>
        <v>279.25700000000001</v>
      </c>
      <c r="Q30" s="13">
        <f>SUMIF(Mercado_Receita!$S$2:$S$475,"44652B2ConvencionalRuralNão se aplicaNão se aplicaNão se aplicaPonta",Mercado_Receita!$L$2:$L$475)+SUMIF(Mercado_Receita!$S$2:$S$475,"44652B2ConvencionalRuralNão se aplicaNão se aplicaNão se aplicaFora ponta",Mercado_Receita!$L$2:$L$475)+SUMIF(Mercado_Receita!$S$2:$S$475,"44652B2ConvencionalRuralNão se aplicaNão se aplicaNão se aplicaIntermediário",Mercado_Receita!$L$2:$L$475)+SUMIF(Mercado_Receita!$S$2:$S$475,"44652B2ConvencionalRuralNão se aplicaNão se aplicaNão se aplicaNão se aplica",Mercado_Receita!$L$2:$L$475)</f>
        <v>267.45699999999999</v>
      </c>
      <c r="R30" s="13">
        <f>SUMIF(Mercado_Receita!$S$2:$S$475,"44682B2ConvencionalRuralNão se aplicaNão se aplicaNão se aplicaPonta",Mercado_Receita!$L$2:$L$475)+SUMIF(Mercado_Receita!$S$2:$S$475,"44682B2ConvencionalRuralNão se aplicaNão se aplicaNão se aplicaFora ponta",Mercado_Receita!$L$2:$L$475)+SUMIF(Mercado_Receita!$S$2:$S$475,"44682B2ConvencionalRuralNão se aplicaNão se aplicaNão se aplicaIntermediário",Mercado_Receita!$L$2:$L$475)+SUMIF(Mercado_Receita!$S$2:$S$475,"44682B2ConvencionalRuralNão se aplicaNão se aplicaNão se aplicaNão se aplica",Mercado_Receita!$L$2:$L$475)</f>
        <v>285.048</v>
      </c>
      <c r="S30" s="13">
        <f>SUMIF(Mercado_Receita!$S$2:$S$475,"44713B2ConvencionalRuralNão se aplicaNão se aplicaNão se aplicaPonta",Mercado_Receita!$L$2:$L$475)+SUMIF(Mercado_Receita!$S$2:$S$475,"44713B2ConvencionalRuralNão se aplicaNão se aplicaNão se aplicaFora ponta",Mercado_Receita!$L$2:$L$475)+SUMIF(Mercado_Receita!$S$2:$S$475,"44713B2ConvencionalRuralNão se aplicaNão se aplicaNão se aplicaIntermediário",Mercado_Receita!$L$2:$L$475)+SUMIF(Mercado_Receita!$S$2:$S$475,"44713B2ConvencionalRuralNão se aplicaNão se aplicaNão se aplicaNão se aplica",Mercado_Receita!$L$2:$L$475)</f>
        <v>265.42399999999998</v>
      </c>
      <c r="T30" s="13">
        <f>SUMIF(Mercado_Receita!$S$2:$S$475,"44743B2ConvencionalRuralNão se aplicaNão se aplicaNão se aplicaPonta",Mercado_Receita!$L$2:$L$475)+SUMIF(Mercado_Receita!$S$2:$S$475,"44743B2ConvencionalRuralNão se aplicaNão se aplicaNão se aplicaFora ponta",Mercado_Receita!$L$2:$L$475)+SUMIF(Mercado_Receita!$S$2:$S$475,"44743B2ConvencionalRuralNão se aplicaNão se aplicaNão se aplicaIntermediário",Mercado_Receita!$L$2:$L$475)+SUMIF(Mercado_Receita!$S$2:$S$475,"44743B2ConvencionalRuralNão se aplicaNão se aplicaNão se aplicaNão se aplica",Mercado_Receita!$L$2:$L$475)</f>
        <v>265.42399999999998</v>
      </c>
      <c r="U30" s="13">
        <f t="shared" si="0"/>
        <v>3335.7969999999996</v>
      </c>
      <c r="V30" s="13"/>
      <c r="W30" s="13"/>
    </row>
    <row r="31" spans="1:23" ht="11.25" customHeight="1" x14ac:dyDescent="0.25">
      <c r="A31" s="124"/>
      <c r="B31" s="123" t="s">
        <v>32</v>
      </c>
      <c r="C31" s="123" t="s">
        <v>42</v>
      </c>
      <c r="D31" s="123" t="s">
        <v>91</v>
      </c>
      <c r="E31" s="123" t="s">
        <v>25</v>
      </c>
      <c r="F31" s="123" t="s">
        <v>25</v>
      </c>
      <c r="G31" s="13" t="s">
        <v>76</v>
      </c>
      <c r="H31" s="13" t="s">
        <v>75</v>
      </c>
      <c r="I31" s="13">
        <f>SUMIF(Mercado_Receita!$S$2:$S$475,"44409B2BrancaRuralCooperativa de eletrificação ruralNão se aplicaNão se aplicaPonta",Mercado_Receita!$L$2:$L$475)</f>
        <v>0</v>
      </c>
      <c r="J31" s="13">
        <f>SUMIF(Mercado_Receita!$S$2:$S$475,"44440B2BrancaRuralCooperativa de eletrificação ruralNão se aplicaNão se aplicaPonta",Mercado_Receita!$L$2:$L$475)</f>
        <v>0</v>
      </c>
      <c r="K31" s="13">
        <f>SUMIF(Mercado_Receita!$S$2:$S$475,"44470B2BrancaRuralCooperativa de eletrificação ruralNão se aplicaNão se aplicaPonta",Mercado_Receita!$L$2:$L$475)</f>
        <v>0</v>
      </c>
      <c r="L31" s="13">
        <f>SUMIF(Mercado_Receita!$S$2:$S$475,"44501B2BrancaRuralCooperativa de eletrificação ruralNão se aplicaNão se aplicaPonta",Mercado_Receita!$L$2:$L$475)</f>
        <v>0</v>
      </c>
      <c r="M31" s="13">
        <f>SUMIF(Mercado_Receita!$S$2:$S$475,"44531B2BrancaRuralCooperativa de eletrificação ruralNão se aplicaNão se aplicaPonta",Mercado_Receita!$L$2:$L$475)</f>
        <v>0</v>
      </c>
      <c r="N31" s="13">
        <f>SUMIF(Mercado_Receita!$S$2:$S$475,"44562B2BrancaRuralCooperativa de eletrificação ruralNão se aplicaNão se aplicaPonta",Mercado_Receita!$L$2:$L$475)</f>
        <v>0</v>
      </c>
      <c r="O31" s="13">
        <f>SUMIF(Mercado_Receita!$S$2:$S$475,"44593B2BrancaRuralCooperativa de eletrificação ruralNão se aplicaNão se aplicaPonta",Mercado_Receita!$L$2:$L$475)</f>
        <v>0</v>
      </c>
      <c r="P31" s="13">
        <f>SUMIF(Mercado_Receita!$S$2:$S$475,"44621B2BrancaRuralCooperativa de eletrificação ruralNão se aplicaNão se aplicaPonta",Mercado_Receita!$L$2:$L$475)</f>
        <v>0</v>
      </c>
      <c r="Q31" s="13">
        <f>SUMIF(Mercado_Receita!$S$2:$S$475,"44652B2BrancaRuralCooperativa de eletrificação ruralNão se aplicaNão se aplicaPonta",Mercado_Receita!$L$2:$L$475)</f>
        <v>0</v>
      </c>
      <c r="R31" s="13">
        <f>SUMIF(Mercado_Receita!$S$2:$S$475,"44682B2BrancaRuralCooperativa de eletrificação ruralNão se aplicaNão se aplicaPonta",Mercado_Receita!$L$2:$L$475)</f>
        <v>0</v>
      </c>
      <c r="S31" s="13">
        <f>SUMIF(Mercado_Receita!$S$2:$S$475,"44713B2BrancaRuralCooperativa de eletrificação ruralNão se aplicaNão se aplicaPonta",Mercado_Receita!$L$2:$L$475)</f>
        <v>0</v>
      </c>
      <c r="T31" s="13">
        <f>SUMIF(Mercado_Receita!$S$2:$S$475,"44743B2BrancaRuralCooperativa de eletrificação ruralNão se aplicaNão se aplicaPonta",Mercado_Receita!$L$2:$L$475)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124"/>
      <c r="B32" s="124"/>
      <c r="C32" s="124"/>
      <c r="D32" s="124"/>
      <c r="E32" s="124"/>
      <c r="F32" s="124"/>
      <c r="G32" s="13" t="s">
        <v>88</v>
      </c>
      <c r="H32" s="13" t="s">
        <v>75</v>
      </c>
      <c r="I32" s="13">
        <f>SUMIF(Mercado_Receita!$S$2:$S$475,"44409B2BrancaRuralCooperativa de eletrificação ruralNão se aplicaNão se aplicaIntermediário",Mercado_Receita!$L$2:$L$475)</f>
        <v>0</v>
      </c>
      <c r="J32" s="13">
        <f>SUMIF(Mercado_Receita!$S$2:$S$475,"44440B2BrancaRuralCooperativa de eletrificação ruralNão se aplicaNão se aplicaIntermediário",Mercado_Receita!$L$2:$L$475)</f>
        <v>0</v>
      </c>
      <c r="K32" s="13">
        <f>SUMIF(Mercado_Receita!$S$2:$S$475,"44470B2BrancaRuralCooperativa de eletrificação ruralNão se aplicaNão se aplicaIntermediário",Mercado_Receita!$L$2:$L$475)</f>
        <v>0</v>
      </c>
      <c r="L32" s="13">
        <f>SUMIF(Mercado_Receita!$S$2:$S$475,"44501B2BrancaRuralCooperativa de eletrificação ruralNão se aplicaNão se aplicaIntermediário",Mercado_Receita!$L$2:$L$475)</f>
        <v>0</v>
      </c>
      <c r="M32" s="13">
        <f>SUMIF(Mercado_Receita!$S$2:$S$475,"44531B2BrancaRuralCooperativa de eletrificação ruralNão se aplicaNão se aplicaIntermediário",Mercado_Receita!$L$2:$L$475)</f>
        <v>0</v>
      </c>
      <c r="N32" s="13">
        <f>SUMIF(Mercado_Receita!$S$2:$S$475,"44562B2BrancaRuralCooperativa de eletrificação ruralNão se aplicaNão se aplicaIntermediário",Mercado_Receita!$L$2:$L$475)</f>
        <v>0</v>
      </c>
      <c r="O32" s="13">
        <f>SUMIF(Mercado_Receita!$S$2:$S$475,"44593B2BrancaRuralCooperativa de eletrificação ruralNão se aplicaNão se aplicaIntermediário",Mercado_Receita!$L$2:$L$475)</f>
        <v>0</v>
      </c>
      <c r="P32" s="13">
        <f>SUMIF(Mercado_Receita!$S$2:$S$475,"44621B2BrancaRuralCooperativa de eletrificação ruralNão se aplicaNão se aplicaIntermediário",Mercado_Receita!$L$2:$L$475)</f>
        <v>0</v>
      </c>
      <c r="Q32" s="13">
        <f>SUMIF(Mercado_Receita!$S$2:$S$475,"44652B2BrancaRuralCooperativa de eletrificação ruralNão se aplicaNão se aplicaIntermediário",Mercado_Receita!$L$2:$L$475)</f>
        <v>0</v>
      </c>
      <c r="R32" s="13">
        <f>SUMIF(Mercado_Receita!$S$2:$S$475,"44682B2BrancaRuralCooperativa de eletrificação ruralNão se aplicaNão se aplicaIntermediário",Mercado_Receita!$L$2:$L$475)</f>
        <v>0</v>
      </c>
      <c r="S32" s="13">
        <f>SUMIF(Mercado_Receita!$S$2:$S$475,"44713B2BrancaRuralCooperativa de eletrificação ruralNão se aplicaNão se aplicaIntermediário",Mercado_Receita!$L$2:$L$475)</f>
        <v>0</v>
      </c>
      <c r="T32" s="13">
        <f>SUMIF(Mercado_Receita!$S$2:$S$475,"44743B2BrancaRuralCooperativa de eletrificação ruralNão se aplicaNão se aplicaIntermediário",Mercado_Receita!$L$2:$L$475)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124"/>
      <c r="B33" s="124"/>
      <c r="C33" s="124"/>
      <c r="D33" s="124"/>
      <c r="E33" s="124"/>
      <c r="F33" s="124"/>
      <c r="G33" s="13" t="s">
        <v>77</v>
      </c>
      <c r="H33" s="13" t="s">
        <v>75</v>
      </c>
      <c r="I33" s="13">
        <f>SUMIF(Mercado_Receita!$S$2:$S$475,"44409B2BrancaRuralCooperativa de eletrificação ruralNão se aplicaNão se aplicaFora ponta",Mercado_Receita!$L$2:$L$475)</f>
        <v>0</v>
      </c>
      <c r="J33" s="13">
        <f>SUMIF(Mercado_Receita!$S$2:$S$475,"44440B2BrancaRuralCooperativa de eletrificação ruralNão se aplicaNão se aplicaFora ponta",Mercado_Receita!$L$2:$L$475)</f>
        <v>0</v>
      </c>
      <c r="K33" s="13">
        <f>SUMIF(Mercado_Receita!$S$2:$S$475,"44470B2BrancaRuralCooperativa de eletrificação ruralNão se aplicaNão se aplicaFora ponta",Mercado_Receita!$L$2:$L$475)</f>
        <v>0</v>
      </c>
      <c r="L33" s="13">
        <f>SUMIF(Mercado_Receita!$S$2:$S$475,"44501B2BrancaRuralCooperativa de eletrificação ruralNão se aplicaNão se aplicaFora ponta",Mercado_Receita!$L$2:$L$475)</f>
        <v>0</v>
      </c>
      <c r="M33" s="13">
        <f>SUMIF(Mercado_Receita!$S$2:$S$475,"44531B2BrancaRuralCooperativa de eletrificação ruralNão se aplicaNão se aplicaFora ponta",Mercado_Receita!$L$2:$L$475)</f>
        <v>0</v>
      </c>
      <c r="N33" s="13">
        <f>SUMIF(Mercado_Receita!$S$2:$S$475,"44562B2BrancaRuralCooperativa de eletrificação ruralNão se aplicaNão se aplicaFora ponta",Mercado_Receita!$L$2:$L$475)</f>
        <v>0</v>
      </c>
      <c r="O33" s="13">
        <f>SUMIF(Mercado_Receita!$S$2:$S$475,"44593B2BrancaRuralCooperativa de eletrificação ruralNão se aplicaNão se aplicaFora ponta",Mercado_Receita!$L$2:$L$475)</f>
        <v>0</v>
      </c>
      <c r="P33" s="13">
        <f>SUMIF(Mercado_Receita!$S$2:$S$475,"44621B2BrancaRuralCooperativa de eletrificação ruralNão se aplicaNão se aplicaFora ponta",Mercado_Receita!$L$2:$L$475)</f>
        <v>0</v>
      </c>
      <c r="Q33" s="13">
        <f>SUMIF(Mercado_Receita!$S$2:$S$475,"44652B2BrancaRuralCooperativa de eletrificação ruralNão se aplicaNão se aplicaFora ponta",Mercado_Receita!$L$2:$L$475)</f>
        <v>0</v>
      </c>
      <c r="R33" s="13">
        <f>SUMIF(Mercado_Receita!$S$2:$S$475,"44682B2BrancaRuralCooperativa de eletrificação ruralNão se aplicaNão se aplicaFora ponta",Mercado_Receita!$L$2:$L$475)</f>
        <v>0</v>
      </c>
      <c r="S33" s="13">
        <f>SUMIF(Mercado_Receita!$S$2:$S$475,"44713B2BrancaRuralCooperativa de eletrificação ruralNão se aplicaNão se aplicaFora ponta",Mercado_Receita!$L$2:$L$475)</f>
        <v>0</v>
      </c>
      <c r="T33" s="13">
        <f>SUMIF(Mercado_Receita!$S$2:$S$475,"44743B2BrancaRuralCooperativa de eletrificação ruralNão se aplicaNão se aplicaFora ponta",Mercado_Receita!$L$2:$L$475)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124"/>
      <c r="B34" s="12" t="s">
        <v>23</v>
      </c>
      <c r="C34" s="12" t="s">
        <v>42</v>
      </c>
      <c r="D34" s="12" t="s">
        <v>91</v>
      </c>
      <c r="E34" s="12" t="s">
        <v>25</v>
      </c>
      <c r="F34" s="12" t="s">
        <v>25</v>
      </c>
      <c r="G34" s="13" t="s">
        <v>79</v>
      </c>
      <c r="H34" s="13" t="s">
        <v>75</v>
      </c>
      <c r="I34" s="13">
        <f>SUMIF(Mercado_Receita!$S$2:$S$475,"44409B2ConvencionalRuralCooperativa de eletrificação ruralNão se aplicaNão se aplicaPonta",Mercado_Receita!$L$2:$L$475)+SUMIF(Mercado_Receita!$S$2:$S$475,"44409B2ConvencionalRuralCooperativa de eletrificação ruralNão se aplicaNão se aplicaFora ponta",Mercado_Receita!$L$2:$L$475)+SUMIF(Mercado_Receita!$S$2:$S$475,"44409B2ConvencionalRuralCooperativa de eletrificação ruralNão se aplicaNão se aplicaIntermediário",Mercado_Receita!$L$2:$L$475)+SUMIF(Mercado_Receita!$S$2:$S$475,"44409B2ConvencionalRuralCooperativa de eletrificação ruralNão se aplicaNão se aplicaNão se aplica",Mercado_Receita!$L$2:$L$475)</f>
        <v>0</v>
      </c>
      <c r="J34" s="13">
        <f>SUMIF(Mercado_Receita!$S$2:$S$475,"44440B2ConvencionalRuralCooperativa de eletrificação ruralNão se aplicaNão se aplicaPonta",Mercado_Receita!$L$2:$L$475)+SUMIF(Mercado_Receita!$S$2:$S$475,"44440B2ConvencionalRuralCooperativa de eletrificação ruralNão se aplicaNão se aplicaFora ponta",Mercado_Receita!$L$2:$L$475)+SUMIF(Mercado_Receita!$S$2:$S$475,"44440B2ConvencionalRuralCooperativa de eletrificação ruralNão se aplicaNão se aplicaIntermediário",Mercado_Receita!$L$2:$L$475)+SUMIF(Mercado_Receita!$S$2:$S$475,"44440B2ConvencionalRuralCooperativa de eletrificação ruralNão se aplicaNão se aplicaNão se aplica",Mercado_Receita!$L$2:$L$475)</f>
        <v>0</v>
      </c>
      <c r="K34" s="13">
        <f>SUMIF(Mercado_Receita!$S$2:$S$475,"44470B2ConvencionalRuralCooperativa de eletrificação ruralNão se aplicaNão se aplicaPonta",Mercado_Receita!$L$2:$L$475)+SUMIF(Mercado_Receita!$S$2:$S$475,"44470B2ConvencionalRuralCooperativa de eletrificação ruralNão se aplicaNão se aplicaFora ponta",Mercado_Receita!$L$2:$L$475)+SUMIF(Mercado_Receita!$S$2:$S$475,"44470B2ConvencionalRuralCooperativa de eletrificação ruralNão se aplicaNão se aplicaIntermediário",Mercado_Receita!$L$2:$L$475)+SUMIF(Mercado_Receita!$S$2:$S$475,"44470B2ConvencionalRuralCooperativa de eletrificação ruralNão se aplicaNão se aplicaNão se aplica",Mercado_Receita!$L$2:$L$475)</f>
        <v>0</v>
      </c>
      <c r="L34" s="13">
        <f>SUMIF(Mercado_Receita!$S$2:$S$475,"44501B2ConvencionalRuralCooperativa de eletrificação ruralNão se aplicaNão se aplicaPonta",Mercado_Receita!$L$2:$L$475)+SUMIF(Mercado_Receita!$S$2:$S$475,"44501B2ConvencionalRuralCooperativa de eletrificação ruralNão se aplicaNão se aplicaFora ponta",Mercado_Receita!$L$2:$L$475)+SUMIF(Mercado_Receita!$S$2:$S$475,"44501B2ConvencionalRuralCooperativa de eletrificação ruralNão se aplicaNão se aplicaIntermediário",Mercado_Receita!$L$2:$L$475)+SUMIF(Mercado_Receita!$S$2:$S$475,"44501B2ConvencionalRuralCooperativa de eletrificação ruralNão se aplicaNão se aplicaNão se aplica",Mercado_Receita!$L$2:$L$475)</f>
        <v>0</v>
      </c>
      <c r="M34" s="13">
        <f>SUMIF(Mercado_Receita!$S$2:$S$475,"44531B2ConvencionalRuralCooperativa de eletrificação ruralNão se aplicaNão se aplicaPonta",Mercado_Receita!$L$2:$L$475)+SUMIF(Mercado_Receita!$S$2:$S$475,"44531B2ConvencionalRuralCooperativa de eletrificação ruralNão se aplicaNão se aplicaFora ponta",Mercado_Receita!$L$2:$L$475)+SUMIF(Mercado_Receita!$S$2:$S$475,"44531B2ConvencionalRuralCooperativa de eletrificação ruralNão se aplicaNão se aplicaIntermediário",Mercado_Receita!$L$2:$L$475)+SUMIF(Mercado_Receita!$S$2:$S$475,"44531B2ConvencionalRuralCooperativa de eletrificação ruralNão se aplicaNão se aplicaNão se aplica",Mercado_Receita!$L$2:$L$475)</f>
        <v>0</v>
      </c>
      <c r="N34" s="13">
        <f>SUMIF(Mercado_Receita!$S$2:$S$475,"44562B2ConvencionalRuralCooperativa de eletrificação ruralNão se aplicaNão se aplicaPonta",Mercado_Receita!$L$2:$L$475)+SUMIF(Mercado_Receita!$S$2:$S$475,"44562B2ConvencionalRuralCooperativa de eletrificação ruralNão se aplicaNão se aplicaFora ponta",Mercado_Receita!$L$2:$L$475)+SUMIF(Mercado_Receita!$S$2:$S$475,"44562B2ConvencionalRuralCooperativa de eletrificação ruralNão se aplicaNão se aplicaIntermediário",Mercado_Receita!$L$2:$L$475)+SUMIF(Mercado_Receita!$S$2:$S$475,"44562B2ConvencionalRuralCooperativa de eletrificação ruralNão se aplicaNão se aplicaNão se aplica",Mercado_Receita!$L$2:$L$475)</f>
        <v>0</v>
      </c>
      <c r="O34" s="13">
        <f>SUMIF(Mercado_Receita!$S$2:$S$475,"44593B2ConvencionalRuralCooperativa de eletrificação ruralNão se aplicaNão se aplicaPonta",Mercado_Receita!$L$2:$L$475)+SUMIF(Mercado_Receita!$S$2:$S$475,"44593B2ConvencionalRuralCooperativa de eletrificação ruralNão se aplicaNão se aplicaFora ponta",Mercado_Receita!$L$2:$L$475)+SUMIF(Mercado_Receita!$S$2:$S$475,"44593B2ConvencionalRuralCooperativa de eletrificação ruralNão se aplicaNão se aplicaIntermediário",Mercado_Receita!$L$2:$L$475)+SUMIF(Mercado_Receita!$S$2:$S$475,"44593B2ConvencionalRuralCooperativa de eletrificação ruralNão se aplicaNão se aplicaNão se aplica",Mercado_Receita!$L$2:$L$475)</f>
        <v>0</v>
      </c>
      <c r="P34" s="13">
        <f>SUMIF(Mercado_Receita!$S$2:$S$475,"44621B2ConvencionalRuralCooperativa de eletrificação ruralNão se aplicaNão se aplicaPonta",Mercado_Receita!$L$2:$L$475)+SUMIF(Mercado_Receita!$S$2:$S$475,"44621B2ConvencionalRuralCooperativa de eletrificação ruralNão se aplicaNão se aplicaFora ponta",Mercado_Receita!$L$2:$L$475)+SUMIF(Mercado_Receita!$S$2:$S$475,"44621B2ConvencionalRuralCooperativa de eletrificação ruralNão se aplicaNão se aplicaIntermediário",Mercado_Receita!$L$2:$L$475)+SUMIF(Mercado_Receita!$S$2:$S$475,"44621B2ConvencionalRuralCooperativa de eletrificação ruralNão se aplicaNão se aplicaNão se aplica",Mercado_Receita!$L$2:$L$475)</f>
        <v>0</v>
      </c>
      <c r="Q34" s="13">
        <f>SUMIF(Mercado_Receita!$S$2:$S$475,"44652B2ConvencionalRuralCooperativa de eletrificação ruralNão se aplicaNão se aplicaPonta",Mercado_Receita!$L$2:$L$475)+SUMIF(Mercado_Receita!$S$2:$S$475,"44652B2ConvencionalRuralCooperativa de eletrificação ruralNão se aplicaNão se aplicaFora ponta",Mercado_Receita!$L$2:$L$475)+SUMIF(Mercado_Receita!$S$2:$S$475,"44652B2ConvencionalRuralCooperativa de eletrificação ruralNão se aplicaNão se aplicaIntermediário",Mercado_Receita!$L$2:$L$475)+SUMIF(Mercado_Receita!$S$2:$S$475,"44652B2ConvencionalRuralCooperativa de eletrificação ruralNão se aplicaNão se aplicaNão se aplica",Mercado_Receita!$L$2:$L$475)</f>
        <v>0</v>
      </c>
      <c r="R34" s="13">
        <f>SUMIF(Mercado_Receita!$S$2:$S$475,"44682B2ConvencionalRuralCooperativa de eletrificação ruralNão se aplicaNão se aplicaPonta",Mercado_Receita!$L$2:$L$475)+SUMIF(Mercado_Receita!$S$2:$S$475,"44682B2ConvencionalRuralCooperativa de eletrificação ruralNão se aplicaNão se aplicaFora ponta",Mercado_Receita!$L$2:$L$475)+SUMIF(Mercado_Receita!$S$2:$S$475,"44682B2ConvencionalRuralCooperativa de eletrificação ruralNão se aplicaNão se aplicaIntermediário",Mercado_Receita!$L$2:$L$475)+SUMIF(Mercado_Receita!$S$2:$S$475,"44682B2ConvencionalRuralCooperativa de eletrificação ruralNão se aplicaNão se aplicaNão se aplica",Mercado_Receita!$L$2:$L$475)</f>
        <v>0</v>
      </c>
      <c r="S34" s="13">
        <f>SUMIF(Mercado_Receita!$S$2:$S$475,"44713B2ConvencionalRuralCooperativa de eletrificação ruralNão se aplicaNão se aplicaPonta",Mercado_Receita!$L$2:$L$475)+SUMIF(Mercado_Receita!$S$2:$S$475,"44713B2ConvencionalRuralCooperativa de eletrificação ruralNão se aplicaNão se aplicaFora ponta",Mercado_Receita!$L$2:$L$475)+SUMIF(Mercado_Receita!$S$2:$S$475,"44713B2ConvencionalRuralCooperativa de eletrificação ruralNão se aplicaNão se aplicaIntermediário",Mercado_Receita!$L$2:$L$475)+SUMIF(Mercado_Receita!$S$2:$S$475,"44713B2ConvencionalRuralCooperativa de eletrificação ruralNão se aplicaNão se aplicaNão se aplica",Mercado_Receita!$L$2:$L$475)</f>
        <v>0</v>
      </c>
      <c r="T34" s="13">
        <f>SUMIF(Mercado_Receita!$S$2:$S$475,"44743B2ConvencionalRuralCooperativa de eletrificação ruralNão se aplicaNão se aplicaPonta",Mercado_Receita!$L$2:$L$475)+SUMIF(Mercado_Receita!$S$2:$S$475,"44743B2ConvencionalRuralCooperativa de eletrificação ruralNão se aplicaNão se aplicaFora ponta",Mercado_Receita!$L$2:$L$475)+SUMIF(Mercado_Receita!$S$2:$S$475,"44743B2ConvencionalRuralCooperativa de eletrificação ruralNão se aplicaNão se aplicaIntermediário",Mercado_Receita!$L$2:$L$475)+SUMIF(Mercado_Receita!$S$2:$S$475,"44743B2ConvencionalRuralCooperativa de eletrificação ruralNão se aplicaNão se aplicaNão se aplica",Mercado_Receita!$L$2:$L$475)</f>
        <v>0</v>
      </c>
      <c r="U34" s="13">
        <f t="shared" si="0"/>
        <v>0</v>
      </c>
      <c r="V34" s="13"/>
      <c r="W34" s="13"/>
    </row>
    <row r="35" spans="1:23" ht="11.25" customHeight="1" x14ac:dyDescent="0.25">
      <c r="A35" s="124"/>
      <c r="B35" s="123" t="s">
        <v>32</v>
      </c>
      <c r="C35" s="123" t="s">
        <v>42</v>
      </c>
      <c r="D35" s="123" t="s">
        <v>92</v>
      </c>
      <c r="E35" s="123" t="s">
        <v>25</v>
      </c>
      <c r="F35" s="123" t="s">
        <v>25</v>
      </c>
      <c r="G35" s="13" t="s">
        <v>76</v>
      </c>
      <c r="H35" s="13" t="s">
        <v>75</v>
      </c>
      <c r="I35" s="13">
        <f>SUMIF(Mercado_Receita!$S$2:$S$475,"44409B2BrancaRuralServiço público de irrigação ruralNão se aplicaNão se aplicaPonta",Mercado_Receita!$L$2:$L$475)</f>
        <v>0</v>
      </c>
      <c r="J35" s="13">
        <f>SUMIF(Mercado_Receita!$S$2:$S$475,"44440B2BrancaRuralServiço público de irrigação ruralNão se aplicaNão se aplicaPonta",Mercado_Receita!$L$2:$L$475)</f>
        <v>0</v>
      </c>
      <c r="K35" s="13">
        <f>SUMIF(Mercado_Receita!$S$2:$S$475,"44470B2BrancaRuralServiço público de irrigação ruralNão se aplicaNão se aplicaPonta",Mercado_Receita!$L$2:$L$475)</f>
        <v>0</v>
      </c>
      <c r="L35" s="13">
        <f>SUMIF(Mercado_Receita!$S$2:$S$475,"44501B2BrancaRuralServiço público de irrigação ruralNão se aplicaNão se aplicaPonta",Mercado_Receita!$L$2:$L$475)</f>
        <v>0</v>
      </c>
      <c r="M35" s="13">
        <f>SUMIF(Mercado_Receita!$S$2:$S$475,"44531B2BrancaRuralServiço público de irrigação ruralNão se aplicaNão se aplicaPonta",Mercado_Receita!$L$2:$L$475)</f>
        <v>0</v>
      </c>
      <c r="N35" s="13">
        <f>SUMIF(Mercado_Receita!$S$2:$S$475,"44562B2BrancaRuralServiço público de irrigação ruralNão se aplicaNão se aplicaPonta",Mercado_Receita!$L$2:$L$475)</f>
        <v>0</v>
      </c>
      <c r="O35" s="13">
        <f>SUMIF(Mercado_Receita!$S$2:$S$475,"44593B2BrancaRuralServiço público de irrigação ruralNão se aplicaNão se aplicaPonta",Mercado_Receita!$L$2:$L$475)</f>
        <v>0</v>
      </c>
      <c r="P35" s="13">
        <f>SUMIF(Mercado_Receita!$S$2:$S$475,"44621B2BrancaRuralServiço público de irrigação ruralNão se aplicaNão se aplicaPonta",Mercado_Receita!$L$2:$L$475)</f>
        <v>0</v>
      </c>
      <c r="Q35" s="13">
        <f>SUMIF(Mercado_Receita!$S$2:$S$475,"44652B2BrancaRuralServiço público de irrigação ruralNão se aplicaNão se aplicaPonta",Mercado_Receita!$L$2:$L$475)</f>
        <v>0</v>
      </c>
      <c r="R35" s="13">
        <f>SUMIF(Mercado_Receita!$S$2:$S$475,"44682B2BrancaRuralServiço público de irrigação ruralNão se aplicaNão se aplicaPonta",Mercado_Receita!$L$2:$L$475)</f>
        <v>0</v>
      </c>
      <c r="S35" s="13">
        <f>SUMIF(Mercado_Receita!$S$2:$S$475,"44713B2BrancaRuralServiço público de irrigação ruralNão se aplicaNão se aplicaPonta",Mercado_Receita!$L$2:$L$475)</f>
        <v>0</v>
      </c>
      <c r="T35" s="13">
        <f>SUMIF(Mercado_Receita!$S$2:$S$475,"44743B2BrancaRuralServiço público de irrigação ruralNão se aplicaNão se aplicaPonta",Mercado_Receita!$L$2:$L$475)</f>
        <v>0</v>
      </c>
      <c r="U35" s="13">
        <f t="shared" si="0"/>
        <v>0</v>
      </c>
      <c r="V35" s="13"/>
      <c r="W35" s="13"/>
    </row>
    <row r="36" spans="1:23" ht="11.25" customHeight="1" x14ac:dyDescent="0.25">
      <c r="A36" s="124"/>
      <c r="B36" s="124"/>
      <c r="C36" s="124"/>
      <c r="D36" s="124"/>
      <c r="E36" s="124"/>
      <c r="F36" s="124"/>
      <c r="G36" s="13" t="s">
        <v>88</v>
      </c>
      <c r="H36" s="13" t="s">
        <v>75</v>
      </c>
      <c r="I36" s="13">
        <f>SUMIF(Mercado_Receita!$S$2:$S$475,"44409B2BrancaRuralServiço público de irrigação ruralNão se aplicaNão se aplicaIntermediário",Mercado_Receita!$L$2:$L$475)</f>
        <v>0</v>
      </c>
      <c r="J36" s="13">
        <f>SUMIF(Mercado_Receita!$S$2:$S$475,"44440B2BrancaRuralServiço público de irrigação ruralNão se aplicaNão se aplicaIntermediário",Mercado_Receita!$L$2:$L$475)</f>
        <v>0</v>
      </c>
      <c r="K36" s="13">
        <f>SUMIF(Mercado_Receita!$S$2:$S$475,"44470B2BrancaRuralServiço público de irrigação ruralNão se aplicaNão se aplicaIntermediário",Mercado_Receita!$L$2:$L$475)</f>
        <v>0</v>
      </c>
      <c r="L36" s="13">
        <f>SUMIF(Mercado_Receita!$S$2:$S$475,"44501B2BrancaRuralServiço público de irrigação ruralNão se aplicaNão se aplicaIntermediário",Mercado_Receita!$L$2:$L$475)</f>
        <v>0</v>
      </c>
      <c r="M36" s="13">
        <f>SUMIF(Mercado_Receita!$S$2:$S$475,"44531B2BrancaRuralServiço público de irrigação ruralNão se aplicaNão se aplicaIntermediário",Mercado_Receita!$L$2:$L$475)</f>
        <v>0</v>
      </c>
      <c r="N36" s="13">
        <f>SUMIF(Mercado_Receita!$S$2:$S$475,"44562B2BrancaRuralServiço público de irrigação ruralNão se aplicaNão se aplicaIntermediário",Mercado_Receita!$L$2:$L$475)</f>
        <v>0</v>
      </c>
      <c r="O36" s="13">
        <f>SUMIF(Mercado_Receita!$S$2:$S$475,"44593B2BrancaRuralServiço público de irrigação ruralNão se aplicaNão se aplicaIntermediário",Mercado_Receita!$L$2:$L$475)</f>
        <v>0</v>
      </c>
      <c r="P36" s="13">
        <f>SUMIF(Mercado_Receita!$S$2:$S$475,"44621B2BrancaRuralServiço público de irrigação ruralNão se aplicaNão se aplicaIntermediário",Mercado_Receita!$L$2:$L$475)</f>
        <v>0</v>
      </c>
      <c r="Q36" s="13">
        <f>SUMIF(Mercado_Receita!$S$2:$S$475,"44652B2BrancaRuralServiço público de irrigação ruralNão se aplicaNão se aplicaIntermediário",Mercado_Receita!$L$2:$L$475)</f>
        <v>0</v>
      </c>
      <c r="R36" s="13">
        <f>SUMIF(Mercado_Receita!$S$2:$S$475,"44682B2BrancaRuralServiço público de irrigação ruralNão se aplicaNão se aplicaIntermediário",Mercado_Receita!$L$2:$L$475)</f>
        <v>0</v>
      </c>
      <c r="S36" s="13">
        <f>SUMIF(Mercado_Receita!$S$2:$S$475,"44713B2BrancaRuralServiço público de irrigação ruralNão se aplicaNão se aplicaIntermediário",Mercado_Receita!$L$2:$L$475)</f>
        <v>0</v>
      </c>
      <c r="T36" s="13">
        <f>SUMIF(Mercado_Receita!$S$2:$S$475,"44743B2BrancaRuralServiço público de irrigação ruralNão se aplicaNão se aplicaIntermediário",Mercado_Receita!$L$2:$L$475)</f>
        <v>0</v>
      </c>
      <c r="U36" s="13">
        <f t="shared" si="0"/>
        <v>0</v>
      </c>
      <c r="V36" s="13"/>
      <c r="W36" s="13"/>
    </row>
    <row r="37" spans="1:23" ht="11.25" customHeight="1" x14ac:dyDescent="0.25">
      <c r="A37" s="124"/>
      <c r="B37" s="124"/>
      <c r="C37" s="124"/>
      <c r="D37" s="124"/>
      <c r="E37" s="124"/>
      <c r="F37" s="124"/>
      <c r="G37" s="13" t="s">
        <v>77</v>
      </c>
      <c r="H37" s="13" t="s">
        <v>75</v>
      </c>
      <c r="I37" s="13">
        <f>SUMIF(Mercado_Receita!$S$2:$S$475,"44409B2BrancaRuralServiço público de irrigação ruralNão se aplicaNão se aplicaFora ponta",Mercado_Receita!$L$2:$L$475)</f>
        <v>0</v>
      </c>
      <c r="J37" s="13">
        <f>SUMIF(Mercado_Receita!$S$2:$S$475,"44440B2BrancaRuralServiço público de irrigação ruralNão se aplicaNão se aplicaFora ponta",Mercado_Receita!$L$2:$L$475)</f>
        <v>0</v>
      </c>
      <c r="K37" s="13">
        <f>SUMIF(Mercado_Receita!$S$2:$S$475,"44470B2BrancaRuralServiço público de irrigação ruralNão se aplicaNão se aplicaFora ponta",Mercado_Receita!$L$2:$L$475)</f>
        <v>0</v>
      </c>
      <c r="L37" s="13">
        <f>SUMIF(Mercado_Receita!$S$2:$S$475,"44501B2BrancaRuralServiço público de irrigação ruralNão se aplicaNão se aplicaFora ponta",Mercado_Receita!$L$2:$L$475)</f>
        <v>0</v>
      </c>
      <c r="M37" s="13">
        <f>SUMIF(Mercado_Receita!$S$2:$S$475,"44531B2BrancaRuralServiço público de irrigação ruralNão se aplicaNão se aplicaFora ponta",Mercado_Receita!$L$2:$L$475)</f>
        <v>0</v>
      </c>
      <c r="N37" s="13">
        <f>SUMIF(Mercado_Receita!$S$2:$S$475,"44562B2BrancaRuralServiço público de irrigação ruralNão se aplicaNão se aplicaFora ponta",Mercado_Receita!$L$2:$L$475)</f>
        <v>0</v>
      </c>
      <c r="O37" s="13">
        <f>SUMIF(Mercado_Receita!$S$2:$S$475,"44593B2BrancaRuralServiço público de irrigação ruralNão se aplicaNão se aplicaFora ponta",Mercado_Receita!$L$2:$L$475)</f>
        <v>0</v>
      </c>
      <c r="P37" s="13">
        <f>SUMIF(Mercado_Receita!$S$2:$S$475,"44621B2BrancaRuralServiço público de irrigação ruralNão se aplicaNão se aplicaFora ponta",Mercado_Receita!$L$2:$L$475)</f>
        <v>0</v>
      </c>
      <c r="Q37" s="13">
        <f>SUMIF(Mercado_Receita!$S$2:$S$475,"44652B2BrancaRuralServiço público de irrigação ruralNão se aplicaNão se aplicaFora ponta",Mercado_Receita!$L$2:$L$475)</f>
        <v>0</v>
      </c>
      <c r="R37" s="13">
        <f>SUMIF(Mercado_Receita!$S$2:$S$475,"44682B2BrancaRuralServiço público de irrigação ruralNão se aplicaNão se aplicaFora ponta",Mercado_Receita!$L$2:$L$475)</f>
        <v>0</v>
      </c>
      <c r="S37" s="13">
        <f>SUMIF(Mercado_Receita!$S$2:$S$475,"44713B2BrancaRuralServiço público de irrigação ruralNão se aplicaNão se aplicaFora ponta",Mercado_Receita!$L$2:$L$475)</f>
        <v>0</v>
      </c>
      <c r="T37" s="13">
        <f>SUMIF(Mercado_Receita!$S$2:$S$475,"44743B2BrancaRuralServiço público de irrigação ruralNão se aplicaNão se aplicaFora ponta",Mercado_Receita!$L$2:$L$475)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124"/>
      <c r="B38" s="12" t="s">
        <v>23</v>
      </c>
      <c r="C38" s="12" t="s">
        <v>42</v>
      </c>
      <c r="D38" s="12" t="s">
        <v>92</v>
      </c>
      <c r="E38" s="12" t="s">
        <v>25</v>
      </c>
      <c r="F38" s="12" t="s">
        <v>25</v>
      </c>
      <c r="G38" s="13" t="s">
        <v>79</v>
      </c>
      <c r="H38" s="13" t="s">
        <v>75</v>
      </c>
      <c r="I38" s="13">
        <f>SUMIF(Mercado_Receita!$S$2:$S$475,"44409B2ConvencionalRuralServiço público de irrigação ruralNão se aplicaNão se aplicaPonta",Mercado_Receita!$L$2:$L$475)+SUMIF(Mercado_Receita!$S$2:$S$475,"44409B2ConvencionalRuralServiço público de irrigação ruralNão se aplicaNão se aplicaFora ponta",Mercado_Receita!$L$2:$L$475)+SUMIF(Mercado_Receita!$S$2:$S$475,"44409B2ConvencionalRuralServiço público de irrigação ruralNão se aplicaNão se aplicaIntermediário",Mercado_Receita!$L$2:$L$475)+SUMIF(Mercado_Receita!$S$2:$S$475,"44409B2ConvencionalRuralServiço público de irrigação ruralNão se aplicaNão se aplicaNão se aplica",Mercado_Receita!$L$2:$L$475)</f>
        <v>0</v>
      </c>
      <c r="J38" s="13">
        <f>SUMIF(Mercado_Receita!$S$2:$S$475,"44440B2ConvencionalRuralServiço público de irrigação ruralNão se aplicaNão se aplicaPonta",Mercado_Receita!$L$2:$L$475)+SUMIF(Mercado_Receita!$S$2:$S$475,"44440B2ConvencionalRuralServiço público de irrigação ruralNão se aplicaNão se aplicaFora ponta",Mercado_Receita!$L$2:$L$475)+SUMIF(Mercado_Receita!$S$2:$S$475,"44440B2ConvencionalRuralServiço público de irrigação ruralNão se aplicaNão se aplicaIntermediário",Mercado_Receita!$L$2:$L$475)+SUMIF(Mercado_Receita!$S$2:$S$475,"44440B2ConvencionalRuralServiço público de irrigação ruralNão se aplicaNão se aplicaNão se aplica",Mercado_Receita!$L$2:$L$475)</f>
        <v>0</v>
      </c>
      <c r="K38" s="13">
        <f>SUMIF(Mercado_Receita!$S$2:$S$475,"44470B2ConvencionalRuralServiço público de irrigação ruralNão se aplicaNão se aplicaPonta",Mercado_Receita!$L$2:$L$475)+SUMIF(Mercado_Receita!$S$2:$S$475,"44470B2ConvencionalRuralServiço público de irrigação ruralNão se aplicaNão se aplicaFora ponta",Mercado_Receita!$L$2:$L$475)+SUMIF(Mercado_Receita!$S$2:$S$475,"44470B2ConvencionalRuralServiço público de irrigação ruralNão se aplicaNão se aplicaIntermediário",Mercado_Receita!$L$2:$L$475)+SUMIF(Mercado_Receita!$S$2:$S$475,"44470B2ConvencionalRuralServiço público de irrigação ruralNão se aplicaNão se aplicaNão se aplica",Mercado_Receita!$L$2:$L$475)</f>
        <v>0</v>
      </c>
      <c r="L38" s="13">
        <f>SUMIF(Mercado_Receita!$S$2:$S$475,"44501B2ConvencionalRuralServiço público de irrigação ruralNão se aplicaNão se aplicaPonta",Mercado_Receita!$L$2:$L$475)+SUMIF(Mercado_Receita!$S$2:$S$475,"44501B2ConvencionalRuralServiço público de irrigação ruralNão se aplicaNão se aplicaFora ponta",Mercado_Receita!$L$2:$L$475)+SUMIF(Mercado_Receita!$S$2:$S$475,"44501B2ConvencionalRuralServiço público de irrigação ruralNão se aplicaNão se aplicaIntermediário",Mercado_Receita!$L$2:$L$475)+SUMIF(Mercado_Receita!$S$2:$S$475,"44501B2ConvencionalRuralServiço público de irrigação ruralNão se aplicaNão se aplicaNão se aplica",Mercado_Receita!$L$2:$L$475)</f>
        <v>0</v>
      </c>
      <c r="M38" s="13">
        <f>SUMIF(Mercado_Receita!$S$2:$S$475,"44531B2ConvencionalRuralServiço público de irrigação ruralNão se aplicaNão se aplicaPonta",Mercado_Receita!$L$2:$L$475)+SUMIF(Mercado_Receita!$S$2:$S$475,"44531B2ConvencionalRuralServiço público de irrigação ruralNão se aplicaNão se aplicaFora ponta",Mercado_Receita!$L$2:$L$475)+SUMIF(Mercado_Receita!$S$2:$S$475,"44531B2ConvencionalRuralServiço público de irrigação ruralNão se aplicaNão se aplicaIntermediário",Mercado_Receita!$L$2:$L$475)+SUMIF(Mercado_Receita!$S$2:$S$475,"44531B2ConvencionalRuralServiço público de irrigação ruralNão se aplicaNão se aplicaNão se aplica",Mercado_Receita!$L$2:$L$475)</f>
        <v>0</v>
      </c>
      <c r="N38" s="13">
        <f>SUMIF(Mercado_Receita!$S$2:$S$475,"44562B2ConvencionalRuralServiço público de irrigação ruralNão se aplicaNão se aplicaPonta",Mercado_Receita!$L$2:$L$475)+SUMIF(Mercado_Receita!$S$2:$S$475,"44562B2ConvencionalRuralServiço público de irrigação ruralNão se aplicaNão se aplicaFora ponta",Mercado_Receita!$L$2:$L$475)+SUMIF(Mercado_Receita!$S$2:$S$475,"44562B2ConvencionalRuralServiço público de irrigação ruralNão se aplicaNão se aplicaIntermediário",Mercado_Receita!$L$2:$L$475)+SUMIF(Mercado_Receita!$S$2:$S$475,"44562B2ConvencionalRuralServiço público de irrigação ruralNão se aplicaNão se aplicaNão se aplica",Mercado_Receita!$L$2:$L$475)</f>
        <v>0</v>
      </c>
      <c r="O38" s="13">
        <f>SUMIF(Mercado_Receita!$S$2:$S$475,"44593B2ConvencionalRuralServiço público de irrigação ruralNão se aplicaNão se aplicaPonta",Mercado_Receita!$L$2:$L$475)+SUMIF(Mercado_Receita!$S$2:$S$475,"44593B2ConvencionalRuralServiço público de irrigação ruralNão se aplicaNão se aplicaFora ponta",Mercado_Receita!$L$2:$L$475)+SUMIF(Mercado_Receita!$S$2:$S$475,"44593B2ConvencionalRuralServiço público de irrigação ruralNão se aplicaNão se aplicaIntermediário",Mercado_Receita!$L$2:$L$475)+SUMIF(Mercado_Receita!$S$2:$S$475,"44593B2ConvencionalRuralServiço público de irrigação ruralNão se aplicaNão se aplicaNão se aplica",Mercado_Receita!$L$2:$L$475)</f>
        <v>0</v>
      </c>
      <c r="P38" s="13">
        <f>SUMIF(Mercado_Receita!$S$2:$S$475,"44621B2ConvencionalRuralServiço público de irrigação ruralNão se aplicaNão se aplicaPonta",Mercado_Receita!$L$2:$L$475)+SUMIF(Mercado_Receita!$S$2:$S$475,"44621B2ConvencionalRuralServiço público de irrigação ruralNão se aplicaNão se aplicaFora ponta",Mercado_Receita!$L$2:$L$475)+SUMIF(Mercado_Receita!$S$2:$S$475,"44621B2ConvencionalRuralServiço público de irrigação ruralNão se aplicaNão se aplicaIntermediário",Mercado_Receita!$L$2:$L$475)+SUMIF(Mercado_Receita!$S$2:$S$475,"44621B2ConvencionalRuralServiço público de irrigação ruralNão se aplicaNão se aplicaNão se aplica",Mercado_Receita!$L$2:$L$475)</f>
        <v>0</v>
      </c>
      <c r="Q38" s="13">
        <f>SUMIF(Mercado_Receita!$S$2:$S$475,"44652B2ConvencionalRuralServiço público de irrigação ruralNão se aplicaNão se aplicaPonta",Mercado_Receita!$L$2:$L$475)+SUMIF(Mercado_Receita!$S$2:$S$475,"44652B2ConvencionalRuralServiço público de irrigação ruralNão se aplicaNão se aplicaFora ponta",Mercado_Receita!$L$2:$L$475)+SUMIF(Mercado_Receita!$S$2:$S$475,"44652B2ConvencionalRuralServiço público de irrigação ruralNão se aplicaNão se aplicaIntermediário",Mercado_Receita!$L$2:$L$475)+SUMIF(Mercado_Receita!$S$2:$S$475,"44652B2ConvencionalRuralServiço público de irrigação ruralNão se aplicaNão se aplicaNão se aplica",Mercado_Receita!$L$2:$L$475)</f>
        <v>0</v>
      </c>
      <c r="R38" s="13">
        <f>SUMIF(Mercado_Receita!$S$2:$S$475,"44682B2ConvencionalRuralServiço público de irrigação ruralNão se aplicaNão se aplicaPonta",Mercado_Receita!$L$2:$L$475)+SUMIF(Mercado_Receita!$S$2:$S$475,"44682B2ConvencionalRuralServiço público de irrigação ruralNão se aplicaNão se aplicaFora ponta",Mercado_Receita!$L$2:$L$475)+SUMIF(Mercado_Receita!$S$2:$S$475,"44682B2ConvencionalRuralServiço público de irrigação ruralNão se aplicaNão se aplicaIntermediário",Mercado_Receita!$L$2:$L$475)+SUMIF(Mercado_Receita!$S$2:$S$475,"44682B2ConvencionalRuralServiço público de irrigação ruralNão se aplicaNão se aplicaNão se aplica",Mercado_Receita!$L$2:$L$475)</f>
        <v>0</v>
      </c>
      <c r="S38" s="13">
        <f>SUMIF(Mercado_Receita!$S$2:$S$475,"44713B2ConvencionalRuralServiço público de irrigação ruralNão se aplicaNão se aplicaPonta",Mercado_Receita!$L$2:$L$475)+SUMIF(Mercado_Receita!$S$2:$S$475,"44713B2ConvencionalRuralServiço público de irrigação ruralNão se aplicaNão se aplicaFora ponta",Mercado_Receita!$L$2:$L$475)+SUMIF(Mercado_Receita!$S$2:$S$475,"44713B2ConvencionalRuralServiço público de irrigação ruralNão se aplicaNão se aplicaIntermediário",Mercado_Receita!$L$2:$L$475)+SUMIF(Mercado_Receita!$S$2:$S$475,"44713B2ConvencionalRuralServiço público de irrigação ruralNão se aplicaNão se aplicaNão se aplica",Mercado_Receita!$L$2:$L$475)</f>
        <v>0</v>
      </c>
      <c r="T38" s="13">
        <f>SUMIF(Mercado_Receita!$S$2:$S$475,"44743B2ConvencionalRuralServiço público de irrigação ruralNão se aplicaNão se aplicaPonta",Mercado_Receita!$L$2:$L$475)+SUMIF(Mercado_Receita!$S$2:$S$475,"44743B2ConvencionalRuralServiço público de irrigação ruralNão se aplicaNão se aplicaFora ponta",Mercado_Receita!$L$2:$L$475)+SUMIF(Mercado_Receita!$S$2:$S$475,"44743B2ConvencionalRuralServiço público de irrigação ruralNão se aplicaNão se aplicaIntermediário",Mercado_Receita!$L$2:$L$475)+SUMIF(Mercado_Receita!$S$2:$S$475,"44743B2ConvencionalRuralServiço público de irrigação ruralNão se aplicaNão se aplicaNão se aplica",Mercado_Receita!$L$2:$L$475)</f>
        <v>0</v>
      </c>
      <c r="U38" s="13">
        <f t="shared" si="0"/>
        <v>0</v>
      </c>
      <c r="V38" s="13"/>
      <c r="W38" s="13"/>
    </row>
    <row r="39" spans="1:23" ht="11.25" customHeight="1" x14ac:dyDescent="0.25">
      <c r="A39" s="124"/>
      <c r="B39" s="123" t="s">
        <v>90</v>
      </c>
      <c r="C39" s="123" t="s">
        <v>42</v>
      </c>
      <c r="D39" s="12" t="s">
        <v>25</v>
      </c>
      <c r="E39" s="12" t="s">
        <v>25</v>
      </c>
      <c r="F39" s="12" t="s">
        <v>25</v>
      </c>
      <c r="G39" s="13" t="s">
        <v>79</v>
      </c>
      <c r="H39" s="13" t="s">
        <v>75</v>
      </c>
      <c r="I39" s="13">
        <f>SUMIF(Mercado_Receita!$S$2:$S$475,"44409B2Convencional pré-pagamentoRuralNão se aplicaNão se aplicaNão se aplicaPonta",Mercado_Receita!$L$2:$L$475)+SUMIF(Mercado_Receita!$S$2:$S$475,"44409B2Convencional pré-pagamentoRuralNão se aplicaNão se aplicaNão se aplicaFora ponta",Mercado_Receita!$L$2:$L$475)+SUMIF(Mercado_Receita!$S$2:$S$475,"44409B2Convencional pré-pagamentoRuralNão se aplicaNão se aplicaNão se aplicaIntermediário",Mercado_Receita!$L$2:$L$475)+SUMIF(Mercado_Receita!$S$2:$S$475,"44409B2Convencional pré-pagamentoRuralNão se aplicaNão se aplicaNão se aplicaNão se aplica",Mercado_Receita!$L$2:$L$475)</f>
        <v>0</v>
      </c>
      <c r="J39" s="13">
        <f>SUMIF(Mercado_Receita!$S$2:$S$475,"44440B2Convencional pré-pagamentoRuralNão se aplicaNão se aplicaNão se aplicaPonta",Mercado_Receita!$L$2:$L$475)+SUMIF(Mercado_Receita!$S$2:$S$475,"44440B2Convencional pré-pagamentoRuralNão se aplicaNão se aplicaNão se aplicaFora ponta",Mercado_Receita!$L$2:$L$475)+SUMIF(Mercado_Receita!$S$2:$S$475,"44440B2Convencional pré-pagamentoRuralNão se aplicaNão se aplicaNão se aplicaIntermediário",Mercado_Receita!$L$2:$L$475)+SUMIF(Mercado_Receita!$S$2:$S$475,"44440B2Convencional pré-pagamentoRuralNão se aplicaNão se aplicaNão se aplicaNão se aplica",Mercado_Receita!$L$2:$L$475)</f>
        <v>0</v>
      </c>
      <c r="K39" s="13">
        <f>SUMIF(Mercado_Receita!$S$2:$S$475,"44470B2Convencional pré-pagamentoRuralNão se aplicaNão se aplicaNão se aplicaPonta",Mercado_Receita!$L$2:$L$475)+SUMIF(Mercado_Receita!$S$2:$S$475,"44470B2Convencional pré-pagamentoRuralNão se aplicaNão se aplicaNão se aplicaFora ponta",Mercado_Receita!$L$2:$L$475)+SUMIF(Mercado_Receita!$S$2:$S$475,"44470B2Convencional pré-pagamentoRuralNão se aplicaNão se aplicaNão se aplicaIntermediário",Mercado_Receita!$L$2:$L$475)+SUMIF(Mercado_Receita!$S$2:$S$475,"44470B2Convencional pré-pagamentoRuralNão se aplicaNão se aplicaNão se aplicaNão se aplica",Mercado_Receita!$L$2:$L$475)</f>
        <v>0</v>
      </c>
      <c r="L39" s="13">
        <f>SUMIF(Mercado_Receita!$S$2:$S$475,"44501B2Convencional pré-pagamentoRuralNão se aplicaNão se aplicaNão se aplicaPonta",Mercado_Receita!$L$2:$L$475)+SUMIF(Mercado_Receita!$S$2:$S$475,"44501B2Convencional pré-pagamentoRuralNão se aplicaNão se aplicaNão se aplicaFora ponta",Mercado_Receita!$L$2:$L$475)+SUMIF(Mercado_Receita!$S$2:$S$475,"44501B2Convencional pré-pagamentoRuralNão se aplicaNão se aplicaNão se aplicaIntermediário",Mercado_Receita!$L$2:$L$475)+SUMIF(Mercado_Receita!$S$2:$S$475,"44501B2Convencional pré-pagamentoRuralNão se aplicaNão se aplicaNão se aplicaNão se aplica",Mercado_Receita!$L$2:$L$475)</f>
        <v>0</v>
      </c>
      <c r="M39" s="13">
        <f>SUMIF(Mercado_Receita!$S$2:$S$475,"44531B2Convencional pré-pagamentoRuralNão se aplicaNão se aplicaNão se aplicaPonta",Mercado_Receita!$L$2:$L$475)+SUMIF(Mercado_Receita!$S$2:$S$475,"44531B2Convencional pré-pagamentoRuralNão se aplicaNão se aplicaNão se aplicaFora ponta",Mercado_Receita!$L$2:$L$475)+SUMIF(Mercado_Receita!$S$2:$S$475,"44531B2Convencional pré-pagamentoRuralNão se aplicaNão se aplicaNão se aplicaIntermediário",Mercado_Receita!$L$2:$L$475)+SUMIF(Mercado_Receita!$S$2:$S$475,"44531B2Convencional pré-pagamentoRuralNão se aplicaNão se aplicaNão se aplicaNão se aplica",Mercado_Receita!$L$2:$L$475)</f>
        <v>0</v>
      </c>
      <c r="N39" s="13">
        <f>SUMIF(Mercado_Receita!$S$2:$S$475,"44562B2Convencional pré-pagamentoRuralNão se aplicaNão se aplicaNão se aplicaPonta",Mercado_Receita!$L$2:$L$475)+SUMIF(Mercado_Receita!$S$2:$S$475,"44562B2Convencional pré-pagamentoRuralNão se aplicaNão se aplicaNão se aplicaFora ponta",Mercado_Receita!$L$2:$L$475)+SUMIF(Mercado_Receita!$S$2:$S$475,"44562B2Convencional pré-pagamentoRuralNão se aplicaNão se aplicaNão se aplicaIntermediário",Mercado_Receita!$L$2:$L$475)+SUMIF(Mercado_Receita!$S$2:$S$475,"44562B2Convencional pré-pagamentoRuralNão se aplicaNão se aplicaNão se aplicaNão se aplica",Mercado_Receita!$L$2:$L$475)</f>
        <v>0</v>
      </c>
      <c r="O39" s="13">
        <f>SUMIF(Mercado_Receita!$S$2:$S$475,"44593B2Convencional pré-pagamentoRuralNão se aplicaNão se aplicaNão se aplicaPonta",Mercado_Receita!$L$2:$L$475)+SUMIF(Mercado_Receita!$S$2:$S$475,"44593B2Convencional pré-pagamentoRuralNão se aplicaNão se aplicaNão se aplicaFora ponta",Mercado_Receita!$L$2:$L$475)+SUMIF(Mercado_Receita!$S$2:$S$475,"44593B2Convencional pré-pagamentoRuralNão se aplicaNão se aplicaNão se aplicaIntermediário",Mercado_Receita!$L$2:$L$475)+SUMIF(Mercado_Receita!$S$2:$S$475,"44593B2Convencional pré-pagamentoRuralNão se aplicaNão se aplicaNão se aplicaNão se aplica",Mercado_Receita!$L$2:$L$475)</f>
        <v>0</v>
      </c>
      <c r="P39" s="13">
        <f>SUMIF(Mercado_Receita!$S$2:$S$475,"44621B2Convencional pré-pagamentoRuralNão se aplicaNão se aplicaNão se aplicaPonta",Mercado_Receita!$L$2:$L$475)+SUMIF(Mercado_Receita!$S$2:$S$475,"44621B2Convencional pré-pagamentoRuralNão se aplicaNão se aplicaNão se aplicaFora ponta",Mercado_Receita!$L$2:$L$475)+SUMIF(Mercado_Receita!$S$2:$S$475,"44621B2Convencional pré-pagamentoRuralNão se aplicaNão se aplicaNão se aplicaIntermediário",Mercado_Receita!$L$2:$L$475)+SUMIF(Mercado_Receita!$S$2:$S$475,"44621B2Convencional pré-pagamentoRuralNão se aplicaNão se aplicaNão se aplicaNão se aplica",Mercado_Receita!$L$2:$L$475)</f>
        <v>0</v>
      </c>
      <c r="Q39" s="13">
        <f>SUMIF(Mercado_Receita!$S$2:$S$475,"44652B2Convencional pré-pagamentoRuralNão se aplicaNão se aplicaNão se aplicaPonta",Mercado_Receita!$L$2:$L$475)+SUMIF(Mercado_Receita!$S$2:$S$475,"44652B2Convencional pré-pagamentoRuralNão se aplicaNão se aplicaNão se aplicaFora ponta",Mercado_Receita!$L$2:$L$475)+SUMIF(Mercado_Receita!$S$2:$S$475,"44652B2Convencional pré-pagamentoRuralNão se aplicaNão se aplicaNão se aplicaIntermediário",Mercado_Receita!$L$2:$L$475)+SUMIF(Mercado_Receita!$S$2:$S$475,"44652B2Convencional pré-pagamentoRuralNão se aplicaNão se aplicaNão se aplicaNão se aplica",Mercado_Receita!$L$2:$L$475)</f>
        <v>0</v>
      </c>
      <c r="R39" s="13">
        <f>SUMIF(Mercado_Receita!$S$2:$S$475,"44682B2Convencional pré-pagamentoRuralNão se aplicaNão se aplicaNão se aplicaPonta",Mercado_Receita!$L$2:$L$475)+SUMIF(Mercado_Receita!$S$2:$S$475,"44682B2Convencional pré-pagamentoRuralNão se aplicaNão se aplicaNão se aplicaFora ponta",Mercado_Receita!$L$2:$L$475)+SUMIF(Mercado_Receita!$S$2:$S$475,"44682B2Convencional pré-pagamentoRuralNão se aplicaNão se aplicaNão se aplicaIntermediário",Mercado_Receita!$L$2:$L$475)+SUMIF(Mercado_Receita!$S$2:$S$475,"44682B2Convencional pré-pagamentoRuralNão se aplicaNão se aplicaNão se aplicaNão se aplica",Mercado_Receita!$L$2:$L$475)</f>
        <v>0</v>
      </c>
      <c r="S39" s="13">
        <f>SUMIF(Mercado_Receita!$S$2:$S$475,"44713B2Convencional pré-pagamentoRuralNão se aplicaNão se aplicaNão se aplicaPonta",Mercado_Receita!$L$2:$L$475)+SUMIF(Mercado_Receita!$S$2:$S$475,"44713B2Convencional pré-pagamentoRuralNão se aplicaNão se aplicaNão se aplicaFora ponta",Mercado_Receita!$L$2:$L$475)+SUMIF(Mercado_Receita!$S$2:$S$475,"44713B2Convencional pré-pagamentoRuralNão se aplicaNão se aplicaNão se aplicaIntermediário",Mercado_Receita!$L$2:$L$475)+SUMIF(Mercado_Receita!$S$2:$S$475,"44713B2Convencional pré-pagamentoRuralNão se aplicaNão se aplicaNão se aplicaNão se aplica",Mercado_Receita!$L$2:$L$475)</f>
        <v>0</v>
      </c>
      <c r="T39" s="13">
        <f>SUMIF(Mercado_Receita!$S$2:$S$475,"44743B2Convencional pré-pagamentoRuralNão se aplicaNão se aplicaNão se aplicaPonta",Mercado_Receita!$L$2:$L$475)+SUMIF(Mercado_Receita!$S$2:$S$475,"44743B2Convencional pré-pagamentoRuralNão se aplicaNão se aplicaNão se aplicaFora ponta",Mercado_Receita!$L$2:$L$475)+SUMIF(Mercado_Receita!$S$2:$S$475,"44743B2Convencional pré-pagamentoRuralNão se aplicaNão se aplicaNão se aplicaIntermediário",Mercado_Receita!$L$2:$L$475)+SUMIF(Mercado_Receita!$S$2:$S$475,"44743B2Convencional pré-pagamentoRuralNão se aplicaNão se aplicaNão se aplicaNão se aplica",Mercado_Receita!$L$2:$L$475)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124"/>
      <c r="B40" s="124"/>
      <c r="C40" s="124"/>
      <c r="D40" s="12" t="s">
        <v>91</v>
      </c>
      <c r="E40" s="12" t="s">
        <v>25</v>
      </c>
      <c r="F40" s="12" t="s">
        <v>25</v>
      </c>
      <c r="G40" s="13" t="s">
        <v>79</v>
      </c>
      <c r="H40" s="13" t="s">
        <v>75</v>
      </c>
      <c r="I40" s="13">
        <f>SUMIF(Mercado_Receita!$S$2:$S$475,"44409B2Convencional pré-pagamentoRuralCooperativa de eletrificação ruralNão se aplicaNão se aplicaPonta",Mercado_Receita!$L$2:$L$475)+SUMIF(Mercado_Receita!$S$2:$S$475,"44409B2Convencional pré-pagamentoRuralCooperativa de eletrificação ruralNão se aplicaNão se aplicaFora ponta",Mercado_Receita!$L$2:$L$475)+SUMIF(Mercado_Receita!$S$2:$S$475,"44409B2Convencional pré-pagamentoRuralCooperativa de eletrificação ruralNão se aplicaNão se aplicaIntermediário",Mercado_Receita!$L$2:$L$475)+SUMIF(Mercado_Receita!$S$2:$S$475,"44409B2Convencional pré-pagamentoRuralCooperativa de eletrificação ruralNão se aplicaNão se aplicaNão se aplica",Mercado_Receita!$L$2:$L$475)</f>
        <v>0</v>
      </c>
      <c r="J40" s="13">
        <f>SUMIF(Mercado_Receita!$S$2:$S$475,"44440B2Convencional pré-pagamentoRuralCooperativa de eletrificação ruralNão se aplicaNão se aplicaPonta",Mercado_Receita!$L$2:$L$475)+SUMIF(Mercado_Receita!$S$2:$S$475,"44440B2Convencional pré-pagamentoRuralCooperativa de eletrificação ruralNão se aplicaNão se aplicaFora ponta",Mercado_Receita!$L$2:$L$475)+SUMIF(Mercado_Receita!$S$2:$S$475,"44440B2Convencional pré-pagamentoRuralCooperativa de eletrificação ruralNão se aplicaNão se aplicaIntermediário",Mercado_Receita!$L$2:$L$475)+SUMIF(Mercado_Receita!$S$2:$S$475,"44440B2Convencional pré-pagamentoRuralCooperativa de eletrificação ruralNão se aplicaNão se aplicaNão se aplica",Mercado_Receita!$L$2:$L$475)</f>
        <v>0</v>
      </c>
      <c r="K40" s="13">
        <f>SUMIF(Mercado_Receita!$S$2:$S$475,"44470B2Convencional pré-pagamentoRuralCooperativa de eletrificação ruralNão se aplicaNão se aplicaPonta",Mercado_Receita!$L$2:$L$475)+SUMIF(Mercado_Receita!$S$2:$S$475,"44470B2Convencional pré-pagamentoRuralCooperativa de eletrificação ruralNão se aplicaNão se aplicaFora ponta",Mercado_Receita!$L$2:$L$475)+SUMIF(Mercado_Receita!$S$2:$S$475,"44470B2Convencional pré-pagamentoRuralCooperativa de eletrificação ruralNão se aplicaNão se aplicaIntermediário",Mercado_Receita!$L$2:$L$475)+SUMIF(Mercado_Receita!$S$2:$S$475,"44470B2Convencional pré-pagamentoRuralCooperativa de eletrificação ruralNão se aplicaNão se aplicaNão se aplica",Mercado_Receita!$L$2:$L$475)</f>
        <v>0</v>
      </c>
      <c r="L40" s="13">
        <f>SUMIF(Mercado_Receita!$S$2:$S$475,"44501B2Convencional pré-pagamentoRuralCooperativa de eletrificação ruralNão se aplicaNão se aplicaPonta",Mercado_Receita!$L$2:$L$475)+SUMIF(Mercado_Receita!$S$2:$S$475,"44501B2Convencional pré-pagamentoRuralCooperativa de eletrificação ruralNão se aplicaNão se aplicaFora ponta",Mercado_Receita!$L$2:$L$475)+SUMIF(Mercado_Receita!$S$2:$S$475,"44501B2Convencional pré-pagamentoRuralCooperativa de eletrificação ruralNão se aplicaNão se aplicaIntermediário",Mercado_Receita!$L$2:$L$475)+SUMIF(Mercado_Receita!$S$2:$S$475,"44501B2Convencional pré-pagamentoRuralCooperativa de eletrificação ruralNão se aplicaNão se aplicaNão se aplica",Mercado_Receita!$L$2:$L$475)</f>
        <v>0</v>
      </c>
      <c r="M40" s="13">
        <f>SUMIF(Mercado_Receita!$S$2:$S$475,"44531B2Convencional pré-pagamentoRuralCooperativa de eletrificação ruralNão se aplicaNão se aplicaPonta",Mercado_Receita!$L$2:$L$475)+SUMIF(Mercado_Receita!$S$2:$S$475,"44531B2Convencional pré-pagamentoRuralCooperativa de eletrificação ruralNão se aplicaNão se aplicaFora ponta",Mercado_Receita!$L$2:$L$475)+SUMIF(Mercado_Receita!$S$2:$S$475,"44531B2Convencional pré-pagamentoRuralCooperativa de eletrificação ruralNão se aplicaNão se aplicaIntermediário",Mercado_Receita!$L$2:$L$475)+SUMIF(Mercado_Receita!$S$2:$S$475,"44531B2Convencional pré-pagamentoRuralCooperativa de eletrificação ruralNão se aplicaNão se aplicaNão se aplica",Mercado_Receita!$L$2:$L$475)</f>
        <v>0</v>
      </c>
      <c r="N40" s="13">
        <f>SUMIF(Mercado_Receita!$S$2:$S$475,"44562B2Convencional pré-pagamentoRuralCooperativa de eletrificação ruralNão se aplicaNão se aplicaPonta",Mercado_Receita!$L$2:$L$475)+SUMIF(Mercado_Receita!$S$2:$S$475,"44562B2Convencional pré-pagamentoRuralCooperativa de eletrificação ruralNão se aplicaNão se aplicaFora ponta",Mercado_Receita!$L$2:$L$475)+SUMIF(Mercado_Receita!$S$2:$S$475,"44562B2Convencional pré-pagamentoRuralCooperativa de eletrificação ruralNão se aplicaNão se aplicaIntermediário",Mercado_Receita!$L$2:$L$475)+SUMIF(Mercado_Receita!$S$2:$S$475,"44562B2Convencional pré-pagamentoRuralCooperativa de eletrificação ruralNão se aplicaNão se aplicaNão se aplica",Mercado_Receita!$L$2:$L$475)</f>
        <v>0</v>
      </c>
      <c r="O40" s="13">
        <f>SUMIF(Mercado_Receita!$S$2:$S$475,"44593B2Convencional pré-pagamentoRuralCooperativa de eletrificação ruralNão se aplicaNão se aplicaPonta",Mercado_Receita!$L$2:$L$475)+SUMIF(Mercado_Receita!$S$2:$S$475,"44593B2Convencional pré-pagamentoRuralCooperativa de eletrificação ruralNão se aplicaNão se aplicaFora ponta",Mercado_Receita!$L$2:$L$475)+SUMIF(Mercado_Receita!$S$2:$S$475,"44593B2Convencional pré-pagamentoRuralCooperativa de eletrificação ruralNão se aplicaNão se aplicaIntermediário",Mercado_Receita!$L$2:$L$475)+SUMIF(Mercado_Receita!$S$2:$S$475,"44593B2Convencional pré-pagamentoRuralCooperativa de eletrificação ruralNão se aplicaNão se aplicaNão se aplica",Mercado_Receita!$L$2:$L$475)</f>
        <v>0</v>
      </c>
      <c r="P40" s="13">
        <f>SUMIF(Mercado_Receita!$S$2:$S$475,"44621B2Convencional pré-pagamentoRuralCooperativa de eletrificação ruralNão se aplicaNão se aplicaPonta",Mercado_Receita!$L$2:$L$475)+SUMIF(Mercado_Receita!$S$2:$S$475,"44621B2Convencional pré-pagamentoRuralCooperativa de eletrificação ruralNão se aplicaNão se aplicaFora ponta",Mercado_Receita!$L$2:$L$475)+SUMIF(Mercado_Receita!$S$2:$S$475,"44621B2Convencional pré-pagamentoRuralCooperativa de eletrificação ruralNão se aplicaNão se aplicaIntermediário",Mercado_Receita!$L$2:$L$475)+SUMIF(Mercado_Receita!$S$2:$S$475,"44621B2Convencional pré-pagamentoRuralCooperativa de eletrificação ruralNão se aplicaNão se aplicaNão se aplica",Mercado_Receita!$L$2:$L$475)</f>
        <v>0</v>
      </c>
      <c r="Q40" s="13">
        <f>SUMIF(Mercado_Receita!$S$2:$S$475,"44652B2Convencional pré-pagamentoRuralCooperativa de eletrificação ruralNão se aplicaNão se aplicaPonta",Mercado_Receita!$L$2:$L$475)+SUMIF(Mercado_Receita!$S$2:$S$475,"44652B2Convencional pré-pagamentoRuralCooperativa de eletrificação ruralNão se aplicaNão se aplicaFora ponta",Mercado_Receita!$L$2:$L$475)+SUMIF(Mercado_Receita!$S$2:$S$475,"44652B2Convencional pré-pagamentoRuralCooperativa de eletrificação ruralNão se aplicaNão se aplicaIntermediário",Mercado_Receita!$L$2:$L$475)+SUMIF(Mercado_Receita!$S$2:$S$475,"44652B2Convencional pré-pagamentoRuralCooperativa de eletrificação ruralNão se aplicaNão se aplicaNão se aplica",Mercado_Receita!$L$2:$L$475)</f>
        <v>0</v>
      </c>
      <c r="R40" s="13">
        <f>SUMIF(Mercado_Receita!$S$2:$S$475,"44682B2Convencional pré-pagamentoRuralCooperativa de eletrificação ruralNão se aplicaNão se aplicaPonta",Mercado_Receita!$L$2:$L$475)+SUMIF(Mercado_Receita!$S$2:$S$475,"44682B2Convencional pré-pagamentoRuralCooperativa de eletrificação ruralNão se aplicaNão se aplicaFora ponta",Mercado_Receita!$L$2:$L$475)+SUMIF(Mercado_Receita!$S$2:$S$475,"44682B2Convencional pré-pagamentoRuralCooperativa de eletrificação ruralNão se aplicaNão se aplicaIntermediário",Mercado_Receita!$L$2:$L$475)+SUMIF(Mercado_Receita!$S$2:$S$475,"44682B2Convencional pré-pagamentoRuralCooperativa de eletrificação ruralNão se aplicaNão se aplicaNão se aplica",Mercado_Receita!$L$2:$L$475)</f>
        <v>0</v>
      </c>
      <c r="S40" s="13">
        <f>SUMIF(Mercado_Receita!$S$2:$S$475,"44713B2Convencional pré-pagamentoRuralCooperativa de eletrificação ruralNão se aplicaNão se aplicaPonta",Mercado_Receita!$L$2:$L$475)+SUMIF(Mercado_Receita!$S$2:$S$475,"44713B2Convencional pré-pagamentoRuralCooperativa de eletrificação ruralNão se aplicaNão se aplicaFora ponta",Mercado_Receita!$L$2:$L$475)+SUMIF(Mercado_Receita!$S$2:$S$475,"44713B2Convencional pré-pagamentoRuralCooperativa de eletrificação ruralNão se aplicaNão se aplicaIntermediário",Mercado_Receita!$L$2:$L$475)+SUMIF(Mercado_Receita!$S$2:$S$475,"44713B2Convencional pré-pagamentoRuralCooperativa de eletrificação ruralNão se aplicaNão se aplicaNão se aplica",Mercado_Receita!$L$2:$L$475)</f>
        <v>0</v>
      </c>
      <c r="T40" s="13">
        <f>SUMIF(Mercado_Receita!$S$2:$S$475,"44743B2Convencional pré-pagamentoRuralCooperativa de eletrificação ruralNão se aplicaNão se aplicaPonta",Mercado_Receita!$L$2:$L$475)+SUMIF(Mercado_Receita!$S$2:$S$475,"44743B2Convencional pré-pagamentoRuralCooperativa de eletrificação ruralNão se aplicaNão se aplicaFora ponta",Mercado_Receita!$L$2:$L$475)+SUMIF(Mercado_Receita!$S$2:$S$475,"44743B2Convencional pré-pagamentoRuralCooperativa de eletrificação ruralNão se aplicaNão se aplicaIntermediário",Mercado_Receita!$L$2:$L$475)+SUMIF(Mercado_Receita!$S$2:$S$475,"44743B2Convencional pré-pagamentoRuralCooperativa de eletrificação ruralNão se aplicaNão se aplicaNão se aplica",Mercado_Receita!$L$2:$L$475)</f>
        <v>0</v>
      </c>
      <c r="U40" s="13">
        <f t="shared" si="0"/>
        <v>0</v>
      </c>
      <c r="V40" s="13"/>
      <c r="W40" s="13"/>
    </row>
    <row r="41" spans="1:23" ht="11.25" customHeight="1" x14ac:dyDescent="0.25">
      <c r="A41" s="124"/>
      <c r="B41" s="124"/>
      <c r="C41" s="124"/>
      <c r="D41" s="12" t="s">
        <v>92</v>
      </c>
      <c r="E41" s="12" t="s">
        <v>25</v>
      </c>
      <c r="F41" s="12" t="s">
        <v>25</v>
      </c>
      <c r="G41" s="13" t="s">
        <v>79</v>
      </c>
      <c r="H41" s="13" t="s">
        <v>75</v>
      </c>
      <c r="I41" s="13">
        <f>SUMIF(Mercado_Receita!$S$2:$S$475,"44409B2Convencional pré-pagamentoRuralServiço público de irrigação ruralNão se aplicaNão se aplicaPonta",Mercado_Receita!$L$2:$L$475)+SUMIF(Mercado_Receita!$S$2:$S$475,"44409B2Convencional pré-pagamentoRuralServiço público de irrigação ruralNão se aplicaNão se aplicaFora ponta",Mercado_Receita!$L$2:$L$475)+SUMIF(Mercado_Receita!$S$2:$S$475,"44409B2Convencional pré-pagamentoRuralServiço público de irrigação ruralNão se aplicaNão se aplicaIntermediário",Mercado_Receita!$L$2:$L$475)+SUMIF(Mercado_Receita!$S$2:$S$475,"44409B2Convencional pré-pagamentoRuralServiço público de irrigação ruralNão se aplicaNão se aplicaNão se aplica",Mercado_Receita!$L$2:$L$475)</f>
        <v>0</v>
      </c>
      <c r="J41" s="13">
        <f>SUMIF(Mercado_Receita!$S$2:$S$475,"44440B2Convencional pré-pagamentoRuralServiço público de irrigação ruralNão se aplicaNão se aplicaPonta",Mercado_Receita!$L$2:$L$475)+SUMIF(Mercado_Receita!$S$2:$S$475,"44440B2Convencional pré-pagamentoRuralServiço público de irrigação ruralNão se aplicaNão se aplicaFora ponta",Mercado_Receita!$L$2:$L$475)+SUMIF(Mercado_Receita!$S$2:$S$475,"44440B2Convencional pré-pagamentoRuralServiço público de irrigação ruralNão se aplicaNão se aplicaIntermediário",Mercado_Receita!$L$2:$L$475)+SUMIF(Mercado_Receita!$S$2:$S$475,"44440B2Convencional pré-pagamentoRuralServiço público de irrigação ruralNão se aplicaNão se aplicaNão se aplica",Mercado_Receita!$L$2:$L$475)</f>
        <v>0</v>
      </c>
      <c r="K41" s="13">
        <f>SUMIF(Mercado_Receita!$S$2:$S$475,"44470B2Convencional pré-pagamentoRuralServiço público de irrigação ruralNão se aplicaNão se aplicaPonta",Mercado_Receita!$L$2:$L$475)+SUMIF(Mercado_Receita!$S$2:$S$475,"44470B2Convencional pré-pagamentoRuralServiço público de irrigação ruralNão se aplicaNão se aplicaFora ponta",Mercado_Receita!$L$2:$L$475)+SUMIF(Mercado_Receita!$S$2:$S$475,"44470B2Convencional pré-pagamentoRuralServiço público de irrigação ruralNão se aplicaNão se aplicaIntermediário",Mercado_Receita!$L$2:$L$475)+SUMIF(Mercado_Receita!$S$2:$S$475,"44470B2Convencional pré-pagamentoRuralServiço público de irrigação ruralNão se aplicaNão se aplicaNão se aplica",Mercado_Receita!$L$2:$L$475)</f>
        <v>0</v>
      </c>
      <c r="L41" s="13">
        <f>SUMIF(Mercado_Receita!$S$2:$S$475,"44501B2Convencional pré-pagamentoRuralServiço público de irrigação ruralNão se aplicaNão se aplicaPonta",Mercado_Receita!$L$2:$L$475)+SUMIF(Mercado_Receita!$S$2:$S$475,"44501B2Convencional pré-pagamentoRuralServiço público de irrigação ruralNão se aplicaNão se aplicaFora ponta",Mercado_Receita!$L$2:$L$475)+SUMIF(Mercado_Receita!$S$2:$S$475,"44501B2Convencional pré-pagamentoRuralServiço público de irrigação ruralNão se aplicaNão se aplicaIntermediário",Mercado_Receita!$L$2:$L$475)+SUMIF(Mercado_Receita!$S$2:$S$475,"44501B2Convencional pré-pagamentoRuralServiço público de irrigação ruralNão se aplicaNão se aplicaNão se aplica",Mercado_Receita!$L$2:$L$475)</f>
        <v>0</v>
      </c>
      <c r="M41" s="13">
        <f>SUMIF(Mercado_Receita!$S$2:$S$475,"44531B2Convencional pré-pagamentoRuralServiço público de irrigação ruralNão se aplicaNão se aplicaPonta",Mercado_Receita!$L$2:$L$475)+SUMIF(Mercado_Receita!$S$2:$S$475,"44531B2Convencional pré-pagamentoRuralServiço público de irrigação ruralNão se aplicaNão se aplicaFora ponta",Mercado_Receita!$L$2:$L$475)+SUMIF(Mercado_Receita!$S$2:$S$475,"44531B2Convencional pré-pagamentoRuralServiço público de irrigação ruralNão se aplicaNão se aplicaIntermediário",Mercado_Receita!$L$2:$L$475)+SUMIF(Mercado_Receita!$S$2:$S$475,"44531B2Convencional pré-pagamentoRuralServiço público de irrigação ruralNão se aplicaNão se aplicaNão se aplica",Mercado_Receita!$L$2:$L$475)</f>
        <v>0</v>
      </c>
      <c r="N41" s="13">
        <f>SUMIF(Mercado_Receita!$S$2:$S$475,"44562B2Convencional pré-pagamentoRuralServiço público de irrigação ruralNão se aplicaNão se aplicaPonta",Mercado_Receita!$L$2:$L$475)+SUMIF(Mercado_Receita!$S$2:$S$475,"44562B2Convencional pré-pagamentoRuralServiço público de irrigação ruralNão se aplicaNão se aplicaFora ponta",Mercado_Receita!$L$2:$L$475)+SUMIF(Mercado_Receita!$S$2:$S$475,"44562B2Convencional pré-pagamentoRuralServiço público de irrigação ruralNão se aplicaNão se aplicaIntermediário",Mercado_Receita!$L$2:$L$475)+SUMIF(Mercado_Receita!$S$2:$S$475,"44562B2Convencional pré-pagamentoRuralServiço público de irrigação ruralNão se aplicaNão se aplicaNão se aplica",Mercado_Receita!$L$2:$L$475)</f>
        <v>0</v>
      </c>
      <c r="O41" s="13">
        <f>SUMIF(Mercado_Receita!$S$2:$S$475,"44593B2Convencional pré-pagamentoRuralServiço público de irrigação ruralNão se aplicaNão se aplicaPonta",Mercado_Receita!$L$2:$L$475)+SUMIF(Mercado_Receita!$S$2:$S$475,"44593B2Convencional pré-pagamentoRuralServiço público de irrigação ruralNão se aplicaNão se aplicaFora ponta",Mercado_Receita!$L$2:$L$475)+SUMIF(Mercado_Receita!$S$2:$S$475,"44593B2Convencional pré-pagamentoRuralServiço público de irrigação ruralNão se aplicaNão se aplicaIntermediário",Mercado_Receita!$L$2:$L$475)+SUMIF(Mercado_Receita!$S$2:$S$475,"44593B2Convencional pré-pagamentoRuralServiço público de irrigação ruralNão se aplicaNão se aplicaNão se aplica",Mercado_Receita!$L$2:$L$475)</f>
        <v>0</v>
      </c>
      <c r="P41" s="13">
        <f>SUMIF(Mercado_Receita!$S$2:$S$475,"44621B2Convencional pré-pagamentoRuralServiço público de irrigação ruralNão se aplicaNão se aplicaPonta",Mercado_Receita!$L$2:$L$475)+SUMIF(Mercado_Receita!$S$2:$S$475,"44621B2Convencional pré-pagamentoRuralServiço público de irrigação ruralNão se aplicaNão se aplicaFora ponta",Mercado_Receita!$L$2:$L$475)+SUMIF(Mercado_Receita!$S$2:$S$475,"44621B2Convencional pré-pagamentoRuralServiço público de irrigação ruralNão se aplicaNão se aplicaIntermediário",Mercado_Receita!$L$2:$L$475)+SUMIF(Mercado_Receita!$S$2:$S$475,"44621B2Convencional pré-pagamentoRuralServiço público de irrigação ruralNão se aplicaNão se aplicaNão se aplica",Mercado_Receita!$L$2:$L$475)</f>
        <v>0</v>
      </c>
      <c r="Q41" s="13">
        <f>SUMIF(Mercado_Receita!$S$2:$S$475,"44652B2Convencional pré-pagamentoRuralServiço público de irrigação ruralNão se aplicaNão se aplicaPonta",Mercado_Receita!$L$2:$L$475)+SUMIF(Mercado_Receita!$S$2:$S$475,"44652B2Convencional pré-pagamentoRuralServiço público de irrigação ruralNão se aplicaNão se aplicaFora ponta",Mercado_Receita!$L$2:$L$475)+SUMIF(Mercado_Receita!$S$2:$S$475,"44652B2Convencional pré-pagamentoRuralServiço público de irrigação ruralNão se aplicaNão se aplicaIntermediário",Mercado_Receita!$L$2:$L$475)+SUMIF(Mercado_Receita!$S$2:$S$475,"44652B2Convencional pré-pagamentoRuralServiço público de irrigação ruralNão se aplicaNão se aplicaNão se aplica",Mercado_Receita!$L$2:$L$475)</f>
        <v>0</v>
      </c>
      <c r="R41" s="13">
        <f>SUMIF(Mercado_Receita!$S$2:$S$475,"44682B2Convencional pré-pagamentoRuralServiço público de irrigação ruralNão se aplicaNão se aplicaPonta",Mercado_Receita!$L$2:$L$475)+SUMIF(Mercado_Receita!$S$2:$S$475,"44682B2Convencional pré-pagamentoRuralServiço público de irrigação ruralNão se aplicaNão se aplicaFora ponta",Mercado_Receita!$L$2:$L$475)+SUMIF(Mercado_Receita!$S$2:$S$475,"44682B2Convencional pré-pagamentoRuralServiço público de irrigação ruralNão se aplicaNão se aplicaIntermediário",Mercado_Receita!$L$2:$L$475)+SUMIF(Mercado_Receita!$S$2:$S$475,"44682B2Convencional pré-pagamentoRuralServiço público de irrigação ruralNão se aplicaNão se aplicaNão se aplica",Mercado_Receita!$L$2:$L$475)</f>
        <v>0</v>
      </c>
      <c r="S41" s="13">
        <f>SUMIF(Mercado_Receita!$S$2:$S$475,"44713B2Convencional pré-pagamentoRuralServiço público de irrigação ruralNão se aplicaNão se aplicaPonta",Mercado_Receita!$L$2:$L$475)+SUMIF(Mercado_Receita!$S$2:$S$475,"44713B2Convencional pré-pagamentoRuralServiço público de irrigação ruralNão se aplicaNão se aplicaFora ponta",Mercado_Receita!$L$2:$L$475)+SUMIF(Mercado_Receita!$S$2:$S$475,"44713B2Convencional pré-pagamentoRuralServiço público de irrigação ruralNão se aplicaNão se aplicaIntermediário",Mercado_Receita!$L$2:$L$475)+SUMIF(Mercado_Receita!$S$2:$S$475,"44713B2Convencional pré-pagamentoRuralServiço público de irrigação ruralNão se aplicaNão se aplicaNão se aplica",Mercado_Receita!$L$2:$L$475)</f>
        <v>0</v>
      </c>
      <c r="T41" s="13">
        <f>SUMIF(Mercado_Receita!$S$2:$S$475,"44743B2Convencional pré-pagamentoRuralServiço público de irrigação ruralNão se aplicaNão se aplicaPonta",Mercado_Receita!$L$2:$L$475)+SUMIF(Mercado_Receita!$S$2:$S$475,"44743B2Convencional pré-pagamentoRuralServiço público de irrigação ruralNão se aplicaNão se aplicaFora ponta",Mercado_Receita!$L$2:$L$475)+SUMIF(Mercado_Receita!$S$2:$S$475,"44743B2Convencional pré-pagamentoRuralServiço público de irrigação ruralNão se aplicaNão se aplicaIntermediário",Mercado_Receita!$L$2:$L$475)+SUMIF(Mercado_Receita!$S$2:$S$475,"44743B2Convencional pré-pagamentoRuralServiço público de irrigação ruralNão se aplicaNão se aplicaNão se aplica",Mercado_Receita!$L$2:$L$475)</f>
        <v>0</v>
      </c>
      <c r="U41" s="13">
        <f t="shared" si="0"/>
        <v>0</v>
      </c>
      <c r="V41" s="13"/>
      <c r="W41" s="13"/>
    </row>
    <row r="42" spans="1:23" ht="11.25" customHeight="1" x14ac:dyDescent="0.25">
      <c r="A42" s="123" t="s">
        <v>36</v>
      </c>
      <c r="B42" s="123" t="s">
        <v>32</v>
      </c>
      <c r="C42" s="123" t="s">
        <v>25</v>
      </c>
      <c r="D42" s="123" t="s">
        <v>25</v>
      </c>
      <c r="E42" s="123" t="s">
        <v>25</v>
      </c>
      <c r="F42" s="123" t="s">
        <v>25</v>
      </c>
      <c r="G42" s="13" t="s">
        <v>76</v>
      </c>
      <c r="H42" s="13" t="s">
        <v>75</v>
      </c>
      <c r="I42" s="13">
        <f>SUMIF(Mercado_Receita!$S$2:$S$475,"44409B3BrancaNão se aplicaNão se aplicaNão se aplicaNão se aplicaPonta",Mercado_Receita!$L$2:$L$475)</f>
        <v>2.9000000000000001E-2</v>
      </c>
      <c r="J42" s="13">
        <f>SUMIF(Mercado_Receita!$S$2:$S$475,"44440B3BrancaNão se aplicaNão se aplicaNão se aplicaNão se aplicaPonta",Mercado_Receita!$L$2:$L$475)</f>
        <v>2.9000000000000001E-2</v>
      </c>
      <c r="K42" s="13">
        <f>SUMIF(Mercado_Receita!$S$2:$S$475,"44470B3BrancaNão se aplicaNão se aplicaNão se aplicaNão se aplicaPonta",Mercado_Receita!$L$2:$L$475)</f>
        <v>2.5000000000000001E-2</v>
      </c>
      <c r="L42" s="13">
        <f>SUMIF(Mercado_Receita!$S$2:$S$475,"44501B3BrancaNão se aplicaNão se aplicaNão se aplicaNão se aplicaPonta",Mercado_Receita!$L$2:$L$475)</f>
        <v>2.5000000000000001E-2</v>
      </c>
      <c r="M42" s="13">
        <f>SUMIF(Mercado_Receita!$S$2:$S$475,"44531B3BrancaNão se aplicaNão se aplicaNão se aplicaNão se aplicaPonta",Mercado_Receita!$L$2:$L$475)</f>
        <v>3.1E-2</v>
      </c>
      <c r="N42" s="13">
        <f>SUMIF(Mercado_Receita!$S$2:$S$475,"44562B3BrancaNão se aplicaNão se aplicaNão se aplicaNão se aplicaPonta",Mercado_Receita!$L$2:$L$475)</f>
        <v>0.03</v>
      </c>
      <c r="O42" s="13">
        <f>SUMIF(Mercado_Receita!$S$2:$S$475,"44593B3BrancaNão se aplicaNão se aplicaNão se aplicaNão se aplicaPonta",Mercado_Receita!$L$2:$L$475)</f>
        <v>3.6999999999999998E-2</v>
      </c>
      <c r="P42" s="13">
        <f>SUMIF(Mercado_Receita!$S$2:$S$475,"44621B3BrancaNão se aplicaNão se aplicaNão se aplicaNão se aplicaPonta",Mercado_Receita!$L$2:$L$475)</f>
        <v>2.5999999999999999E-2</v>
      </c>
      <c r="Q42" s="13">
        <f>SUMIF(Mercado_Receita!$S$2:$S$475,"44652B3BrancaNão se aplicaNão se aplicaNão se aplicaNão se aplicaPonta",Mercado_Receita!$L$2:$L$475)</f>
        <v>2.4E-2</v>
      </c>
      <c r="R42" s="13">
        <f>SUMIF(Mercado_Receita!$S$2:$S$475,"44682B3BrancaNão se aplicaNão se aplicaNão se aplicaNão se aplicaPonta",Mercado_Receita!$L$2:$L$475)</f>
        <v>2.5999999999999999E-2</v>
      </c>
      <c r="S42" s="13">
        <f>SUMIF(Mercado_Receita!$S$2:$S$475,"44713B3BrancaNão se aplicaNão se aplicaNão se aplicaNão se aplicaPonta",Mercado_Receita!$L$2:$L$475)</f>
        <v>2.7E-2</v>
      </c>
      <c r="T42" s="13">
        <f>SUMIF(Mercado_Receita!$S$2:$S$475,"44743B3BrancaNão se aplicaNão se aplicaNão se aplicaNão se aplicaPonta",Mercado_Receita!$L$2:$L$475)</f>
        <v>2.7E-2</v>
      </c>
      <c r="U42" s="13">
        <f t="shared" si="0"/>
        <v>0.33600000000000008</v>
      </c>
      <c r="V42" s="13"/>
      <c r="W42" s="13"/>
    </row>
    <row r="43" spans="1:23" ht="11.25" customHeight="1" x14ac:dyDescent="0.25">
      <c r="A43" s="124"/>
      <c r="B43" s="124"/>
      <c r="C43" s="124"/>
      <c r="D43" s="124"/>
      <c r="E43" s="124"/>
      <c r="F43" s="124"/>
      <c r="G43" s="13" t="s">
        <v>88</v>
      </c>
      <c r="H43" s="13" t="s">
        <v>75</v>
      </c>
      <c r="I43" s="13">
        <f>SUMIF(Mercado_Receita!$S$2:$S$475,"44409B3BrancaNão se aplicaNão se aplicaNão se aplicaNão se aplicaIntermediário",Mercado_Receita!$L$2:$L$475)</f>
        <v>2.5999999999999999E-2</v>
      </c>
      <c r="J43" s="13">
        <f>SUMIF(Mercado_Receita!$S$2:$S$475,"44440B3BrancaNão se aplicaNão se aplicaNão se aplicaNão se aplicaIntermediário",Mercado_Receita!$L$2:$L$475)</f>
        <v>2.8000000000000001E-2</v>
      </c>
      <c r="K43" s="13">
        <f>SUMIF(Mercado_Receita!$S$2:$S$475,"44470B3BrancaNão se aplicaNão se aplicaNão se aplicaNão se aplicaIntermediário",Mercado_Receita!$L$2:$L$475)</f>
        <v>3.1E-2</v>
      </c>
      <c r="L43" s="13">
        <f>SUMIF(Mercado_Receita!$S$2:$S$475,"44501B3BrancaNão se aplicaNão se aplicaNão se aplicaNão se aplicaIntermediário",Mercado_Receita!$L$2:$L$475)</f>
        <v>4.8000000000000001E-2</v>
      </c>
      <c r="M43" s="13">
        <f>SUMIF(Mercado_Receita!$S$2:$S$475,"44531B3BrancaNão se aplicaNão se aplicaNão se aplicaNão se aplicaIntermediário",Mercado_Receita!$L$2:$L$475)</f>
        <v>4.9000000000000002E-2</v>
      </c>
      <c r="N43" s="13">
        <f>SUMIF(Mercado_Receita!$S$2:$S$475,"44562B3BrancaNão se aplicaNão se aplicaNão se aplicaNão se aplicaIntermediário",Mercado_Receita!$L$2:$L$475)</f>
        <v>4.1000000000000002E-2</v>
      </c>
      <c r="O43" s="13">
        <f>SUMIF(Mercado_Receita!$S$2:$S$475,"44593B3BrancaNão se aplicaNão se aplicaNão se aplicaNão se aplicaIntermediário",Mercado_Receita!$L$2:$L$475)</f>
        <v>6.4000000000000001E-2</v>
      </c>
      <c r="P43" s="13">
        <f>SUMIF(Mercado_Receita!$S$2:$S$475,"44621B3BrancaNão se aplicaNão se aplicaNão se aplicaNão se aplicaIntermediário",Mercado_Receita!$L$2:$L$475)</f>
        <v>4.3999999999999997E-2</v>
      </c>
      <c r="Q43" s="13">
        <f>SUMIF(Mercado_Receita!$S$2:$S$475,"44652B3BrancaNão se aplicaNão se aplicaNão se aplicaNão se aplicaIntermediário",Mercado_Receita!$L$2:$L$475)</f>
        <v>3.6999999999999998E-2</v>
      </c>
      <c r="R43" s="13">
        <f>SUMIF(Mercado_Receita!$S$2:$S$475,"44682B3BrancaNão se aplicaNão se aplicaNão se aplicaNão se aplicaIntermediário",Mercado_Receita!$L$2:$L$475)</f>
        <v>3.5000000000000003E-2</v>
      </c>
      <c r="S43" s="13">
        <f>SUMIF(Mercado_Receita!$S$2:$S$475,"44713B3BrancaNão se aplicaNão se aplicaNão se aplicaNão se aplicaIntermediário",Mercado_Receita!$L$2:$L$475)</f>
        <v>2.8000000000000001E-2</v>
      </c>
      <c r="T43" s="13">
        <f>SUMIF(Mercado_Receita!$S$2:$S$475,"44743B3BrancaNão se aplicaNão se aplicaNão se aplicaNão se aplicaIntermediário",Mercado_Receita!$L$2:$L$475)</f>
        <v>2.8000000000000001E-2</v>
      </c>
      <c r="U43" s="13">
        <f t="shared" si="0"/>
        <v>0.45900000000000007</v>
      </c>
      <c r="V43" s="13"/>
      <c r="W43" s="13"/>
    </row>
    <row r="44" spans="1:23" ht="11.25" customHeight="1" x14ac:dyDescent="0.25">
      <c r="A44" s="124"/>
      <c r="B44" s="124"/>
      <c r="C44" s="124"/>
      <c r="D44" s="124"/>
      <c r="E44" s="124"/>
      <c r="F44" s="124"/>
      <c r="G44" s="13" t="s">
        <v>77</v>
      </c>
      <c r="H44" s="13" t="s">
        <v>75</v>
      </c>
      <c r="I44" s="13">
        <f>SUMIF(Mercado_Receita!$S$2:$S$475,"44409B3BrancaNão se aplicaNão se aplicaNão se aplicaNão se aplicaFora ponta",Mercado_Receita!$L$2:$L$475)</f>
        <v>0.67900000000000005</v>
      </c>
      <c r="J44" s="13">
        <f>SUMIF(Mercado_Receita!$S$2:$S$475,"44440B3BrancaNão se aplicaNão se aplicaNão se aplicaNão se aplicaFora ponta",Mercado_Receita!$L$2:$L$475)</f>
        <v>0.73699999999999999</v>
      </c>
      <c r="K44" s="13">
        <f>SUMIF(Mercado_Receita!$S$2:$S$475,"44470B3BrancaNão se aplicaNão se aplicaNão se aplicaNão se aplicaFora ponta",Mercado_Receita!$L$2:$L$475)</f>
        <v>0.70199999999999996</v>
      </c>
      <c r="L44" s="13">
        <f>SUMIF(Mercado_Receita!$S$2:$S$475,"44501B3BrancaNão se aplicaNão se aplicaNão se aplicaNão se aplicaFora ponta",Mercado_Receita!$L$2:$L$475)</f>
        <v>1.1000000000000001</v>
      </c>
      <c r="M44" s="13">
        <f>SUMIF(Mercado_Receita!$S$2:$S$475,"44531B3BrancaNão se aplicaNão se aplicaNão se aplicaNão se aplicaFora ponta",Mercado_Receita!$L$2:$L$475)</f>
        <v>1.31</v>
      </c>
      <c r="N44" s="13">
        <f>SUMIF(Mercado_Receita!$S$2:$S$475,"44562B3BrancaNão se aplicaNão se aplicaNão se aplicaNão se aplicaFora ponta",Mercado_Receita!$L$2:$L$475)</f>
        <v>1.37</v>
      </c>
      <c r="O44" s="13">
        <f>SUMIF(Mercado_Receita!$S$2:$S$475,"44593B3BrancaNão se aplicaNão se aplicaNão se aplicaNão se aplicaFora ponta",Mercado_Receita!$L$2:$L$475)</f>
        <v>1.2749999999999999</v>
      </c>
      <c r="P44" s="13">
        <f>SUMIF(Mercado_Receita!$S$2:$S$475,"44621B3BrancaNão se aplicaNão se aplicaNão se aplicaNão se aplicaFora ponta",Mercado_Receita!$L$2:$L$475)</f>
        <v>1.129</v>
      </c>
      <c r="Q44" s="13">
        <f>SUMIF(Mercado_Receita!$S$2:$S$475,"44652B3BrancaNão se aplicaNão se aplicaNão se aplicaNão se aplicaFora ponta",Mercado_Receita!$L$2:$L$475)</f>
        <v>0.77100000000000002</v>
      </c>
      <c r="R44" s="13">
        <f>SUMIF(Mercado_Receita!$S$2:$S$475,"44682B3BrancaNão se aplicaNão se aplicaNão se aplicaNão se aplicaFora ponta",Mercado_Receita!$L$2:$L$475)</f>
        <v>0.61699999999999999</v>
      </c>
      <c r="S44" s="13">
        <f>SUMIF(Mercado_Receita!$S$2:$S$475,"44713B3BrancaNão se aplicaNão se aplicaNão se aplicaNão se aplicaFora ponta",Mercado_Receita!$L$2:$L$475)</f>
        <v>0.443</v>
      </c>
      <c r="T44" s="13">
        <f>SUMIF(Mercado_Receita!$S$2:$S$475,"44743B3BrancaNão se aplicaNão se aplicaNão se aplicaNão se aplicaFora ponta",Mercado_Receita!$L$2:$L$475)</f>
        <v>0.443</v>
      </c>
      <c r="U44" s="13">
        <f t="shared" si="0"/>
        <v>10.576000000000001</v>
      </c>
      <c r="V44" s="13"/>
      <c r="W44" s="13"/>
    </row>
    <row r="45" spans="1:23" ht="11.25" customHeight="1" x14ac:dyDescent="0.25">
      <c r="A45" s="124"/>
      <c r="B45" s="12" t="s">
        <v>23</v>
      </c>
      <c r="C45" s="12" t="s">
        <v>25</v>
      </c>
      <c r="D45" s="12" t="s">
        <v>25</v>
      </c>
      <c r="E45" s="12" t="s">
        <v>25</v>
      </c>
      <c r="F45" s="12" t="s">
        <v>25</v>
      </c>
      <c r="G45" s="13" t="s">
        <v>79</v>
      </c>
      <c r="H45" s="13" t="s">
        <v>75</v>
      </c>
      <c r="I45" s="13">
        <f>SUMIF(Mercado_Receita!$S$2:$S$475,"44409B3ConvencionalNão se aplicaNão se aplicaNão se aplicaNão se aplicaPonta",Mercado_Receita!$L$2:$L$475)+SUMIF(Mercado_Receita!$S$2:$S$475,"44409B3ConvencionalNão se aplicaNão se aplicaNão se aplicaNão se aplicaFora ponta",Mercado_Receita!$L$2:$L$475)+SUMIF(Mercado_Receita!$S$2:$S$475,"44409B3ConvencionalNão se aplicaNão se aplicaNão se aplicaNão se aplicaIntermediário",Mercado_Receita!$L$2:$L$475)+SUMIF(Mercado_Receita!$S$2:$S$475,"44409B3ConvencionalNão se aplicaNão se aplicaNão se aplicaNão se aplicaNão se aplica",Mercado_Receita!$L$2:$L$475)</f>
        <v>493.86799999999999</v>
      </c>
      <c r="J45" s="13">
        <f>SUMIF(Mercado_Receita!$S$2:$S$475,"44440B3ConvencionalNão se aplicaNão se aplicaNão se aplicaNão se aplicaPonta",Mercado_Receita!$L$2:$L$475)+SUMIF(Mercado_Receita!$S$2:$S$475,"44440B3ConvencionalNão se aplicaNão se aplicaNão se aplicaNão se aplicaFora ponta",Mercado_Receita!$L$2:$L$475)+SUMIF(Mercado_Receita!$S$2:$S$475,"44440B3ConvencionalNão se aplicaNão se aplicaNão se aplicaNão se aplicaIntermediário",Mercado_Receita!$L$2:$L$475)+SUMIF(Mercado_Receita!$S$2:$S$475,"44440B3ConvencionalNão se aplicaNão se aplicaNão se aplicaNão se aplicaNão se aplica",Mercado_Receita!$L$2:$L$475)</f>
        <v>527.66500000000008</v>
      </c>
      <c r="K45" s="13">
        <f>SUMIF(Mercado_Receita!$S$2:$S$475,"44470B3ConvencionalNão se aplicaNão se aplicaNão se aplicaNão se aplicaPonta",Mercado_Receita!$L$2:$L$475)+SUMIF(Mercado_Receita!$S$2:$S$475,"44470B3ConvencionalNão se aplicaNão se aplicaNão se aplicaNão se aplicaFora ponta",Mercado_Receita!$L$2:$L$475)+SUMIF(Mercado_Receita!$S$2:$S$475,"44470B3ConvencionalNão se aplicaNão se aplicaNão se aplicaNão se aplicaIntermediário",Mercado_Receita!$L$2:$L$475)+SUMIF(Mercado_Receita!$S$2:$S$475,"44470B3ConvencionalNão se aplicaNão se aplicaNão se aplicaNão se aplicaNão se aplica",Mercado_Receita!$L$2:$L$475)</f>
        <v>490.13899999999995</v>
      </c>
      <c r="L45" s="13">
        <f>SUMIF(Mercado_Receita!$S$2:$S$475,"44501B3ConvencionalNão se aplicaNão se aplicaNão se aplicaNão se aplicaPonta",Mercado_Receita!$L$2:$L$475)+SUMIF(Mercado_Receita!$S$2:$S$475,"44501B3ConvencionalNão se aplicaNão se aplicaNão se aplicaNão se aplicaFora ponta",Mercado_Receita!$L$2:$L$475)+SUMIF(Mercado_Receita!$S$2:$S$475,"44501B3ConvencionalNão se aplicaNão se aplicaNão se aplicaNão se aplicaIntermediário",Mercado_Receita!$L$2:$L$475)+SUMIF(Mercado_Receita!$S$2:$S$475,"44501B3ConvencionalNão se aplicaNão se aplicaNão se aplicaNão se aplicaNão se aplica",Mercado_Receita!$L$2:$L$475)</f>
        <v>573.70900000000006</v>
      </c>
      <c r="M45" s="13">
        <f>SUMIF(Mercado_Receita!$S$2:$S$475,"44531B3ConvencionalNão se aplicaNão se aplicaNão se aplicaNão se aplicaPonta",Mercado_Receita!$L$2:$L$475)+SUMIF(Mercado_Receita!$S$2:$S$475,"44531B3ConvencionalNão se aplicaNão se aplicaNão se aplicaNão se aplicaFora ponta",Mercado_Receita!$L$2:$L$475)+SUMIF(Mercado_Receita!$S$2:$S$475,"44531B3ConvencionalNão se aplicaNão se aplicaNão se aplicaNão se aplicaIntermediário",Mercado_Receita!$L$2:$L$475)+SUMIF(Mercado_Receita!$S$2:$S$475,"44531B3ConvencionalNão se aplicaNão se aplicaNão se aplicaNão se aplicaNão se aplica",Mercado_Receita!$L$2:$L$475)</f>
        <v>636.90700000000004</v>
      </c>
      <c r="N45" s="13">
        <f>SUMIF(Mercado_Receita!$S$2:$S$475,"44562B3ConvencionalNão se aplicaNão se aplicaNão se aplicaNão se aplicaPonta",Mercado_Receita!$L$2:$L$475)+SUMIF(Mercado_Receita!$S$2:$S$475,"44562B3ConvencionalNão se aplicaNão se aplicaNão se aplicaNão se aplicaFora ponta",Mercado_Receita!$L$2:$L$475)+SUMIF(Mercado_Receita!$S$2:$S$475,"44562B3ConvencionalNão se aplicaNão se aplicaNão se aplicaNão se aplicaIntermediário",Mercado_Receita!$L$2:$L$475)+SUMIF(Mercado_Receita!$S$2:$S$475,"44562B3ConvencionalNão se aplicaNão se aplicaNão se aplicaNão se aplicaNão se aplica",Mercado_Receita!$L$2:$L$475)</f>
        <v>597</v>
      </c>
      <c r="O45" s="13">
        <f>SUMIF(Mercado_Receita!$S$2:$S$475,"44593B3ConvencionalNão se aplicaNão se aplicaNão se aplicaNão se aplicaPonta",Mercado_Receita!$L$2:$L$475)+SUMIF(Mercado_Receita!$S$2:$S$475,"44593B3ConvencionalNão se aplicaNão se aplicaNão se aplicaNão se aplicaFora ponta",Mercado_Receita!$L$2:$L$475)+SUMIF(Mercado_Receita!$S$2:$S$475,"44593B3ConvencionalNão se aplicaNão se aplicaNão se aplicaNão se aplicaIntermediário",Mercado_Receita!$L$2:$L$475)+SUMIF(Mercado_Receita!$S$2:$S$475,"44593B3ConvencionalNão se aplicaNão se aplicaNão se aplicaNão se aplicaNão se aplica",Mercado_Receita!$L$2:$L$475)</f>
        <v>582.52800000000002</v>
      </c>
      <c r="P45" s="13">
        <f>SUMIF(Mercado_Receita!$S$2:$S$475,"44621B3ConvencionalNão se aplicaNão se aplicaNão se aplicaNão se aplicaPonta",Mercado_Receita!$L$2:$L$475)+SUMIF(Mercado_Receita!$S$2:$S$475,"44621B3ConvencionalNão se aplicaNão se aplicaNão se aplicaNão se aplicaFora ponta",Mercado_Receita!$L$2:$L$475)+SUMIF(Mercado_Receita!$S$2:$S$475,"44621B3ConvencionalNão se aplicaNão se aplicaNão se aplicaNão se aplicaIntermediário",Mercado_Receita!$L$2:$L$475)+SUMIF(Mercado_Receita!$S$2:$S$475,"44621B3ConvencionalNão se aplicaNão se aplicaNão se aplicaNão se aplicaNão se aplica",Mercado_Receita!$L$2:$L$475)</f>
        <v>617.60500000000002</v>
      </c>
      <c r="Q45" s="13">
        <f>SUMIF(Mercado_Receita!$S$2:$S$475,"44652B3ConvencionalNão se aplicaNão se aplicaNão se aplicaNão se aplicaPonta",Mercado_Receita!$L$2:$L$475)+SUMIF(Mercado_Receita!$S$2:$S$475,"44652B3ConvencionalNão se aplicaNão se aplicaNão se aplicaNão se aplicaFora ponta",Mercado_Receita!$L$2:$L$475)+SUMIF(Mercado_Receita!$S$2:$S$475,"44652B3ConvencionalNão se aplicaNão se aplicaNão se aplicaNão se aplicaIntermediário",Mercado_Receita!$L$2:$L$475)+SUMIF(Mercado_Receita!$S$2:$S$475,"44652B3ConvencionalNão se aplicaNão se aplicaNão se aplicaNão se aplicaNão se aplica",Mercado_Receita!$L$2:$L$475)</f>
        <v>504.30900000000003</v>
      </c>
      <c r="R45" s="13">
        <f>SUMIF(Mercado_Receita!$S$2:$S$475,"44682B3ConvencionalNão se aplicaNão se aplicaNão se aplicaNão se aplicaPonta",Mercado_Receita!$L$2:$L$475)+SUMIF(Mercado_Receita!$S$2:$S$475,"44682B3ConvencionalNão se aplicaNão se aplicaNão se aplicaNão se aplicaFora ponta",Mercado_Receita!$L$2:$L$475)+SUMIF(Mercado_Receita!$S$2:$S$475,"44682B3ConvencionalNão se aplicaNão se aplicaNão se aplicaNão se aplicaIntermediário",Mercado_Receita!$L$2:$L$475)+SUMIF(Mercado_Receita!$S$2:$S$475,"44682B3ConvencionalNão se aplicaNão se aplicaNão se aplicaNão se aplicaNão se aplica",Mercado_Receita!$L$2:$L$475)</f>
        <v>517.24199999999996</v>
      </c>
      <c r="S45" s="13">
        <f>SUMIF(Mercado_Receita!$S$2:$S$475,"44713B3ConvencionalNão se aplicaNão se aplicaNão se aplicaNão se aplicaPonta",Mercado_Receita!$L$2:$L$475)+SUMIF(Mercado_Receita!$S$2:$S$475,"44713B3ConvencionalNão se aplicaNão se aplicaNão se aplicaNão se aplicaFora ponta",Mercado_Receita!$L$2:$L$475)+SUMIF(Mercado_Receita!$S$2:$S$475,"44713B3ConvencionalNão se aplicaNão se aplicaNão se aplicaNão se aplicaIntermediário",Mercado_Receita!$L$2:$L$475)+SUMIF(Mercado_Receita!$S$2:$S$475,"44713B3ConvencionalNão se aplicaNão se aplicaNão se aplicaNão se aplicaNão se aplica",Mercado_Receita!$L$2:$L$475)</f>
        <v>495.726</v>
      </c>
      <c r="T45" s="13">
        <f>SUMIF(Mercado_Receita!$S$2:$S$475,"44743B3ConvencionalNão se aplicaNão se aplicaNão se aplicaNão se aplicaPonta",Mercado_Receita!$L$2:$L$475)+SUMIF(Mercado_Receita!$S$2:$S$475,"44743B3ConvencionalNão se aplicaNão se aplicaNão se aplicaNão se aplicaFora ponta",Mercado_Receita!$L$2:$L$475)+SUMIF(Mercado_Receita!$S$2:$S$475,"44743B3ConvencionalNão se aplicaNão se aplicaNão se aplicaNão se aplicaIntermediário",Mercado_Receita!$L$2:$L$475)+SUMIF(Mercado_Receita!$S$2:$S$475,"44743B3ConvencionalNão se aplicaNão se aplicaNão se aplicaNão se aplicaNão se aplica",Mercado_Receita!$L$2:$L$475)</f>
        <v>495.726</v>
      </c>
      <c r="U45" s="13">
        <f t="shared" si="0"/>
        <v>6532.424</v>
      </c>
      <c r="V45" s="13"/>
      <c r="W45" s="13"/>
    </row>
    <row r="46" spans="1:23" ht="11.25" customHeight="1" x14ac:dyDescent="0.25">
      <c r="A46" s="124"/>
      <c r="B46" s="12" t="s">
        <v>90</v>
      </c>
      <c r="C46" s="12" t="s">
        <v>25</v>
      </c>
      <c r="D46" s="12" t="s">
        <v>25</v>
      </c>
      <c r="E46" s="12" t="s">
        <v>25</v>
      </c>
      <c r="F46" s="12" t="s">
        <v>25</v>
      </c>
      <c r="G46" s="13" t="s">
        <v>79</v>
      </c>
      <c r="H46" s="13" t="s">
        <v>75</v>
      </c>
      <c r="I46" s="13">
        <f>SUMIF(Mercado_Receita!$S$2:$S$475,"44409B3Convencional pré-pagamentoNão se aplicaNão se aplicaNão se aplicaNão se aplicaPonta",Mercado_Receita!$L$2:$L$475)+SUMIF(Mercado_Receita!$S$2:$S$475,"44409B3Convencional pré-pagamentoNão se aplicaNão se aplicaNão se aplicaNão se aplicaFora ponta",Mercado_Receita!$L$2:$L$475)+SUMIF(Mercado_Receita!$S$2:$S$475,"44409B3Convencional pré-pagamentoNão se aplicaNão se aplicaNão se aplicaNão se aplicaIntermediário",Mercado_Receita!$L$2:$L$475)+SUMIF(Mercado_Receita!$S$2:$S$475,"44409B3Convencional pré-pagamentoNão se aplicaNão se aplicaNão se aplicaNão se aplicaNão se aplica",Mercado_Receita!$L$2:$L$475)</f>
        <v>0</v>
      </c>
      <c r="J46" s="13">
        <f>SUMIF(Mercado_Receita!$S$2:$S$475,"44440B3Convencional pré-pagamentoNão se aplicaNão se aplicaNão se aplicaNão se aplicaPonta",Mercado_Receita!$L$2:$L$475)+SUMIF(Mercado_Receita!$S$2:$S$475,"44440B3Convencional pré-pagamentoNão se aplicaNão se aplicaNão se aplicaNão se aplicaFora ponta",Mercado_Receita!$L$2:$L$475)+SUMIF(Mercado_Receita!$S$2:$S$475,"44440B3Convencional pré-pagamentoNão se aplicaNão se aplicaNão se aplicaNão se aplicaIntermediário",Mercado_Receita!$L$2:$L$475)+SUMIF(Mercado_Receita!$S$2:$S$475,"44440B3Convencional pré-pagamentoNão se aplicaNão se aplicaNão se aplicaNão se aplicaNão se aplica",Mercado_Receita!$L$2:$L$475)</f>
        <v>0</v>
      </c>
      <c r="K46" s="13">
        <f>SUMIF(Mercado_Receita!$S$2:$S$475,"44470B3Convencional pré-pagamentoNão se aplicaNão se aplicaNão se aplicaNão se aplicaPonta",Mercado_Receita!$L$2:$L$475)+SUMIF(Mercado_Receita!$S$2:$S$475,"44470B3Convencional pré-pagamentoNão se aplicaNão se aplicaNão se aplicaNão se aplicaFora ponta",Mercado_Receita!$L$2:$L$475)+SUMIF(Mercado_Receita!$S$2:$S$475,"44470B3Convencional pré-pagamentoNão se aplicaNão se aplicaNão se aplicaNão se aplicaIntermediário",Mercado_Receita!$L$2:$L$475)+SUMIF(Mercado_Receita!$S$2:$S$475,"44470B3Convencional pré-pagamentoNão se aplicaNão se aplicaNão se aplicaNão se aplicaNão se aplica",Mercado_Receita!$L$2:$L$475)</f>
        <v>0</v>
      </c>
      <c r="L46" s="13">
        <f>SUMIF(Mercado_Receita!$S$2:$S$475,"44501B3Convencional pré-pagamentoNão se aplicaNão se aplicaNão se aplicaNão se aplicaPonta",Mercado_Receita!$L$2:$L$475)+SUMIF(Mercado_Receita!$S$2:$S$475,"44501B3Convencional pré-pagamentoNão se aplicaNão se aplicaNão se aplicaNão se aplicaFora ponta",Mercado_Receita!$L$2:$L$475)+SUMIF(Mercado_Receita!$S$2:$S$475,"44501B3Convencional pré-pagamentoNão se aplicaNão se aplicaNão se aplicaNão se aplicaIntermediário",Mercado_Receita!$L$2:$L$475)+SUMIF(Mercado_Receita!$S$2:$S$475,"44501B3Convencional pré-pagamentoNão se aplicaNão se aplicaNão se aplicaNão se aplicaNão se aplica",Mercado_Receita!$L$2:$L$475)</f>
        <v>0</v>
      </c>
      <c r="M46" s="13">
        <f>SUMIF(Mercado_Receita!$S$2:$S$475,"44531B3Convencional pré-pagamentoNão se aplicaNão se aplicaNão se aplicaNão se aplicaPonta",Mercado_Receita!$L$2:$L$475)+SUMIF(Mercado_Receita!$S$2:$S$475,"44531B3Convencional pré-pagamentoNão se aplicaNão se aplicaNão se aplicaNão se aplicaFora ponta",Mercado_Receita!$L$2:$L$475)+SUMIF(Mercado_Receita!$S$2:$S$475,"44531B3Convencional pré-pagamentoNão se aplicaNão se aplicaNão se aplicaNão se aplicaIntermediário",Mercado_Receita!$L$2:$L$475)+SUMIF(Mercado_Receita!$S$2:$S$475,"44531B3Convencional pré-pagamentoNão se aplicaNão se aplicaNão se aplicaNão se aplicaNão se aplica",Mercado_Receita!$L$2:$L$475)</f>
        <v>0</v>
      </c>
      <c r="N46" s="13">
        <f>SUMIF(Mercado_Receita!$S$2:$S$475,"44562B3Convencional pré-pagamentoNão se aplicaNão se aplicaNão se aplicaNão se aplicaPonta",Mercado_Receita!$L$2:$L$475)+SUMIF(Mercado_Receita!$S$2:$S$475,"44562B3Convencional pré-pagamentoNão se aplicaNão se aplicaNão se aplicaNão se aplicaFora ponta",Mercado_Receita!$L$2:$L$475)+SUMIF(Mercado_Receita!$S$2:$S$475,"44562B3Convencional pré-pagamentoNão se aplicaNão se aplicaNão se aplicaNão se aplicaIntermediário",Mercado_Receita!$L$2:$L$475)+SUMIF(Mercado_Receita!$S$2:$S$475,"44562B3Convencional pré-pagamentoNão se aplicaNão se aplicaNão se aplicaNão se aplicaNão se aplica",Mercado_Receita!$L$2:$L$475)</f>
        <v>0</v>
      </c>
      <c r="O46" s="13">
        <f>SUMIF(Mercado_Receita!$S$2:$S$475,"44593B3Convencional pré-pagamentoNão se aplicaNão se aplicaNão se aplicaNão se aplicaPonta",Mercado_Receita!$L$2:$L$475)+SUMIF(Mercado_Receita!$S$2:$S$475,"44593B3Convencional pré-pagamentoNão se aplicaNão se aplicaNão se aplicaNão se aplicaFora ponta",Mercado_Receita!$L$2:$L$475)+SUMIF(Mercado_Receita!$S$2:$S$475,"44593B3Convencional pré-pagamentoNão se aplicaNão se aplicaNão se aplicaNão se aplicaIntermediário",Mercado_Receita!$L$2:$L$475)+SUMIF(Mercado_Receita!$S$2:$S$475,"44593B3Convencional pré-pagamentoNão se aplicaNão se aplicaNão se aplicaNão se aplicaNão se aplica",Mercado_Receita!$L$2:$L$475)</f>
        <v>0</v>
      </c>
      <c r="P46" s="13">
        <f>SUMIF(Mercado_Receita!$S$2:$S$475,"44621B3Convencional pré-pagamentoNão se aplicaNão se aplicaNão se aplicaNão se aplicaPonta",Mercado_Receita!$L$2:$L$475)+SUMIF(Mercado_Receita!$S$2:$S$475,"44621B3Convencional pré-pagamentoNão se aplicaNão se aplicaNão se aplicaNão se aplicaFora ponta",Mercado_Receita!$L$2:$L$475)+SUMIF(Mercado_Receita!$S$2:$S$475,"44621B3Convencional pré-pagamentoNão se aplicaNão se aplicaNão se aplicaNão se aplicaIntermediário",Mercado_Receita!$L$2:$L$475)+SUMIF(Mercado_Receita!$S$2:$S$475,"44621B3Convencional pré-pagamentoNão se aplicaNão se aplicaNão se aplicaNão se aplicaNão se aplica",Mercado_Receita!$L$2:$L$475)</f>
        <v>0</v>
      </c>
      <c r="Q46" s="13">
        <f>SUMIF(Mercado_Receita!$S$2:$S$475,"44652B3Convencional pré-pagamentoNão se aplicaNão se aplicaNão se aplicaNão se aplicaPonta",Mercado_Receita!$L$2:$L$475)+SUMIF(Mercado_Receita!$S$2:$S$475,"44652B3Convencional pré-pagamentoNão se aplicaNão se aplicaNão se aplicaNão se aplicaFora ponta",Mercado_Receita!$L$2:$L$475)+SUMIF(Mercado_Receita!$S$2:$S$475,"44652B3Convencional pré-pagamentoNão se aplicaNão se aplicaNão se aplicaNão se aplicaIntermediário",Mercado_Receita!$L$2:$L$475)+SUMIF(Mercado_Receita!$S$2:$S$475,"44652B3Convencional pré-pagamentoNão se aplicaNão se aplicaNão se aplicaNão se aplicaNão se aplica",Mercado_Receita!$L$2:$L$475)</f>
        <v>0</v>
      </c>
      <c r="R46" s="13">
        <f>SUMIF(Mercado_Receita!$S$2:$S$475,"44682B3Convencional pré-pagamentoNão se aplicaNão se aplicaNão se aplicaNão se aplicaPonta",Mercado_Receita!$L$2:$L$475)+SUMIF(Mercado_Receita!$S$2:$S$475,"44682B3Convencional pré-pagamentoNão se aplicaNão se aplicaNão se aplicaNão se aplicaFora ponta",Mercado_Receita!$L$2:$L$475)+SUMIF(Mercado_Receita!$S$2:$S$475,"44682B3Convencional pré-pagamentoNão se aplicaNão se aplicaNão se aplicaNão se aplicaIntermediário",Mercado_Receita!$L$2:$L$475)+SUMIF(Mercado_Receita!$S$2:$S$475,"44682B3Convencional pré-pagamentoNão se aplicaNão se aplicaNão se aplicaNão se aplicaNão se aplica",Mercado_Receita!$L$2:$L$475)</f>
        <v>0</v>
      </c>
      <c r="S46" s="13">
        <f>SUMIF(Mercado_Receita!$S$2:$S$475,"44713B3Convencional pré-pagamentoNão se aplicaNão se aplicaNão se aplicaNão se aplicaPonta",Mercado_Receita!$L$2:$L$475)+SUMIF(Mercado_Receita!$S$2:$S$475,"44713B3Convencional pré-pagamentoNão se aplicaNão se aplicaNão se aplicaNão se aplicaFora ponta",Mercado_Receita!$L$2:$L$475)+SUMIF(Mercado_Receita!$S$2:$S$475,"44713B3Convencional pré-pagamentoNão se aplicaNão se aplicaNão se aplicaNão se aplicaIntermediário",Mercado_Receita!$L$2:$L$475)+SUMIF(Mercado_Receita!$S$2:$S$475,"44713B3Convencional pré-pagamentoNão se aplicaNão se aplicaNão se aplicaNão se aplicaNão se aplica",Mercado_Receita!$L$2:$L$475)</f>
        <v>0</v>
      </c>
      <c r="T46" s="13">
        <f>SUMIF(Mercado_Receita!$S$2:$S$475,"44743B3Convencional pré-pagamentoNão se aplicaNão se aplicaNão se aplicaNão se aplicaPonta",Mercado_Receita!$L$2:$L$475)+SUMIF(Mercado_Receita!$S$2:$S$475,"44743B3Convencional pré-pagamentoNão se aplicaNão se aplicaNão se aplicaNão se aplicaFora ponta",Mercado_Receita!$L$2:$L$475)+SUMIF(Mercado_Receita!$S$2:$S$475,"44743B3Convencional pré-pagamentoNão se aplicaNão se aplicaNão se aplicaNão se aplicaIntermediário",Mercado_Receita!$L$2:$L$475)+SUMIF(Mercado_Receita!$S$2:$S$475,"44743B3Convencional pré-pagamentoNão se aplicaNão se aplicaNão se aplicaNão se aplicaNão se aplica",Mercado_Receita!$L$2:$L$475)</f>
        <v>0</v>
      </c>
      <c r="U46" s="13">
        <f t="shared" si="0"/>
        <v>0</v>
      </c>
      <c r="V46" s="13"/>
      <c r="W46" s="13"/>
    </row>
    <row r="47" spans="1:23" ht="11.25" customHeight="1" x14ac:dyDescent="0.25">
      <c r="A47" s="123" t="s">
        <v>44</v>
      </c>
      <c r="B47" s="123" t="s">
        <v>23</v>
      </c>
      <c r="C47" s="123" t="s">
        <v>45</v>
      </c>
      <c r="D47" s="12" t="s">
        <v>93</v>
      </c>
      <c r="E47" s="12" t="s">
        <v>25</v>
      </c>
      <c r="F47" s="12" t="s">
        <v>25</v>
      </c>
      <c r="G47" s="13" t="s">
        <v>79</v>
      </c>
      <c r="H47" s="13" t="s">
        <v>75</v>
      </c>
      <c r="I47" s="13">
        <f>SUMIF(Mercado_Receita!$S$2:$S$475,"44409B4ConvencionalIluminação públicaIluminação pública – B4aNão se aplicaNão se aplicaPonta",Mercado_Receita!$L$2:$L$475)+SUMIF(Mercado_Receita!$S$2:$S$475,"44409B4ConvencionalIluminação públicaIluminação pública – B4aNão se aplicaNão se aplicaFora ponta",Mercado_Receita!$L$2:$L$475)+SUMIF(Mercado_Receita!$S$2:$S$475,"44409B4ConvencionalIluminação públicaIluminação pública – B4aNão se aplicaNão se aplicaIntermediário",Mercado_Receita!$L$2:$L$475)+SUMIF(Mercado_Receita!$S$2:$S$475,"44409B4ConvencionalIluminação públicaIluminação pública – B4aNão se aplicaNão se aplicaNão se aplica",Mercado_Receita!$L$2:$L$475)</f>
        <v>0</v>
      </c>
      <c r="J47" s="13">
        <f>SUMIF(Mercado_Receita!$S$2:$S$475,"44440B4ConvencionalIluminação públicaIluminação pública – B4aNão se aplicaNão se aplicaPonta",Mercado_Receita!$L$2:$L$475)+SUMIF(Mercado_Receita!$S$2:$S$475,"44440B4ConvencionalIluminação públicaIluminação pública – B4aNão se aplicaNão se aplicaFora ponta",Mercado_Receita!$L$2:$L$475)+SUMIF(Mercado_Receita!$S$2:$S$475,"44440B4ConvencionalIluminação públicaIluminação pública – B4aNão se aplicaNão se aplicaIntermediário",Mercado_Receita!$L$2:$L$475)+SUMIF(Mercado_Receita!$S$2:$S$475,"44440B4ConvencionalIluminação públicaIluminação pública – B4aNão se aplicaNão se aplicaNão se aplica",Mercado_Receita!$L$2:$L$475)</f>
        <v>0</v>
      </c>
      <c r="K47" s="13">
        <f>SUMIF(Mercado_Receita!$S$2:$S$475,"44470B4ConvencionalIluminação públicaIluminação pública – B4aNão se aplicaNão se aplicaPonta",Mercado_Receita!$L$2:$L$475)+SUMIF(Mercado_Receita!$S$2:$S$475,"44470B4ConvencionalIluminação públicaIluminação pública – B4aNão se aplicaNão se aplicaFora ponta",Mercado_Receita!$L$2:$L$475)+SUMIF(Mercado_Receita!$S$2:$S$475,"44470B4ConvencionalIluminação públicaIluminação pública – B4aNão se aplicaNão se aplicaIntermediário",Mercado_Receita!$L$2:$L$475)+SUMIF(Mercado_Receita!$S$2:$S$475,"44470B4ConvencionalIluminação públicaIluminação pública – B4aNão se aplicaNão se aplicaNão se aplica",Mercado_Receita!$L$2:$L$475)</f>
        <v>0</v>
      </c>
      <c r="L47" s="13">
        <f>SUMIF(Mercado_Receita!$S$2:$S$475,"44501B4ConvencionalIluminação públicaIluminação pública – B4aNão se aplicaNão se aplicaPonta",Mercado_Receita!$L$2:$L$475)+SUMIF(Mercado_Receita!$S$2:$S$475,"44501B4ConvencionalIluminação públicaIluminação pública – B4aNão se aplicaNão se aplicaFora ponta",Mercado_Receita!$L$2:$L$475)+SUMIF(Mercado_Receita!$S$2:$S$475,"44501B4ConvencionalIluminação públicaIluminação pública – B4aNão se aplicaNão se aplicaIntermediário",Mercado_Receita!$L$2:$L$475)+SUMIF(Mercado_Receita!$S$2:$S$475,"44501B4ConvencionalIluminação públicaIluminação pública – B4aNão se aplicaNão se aplicaNão se aplica",Mercado_Receita!$L$2:$L$475)</f>
        <v>0</v>
      </c>
      <c r="M47" s="13">
        <f>SUMIF(Mercado_Receita!$S$2:$S$475,"44531B4ConvencionalIluminação públicaIluminação pública – B4aNão se aplicaNão se aplicaPonta",Mercado_Receita!$L$2:$L$475)+SUMIF(Mercado_Receita!$S$2:$S$475,"44531B4ConvencionalIluminação públicaIluminação pública – B4aNão se aplicaNão se aplicaFora ponta",Mercado_Receita!$L$2:$L$475)+SUMIF(Mercado_Receita!$S$2:$S$475,"44531B4ConvencionalIluminação públicaIluminação pública – B4aNão se aplicaNão se aplicaIntermediário",Mercado_Receita!$L$2:$L$475)+SUMIF(Mercado_Receita!$S$2:$S$475,"44531B4ConvencionalIluminação públicaIluminação pública – B4aNão se aplicaNão se aplicaNão se aplica",Mercado_Receita!$L$2:$L$475)</f>
        <v>0</v>
      </c>
      <c r="N47" s="13">
        <f>SUMIF(Mercado_Receita!$S$2:$S$475,"44562B4ConvencionalIluminação públicaIluminação pública – B4aNão se aplicaNão se aplicaPonta",Mercado_Receita!$L$2:$L$475)+SUMIF(Mercado_Receita!$S$2:$S$475,"44562B4ConvencionalIluminação públicaIluminação pública – B4aNão se aplicaNão se aplicaFora ponta",Mercado_Receita!$L$2:$L$475)+SUMIF(Mercado_Receita!$S$2:$S$475,"44562B4ConvencionalIluminação públicaIluminação pública – B4aNão se aplicaNão se aplicaIntermediário",Mercado_Receita!$L$2:$L$475)+SUMIF(Mercado_Receita!$S$2:$S$475,"44562B4ConvencionalIluminação públicaIluminação pública – B4aNão se aplicaNão se aplicaNão se aplica",Mercado_Receita!$L$2:$L$475)</f>
        <v>0</v>
      </c>
      <c r="O47" s="13">
        <f>SUMIF(Mercado_Receita!$S$2:$S$475,"44593B4ConvencionalIluminação públicaIluminação pública – B4aNão se aplicaNão se aplicaPonta",Mercado_Receita!$L$2:$L$475)+SUMIF(Mercado_Receita!$S$2:$S$475,"44593B4ConvencionalIluminação públicaIluminação pública – B4aNão se aplicaNão se aplicaFora ponta",Mercado_Receita!$L$2:$L$475)+SUMIF(Mercado_Receita!$S$2:$S$475,"44593B4ConvencionalIluminação públicaIluminação pública – B4aNão se aplicaNão se aplicaIntermediário",Mercado_Receita!$L$2:$L$475)+SUMIF(Mercado_Receita!$S$2:$S$475,"44593B4ConvencionalIluminação públicaIluminação pública – B4aNão se aplicaNão se aplicaNão se aplica",Mercado_Receita!$L$2:$L$475)</f>
        <v>0</v>
      </c>
      <c r="P47" s="13">
        <f>SUMIF(Mercado_Receita!$S$2:$S$475,"44621B4ConvencionalIluminação públicaIluminação pública – B4aNão se aplicaNão se aplicaPonta",Mercado_Receita!$L$2:$L$475)+SUMIF(Mercado_Receita!$S$2:$S$475,"44621B4ConvencionalIluminação públicaIluminação pública – B4aNão se aplicaNão se aplicaFora ponta",Mercado_Receita!$L$2:$L$475)+SUMIF(Mercado_Receita!$S$2:$S$475,"44621B4ConvencionalIluminação públicaIluminação pública – B4aNão se aplicaNão se aplicaIntermediário",Mercado_Receita!$L$2:$L$475)+SUMIF(Mercado_Receita!$S$2:$S$475,"44621B4ConvencionalIluminação públicaIluminação pública – B4aNão se aplicaNão se aplicaNão se aplica",Mercado_Receita!$L$2:$L$475)</f>
        <v>0</v>
      </c>
      <c r="Q47" s="13">
        <f>SUMIF(Mercado_Receita!$S$2:$S$475,"44652B4ConvencionalIluminação públicaIluminação pública – B4aNão se aplicaNão se aplicaPonta",Mercado_Receita!$L$2:$L$475)+SUMIF(Mercado_Receita!$S$2:$S$475,"44652B4ConvencionalIluminação públicaIluminação pública – B4aNão se aplicaNão se aplicaFora ponta",Mercado_Receita!$L$2:$L$475)+SUMIF(Mercado_Receita!$S$2:$S$475,"44652B4ConvencionalIluminação públicaIluminação pública – B4aNão se aplicaNão se aplicaIntermediário",Mercado_Receita!$L$2:$L$475)+SUMIF(Mercado_Receita!$S$2:$S$475,"44652B4ConvencionalIluminação públicaIluminação pública – B4aNão se aplicaNão se aplicaNão se aplica",Mercado_Receita!$L$2:$L$475)</f>
        <v>0</v>
      </c>
      <c r="R47" s="13">
        <f>SUMIF(Mercado_Receita!$S$2:$S$475,"44682B4ConvencionalIluminação públicaIluminação pública – B4aNão se aplicaNão se aplicaPonta",Mercado_Receita!$L$2:$L$475)+SUMIF(Mercado_Receita!$S$2:$S$475,"44682B4ConvencionalIluminação públicaIluminação pública – B4aNão se aplicaNão se aplicaFora ponta",Mercado_Receita!$L$2:$L$475)+SUMIF(Mercado_Receita!$S$2:$S$475,"44682B4ConvencionalIluminação públicaIluminação pública – B4aNão se aplicaNão se aplicaIntermediário",Mercado_Receita!$L$2:$L$475)+SUMIF(Mercado_Receita!$S$2:$S$475,"44682B4ConvencionalIluminação públicaIluminação pública – B4aNão se aplicaNão se aplicaNão se aplica",Mercado_Receita!$L$2:$L$475)</f>
        <v>0</v>
      </c>
      <c r="S47" s="13">
        <f>SUMIF(Mercado_Receita!$S$2:$S$475,"44713B4ConvencionalIluminação públicaIluminação pública – B4aNão se aplicaNão se aplicaPonta",Mercado_Receita!$L$2:$L$475)+SUMIF(Mercado_Receita!$S$2:$S$475,"44713B4ConvencionalIluminação públicaIluminação pública – B4aNão se aplicaNão se aplicaFora ponta",Mercado_Receita!$L$2:$L$475)+SUMIF(Mercado_Receita!$S$2:$S$475,"44713B4ConvencionalIluminação públicaIluminação pública – B4aNão se aplicaNão se aplicaIntermediário",Mercado_Receita!$L$2:$L$475)+SUMIF(Mercado_Receita!$S$2:$S$475,"44713B4ConvencionalIluminação públicaIluminação pública – B4aNão se aplicaNão se aplicaNão se aplica",Mercado_Receita!$L$2:$L$475)</f>
        <v>0</v>
      </c>
      <c r="T47" s="13">
        <f>SUMIF(Mercado_Receita!$S$2:$S$475,"44743B4ConvencionalIluminação públicaIluminação pública – B4aNão se aplicaNão se aplicaPonta",Mercado_Receita!$L$2:$L$475)+SUMIF(Mercado_Receita!$S$2:$S$475,"44743B4ConvencionalIluminação públicaIluminação pública – B4aNão se aplicaNão se aplicaFora ponta",Mercado_Receita!$L$2:$L$475)+SUMIF(Mercado_Receita!$S$2:$S$475,"44743B4ConvencionalIluminação públicaIluminação pública – B4aNão se aplicaNão se aplicaIntermediário",Mercado_Receita!$L$2:$L$475)+SUMIF(Mercado_Receita!$S$2:$S$475,"44743B4ConvencionalIluminação públicaIluminação pública – B4aNão se aplicaNão se aplicaNão se aplica",Mercado_Receita!$L$2:$L$475)</f>
        <v>0</v>
      </c>
      <c r="U47" s="13">
        <f t="shared" si="0"/>
        <v>0</v>
      </c>
      <c r="V47" s="13"/>
      <c r="W47" s="13"/>
    </row>
    <row r="48" spans="1:23" ht="11.25" customHeight="1" x14ac:dyDescent="0.25">
      <c r="A48" s="124"/>
      <c r="B48" s="124"/>
      <c r="C48" s="124"/>
      <c r="D48" s="13" t="s">
        <v>46</v>
      </c>
      <c r="E48" s="13" t="s">
        <v>25</v>
      </c>
      <c r="F48" s="13" t="s">
        <v>25</v>
      </c>
      <c r="G48" s="13" t="s">
        <v>79</v>
      </c>
      <c r="H48" s="13" t="s">
        <v>75</v>
      </c>
      <c r="I48" s="13">
        <f>SUMIF(Mercado_Receita!$S$2:$S$475,"44409B4ConvencionalIluminação públicaIluminação pública – B4bNão se aplicaNão se aplicaPonta",Mercado_Receita!$L$2:$L$475)+SUMIF(Mercado_Receita!$S$2:$S$475,"44409B4ConvencionalIluminação públicaIluminação pública – B4bNão se aplicaNão se aplicaFora ponta",Mercado_Receita!$L$2:$L$475)+SUMIF(Mercado_Receita!$S$2:$S$475,"44409B4ConvencionalIluminação públicaIluminação pública – B4bNão se aplicaNão se aplicaIntermediário",Mercado_Receita!$L$2:$L$475)+SUMIF(Mercado_Receita!$S$2:$S$475,"44409B4ConvencionalIluminação públicaIluminação pública – B4bNão se aplicaNão se aplicaNão se aplica",Mercado_Receita!$L$2:$L$475)</f>
        <v>137.149</v>
      </c>
      <c r="J48" s="13">
        <f>SUMIF(Mercado_Receita!$S$2:$S$475,"44440B4ConvencionalIluminação públicaIluminação pública – B4bNão se aplicaNão se aplicaPonta",Mercado_Receita!$L$2:$L$475)+SUMIF(Mercado_Receita!$S$2:$S$475,"44440B4ConvencionalIluminação públicaIluminação pública – B4bNão se aplicaNão se aplicaFora ponta",Mercado_Receita!$L$2:$L$475)+SUMIF(Mercado_Receita!$S$2:$S$475,"44440B4ConvencionalIluminação públicaIluminação pública – B4bNão se aplicaNão se aplicaIntermediário",Mercado_Receita!$L$2:$L$475)+SUMIF(Mercado_Receita!$S$2:$S$475,"44440B4ConvencionalIluminação públicaIluminação pública – B4bNão se aplicaNão se aplicaNão se aplica",Mercado_Receita!$L$2:$L$475)</f>
        <v>137.149</v>
      </c>
      <c r="K48" s="13">
        <f>SUMIF(Mercado_Receita!$S$2:$S$475,"44470B4ConvencionalIluminação públicaIluminação pública – B4bNão se aplicaNão se aplicaPonta",Mercado_Receita!$L$2:$L$475)+SUMIF(Mercado_Receita!$S$2:$S$475,"44470B4ConvencionalIluminação públicaIluminação pública – B4bNão se aplicaNão se aplicaFora ponta",Mercado_Receita!$L$2:$L$475)+SUMIF(Mercado_Receita!$S$2:$S$475,"44470B4ConvencionalIluminação públicaIluminação pública – B4bNão se aplicaNão se aplicaIntermediário",Mercado_Receita!$L$2:$L$475)+SUMIF(Mercado_Receita!$S$2:$S$475,"44470B4ConvencionalIluminação públicaIluminação pública – B4bNão se aplicaNão se aplicaNão se aplica",Mercado_Receita!$L$2:$L$475)</f>
        <v>137.149</v>
      </c>
      <c r="L48" s="13">
        <f>SUMIF(Mercado_Receita!$S$2:$S$475,"44501B4ConvencionalIluminação públicaIluminação pública – B4bNão se aplicaNão se aplicaPonta",Mercado_Receita!$L$2:$L$475)+SUMIF(Mercado_Receita!$S$2:$S$475,"44501B4ConvencionalIluminação públicaIluminação pública – B4bNão se aplicaNão se aplicaFora ponta",Mercado_Receita!$L$2:$L$475)+SUMIF(Mercado_Receita!$S$2:$S$475,"44501B4ConvencionalIluminação públicaIluminação pública – B4bNão se aplicaNão se aplicaIntermediário",Mercado_Receita!$L$2:$L$475)+SUMIF(Mercado_Receita!$S$2:$S$475,"44501B4ConvencionalIluminação públicaIluminação pública – B4bNão se aplicaNão se aplicaNão se aplica",Mercado_Receita!$L$2:$L$475)</f>
        <v>137.52600000000001</v>
      </c>
      <c r="M48" s="13">
        <f>SUMIF(Mercado_Receita!$S$2:$S$475,"44531B4ConvencionalIluminação públicaIluminação pública – B4bNão se aplicaNão se aplicaPonta",Mercado_Receita!$L$2:$L$475)+SUMIF(Mercado_Receita!$S$2:$S$475,"44531B4ConvencionalIluminação públicaIluminação pública – B4bNão se aplicaNão se aplicaFora ponta",Mercado_Receita!$L$2:$L$475)+SUMIF(Mercado_Receita!$S$2:$S$475,"44531B4ConvencionalIluminação públicaIluminação pública – B4bNão se aplicaNão se aplicaIntermediário",Mercado_Receita!$L$2:$L$475)+SUMIF(Mercado_Receita!$S$2:$S$475,"44531B4ConvencionalIluminação públicaIluminação pública – B4bNão se aplicaNão se aplicaNão se aplica",Mercado_Receita!$L$2:$L$475)</f>
        <v>137.52600000000001</v>
      </c>
      <c r="N48" s="13">
        <f>SUMIF(Mercado_Receita!$S$2:$S$475,"44562B4ConvencionalIluminação públicaIluminação pública – B4bNão se aplicaNão se aplicaPonta",Mercado_Receita!$L$2:$L$475)+SUMIF(Mercado_Receita!$S$2:$S$475,"44562B4ConvencionalIluminação públicaIluminação pública – B4bNão se aplicaNão se aplicaFora ponta",Mercado_Receita!$L$2:$L$475)+SUMIF(Mercado_Receita!$S$2:$S$475,"44562B4ConvencionalIluminação públicaIluminação pública – B4bNão se aplicaNão se aplicaIntermediário",Mercado_Receita!$L$2:$L$475)+SUMIF(Mercado_Receita!$S$2:$S$475,"44562B4ConvencionalIluminação públicaIluminação pública – B4bNão se aplicaNão se aplicaNão se aplica",Mercado_Receita!$L$2:$L$475)</f>
        <v>138.613</v>
      </c>
      <c r="O48" s="13">
        <f>SUMIF(Mercado_Receita!$S$2:$S$475,"44593B4ConvencionalIluminação públicaIluminação pública – B4bNão se aplicaNão se aplicaPonta",Mercado_Receita!$L$2:$L$475)+SUMIF(Mercado_Receita!$S$2:$S$475,"44593B4ConvencionalIluminação públicaIluminação pública – B4bNão se aplicaNão se aplicaFora ponta",Mercado_Receita!$L$2:$L$475)+SUMIF(Mercado_Receita!$S$2:$S$475,"44593B4ConvencionalIluminação públicaIluminação pública – B4bNão se aplicaNão se aplicaIntermediário",Mercado_Receita!$L$2:$L$475)+SUMIF(Mercado_Receita!$S$2:$S$475,"44593B4ConvencionalIluminação públicaIluminação pública – B4bNão se aplicaNão se aplicaNão se aplica",Mercado_Receita!$L$2:$L$475)</f>
        <v>138.547</v>
      </c>
      <c r="P48" s="13">
        <f>SUMIF(Mercado_Receita!$S$2:$S$475,"44621B4ConvencionalIluminação públicaIluminação pública – B4bNão se aplicaNão se aplicaPonta",Mercado_Receita!$L$2:$L$475)+SUMIF(Mercado_Receita!$S$2:$S$475,"44621B4ConvencionalIluminação públicaIluminação pública – B4bNão se aplicaNão se aplicaFora ponta",Mercado_Receita!$L$2:$L$475)+SUMIF(Mercado_Receita!$S$2:$S$475,"44621B4ConvencionalIluminação públicaIluminação pública – B4bNão se aplicaNão se aplicaIntermediário",Mercado_Receita!$L$2:$L$475)+SUMIF(Mercado_Receita!$S$2:$S$475,"44621B4ConvencionalIluminação públicaIluminação pública – B4bNão se aplicaNão se aplicaNão se aplica",Mercado_Receita!$L$2:$L$475)</f>
        <v>138.04</v>
      </c>
      <c r="Q48" s="13">
        <f>SUMIF(Mercado_Receita!$S$2:$S$475,"44652B4ConvencionalIluminação públicaIluminação pública – B4bNão se aplicaNão se aplicaPonta",Mercado_Receita!$L$2:$L$475)+SUMIF(Mercado_Receita!$S$2:$S$475,"44652B4ConvencionalIluminação públicaIluminação pública – B4bNão se aplicaNão se aplicaFora ponta",Mercado_Receita!$L$2:$L$475)+SUMIF(Mercado_Receita!$S$2:$S$475,"44652B4ConvencionalIluminação públicaIluminação pública – B4bNão se aplicaNão se aplicaIntermediário",Mercado_Receita!$L$2:$L$475)+SUMIF(Mercado_Receita!$S$2:$S$475,"44652B4ConvencionalIluminação públicaIluminação pública – B4bNão se aplicaNão se aplicaNão se aplica",Mercado_Receita!$L$2:$L$475)</f>
        <v>138.06899999999999</v>
      </c>
      <c r="R48" s="13">
        <f>SUMIF(Mercado_Receita!$S$2:$S$475,"44682B4ConvencionalIluminação públicaIluminação pública – B4bNão se aplicaNão se aplicaPonta",Mercado_Receita!$L$2:$L$475)+SUMIF(Mercado_Receita!$S$2:$S$475,"44682B4ConvencionalIluminação públicaIluminação pública – B4bNão se aplicaNão se aplicaFora ponta",Mercado_Receita!$L$2:$L$475)+SUMIF(Mercado_Receita!$S$2:$S$475,"44682B4ConvencionalIluminação públicaIluminação pública – B4bNão se aplicaNão se aplicaIntermediário",Mercado_Receita!$L$2:$L$475)+SUMIF(Mercado_Receita!$S$2:$S$475,"44682B4ConvencionalIluminação públicaIluminação pública – B4bNão se aplicaNão se aplicaNão se aplica",Mercado_Receita!$L$2:$L$475)</f>
        <v>138.06899999999999</v>
      </c>
      <c r="S48" s="13">
        <f>SUMIF(Mercado_Receita!$S$2:$S$475,"44713B4ConvencionalIluminação públicaIluminação pública – B4bNão se aplicaNão se aplicaPonta",Mercado_Receita!$L$2:$L$475)+SUMIF(Mercado_Receita!$S$2:$S$475,"44713B4ConvencionalIluminação públicaIluminação pública – B4bNão se aplicaNão se aplicaFora ponta",Mercado_Receita!$L$2:$L$475)+SUMIF(Mercado_Receita!$S$2:$S$475,"44713B4ConvencionalIluminação públicaIluminação pública – B4bNão se aplicaNão se aplicaIntermediário",Mercado_Receita!$L$2:$L$475)+SUMIF(Mercado_Receita!$S$2:$S$475,"44713B4ConvencionalIluminação públicaIluminação pública – B4bNão se aplicaNão se aplicaNão se aplica",Mercado_Receita!$L$2:$L$475)</f>
        <v>139.01400000000001</v>
      </c>
      <c r="T48" s="13">
        <f>SUMIF(Mercado_Receita!$S$2:$S$475,"44743B4ConvencionalIluminação públicaIluminação pública – B4bNão se aplicaNão se aplicaPonta",Mercado_Receita!$L$2:$L$475)+SUMIF(Mercado_Receita!$S$2:$S$475,"44743B4ConvencionalIluminação públicaIluminação pública – B4bNão se aplicaNão se aplicaFora ponta",Mercado_Receita!$L$2:$L$475)+SUMIF(Mercado_Receita!$S$2:$S$475,"44743B4ConvencionalIluminação públicaIluminação pública – B4bNão se aplicaNão se aplicaIntermediário",Mercado_Receita!$L$2:$L$475)+SUMIF(Mercado_Receita!$S$2:$S$475,"44743B4ConvencionalIluminação públicaIluminação pública – B4bNão se aplicaNão se aplicaNão se aplica",Mercado_Receita!$L$2:$L$475)</f>
        <v>139.01400000000001</v>
      </c>
      <c r="U48" s="13">
        <f t="shared" si="0"/>
        <v>1655.8650000000002</v>
      </c>
      <c r="V48" s="13"/>
      <c r="W48" s="13"/>
    </row>
    <row r="49" spans="1:23" ht="11.25" customHeight="1" x14ac:dyDescent="0.25">
      <c r="A49" s="125" t="s">
        <v>532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3"/>
      <c r="W49" s="13"/>
    </row>
  </sheetData>
  <mergeCells count="55"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F27:F29"/>
    <mergeCell ref="E27:E29"/>
    <mergeCell ref="D27:D29"/>
    <mergeCell ref="C27:C29"/>
    <mergeCell ref="B27:B29"/>
    <mergeCell ref="C17:C21"/>
    <mergeCell ref="B17:B21"/>
    <mergeCell ref="C22:C26"/>
    <mergeCell ref="B22:B26"/>
    <mergeCell ref="A14:A26"/>
    <mergeCell ref="C31:C33"/>
    <mergeCell ref="B31:B33"/>
    <mergeCell ref="F35:F37"/>
    <mergeCell ref="E35:E37"/>
    <mergeCell ref="D35:D37"/>
    <mergeCell ref="C35:C37"/>
    <mergeCell ref="B35:B37"/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5C9CE-442C-4237-BC5D-9DFD30D7E423}">
  <dimension ref="A1:AD40"/>
  <sheetViews>
    <sheetView showGridLines="0" workbookViewId="0">
      <selection sqref="A1:W4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6.140625" style="9" bestFit="1" customWidth="1"/>
    <col min="10" max="11" width="5.85546875" style="9" bestFit="1" customWidth="1"/>
    <col min="12" max="12" width="6.140625" style="9" bestFit="1" customWidth="1"/>
    <col min="13" max="13" width="7" style="9" bestFit="1" customWidth="1"/>
    <col min="14" max="15" width="5.7109375" style="9" bestFit="1" customWidth="1"/>
    <col min="16" max="16" width="6.42578125" style="9" bestFit="1" customWidth="1"/>
    <col min="17" max="17" width="5.85546875" style="9" bestFit="1" customWidth="1"/>
    <col min="18" max="18" width="6.140625" style="9" bestFit="1" customWidth="1"/>
    <col min="19" max="20" width="5.71093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65</v>
      </c>
      <c r="B1" s="10" t="s">
        <v>66</v>
      </c>
      <c r="C1" s="10" t="s">
        <v>67</v>
      </c>
      <c r="D1" s="10" t="s">
        <v>68</v>
      </c>
      <c r="E1" s="10" t="s">
        <v>69</v>
      </c>
      <c r="F1" s="10" t="s">
        <v>70</v>
      </c>
      <c r="G1" s="10" t="s">
        <v>71</v>
      </c>
      <c r="H1" s="10" t="s">
        <v>72</v>
      </c>
      <c r="I1" s="11">
        <v>44409</v>
      </c>
      <c r="J1" s="11">
        <v>44440</v>
      </c>
      <c r="K1" s="11">
        <v>44470</v>
      </c>
      <c r="L1" s="11">
        <v>44501</v>
      </c>
      <c r="M1" s="11">
        <v>44531</v>
      </c>
      <c r="N1" s="11">
        <v>44562</v>
      </c>
      <c r="O1" s="11">
        <v>44593</v>
      </c>
      <c r="P1" s="11">
        <v>44621</v>
      </c>
      <c r="Q1" s="11">
        <v>44652</v>
      </c>
      <c r="R1" s="11">
        <v>44682</v>
      </c>
      <c r="S1" s="11">
        <v>44713</v>
      </c>
      <c r="T1" s="11">
        <v>44743</v>
      </c>
      <c r="U1" s="10" t="s">
        <v>73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23" t="s">
        <v>38</v>
      </c>
      <c r="B2" s="123" t="s">
        <v>74</v>
      </c>
      <c r="C2" s="123" t="s">
        <v>25</v>
      </c>
      <c r="D2" s="123" t="s">
        <v>25</v>
      </c>
      <c r="E2" s="123" t="s">
        <v>25</v>
      </c>
      <c r="F2" s="123" t="s">
        <v>25</v>
      </c>
      <c r="G2" s="13" t="s">
        <v>76</v>
      </c>
      <c r="H2" s="13" t="s">
        <v>75</v>
      </c>
      <c r="I2" s="13">
        <f>SUMIF(Mercado_Receita!$T$2:$T$475,"44409A4Energia horáriaNão se aplicaNão se aplicaNão se aplicaNão se aplicaPonta",Mercado_Receita!$N$2:$N$475)</f>
        <v>21.65</v>
      </c>
      <c r="J2" s="13">
        <f>SUMIF(Mercado_Receita!$T$2:$T$475,"44440A4Energia horáriaNão se aplicaNão se aplicaNão se aplicaNão se aplicaPonta",Mercado_Receita!$N$2:$N$475)</f>
        <v>21.783000000000001</v>
      </c>
      <c r="K2" s="13">
        <f>SUMIF(Mercado_Receita!$T$2:$T$475,"44470A4Energia horáriaNão se aplicaNão se aplicaNão se aplicaNão se aplicaPonta",Mercado_Receita!$N$2:$N$475)</f>
        <v>28.081</v>
      </c>
      <c r="L2" s="13">
        <f>SUMIF(Mercado_Receita!$T$2:$T$475,"44501A4Energia horáriaNão se aplicaNão se aplicaNão se aplicaNão se aplicaPonta",Mercado_Receita!$N$2:$N$475)</f>
        <v>21.2</v>
      </c>
      <c r="M2" s="13">
        <f>SUMIF(Mercado_Receita!$T$2:$T$475,"44531A4Energia horáriaNão se aplicaNão se aplicaNão se aplicaNão se aplicaPonta",Mercado_Receita!$N$2:$N$475)</f>
        <v>26.979999999999997</v>
      </c>
      <c r="N2" s="13">
        <f>SUMIF(Mercado_Receita!$T$2:$T$475,"44562A4Energia horáriaNão se aplicaNão se aplicaNão se aplicaNão se aplicaPonta",Mercado_Receita!$N$2:$N$475)</f>
        <v>23.660000000000004</v>
      </c>
      <c r="O2" s="13">
        <f>SUMIF(Mercado_Receita!$T$2:$T$475,"44593A4Energia horáriaNão se aplicaNão se aplicaNão se aplicaNão se aplicaPonta",Mercado_Receita!$N$2:$N$475)</f>
        <v>24.347000000000001</v>
      </c>
      <c r="P2" s="13">
        <f>SUMIF(Mercado_Receita!$T$2:$T$475,"44621A4Energia horáriaNão se aplicaNão se aplicaNão se aplicaNão se aplicaPonta",Mercado_Receita!$N$2:$N$475)</f>
        <v>27.718</v>
      </c>
      <c r="Q2" s="13">
        <f>SUMIF(Mercado_Receita!$T$2:$T$475,"44652A4Energia horáriaNão se aplicaNão se aplicaNão se aplicaNão se aplicaPonta",Mercado_Receita!$N$2:$N$475)</f>
        <v>19.664000000000001</v>
      </c>
      <c r="R2" s="13">
        <f>SUMIF(Mercado_Receita!$T$2:$T$475,"44682A4Energia horáriaNão se aplicaNão se aplicaNão se aplicaNão se aplicaPonta",Mercado_Receita!$N$2:$N$475)</f>
        <v>21.118999999999996</v>
      </c>
      <c r="S2" s="13">
        <f>SUMIF(Mercado_Receita!$T$2:$T$475,"44713A4Energia horáriaNão se aplicaNão se aplicaNão se aplicaNão se aplicaPonta",Mercado_Receita!$N$2:$N$475)</f>
        <v>22.151</v>
      </c>
      <c r="T2" s="13">
        <f>SUMIF(Mercado_Receita!$T$2:$T$475,"44743A4Energia horáriaNão se aplicaNão se aplicaNão se aplicaNão se aplicaPonta",Mercado_Receita!$N$2:$N$475)</f>
        <v>22.151</v>
      </c>
      <c r="U2" s="13">
        <f t="shared" ref="U2:U39" si="0">SUM(I2:T2)</f>
        <v>280.50399999999996</v>
      </c>
      <c r="V2" s="13"/>
      <c r="W2" s="13"/>
    </row>
    <row r="3" spans="1:30" ht="11.25" customHeight="1" x14ac:dyDescent="0.25">
      <c r="A3" s="124"/>
      <c r="B3" s="124"/>
      <c r="C3" s="124"/>
      <c r="D3" s="124"/>
      <c r="E3" s="124"/>
      <c r="F3" s="124"/>
      <c r="G3" s="13" t="s">
        <v>77</v>
      </c>
      <c r="H3" s="13" t="s">
        <v>75</v>
      </c>
      <c r="I3" s="13">
        <f>SUMIF(Mercado_Receita!$T$2:$T$475,"44409A4Energia horáriaNão se aplicaNão se aplicaNão se aplicaNão se aplicaFora ponta",Mercado_Receita!$N$2:$N$475)</f>
        <v>617.90700000000004</v>
      </c>
      <c r="J3" s="13">
        <f>SUMIF(Mercado_Receita!$T$2:$T$475,"44440A4Energia horáriaNão se aplicaNão se aplicaNão se aplicaNão se aplicaFora ponta",Mercado_Receita!$N$2:$N$475)</f>
        <v>590.81299999999999</v>
      </c>
      <c r="K3" s="13">
        <f>SUMIF(Mercado_Receita!$T$2:$T$475,"44470A4Energia horáriaNão se aplicaNão se aplicaNão se aplicaNão se aplicaFora ponta",Mercado_Receita!$N$2:$N$475)</f>
        <v>640.26400000000001</v>
      </c>
      <c r="L3" s="13">
        <f>SUMIF(Mercado_Receita!$T$2:$T$475,"44501A4Energia horáriaNão se aplicaNão se aplicaNão se aplicaNão se aplicaFora ponta",Mercado_Receita!$N$2:$N$475)</f>
        <v>662.35799999999995</v>
      </c>
      <c r="M3" s="13">
        <f>SUMIF(Mercado_Receita!$T$2:$T$475,"44531A4Energia horáriaNão se aplicaNão se aplicaNão se aplicaNão se aplicaFora ponta",Mercado_Receita!$N$2:$N$475)</f>
        <v>636.3839999999999</v>
      </c>
      <c r="N3" s="13">
        <f>SUMIF(Mercado_Receita!$T$2:$T$475,"44562A4Energia horáriaNão se aplicaNão se aplicaNão se aplicaNão se aplicaFora ponta",Mercado_Receita!$N$2:$N$475)</f>
        <v>596.024</v>
      </c>
      <c r="O3" s="13">
        <f>SUMIF(Mercado_Receita!$T$2:$T$475,"44593A4Energia horáriaNão se aplicaNão se aplicaNão se aplicaNão se aplicaFora ponta",Mercado_Receita!$N$2:$N$475)</f>
        <v>652.57399999999984</v>
      </c>
      <c r="P3" s="13">
        <f>SUMIF(Mercado_Receita!$T$2:$T$475,"44621A4Energia horáriaNão se aplicaNão se aplicaNão se aplicaNão se aplicaFora ponta",Mercado_Receita!$N$2:$N$475)</f>
        <v>730.33500000000004</v>
      </c>
      <c r="Q3" s="13">
        <f>SUMIF(Mercado_Receita!$T$2:$T$475,"44652A4Energia horáriaNão se aplicaNão se aplicaNão se aplicaNão se aplicaFora ponta",Mercado_Receita!$N$2:$N$475)</f>
        <v>622.92000000000007</v>
      </c>
      <c r="R3" s="13">
        <f>SUMIF(Mercado_Receita!$T$2:$T$475,"44682A4Energia horáriaNão se aplicaNão se aplicaNão se aplicaNão se aplicaFora ponta",Mercado_Receita!$N$2:$N$475)</f>
        <v>643.54200000000014</v>
      </c>
      <c r="S3" s="13">
        <f>SUMIF(Mercado_Receita!$T$2:$T$475,"44713A4Energia horáriaNão se aplicaNão se aplicaNão se aplicaNão se aplicaFora ponta",Mercado_Receita!$N$2:$N$475)</f>
        <v>582.77</v>
      </c>
      <c r="T3" s="13">
        <f>SUMIF(Mercado_Receita!$T$2:$T$475,"44743A4Energia horáriaNão se aplicaNão se aplicaNão se aplicaNão se aplicaFora ponta",Mercado_Receita!$N$2:$N$475)</f>
        <v>582.77</v>
      </c>
      <c r="U3" s="13">
        <f t="shared" si="0"/>
        <v>7558.6610000000001</v>
      </c>
      <c r="V3" s="13"/>
      <c r="W3" s="13"/>
    </row>
    <row r="4" spans="1:30" ht="11.25" customHeight="1" x14ac:dyDescent="0.25">
      <c r="A4" s="124"/>
      <c r="B4" s="12" t="s">
        <v>78</v>
      </c>
      <c r="C4" s="12" t="s">
        <v>25</v>
      </c>
      <c r="D4" s="12" t="s">
        <v>25</v>
      </c>
      <c r="E4" s="12" t="s">
        <v>25</v>
      </c>
      <c r="F4" s="12" t="s">
        <v>25</v>
      </c>
      <c r="G4" s="13" t="s">
        <v>79</v>
      </c>
      <c r="H4" s="13" t="s">
        <v>75</v>
      </c>
      <c r="I4" s="13">
        <f>SUMIF(Mercado_Receita!$T$2:$T$475,"44409A4Energia convencionalNão se aplicaNão se aplicaNão se aplicaNão se aplicaNão se aplica",Mercado_Receita!$N$2:$N$475)</f>
        <v>0</v>
      </c>
      <c r="J4" s="13">
        <f>SUMIF(Mercado_Receita!$T$2:$T$475,"44440A4Energia convencionalNão se aplicaNão se aplicaNão se aplicaNão se aplicaNão se aplica",Mercado_Receita!$N$2:$N$475)</f>
        <v>0</v>
      </c>
      <c r="K4" s="13">
        <f>SUMIF(Mercado_Receita!$T$2:$T$475,"44470A4Energia convencionalNão se aplicaNão se aplicaNão se aplicaNão se aplicaNão se aplica",Mercado_Receita!$N$2:$N$475)</f>
        <v>0</v>
      </c>
      <c r="L4" s="13">
        <f>SUMIF(Mercado_Receita!$T$2:$T$475,"44501A4Energia convencionalNão se aplicaNão se aplicaNão se aplicaNão se aplicaNão se aplica",Mercado_Receita!$N$2:$N$475)</f>
        <v>0</v>
      </c>
      <c r="M4" s="13">
        <f>SUMIF(Mercado_Receita!$T$2:$T$475,"44531A4Energia convencionalNão se aplicaNão se aplicaNão se aplicaNão se aplicaNão se aplica",Mercado_Receita!$N$2:$N$475)</f>
        <v>0</v>
      </c>
      <c r="N4" s="13">
        <f>SUMIF(Mercado_Receita!$T$2:$T$475,"44562A4Energia convencionalNão se aplicaNão se aplicaNão se aplicaNão se aplicaNão se aplica",Mercado_Receita!$N$2:$N$475)</f>
        <v>0</v>
      </c>
      <c r="O4" s="13">
        <f>SUMIF(Mercado_Receita!$T$2:$T$475,"44593A4Energia convencionalNão se aplicaNão se aplicaNão se aplicaNão se aplicaNão se aplica",Mercado_Receita!$N$2:$N$475)</f>
        <v>0</v>
      </c>
      <c r="P4" s="13">
        <f>SUMIF(Mercado_Receita!$T$2:$T$475,"44621A4Energia convencionalNão se aplicaNão se aplicaNão se aplicaNão se aplicaNão se aplica",Mercado_Receita!$N$2:$N$475)</f>
        <v>0</v>
      </c>
      <c r="Q4" s="13">
        <f>SUMIF(Mercado_Receita!$T$2:$T$475,"44652A4Energia convencionalNão se aplicaNão se aplicaNão se aplicaNão se aplicaNão se aplica",Mercado_Receita!$N$2:$N$475)</f>
        <v>0</v>
      </c>
      <c r="R4" s="13">
        <f>SUMIF(Mercado_Receita!$T$2:$T$475,"44682A4Energia convencionalNão se aplicaNão se aplicaNão se aplicaNão se aplicaNão se aplica",Mercado_Receita!$N$2:$N$475)</f>
        <v>0</v>
      </c>
      <c r="S4" s="13">
        <f>SUMIF(Mercado_Receita!$T$2:$T$475,"44713A4Energia convencionalNão se aplicaNão se aplicaNão se aplicaNão se aplicaNão se aplica",Mercado_Receita!$N$2:$N$475)</f>
        <v>0</v>
      </c>
      <c r="T4" s="13">
        <f>SUMIF(Mercado_Receita!$T$2:$T$475,"44743A4Energia convencionalNão se aplicaNão se aplicaNão se aplicaNão se aplicaNão se aplica",Mercado_Receita!$N$2:$N$475)</f>
        <v>0</v>
      </c>
      <c r="U4" s="13">
        <f t="shared" si="0"/>
        <v>0</v>
      </c>
      <c r="V4" s="13"/>
      <c r="W4" s="13"/>
    </row>
    <row r="5" spans="1:30" ht="11.25" customHeight="1" x14ac:dyDescent="0.25">
      <c r="A5" s="123" t="s">
        <v>22</v>
      </c>
      <c r="B5" s="123" t="s">
        <v>74</v>
      </c>
      <c r="C5" s="123" t="s">
        <v>24</v>
      </c>
      <c r="D5" s="123" t="s">
        <v>24</v>
      </c>
      <c r="E5" s="123" t="s">
        <v>25</v>
      </c>
      <c r="F5" s="123" t="s">
        <v>25</v>
      </c>
      <c r="G5" s="13" t="s">
        <v>76</v>
      </c>
      <c r="H5" s="13" t="s">
        <v>75</v>
      </c>
      <c r="I5" s="13">
        <f>SUMIF(Mercado_Receita!$T$2:$T$475,"44409B1Energia horáriaResidencialResidencialNão se aplicaNão se aplicaPonta",Mercado_Receita!$N$2:$N$475)</f>
        <v>1.7999999999999999E-2</v>
      </c>
      <c r="J5" s="13">
        <f>SUMIF(Mercado_Receita!$T$2:$T$475,"44440B1Energia horáriaResidencialResidencialNão se aplicaNão se aplicaPonta",Mercado_Receita!$N$2:$N$475)</f>
        <v>1.6E-2</v>
      </c>
      <c r="K5" s="13">
        <f>SUMIF(Mercado_Receita!$T$2:$T$475,"44470B1Energia horáriaResidencialResidencialNão se aplicaNão se aplicaPonta",Mercado_Receita!$N$2:$N$475)</f>
        <v>1.7999999999999999E-2</v>
      </c>
      <c r="L5" s="13">
        <f>SUMIF(Mercado_Receita!$T$2:$T$475,"44501B1Energia horáriaResidencialResidencialNão se aplicaNão se aplicaPonta",Mercado_Receita!$N$2:$N$475)</f>
        <v>1.4E-2</v>
      </c>
      <c r="M5" s="13">
        <f>SUMIF(Mercado_Receita!$T$2:$T$475,"44531B1Energia horáriaResidencialResidencialNão se aplicaNão se aplicaPonta",Mercado_Receita!$N$2:$N$475)</f>
        <v>1.7000000000000001E-2</v>
      </c>
      <c r="N5" s="13">
        <f>SUMIF(Mercado_Receita!$T$2:$T$475,"44562B1Energia horáriaResidencialResidencialNão se aplicaNão se aplicaPonta",Mercado_Receita!$N$2:$N$475)</f>
        <v>2.5999999999999999E-2</v>
      </c>
      <c r="O5" s="13">
        <f>SUMIF(Mercado_Receita!$T$2:$T$475,"44593B1Energia horáriaResidencialResidencialNão se aplicaNão se aplicaPonta",Mercado_Receita!$N$2:$N$475)</f>
        <v>0.01</v>
      </c>
      <c r="P5" s="13">
        <f>SUMIF(Mercado_Receita!$T$2:$T$475,"44621B1Energia horáriaResidencialResidencialNão se aplicaNão se aplicaPonta",Mercado_Receita!$N$2:$N$475)</f>
        <v>0.01</v>
      </c>
      <c r="Q5" s="13">
        <f>SUMIF(Mercado_Receita!$T$2:$T$475,"44652B1Energia horáriaResidencialResidencialNão se aplicaNão se aplicaPonta",Mercado_Receita!$N$2:$N$475)</f>
        <v>0.01</v>
      </c>
      <c r="R5" s="13">
        <f>SUMIF(Mercado_Receita!$T$2:$T$475,"44682B1Energia horáriaResidencialResidencialNão se aplicaNão se aplicaPonta",Mercado_Receita!$N$2:$N$475)</f>
        <v>8.9999999999999993E-3</v>
      </c>
      <c r="S5" s="13">
        <f>SUMIF(Mercado_Receita!$T$2:$T$475,"44713B1Energia horáriaResidencialResidencialNão se aplicaNão se aplicaPonta",Mercado_Receita!$N$2:$N$475)</f>
        <v>1.0999999999999999E-2</v>
      </c>
      <c r="T5" s="13">
        <f>SUMIF(Mercado_Receita!$T$2:$T$475,"44743B1Energia horáriaResidencialResidencialNão se aplicaNão se aplicaPonta",Mercado_Receita!$N$2:$N$475)</f>
        <v>1.0999999999999999E-2</v>
      </c>
      <c r="U5" s="13">
        <f t="shared" si="0"/>
        <v>0.17000000000000004</v>
      </c>
      <c r="V5" s="13"/>
      <c r="W5" s="13"/>
    </row>
    <row r="6" spans="1:30" ht="11.25" customHeight="1" x14ac:dyDescent="0.25">
      <c r="A6" s="124"/>
      <c r="B6" s="124"/>
      <c r="C6" s="124"/>
      <c r="D6" s="124"/>
      <c r="E6" s="124"/>
      <c r="F6" s="124"/>
      <c r="G6" s="13" t="s">
        <v>88</v>
      </c>
      <c r="H6" s="13" t="s">
        <v>75</v>
      </c>
      <c r="I6" s="13">
        <f>SUMIF(Mercado_Receita!$T$2:$T$475,"44409B1Energia horáriaResidencialResidencialNão se aplicaNão se aplicaIntermediário",Mercado_Receita!$N$2:$N$475)</f>
        <v>1.0999999999999999E-2</v>
      </c>
      <c r="J6" s="13">
        <f>SUMIF(Mercado_Receita!$T$2:$T$475,"44440B1Energia horáriaResidencialResidencialNão se aplicaNão se aplicaIntermediário",Mercado_Receita!$N$2:$N$475)</f>
        <v>8.9999999999999993E-3</v>
      </c>
      <c r="K6" s="13">
        <f>SUMIF(Mercado_Receita!$T$2:$T$475,"44470B1Energia horáriaResidencialResidencialNão se aplicaNão se aplicaIntermediário",Mercado_Receita!$N$2:$N$475)</f>
        <v>1.6E-2</v>
      </c>
      <c r="L6" s="13">
        <f>SUMIF(Mercado_Receita!$T$2:$T$475,"44501B1Energia horáriaResidencialResidencialNão se aplicaNão se aplicaIntermediário",Mercado_Receita!$N$2:$N$475)</f>
        <v>8.9999999999999993E-3</v>
      </c>
      <c r="M6" s="13">
        <f>SUMIF(Mercado_Receita!$T$2:$T$475,"44531B1Energia horáriaResidencialResidencialNão se aplicaNão se aplicaIntermediário",Mercado_Receita!$N$2:$N$475)</f>
        <v>1.6E-2</v>
      </c>
      <c r="N6" s="13">
        <f>SUMIF(Mercado_Receita!$T$2:$T$475,"44562B1Energia horáriaResidencialResidencialNão se aplicaNão se aplicaIntermediário",Mercado_Receita!$N$2:$N$475)</f>
        <v>0.02</v>
      </c>
      <c r="O6" s="13">
        <f>SUMIF(Mercado_Receita!$T$2:$T$475,"44593B1Energia horáriaResidencialResidencialNão se aplicaNão se aplicaIntermediário",Mercado_Receita!$N$2:$N$475)</f>
        <v>7.0000000000000001E-3</v>
      </c>
      <c r="P6" s="13">
        <f>SUMIF(Mercado_Receita!$T$2:$T$475,"44621B1Energia horáriaResidencialResidencialNão se aplicaNão se aplicaIntermediário",Mercado_Receita!$N$2:$N$475)</f>
        <v>1.2999999999999999E-2</v>
      </c>
      <c r="Q6" s="13">
        <f>SUMIF(Mercado_Receita!$T$2:$T$475,"44652B1Energia horáriaResidencialResidencialNão se aplicaNão se aplicaIntermediário",Mercado_Receita!$N$2:$N$475)</f>
        <v>8.0000000000000002E-3</v>
      </c>
      <c r="R6" s="13">
        <f>SUMIF(Mercado_Receita!$T$2:$T$475,"44682B1Energia horáriaResidencialResidencialNão se aplicaNão se aplicaIntermediário",Mercado_Receita!$N$2:$N$475)</f>
        <v>5.0000000000000001E-3</v>
      </c>
      <c r="S6" s="13">
        <f>SUMIF(Mercado_Receita!$T$2:$T$475,"44713B1Energia horáriaResidencialResidencialNão se aplicaNão se aplicaIntermediário",Mercado_Receita!$N$2:$N$475)</f>
        <v>8.0000000000000002E-3</v>
      </c>
      <c r="T6" s="13">
        <f>SUMIF(Mercado_Receita!$T$2:$T$475,"44743B1Energia horáriaResidencialResidencialNão se aplicaNão se aplicaIntermediário",Mercado_Receita!$N$2:$N$475)</f>
        <v>8.0000000000000002E-3</v>
      </c>
      <c r="U6" s="13">
        <f t="shared" si="0"/>
        <v>0.13000000000000003</v>
      </c>
      <c r="V6" s="13"/>
      <c r="W6" s="13"/>
    </row>
    <row r="7" spans="1:30" ht="11.25" customHeight="1" x14ac:dyDescent="0.25">
      <c r="A7" s="124"/>
      <c r="B7" s="124"/>
      <c r="C7" s="124"/>
      <c r="D7" s="124"/>
      <c r="E7" s="124"/>
      <c r="F7" s="124"/>
      <c r="G7" s="13" t="s">
        <v>77</v>
      </c>
      <c r="H7" s="13" t="s">
        <v>75</v>
      </c>
      <c r="I7" s="13">
        <f>SUMIF(Mercado_Receita!$T$2:$T$475,"44409B1Energia horáriaResidencialResidencialNão se aplicaNão se aplicaFora ponta",Mercado_Receita!$N$2:$N$475)</f>
        <v>0.20899999999999999</v>
      </c>
      <c r="J7" s="13">
        <f>SUMIF(Mercado_Receita!$T$2:$T$475,"44440B1Energia horáriaResidencialResidencialNão se aplicaNão se aplicaFora ponta",Mercado_Receita!$N$2:$N$475)</f>
        <v>0.16200000000000001</v>
      </c>
      <c r="K7" s="13">
        <f>SUMIF(Mercado_Receita!$T$2:$T$475,"44470B1Energia horáriaResidencialResidencialNão se aplicaNão se aplicaFora ponta",Mercado_Receita!$N$2:$N$475)</f>
        <v>0.20200000000000001</v>
      </c>
      <c r="L7" s="13">
        <f>SUMIF(Mercado_Receita!$T$2:$T$475,"44501B1Energia horáriaResidencialResidencialNão se aplicaNão se aplicaFora ponta",Mercado_Receita!$N$2:$N$475)</f>
        <v>0.182</v>
      </c>
      <c r="M7" s="13">
        <f>SUMIF(Mercado_Receita!$T$2:$T$475,"44531B1Energia horáriaResidencialResidencialNão se aplicaNão se aplicaFora ponta",Mercado_Receita!$N$2:$N$475)</f>
        <v>0.28599999999999998</v>
      </c>
      <c r="N7" s="13">
        <f>SUMIF(Mercado_Receita!$T$2:$T$475,"44562B1Energia horáriaResidencialResidencialNão se aplicaNão se aplicaFora ponta",Mercado_Receita!$N$2:$N$475)</f>
        <v>0.47099999999999997</v>
      </c>
      <c r="O7" s="13">
        <f>SUMIF(Mercado_Receita!$T$2:$T$475,"44593B1Energia horáriaResidencialResidencialNão se aplicaNão se aplicaFora ponta",Mercado_Receita!$N$2:$N$475)</f>
        <v>0.20799999999999999</v>
      </c>
      <c r="P7" s="13">
        <f>SUMIF(Mercado_Receita!$T$2:$T$475,"44621B1Energia horáriaResidencialResidencialNão se aplicaNão se aplicaFora ponta",Mercado_Receita!$N$2:$N$475)</f>
        <v>0.36099999999999999</v>
      </c>
      <c r="Q7" s="13">
        <f>SUMIF(Mercado_Receita!$T$2:$T$475,"44652B1Energia horáriaResidencialResidencialNão se aplicaNão se aplicaFora ponta",Mercado_Receita!$N$2:$N$475)</f>
        <v>0.12</v>
      </c>
      <c r="R7" s="13">
        <f>SUMIF(Mercado_Receita!$T$2:$T$475,"44682B1Energia horáriaResidencialResidencialNão se aplicaNão se aplicaFora ponta",Mercado_Receita!$N$2:$N$475)</f>
        <v>7.2999999999999995E-2</v>
      </c>
      <c r="S7" s="13">
        <f>SUMIF(Mercado_Receita!$T$2:$T$475,"44713B1Energia horáriaResidencialResidencialNão se aplicaNão se aplicaFora ponta",Mercado_Receita!$N$2:$N$475)</f>
        <v>0.09</v>
      </c>
      <c r="T7" s="13">
        <f>SUMIF(Mercado_Receita!$T$2:$T$475,"44743B1Energia horáriaResidencialResidencialNão se aplicaNão se aplicaFora ponta",Mercado_Receita!$N$2:$N$475)</f>
        <v>0.09</v>
      </c>
      <c r="U7" s="13">
        <f t="shared" si="0"/>
        <v>2.4539999999999997</v>
      </c>
      <c r="V7" s="13"/>
      <c r="W7" s="13"/>
    </row>
    <row r="8" spans="1:30" ht="11.25" customHeight="1" x14ac:dyDescent="0.25">
      <c r="A8" s="124"/>
      <c r="B8" s="123" t="s">
        <v>78</v>
      </c>
      <c r="C8" s="123" t="s">
        <v>24</v>
      </c>
      <c r="D8" s="12" t="s">
        <v>24</v>
      </c>
      <c r="E8" s="12" t="s">
        <v>25</v>
      </c>
      <c r="F8" s="12" t="s">
        <v>25</v>
      </c>
      <c r="G8" s="13" t="s">
        <v>79</v>
      </c>
      <c r="H8" s="13" t="s">
        <v>75</v>
      </c>
      <c r="I8" s="13">
        <f>SUMIF(Mercado_Receita!$T$2:$T$475,"44409B1Energia convencionalResidencialResidencialNão se aplicaNão se aplicaNão se aplica",Mercado_Receita!$N$2:$N$475)</f>
        <v>863.58299999999997</v>
      </c>
      <c r="J8" s="13">
        <f>SUMIF(Mercado_Receita!$T$2:$T$475,"44440B1Energia convencionalResidencialResidencialNão se aplicaNão se aplicaNão se aplica",Mercado_Receita!$N$2:$N$475)</f>
        <v>912.76200000000006</v>
      </c>
      <c r="K8" s="13">
        <f>SUMIF(Mercado_Receita!$T$2:$T$475,"44470B1Energia convencionalResidencialResidencialNão se aplicaNão se aplicaNão se aplica",Mercado_Receita!$N$2:$N$475)</f>
        <v>814.00700000000006</v>
      </c>
      <c r="L8" s="13">
        <f>SUMIF(Mercado_Receita!$T$2:$T$475,"44501B1Energia convencionalResidencialResidencialNão se aplicaNão se aplicaNão se aplica",Mercado_Receita!$N$2:$N$475)</f>
        <v>887.0630000000001</v>
      </c>
      <c r="M8" s="13">
        <f>SUMIF(Mercado_Receita!$T$2:$T$475,"44531B1Energia convencionalResidencialResidencialNão se aplicaNão se aplicaNão se aplica",Mercado_Receita!$N$2:$N$475)</f>
        <v>1000.0519999999999</v>
      </c>
      <c r="N8" s="13">
        <f>SUMIF(Mercado_Receita!$T$2:$T$475,"44562B1Energia convencionalResidencialResidencialNão se aplicaNão se aplicaNão se aplica",Mercado_Receita!$N$2:$N$475)</f>
        <v>972.53599999999994</v>
      </c>
      <c r="O8" s="13">
        <f>SUMIF(Mercado_Receita!$T$2:$T$475,"44593B1Energia convencionalResidencialResidencialNão se aplicaNão se aplicaNão se aplica",Mercado_Receita!$N$2:$N$475)</f>
        <v>860.76300000000003</v>
      </c>
      <c r="P8" s="13">
        <f>SUMIF(Mercado_Receita!$T$2:$T$475,"44621B1Energia convencionalResidencialResidencialNão se aplicaNão se aplicaNão se aplica",Mercado_Receita!$N$2:$N$475)</f>
        <v>941.65800000000002</v>
      </c>
      <c r="Q8" s="13">
        <f>SUMIF(Mercado_Receita!$T$2:$T$475,"44652B1Energia convencionalResidencialResidencialNão se aplicaNão se aplicaNão se aplica",Mercado_Receita!$N$2:$N$475)</f>
        <v>829.50900000000001</v>
      </c>
      <c r="R8" s="13">
        <f>SUMIF(Mercado_Receita!$T$2:$T$475,"44682B1Energia convencionalResidencialResidencialNão se aplicaNão se aplicaNão se aplica",Mercado_Receita!$N$2:$N$475)</f>
        <v>804.31200000000001</v>
      </c>
      <c r="S8" s="13">
        <f>SUMIF(Mercado_Receita!$T$2:$T$475,"44713B1Energia convencionalResidencialResidencialNão se aplicaNão se aplicaNão se aplica",Mercado_Receita!$N$2:$N$475)</f>
        <v>844.36800000000005</v>
      </c>
      <c r="T8" s="13">
        <f>SUMIF(Mercado_Receita!$T$2:$T$475,"44743B1Energia convencionalResidencialResidencialNão se aplicaNão se aplicaNão se aplica",Mercado_Receita!$N$2:$N$475)</f>
        <v>844.36800000000005</v>
      </c>
      <c r="U8" s="13">
        <f t="shared" si="0"/>
        <v>10574.981000000002</v>
      </c>
      <c r="V8" s="13"/>
      <c r="W8" s="13"/>
    </row>
    <row r="9" spans="1:30" ht="11.25" customHeight="1" x14ac:dyDescent="0.25">
      <c r="A9" s="124"/>
      <c r="B9" s="124"/>
      <c r="C9" s="124"/>
      <c r="D9" s="12" t="s">
        <v>28</v>
      </c>
      <c r="E9" s="12" t="s">
        <v>25</v>
      </c>
      <c r="F9" s="12" t="s">
        <v>25</v>
      </c>
      <c r="G9" s="13" t="s">
        <v>79</v>
      </c>
      <c r="H9" s="13" t="s">
        <v>75</v>
      </c>
      <c r="I9" s="13">
        <f>SUMIF(Mercado_Receita!$T$2:$T$475,"44409B1Energia convencionalResidencialResidencial baixa renda – faixa 01Não se aplicaNão se aplicaNão se aplica",Mercado_Receita!$N$2:$N$475)</f>
        <v>17.309999999999999</v>
      </c>
      <c r="J9" s="13">
        <f>SUMIF(Mercado_Receita!$T$2:$T$475,"44440B1Energia convencionalResidencialResidencial baixa renda – faixa 01Não se aplicaNão se aplicaNão se aplica",Mercado_Receita!$N$2:$N$475)</f>
        <v>16.2</v>
      </c>
      <c r="K9" s="13">
        <f>SUMIF(Mercado_Receita!$T$2:$T$475,"44470B1Energia convencionalResidencialResidencial baixa renda – faixa 01Não se aplicaNão se aplicaNão se aplica",Mercado_Receita!$N$2:$N$475)</f>
        <v>15.93</v>
      </c>
      <c r="L9" s="13">
        <f>SUMIF(Mercado_Receita!$T$2:$T$475,"44501B1Energia convencionalResidencialResidencial baixa renda – faixa 01Não se aplicaNão se aplicaNão se aplica",Mercado_Receita!$N$2:$N$475)</f>
        <v>16.260000000000002</v>
      </c>
      <c r="M9" s="13">
        <f>SUMIF(Mercado_Receita!$T$2:$T$475,"44531B1Energia convencionalResidencialResidencial baixa renda – faixa 01Não se aplicaNão se aplicaNão se aplica",Mercado_Receita!$N$2:$N$475)</f>
        <v>16.62</v>
      </c>
      <c r="N9" s="13">
        <f>SUMIF(Mercado_Receita!$T$2:$T$475,"44562B1Energia convencionalResidencialResidencial baixa renda – faixa 01Não se aplicaNão se aplicaNão se aplica",Mercado_Receita!$N$2:$N$475)</f>
        <v>16.739999999999998</v>
      </c>
      <c r="O9" s="13">
        <f>SUMIF(Mercado_Receita!$T$2:$T$475,"44593B1Energia convencionalResidencialResidencial baixa renda – faixa 01Não se aplicaNão se aplicaNão se aplica",Mercado_Receita!$N$2:$N$475)</f>
        <v>16.940000000000001</v>
      </c>
      <c r="P9" s="13">
        <f>SUMIF(Mercado_Receita!$T$2:$T$475,"44621B1Energia convencionalResidencialResidencial baixa renda – faixa 01Não se aplicaNão se aplicaNão se aplica",Mercado_Receita!$N$2:$N$475)</f>
        <v>17.22</v>
      </c>
      <c r="Q9" s="13">
        <f>SUMIF(Mercado_Receita!$T$2:$T$475,"44652B1Energia convencionalResidencialResidencial baixa renda – faixa 01Não se aplicaNão se aplicaNão se aplica",Mercado_Receita!$N$2:$N$475)</f>
        <v>17.399999999999999</v>
      </c>
      <c r="R9" s="13">
        <f>SUMIF(Mercado_Receita!$T$2:$T$475,"44682B1Energia convencionalResidencialResidencial baixa renda – faixa 01Não se aplicaNão se aplicaNão se aplica",Mercado_Receita!$N$2:$N$475)</f>
        <v>17.7</v>
      </c>
      <c r="S9" s="13">
        <f>SUMIF(Mercado_Receita!$T$2:$T$475,"44713B1Energia convencionalResidencialResidencial baixa renda – faixa 01Não se aplicaNão se aplicaNão se aplica",Mercado_Receita!$N$2:$N$475)</f>
        <v>18.149999999999999</v>
      </c>
      <c r="T9" s="13">
        <f>SUMIF(Mercado_Receita!$T$2:$T$475,"44743B1Energia convencionalResidencialResidencial baixa renda – faixa 01Não se aplicaNão se aplicaNão se aplica",Mercado_Receita!$N$2:$N$475)</f>
        <v>18.149999999999999</v>
      </c>
      <c r="U9" s="13">
        <f t="shared" si="0"/>
        <v>204.62</v>
      </c>
      <c r="V9" s="13"/>
      <c r="W9" s="13"/>
    </row>
    <row r="10" spans="1:30" ht="11.25" customHeight="1" x14ac:dyDescent="0.25">
      <c r="A10" s="124"/>
      <c r="B10" s="124"/>
      <c r="C10" s="124"/>
      <c r="D10" s="12" t="s">
        <v>29</v>
      </c>
      <c r="E10" s="12" t="s">
        <v>25</v>
      </c>
      <c r="F10" s="12" t="s">
        <v>25</v>
      </c>
      <c r="G10" s="13" t="s">
        <v>79</v>
      </c>
      <c r="H10" s="13" t="s">
        <v>75</v>
      </c>
      <c r="I10" s="13">
        <f>SUMIF(Mercado_Receita!$T$2:$T$475,"44409B1Energia convencionalResidencialResidencial baixa renda – faixa 02Não se aplicaNão se aplicaNão se aplica",Mercado_Receita!$N$2:$N$475)</f>
        <v>30.582999999999998</v>
      </c>
      <c r="J10" s="13">
        <f>SUMIF(Mercado_Receita!$T$2:$T$475,"44440B1Energia convencionalResidencialResidencial baixa renda – faixa 02Não se aplicaNão se aplicaNão se aplica",Mercado_Receita!$N$2:$N$475)</f>
        <v>30.933</v>
      </c>
      <c r="K10" s="13">
        <f>SUMIF(Mercado_Receita!$T$2:$T$475,"44470B1Energia convencionalResidencialResidencial baixa renda – faixa 02Não se aplicaNão se aplicaNão se aplica",Mercado_Receita!$N$2:$N$475)</f>
        <v>28.279</v>
      </c>
      <c r="L10" s="13">
        <f>SUMIF(Mercado_Receita!$T$2:$T$475,"44501B1Energia convencionalResidencialResidencial baixa renda – faixa 02Não se aplicaNão se aplicaNão se aplica",Mercado_Receita!$N$2:$N$475)</f>
        <v>31.254000000000001</v>
      </c>
      <c r="M10" s="13">
        <f>SUMIF(Mercado_Receita!$T$2:$T$475,"44531B1Energia convencionalResidencialResidencial baixa renda – faixa 02Não se aplicaNão se aplicaNão se aplica",Mercado_Receita!$N$2:$N$475)</f>
        <v>32.868000000000002</v>
      </c>
      <c r="N10" s="13">
        <f>SUMIF(Mercado_Receita!$T$2:$T$475,"44562B1Energia convencionalResidencialResidencial baixa renda – faixa 02Não se aplicaNão se aplicaNão se aplica",Mercado_Receita!$N$2:$N$475)</f>
        <v>32.591999999999999</v>
      </c>
      <c r="O10" s="13">
        <f>SUMIF(Mercado_Receita!$T$2:$T$475,"44593B1Energia convencionalResidencialResidencial baixa renda – faixa 02Não se aplicaNão se aplicaNão se aplica",Mercado_Receita!$N$2:$N$475)</f>
        <v>31.766999999999999</v>
      </c>
      <c r="P10" s="13">
        <f>SUMIF(Mercado_Receita!$T$2:$T$475,"44621B1Energia convencionalResidencialResidencial baixa renda – faixa 02Não se aplicaNão se aplicaNão se aplica",Mercado_Receita!$N$2:$N$475)</f>
        <v>33.64</v>
      </c>
      <c r="Q10" s="13">
        <f>SUMIF(Mercado_Receita!$T$2:$T$475,"44652B1Energia convencionalResidencialResidencial baixa renda – faixa 02Não se aplicaNão se aplicaNão se aplica",Mercado_Receita!$N$2:$N$475)</f>
        <v>31.475999999999999</v>
      </c>
      <c r="R10" s="13">
        <f>SUMIF(Mercado_Receita!$T$2:$T$475,"44682B1Energia convencionalResidencialResidencial baixa renda – faixa 02Não se aplicaNão se aplicaNão se aplica",Mercado_Receita!$N$2:$N$475)</f>
        <v>30.445</v>
      </c>
      <c r="S10" s="13">
        <f>SUMIF(Mercado_Receita!$T$2:$T$475,"44713B1Energia convencionalResidencialResidencial baixa renda – faixa 02Não se aplicaNão se aplicaNão se aplica",Mercado_Receita!$N$2:$N$475)</f>
        <v>31.358000000000001</v>
      </c>
      <c r="T10" s="13">
        <f>SUMIF(Mercado_Receita!$T$2:$T$475,"44743B1Energia convencionalResidencialResidencial baixa renda – faixa 02Não se aplicaNão se aplicaNão se aplica",Mercado_Receita!$N$2:$N$475)</f>
        <v>31.358000000000001</v>
      </c>
      <c r="U10" s="13">
        <f t="shared" si="0"/>
        <v>376.553</v>
      </c>
      <c r="V10" s="13"/>
      <c r="W10" s="13"/>
    </row>
    <row r="11" spans="1:30" ht="11.25" customHeight="1" x14ac:dyDescent="0.25">
      <c r="A11" s="124"/>
      <c r="B11" s="124"/>
      <c r="C11" s="124"/>
      <c r="D11" s="12" t="s">
        <v>30</v>
      </c>
      <c r="E11" s="12" t="s">
        <v>25</v>
      </c>
      <c r="F11" s="12" t="s">
        <v>25</v>
      </c>
      <c r="G11" s="13" t="s">
        <v>79</v>
      </c>
      <c r="H11" s="13" t="s">
        <v>75</v>
      </c>
      <c r="I11" s="13">
        <f>SUMIF(Mercado_Receita!$T$2:$T$475,"44409B1Energia convencionalResidencialResidencial baixa renda – faixa 03Não se aplicaNão se aplicaNão se aplica",Mercado_Receita!$N$2:$N$475)</f>
        <v>13.061</v>
      </c>
      <c r="J11" s="13">
        <f>SUMIF(Mercado_Receita!$T$2:$T$475,"44440B1Energia convencionalResidencialResidencial baixa renda – faixa 03Não se aplicaNão se aplicaNão se aplica",Mercado_Receita!$N$2:$N$475)</f>
        <v>15.353999999999999</v>
      </c>
      <c r="K11" s="13">
        <f>SUMIF(Mercado_Receita!$T$2:$T$475,"44470B1Energia convencionalResidencialResidencial baixa renda – faixa 03Não se aplicaNão se aplicaNão se aplica",Mercado_Receita!$N$2:$N$475)</f>
        <v>10.358000000000001</v>
      </c>
      <c r="L11" s="13">
        <f>SUMIF(Mercado_Receita!$T$2:$T$475,"44501B1Energia convencionalResidencialResidencial baixa renda – faixa 03Não se aplicaNão se aplicaNão se aplica",Mercado_Receita!$N$2:$N$475)</f>
        <v>14.414</v>
      </c>
      <c r="M11" s="13">
        <f>SUMIF(Mercado_Receita!$T$2:$T$475,"44531B1Energia convencionalResidencialResidencial baixa renda – faixa 03Não se aplicaNão se aplicaNão se aplica",Mercado_Receita!$N$2:$N$475)</f>
        <v>18.116</v>
      </c>
      <c r="N11" s="13">
        <f>SUMIF(Mercado_Receita!$T$2:$T$475,"44562B1Energia convencionalResidencialResidencial baixa renda – faixa 03Não se aplicaNão se aplicaNão se aplica",Mercado_Receita!$N$2:$N$475)</f>
        <v>16.149999999999999</v>
      </c>
      <c r="O11" s="13">
        <f>SUMIF(Mercado_Receita!$T$2:$T$475,"44593B1Energia convencionalResidencialResidencial baixa renda – faixa 03Não se aplicaNão se aplicaNão se aplica",Mercado_Receita!$N$2:$N$475)</f>
        <v>13.394</v>
      </c>
      <c r="P11" s="13">
        <f>SUMIF(Mercado_Receita!$T$2:$T$475,"44621B1Energia convencionalResidencialResidencial baixa renda – faixa 03Não se aplicaNão se aplicaNão se aplica",Mercado_Receita!$N$2:$N$475)</f>
        <v>16.189</v>
      </c>
      <c r="Q11" s="13">
        <f>SUMIF(Mercado_Receita!$T$2:$T$475,"44652B1Energia convencionalResidencialResidencial baixa renda – faixa 03Não se aplicaNão se aplicaNão se aplica",Mercado_Receita!$N$2:$N$475)</f>
        <v>12.414999999999999</v>
      </c>
      <c r="R11" s="13">
        <f>SUMIF(Mercado_Receita!$T$2:$T$475,"44682B1Energia convencionalResidencialResidencial baixa renda – faixa 03Não se aplicaNão se aplicaNão se aplica",Mercado_Receita!$N$2:$N$475)</f>
        <v>10.862</v>
      </c>
      <c r="S11" s="13">
        <f>SUMIF(Mercado_Receita!$T$2:$T$475,"44713B1Energia convencionalResidencialResidencial baixa renda – faixa 03Não se aplicaNão se aplicaNão se aplica",Mercado_Receita!$N$2:$N$475)</f>
        <v>12.992000000000001</v>
      </c>
      <c r="T11" s="13">
        <f>SUMIF(Mercado_Receita!$T$2:$T$475,"44743B1Energia convencionalResidencialResidencial baixa renda – faixa 03Não se aplicaNão se aplicaNão se aplica",Mercado_Receita!$N$2:$N$475)</f>
        <v>12.992000000000001</v>
      </c>
      <c r="U11" s="13">
        <f t="shared" si="0"/>
        <v>166.29699999999997</v>
      </c>
      <c r="V11" s="13"/>
      <c r="W11" s="13"/>
    </row>
    <row r="12" spans="1:30" ht="11.25" customHeight="1" x14ac:dyDescent="0.25">
      <c r="A12" s="124"/>
      <c r="B12" s="124"/>
      <c r="C12" s="124"/>
      <c r="D12" s="12" t="s">
        <v>31</v>
      </c>
      <c r="E12" s="12" t="s">
        <v>25</v>
      </c>
      <c r="F12" s="12" t="s">
        <v>25</v>
      </c>
      <c r="G12" s="13" t="s">
        <v>79</v>
      </c>
      <c r="H12" s="13" t="s">
        <v>75</v>
      </c>
      <c r="I12" s="13">
        <f>SUMIF(Mercado_Receita!$T$2:$T$475,"44409B1Energia convencionalResidencialResidencial baixa renda – faixa 04Não se aplicaNão se aplicaNão se aplica",Mercado_Receita!$N$2:$N$475)</f>
        <v>0.874</v>
      </c>
      <c r="J12" s="13">
        <f>SUMIF(Mercado_Receita!$T$2:$T$475,"44440B1Energia convencionalResidencialResidencial baixa renda – faixa 04Não se aplicaNão se aplicaNão se aplica",Mercado_Receita!$N$2:$N$475)</f>
        <v>1.5940000000000001</v>
      </c>
      <c r="K12" s="13">
        <f>SUMIF(Mercado_Receita!$T$2:$T$475,"44470B1Energia convencionalResidencialResidencial baixa renda – faixa 04Não se aplicaNão se aplicaNão se aplica",Mercado_Receita!$N$2:$N$475)</f>
        <v>0.61299999999999999</v>
      </c>
      <c r="L12" s="13">
        <f>SUMIF(Mercado_Receita!$T$2:$T$475,"44501B1Energia convencionalResidencialResidencial baixa renda – faixa 04Não se aplicaNão se aplicaNão se aplica",Mercado_Receita!$N$2:$N$475)</f>
        <v>1.5680000000000001</v>
      </c>
      <c r="M12" s="13">
        <f>SUMIF(Mercado_Receita!$T$2:$T$475,"44531B1Energia convencionalResidencialResidencial baixa renda – faixa 04Não se aplicaNão se aplicaNão se aplica",Mercado_Receita!$N$2:$N$475)</f>
        <v>2.3109999999999999</v>
      </c>
      <c r="N12" s="13">
        <f>SUMIF(Mercado_Receita!$T$2:$T$475,"44562B1Energia convencionalResidencialResidencial baixa renda – faixa 04Não se aplicaNão se aplicaNão se aplica",Mercado_Receita!$N$2:$N$475)</f>
        <v>1.925</v>
      </c>
      <c r="O12" s="13">
        <f>SUMIF(Mercado_Receita!$T$2:$T$475,"44593B1Energia convencionalResidencialResidencial baixa renda – faixa 04Não se aplicaNão se aplicaNão se aplica",Mercado_Receita!$N$2:$N$475)</f>
        <v>1.6319999999999999</v>
      </c>
      <c r="P12" s="13">
        <f>SUMIF(Mercado_Receita!$T$2:$T$475,"44621B1Energia convencionalResidencialResidencial baixa renda – faixa 04Não se aplicaNão se aplicaNão se aplica",Mercado_Receita!$N$2:$N$475)</f>
        <v>2.0339999999999998</v>
      </c>
      <c r="Q12" s="13">
        <f>SUMIF(Mercado_Receita!$T$2:$T$475,"44652B1Energia convencionalResidencialResidencial baixa renda – faixa 04Não se aplicaNão se aplicaNão se aplica",Mercado_Receita!$N$2:$N$475)</f>
        <v>0.96599999999999997</v>
      </c>
      <c r="R12" s="13">
        <f>SUMIF(Mercado_Receita!$T$2:$T$475,"44682B1Energia convencionalResidencialResidencial baixa renda – faixa 04Não se aplicaNão se aplicaNão se aplica",Mercado_Receita!$N$2:$N$475)</f>
        <v>1.1439999999999999</v>
      </c>
      <c r="S12" s="13">
        <f>SUMIF(Mercado_Receita!$T$2:$T$475,"44713B1Energia convencionalResidencialResidencial baixa renda – faixa 04Não se aplicaNão se aplicaNão se aplica",Mercado_Receita!$N$2:$N$475)</f>
        <v>1.573</v>
      </c>
      <c r="T12" s="13">
        <f>SUMIF(Mercado_Receita!$T$2:$T$475,"44743B1Energia convencionalResidencialResidencial baixa renda – faixa 04Não se aplicaNão se aplicaNão se aplica",Mercado_Receita!$N$2:$N$475)</f>
        <v>1.573</v>
      </c>
      <c r="U12" s="13">
        <f t="shared" si="0"/>
        <v>17.806999999999999</v>
      </c>
      <c r="V12" s="13"/>
      <c r="W12" s="13"/>
    </row>
    <row r="13" spans="1:30" ht="11.25" customHeight="1" x14ac:dyDescent="0.25">
      <c r="A13" s="124"/>
      <c r="B13" s="123" t="s">
        <v>89</v>
      </c>
      <c r="C13" s="123" t="s">
        <v>24</v>
      </c>
      <c r="D13" s="12" t="s">
        <v>24</v>
      </c>
      <c r="E13" s="12" t="s">
        <v>25</v>
      </c>
      <c r="F13" s="12" t="s">
        <v>25</v>
      </c>
      <c r="G13" s="13" t="s">
        <v>79</v>
      </c>
      <c r="H13" s="13" t="s">
        <v>75</v>
      </c>
      <c r="I13" s="13">
        <f>SUMIF(Mercado_Receita!$T$2:$T$475,"44409B1Energia convencional pré-pagamentoResidencialResidencialNão se aplicaNão se aplicaNão se aplica",Mercado_Receita!$N$2:$N$475)</f>
        <v>0</v>
      </c>
      <c r="J13" s="13">
        <f>SUMIF(Mercado_Receita!$T$2:$T$475,"44440B1Energia convencional pré-pagamentoResidencialResidencialNão se aplicaNão se aplicaNão se aplica",Mercado_Receita!$N$2:$N$475)</f>
        <v>0</v>
      </c>
      <c r="K13" s="13">
        <f>SUMIF(Mercado_Receita!$T$2:$T$475,"44470B1Energia convencional pré-pagamentoResidencialResidencialNão se aplicaNão se aplicaNão se aplica",Mercado_Receita!$N$2:$N$475)</f>
        <v>0</v>
      </c>
      <c r="L13" s="13">
        <f>SUMIF(Mercado_Receita!$T$2:$T$475,"44501B1Energia convencional pré-pagamentoResidencialResidencialNão se aplicaNão se aplicaNão se aplica",Mercado_Receita!$N$2:$N$475)</f>
        <v>0</v>
      </c>
      <c r="M13" s="13">
        <f>SUMIF(Mercado_Receita!$T$2:$T$475,"44531B1Energia convencional pré-pagamentoResidencialResidencialNão se aplicaNão se aplicaNão se aplica",Mercado_Receita!$N$2:$N$475)</f>
        <v>0</v>
      </c>
      <c r="N13" s="13">
        <f>SUMIF(Mercado_Receita!$T$2:$T$475,"44562B1Energia convencional pré-pagamentoResidencialResidencialNão se aplicaNão se aplicaNão se aplica",Mercado_Receita!$N$2:$N$475)</f>
        <v>0</v>
      </c>
      <c r="O13" s="13">
        <f>SUMIF(Mercado_Receita!$T$2:$T$475,"44593B1Energia convencional pré-pagamentoResidencialResidencialNão se aplicaNão se aplicaNão se aplica",Mercado_Receita!$N$2:$N$475)</f>
        <v>0</v>
      </c>
      <c r="P13" s="13">
        <f>SUMIF(Mercado_Receita!$T$2:$T$475,"44621B1Energia convencional pré-pagamentoResidencialResidencialNão se aplicaNão se aplicaNão se aplica",Mercado_Receita!$N$2:$N$475)</f>
        <v>0</v>
      </c>
      <c r="Q13" s="13">
        <f>SUMIF(Mercado_Receita!$T$2:$T$475,"44652B1Energia convencional pré-pagamentoResidencialResidencialNão se aplicaNão se aplicaNão se aplica",Mercado_Receita!$N$2:$N$475)</f>
        <v>0</v>
      </c>
      <c r="R13" s="13">
        <f>SUMIF(Mercado_Receita!$T$2:$T$475,"44682B1Energia convencional pré-pagamentoResidencialResidencialNão se aplicaNão se aplicaNão se aplica",Mercado_Receita!$N$2:$N$475)</f>
        <v>0</v>
      </c>
      <c r="S13" s="13">
        <f>SUMIF(Mercado_Receita!$T$2:$T$475,"44713B1Energia convencional pré-pagamentoResidencialResidencialNão se aplicaNão se aplicaNão se aplica",Mercado_Receita!$N$2:$N$475)</f>
        <v>0</v>
      </c>
      <c r="T13" s="13">
        <f>SUMIF(Mercado_Receita!$T$2:$T$475,"44743B1Energia convencional pré-pagamentoResidencialResidencialNão se aplicaNão se aplicaNão se aplica",Mercado_Receita!$N$2:$N$475)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124"/>
      <c r="B14" s="124"/>
      <c r="C14" s="124"/>
      <c r="D14" s="12" t="s">
        <v>28</v>
      </c>
      <c r="E14" s="12" t="s">
        <v>25</v>
      </c>
      <c r="F14" s="12" t="s">
        <v>25</v>
      </c>
      <c r="G14" s="13" t="s">
        <v>79</v>
      </c>
      <c r="H14" s="13" t="s">
        <v>75</v>
      </c>
      <c r="I14" s="13">
        <f>SUMIF(Mercado_Receita!$T$2:$T$475,"44409B1Energia convencional pré-pagamentoResidencialResidencial baixa renda – faixa 01Não se aplicaNão se aplicaNão se aplica",Mercado_Receita!$N$2:$N$475)</f>
        <v>0</v>
      </c>
      <c r="J14" s="13">
        <f>SUMIF(Mercado_Receita!$T$2:$T$475,"44440B1Energia convencional pré-pagamentoResidencialResidencial baixa renda – faixa 01Não se aplicaNão se aplicaNão se aplica",Mercado_Receita!$N$2:$N$475)</f>
        <v>0</v>
      </c>
      <c r="K14" s="13">
        <f>SUMIF(Mercado_Receita!$T$2:$T$475,"44470B1Energia convencional pré-pagamentoResidencialResidencial baixa renda – faixa 01Não se aplicaNão se aplicaNão se aplica",Mercado_Receita!$N$2:$N$475)</f>
        <v>0</v>
      </c>
      <c r="L14" s="13">
        <f>SUMIF(Mercado_Receita!$T$2:$T$475,"44501B1Energia convencional pré-pagamentoResidencialResidencial baixa renda – faixa 01Não se aplicaNão se aplicaNão se aplica",Mercado_Receita!$N$2:$N$475)</f>
        <v>0</v>
      </c>
      <c r="M14" s="13">
        <f>SUMIF(Mercado_Receita!$T$2:$T$475,"44531B1Energia convencional pré-pagamentoResidencialResidencial baixa renda – faixa 01Não se aplicaNão se aplicaNão se aplica",Mercado_Receita!$N$2:$N$475)</f>
        <v>0</v>
      </c>
      <c r="N14" s="13">
        <f>SUMIF(Mercado_Receita!$T$2:$T$475,"44562B1Energia convencional pré-pagamentoResidencialResidencial baixa renda – faixa 01Não se aplicaNão se aplicaNão se aplica",Mercado_Receita!$N$2:$N$475)</f>
        <v>0</v>
      </c>
      <c r="O14" s="13">
        <f>SUMIF(Mercado_Receita!$T$2:$T$475,"44593B1Energia convencional pré-pagamentoResidencialResidencial baixa renda – faixa 01Não se aplicaNão se aplicaNão se aplica",Mercado_Receita!$N$2:$N$475)</f>
        <v>0</v>
      </c>
      <c r="P14" s="13">
        <f>SUMIF(Mercado_Receita!$T$2:$T$475,"44621B1Energia convencional pré-pagamentoResidencialResidencial baixa renda – faixa 01Não se aplicaNão se aplicaNão se aplica",Mercado_Receita!$N$2:$N$475)</f>
        <v>0</v>
      </c>
      <c r="Q14" s="13">
        <f>SUMIF(Mercado_Receita!$T$2:$T$475,"44652B1Energia convencional pré-pagamentoResidencialResidencial baixa renda – faixa 01Não se aplicaNão se aplicaNão se aplica",Mercado_Receita!$N$2:$N$475)</f>
        <v>0</v>
      </c>
      <c r="R14" s="13">
        <f>SUMIF(Mercado_Receita!$T$2:$T$475,"44682B1Energia convencional pré-pagamentoResidencialResidencial baixa renda – faixa 01Não se aplicaNão se aplicaNão se aplica",Mercado_Receita!$N$2:$N$475)</f>
        <v>0</v>
      </c>
      <c r="S14" s="13">
        <f>SUMIF(Mercado_Receita!$T$2:$T$475,"44713B1Energia convencional pré-pagamentoResidencialResidencial baixa renda – faixa 01Não se aplicaNão se aplicaNão se aplica",Mercado_Receita!$N$2:$N$475)</f>
        <v>0</v>
      </c>
      <c r="T14" s="13">
        <f>SUMIF(Mercado_Receita!$T$2:$T$475,"44743B1Energia convencional pré-pagamentoResidencialResidencial baixa renda – faixa 01Não se aplicaNão se aplicaNão se aplica",Mercado_Receita!$N$2:$N$475)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124"/>
      <c r="B15" s="124"/>
      <c r="C15" s="124"/>
      <c r="D15" s="12" t="s">
        <v>29</v>
      </c>
      <c r="E15" s="12" t="s">
        <v>25</v>
      </c>
      <c r="F15" s="12" t="s">
        <v>25</v>
      </c>
      <c r="G15" s="13" t="s">
        <v>79</v>
      </c>
      <c r="H15" s="13" t="s">
        <v>75</v>
      </c>
      <c r="I15" s="13">
        <f>SUMIF(Mercado_Receita!$T$2:$T$475,"44409B1Energia convencional pré-pagamentoResidencialResidencial baixa renda – faixa 02Não se aplicaNão se aplicaNão se aplica",Mercado_Receita!$N$2:$N$475)</f>
        <v>0</v>
      </c>
      <c r="J15" s="13">
        <f>SUMIF(Mercado_Receita!$T$2:$T$475,"44440B1Energia convencional pré-pagamentoResidencialResidencial baixa renda – faixa 02Não se aplicaNão se aplicaNão se aplica",Mercado_Receita!$N$2:$N$475)</f>
        <v>0</v>
      </c>
      <c r="K15" s="13">
        <f>SUMIF(Mercado_Receita!$T$2:$T$475,"44470B1Energia convencional pré-pagamentoResidencialResidencial baixa renda – faixa 02Não se aplicaNão se aplicaNão se aplica",Mercado_Receita!$N$2:$N$475)</f>
        <v>0</v>
      </c>
      <c r="L15" s="13">
        <f>SUMIF(Mercado_Receita!$T$2:$T$475,"44501B1Energia convencional pré-pagamentoResidencialResidencial baixa renda – faixa 02Não se aplicaNão se aplicaNão se aplica",Mercado_Receita!$N$2:$N$475)</f>
        <v>0</v>
      </c>
      <c r="M15" s="13">
        <f>SUMIF(Mercado_Receita!$T$2:$T$475,"44531B1Energia convencional pré-pagamentoResidencialResidencial baixa renda – faixa 02Não se aplicaNão se aplicaNão se aplica",Mercado_Receita!$N$2:$N$475)</f>
        <v>0</v>
      </c>
      <c r="N15" s="13">
        <f>SUMIF(Mercado_Receita!$T$2:$T$475,"44562B1Energia convencional pré-pagamentoResidencialResidencial baixa renda – faixa 02Não se aplicaNão se aplicaNão se aplica",Mercado_Receita!$N$2:$N$475)</f>
        <v>0</v>
      </c>
      <c r="O15" s="13">
        <f>SUMIF(Mercado_Receita!$T$2:$T$475,"44593B1Energia convencional pré-pagamentoResidencialResidencial baixa renda – faixa 02Não se aplicaNão se aplicaNão se aplica",Mercado_Receita!$N$2:$N$475)</f>
        <v>0</v>
      </c>
      <c r="P15" s="13">
        <f>SUMIF(Mercado_Receita!$T$2:$T$475,"44621B1Energia convencional pré-pagamentoResidencialResidencial baixa renda – faixa 02Não se aplicaNão se aplicaNão se aplica",Mercado_Receita!$N$2:$N$475)</f>
        <v>0</v>
      </c>
      <c r="Q15" s="13">
        <f>SUMIF(Mercado_Receita!$T$2:$T$475,"44652B1Energia convencional pré-pagamentoResidencialResidencial baixa renda – faixa 02Não se aplicaNão se aplicaNão se aplica",Mercado_Receita!$N$2:$N$475)</f>
        <v>0</v>
      </c>
      <c r="R15" s="13">
        <f>SUMIF(Mercado_Receita!$T$2:$T$475,"44682B1Energia convencional pré-pagamentoResidencialResidencial baixa renda – faixa 02Não se aplicaNão se aplicaNão se aplica",Mercado_Receita!$N$2:$N$475)</f>
        <v>0</v>
      </c>
      <c r="S15" s="13">
        <f>SUMIF(Mercado_Receita!$T$2:$T$475,"44713B1Energia convencional pré-pagamentoResidencialResidencial baixa renda – faixa 02Não se aplicaNão se aplicaNão se aplica",Mercado_Receita!$N$2:$N$475)</f>
        <v>0</v>
      </c>
      <c r="T15" s="13">
        <f>SUMIF(Mercado_Receita!$T$2:$T$475,"44743B1Energia convencional pré-pagamentoResidencialResidencial baixa renda – faixa 02Não se aplicaNão se aplicaNão se aplica",Mercado_Receita!$N$2:$N$475)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124"/>
      <c r="B16" s="124"/>
      <c r="C16" s="124"/>
      <c r="D16" s="12" t="s">
        <v>30</v>
      </c>
      <c r="E16" s="12" t="s">
        <v>25</v>
      </c>
      <c r="F16" s="12" t="s">
        <v>25</v>
      </c>
      <c r="G16" s="13" t="s">
        <v>79</v>
      </c>
      <c r="H16" s="13" t="s">
        <v>75</v>
      </c>
      <c r="I16" s="13">
        <f>SUMIF(Mercado_Receita!$T$2:$T$475,"44409B1Energia convencional pré-pagamentoResidencialResidencial baixa renda – faixa 03Não se aplicaNão se aplicaNão se aplica",Mercado_Receita!$N$2:$N$475)</f>
        <v>0</v>
      </c>
      <c r="J16" s="13">
        <f>SUMIF(Mercado_Receita!$T$2:$T$475,"44440B1Energia convencional pré-pagamentoResidencialResidencial baixa renda – faixa 03Não se aplicaNão se aplicaNão se aplica",Mercado_Receita!$N$2:$N$475)</f>
        <v>0</v>
      </c>
      <c r="K16" s="13">
        <f>SUMIF(Mercado_Receita!$T$2:$T$475,"44470B1Energia convencional pré-pagamentoResidencialResidencial baixa renda – faixa 03Não se aplicaNão se aplicaNão se aplica",Mercado_Receita!$N$2:$N$475)</f>
        <v>0</v>
      </c>
      <c r="L16" s="13">
        <f>SUMIF(Mercado_Receita!$T$2:$T$475,"44501B1Energia convencional pré-pagamentoResidencialResidencial baixa renda – faixa 03Não se aplicaNão se aplicaNão se aplica",Mercado_Receita!$N$2:$N$475)</f>
        <v>0</v>
      </c>
      <c r="M16" s="13">
        <f>SUMIF(Mercado_Receita!$T$2:$T$475,"44531B1Energia convencional pré-pagamentoResidencialResidencial baixa renda – faixa 03Não se aplicaNão se aplicaNão se aplica",Mercado_Receita!$N$2:$N$475)</f>
        <v>0</v>
      </c>
      <c r="N16" s="13">
        <f>SUMIF(Mercado_Receita!$T$2:$T$475,"44562B1Energia convencional pré-pagamentoResidencialResidencial baixa renda – faixa 03Não se aplicaNão se aplicaNão se aplica",Mercado_Receita!$N$2:$N$475)</f>
        <v>0</v>
      </c>
      <c r="O16" s="13">
        <f>SUMIF(Mercado_Receita!$T$2:$T$475,"44593B1Energia convencional pré-pagamentoResidencialResidencial baixa renda – faixa 03Não se aplicaNão se aplicaNão se aplica",Mercado_Receita!$N$2:$N$475)</f>
        <v>0</v>
      </c>
      <c r="P16" s="13">
        <f>SUMIF(Mercado_Receita!$T$2:$T$475,"44621B1Energia convencional pré-pagamentoResidencialResidencial baixa renda – faixa 03Não se aplicaNão se aplicaNão se aplica",Mercado_Receita!$N$2:$N$475)</f>
        <v>0</v>
      </c>
      <c r="Q16" s="13">
        <f>SUMIF(Mercado_Receita!$T$2:$T$475,"44652B1Energia convencional pré-pagamentoResidencialResidencial baixa renda – faixa 03Não se aplicaNão se aplicaNão se aplica",Mercado_Receita!$N$2:$N$475)</f>
        <v>0</v>
      </c>
      <c r="R16" s="13">
        <f>SUMIF(Mercado_Receita!$T$2:$T$475,"44682B1Energia convencional pré-pagamentoResidencialResidencial baixa renda – faixa 03Não se aplicaNão se aplicaNão se aplica",Mercado_Receita!$N$2:$N$475)</f>
        <v>0</v>
      </c>
      <c r="S16" s="13">
        <f>SUMIF(Mercado_Receita!$T$2:$T$475,"44713B1Energia convencional pré-pagamentoResidencialResidencial baixa renda – faixa 03Não se aplicaNão se aplicaNão se aplica",Mercado_Receita!$N$2:$N$475)</f>
        <v>0</v>
      </c>
      <c r="T16" s="13">
        <f>SUMIF(Mercado_Receita!$T$2:$T$475,"44743B1Energia convencional pré-pagamentoResidencialResidencial baixa renda – faixa 03Não se aplicaNão se aplicaNão se aplica",Mercado_Receita!$N$2:$N$475)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124"/>
      <c r="B17" s="124"/>
      <c r="C17" s="124"/>
      <c r="D17" s="12" t="s">
        <v>31</v>
      </c>
      <c r="E17" s="12" t="s">
        <v>25</v>
      </c>
      <c r="F17" s="12" t="s">
        <v>25</v>
      </c>
      <c r="G17" s="13" t="s">
        <v>79</v>
      </c>
      <c r="H17" s="13" t="s">
        <v>75</v>
      </c>
      <c r="I17" s="13">
        <f>SUMIF(Mercado_Receita!$T$2:$T$475,"44409B1Energia convencional pré-pagamentoResidencialResidencial baixa renda – faixa 04Não se aplicaNão se aplicaNão se aplica",Mercado_Receita!$N$2:$N$475)</f>
        <v>0</v>
      </c>
      <c r="J17" s="13">
        <f>SUMIF(Mercado_Receita!$T$2:$T$475,"44440B1Energia convencional pré-pagamentoResidencialResidencial baixa renda – faixa 04Não se aplicaNão se aplicaNão se aplica",Mercado_Receita!$N$2:$N$475)</f>
        <v>0</v>
      </c>
      <c r="K17" s="13">
        <f>SUMIF(Mercado_Receita!$T$2:$T$475,"44470B1Energia convencional pré-pagamentoResidencialResidencial baixa renda – faixa 04Não se aplicaNão se aplicaNão se aplica",Mercado_Receita!$N$2:$N$475)</f>
        <v>0</v>
      </c>
      <c r="L17" s="13">
        <f>SUMIF(Mercado_Receita!$T$2:$T$475,"44501B1Energia convencional pré-pagamentoResidencialResidencial baixa renda – faixa 04Não se aplicaNão se aplicaNão se aplica",Mercado_Receita!$N$2:$N$475)</f>
        <v>0</v>
      </c>
      <c r="M17" s="13">
        <f>SUMIF(Mercado_Receita!$T$2:$T$475,"44531B1Energia convencional pré-pagamentoResidencialResidencial baixa renda – faixa 04Não se aplicaNão se aplicaNão se aplica",Mercado_Receita!$N$2:$N$475)</f>
        <v>0</v>
      </c>
      <c r="N17" s="13">
        <f>SUMIF(Mercado_Receita!$T$2:$T$475,"44562B1Energia convencional pré-pagamentoResidencialResidencial baixa renda – faixa 04Não se aplicaNão se aplicaNão se aplica",Mercado_Receita!$N$2:$N$475)</f>
        <v>0</v>
      </c>
      <c r="O17" s="13">
        <f>SUMIF(Mercado_Receita!$T$2:$T$475,"44593B1Energia convencional pré-pagamentoResidencialResidencial baixa renda – faixa 04Não se aplicaNão se aplicaNão se aplica",Mercado_Receita!$N$2:$N$475)</f>
        <v>0</v>
      </c>
      <c r="P17" s="13">
        <f>SUMIF(Mercado_Receita!$T$2:$T$475,"44621B1Energia convencional pré-pagamentoResidencialResidencial baixa renda – faixa 04Não se aplicaNão se aplicaNão se aplica",Mercado_Receita!$N$2:$N$475)</f>
        <v>0</v>
      </c>
      <c r="Q17" s="13">
        <f>SUMIF(Mercado_Receita!$T$2:$T$475,"44652B1Energia convencional pré-pagamentoResidencialResidencial baixa renda – faixa 04Não se aplicaNão se aplicaNão se aplica",Mercado_Receita!$N$2:$N$475)</f>
        <v>0</v>
      </c>
      <c r="R17" s="13">
        <f>SUMIF(Mercado_Receita!$T$2:$T$475,"44682B1Energia convencional pré-pagamentoResidencialResidencial baixa renda – faixa 04Não se aplicaNão se aplicaNão se aplica",Mercado_Receita!$N$2:$N$475)</f>
        <v>0</v>
      </c>
      <c r="S17" s="13">
        <f>SUMIF(Mercado_Receita!$T$2:$T$475,"44713B1Energia convencional pré-pagamentoResidencialResidencial baixa renda – faixa 04Não se aplicaNão se aplicaNão se aplica",Mercado_Receita!$N$2:$N$475)</f>
        <v>0</v>
      </c>
      <c r="T17" s="13">
        <f>SUMIF(Mercado_Receita!$T$2:$T$475,"44743B1Energia convencional pré-pagamentoResidencialResidencial baixa renda – faixa 04Não se aplicaNão se aplicaNão se aplica",Mercado_Receita!$N$2:$N$475)</f>
        <v>0</v>
      </c>
      <c r="U17" s="13">
        <f t="shared" si="0"/>
        <v>0</v>
      </c>
      <c r="V17" s="13"/>
      <c r="W17" s="13"/>
    </row>
    <row r="18" spans="1:23" ht="11.25" customHeight="1" x14ac:dyDescent="0.25">
      <c r="A18" s="123" t="s">
        <v>41</v>
      </c>
      <c r="B18" s="123" t="s">
        <v>74</v>
      </c>
      <c r="C18" s="123" t="s">
        <v>42</v>
      </c>
      <c r="D18" s="123" t="s">
        <v>25</v>
      </c>
      <c r="E18" s="123" t="s">
        <v>25</v>
      </c>
      <c r="F18" s="123" t="s">
        <v>25</v>
      </c>
      <c r="G18" s="13" t="s">
        <v>76</v>
      </c>
      <c r="H18" s="13" t="s">
        <v>75</v>
      </c>
      <c r="I18" s="13">
        <f>SUMIF(Mercado_Receita!$T$2:$T$475,"44409B2Energia horáriaRuralNão se aplicaNão se aplicaNão se aplicaPonta",Mercado_Receita!$N$2:$N$475)</f>
        <v>0</v>
      </c>
      <c r="J18" s="13">
        <f>SUMIF(Mercado_Receita!$T$2:$T$475,"44440B2Energia horáriaRuralNão se aplicaNão se aplicaNão se aplicaPonta",Mercado_Receita!$N$2:$N$475)</f>
        <v>0</v>
      </c>
      <c r="K18" s="13">
        <f>SUMIF(Mercado_Receita!$T$2:$T$475,"44470B2Energia horáriaRuralNão se aplicaNão se aplicaNão se aplicaPonta",Mercado_Receita!$N$2:$N$475)</f>
        <v>0</v>
      </c>
      <c r="L18" s="13">
        <f>SUMIF(Mercado_Receita!$T$2:$T$475,"44501B2Energia horáriaRuralNão se aplicaNão se aplicaNão se aplicaPonta",Mercado_Receita!$N$2:$N$475)</f>
        <v>0</v>
      </c>
      <c r="M18" s="13">
        <f>SUMIF(Mercado_Receita!$T$2:$T$475,"44531B2Energia horáriaRuralNão se aplicaNão se aplicaNão se aplicaPonta",Mercado_Receita!$N$2:$N$475)</f>
        <v>0</v>
      </c>
      <c r="N18" s="13">
        <f>SUMIF(Mercado_Receita!$T$2:$T$475,"44562B2Energia horáriaRuralNão se aplicaNão se aplicaNão se aplicaPonta",Mercado_Receita!$N$2:$N$475)</f>
        <v>0</v>
      </c>
      <c r="O18" s="13">
        <f>SUMIF(Mercado_Receita!$T$2:$T$475,"44593B2Energia horáriaRuralNão se aplicaNão se aplicaNão se aplicaPonta",Mercado_Receita!$N$2:$N$475)</f>
        <v>0</v>
      </c>
      <c r="P18" s="13">
        <f>SUMIF(Mercado_Receita!$T$2:$T$475,"44621B2Energia horáriaRuralNão se aplicaNão se aplicaNão se aplicaPonta",Mercado_Receita!$N$2:$N$475)</f>
        <v>0</v>
      </c>
      <c r="Q18" s="13">
        <f>SUMIF(Mercado_Receita!$T$2:$T$475,"44652B2Energia horáriaRuralNão se aplicaNão se aplicaNão se aplicaPonta",Mercado_Receita!$N$2:$N$475)</f>
        <v>0</v>
      </c>
      <c r="R18" s="13">
        <f>SUMIF(Mercado_Receita!$T$2:$T$475,"44682B2Energia horáriaRuralNão se aplicaNão se aplicaNão se aplicaPonta",Mercado_Receita!$N$2:$N$475)</f>
        <v>0</v>
      </c>
      <c r="S18" s="13">
        <f>SUMIF(Mercado_Receita!$T$2:$T$475,"44713B2Energia horáriaRuralNão se aplicaNão se aplicaNão se aplicaPonta",Mercado_Receita!$N$2:$N$475)</f>
        <v>0</v>
      </c>
      <c r="T18" s="13">
        <f>SUMIF(Mercado_Receita!$T$2:$T$475,"44743B2Energia horáriaRuralNão se aplicaNão se aplicaNão se aplicaPonta",Mercado_Receita!$N$2:$N$475)</f>
        <v>0</v>
      </c>
      <c r="U18" s="13">
        <f t="shared" si="0"/>
        <v>0</v>
      </c>
      <c r="V18" s="13"/>
      <c r="W18" s="13"/>
    </row>
    <row r="19" spans="1:23" ht="11.25" customHeight="1" x14ac:dyDescent="0.25">
      <c r="A19" s="124"/>
      <c r="B19" s="124"/>
      <c r="C19" s="124"/>
      <c r="D19" s="124"/>
      <c r="E19" s="124"/>
      <c r="F19" s="124"/>
      <c r="G19" s="13" t="s">
        <v>88</v>
      </c>
      <c r="H19" s="13" t="s">
        <v>75</v>
      </c>
      <c r="I19" s="13">
        <f>SUMIF(Mercado_Receita!$T$2:$T$475,"44409B2Energia horáriaRuralNão se aplicaNão se aplicaNão se aplicaIntermediário",Mercado_Receita!$N$2:$N$475)</f>
        <v>0</v>
      </c>
      <c r="J19" s="13">
        <f>SUMIF(Mercado_Receita!$T$2:$T$475,"44440B2Energia horáriaRuralNão se aplicaNão se aplicaNão se aplicaIntermediário",Mercado_Receita!$N$2:$N$475)</f>
        <v>0</v>
      </c>
      <c r="K19" s="13">
        <f>SUMIF(Mercado_Receita!$T$2:$T$475,"44470B2Energia horáriaRuralNão se aplicaNão se aplicaNão se aplicaIntermediário",Mercado_Receita!$N$2:$N$475)</f>
        <v>0</v>
      </c>
      <c r="L19" s="13">
        <f>SUMIF(Mercado_Receita!$T$2:$T$475,"44501B2Energia horáriaRuralNão se aplicaNão se aplicaNão se aplicaIntermediário",Mercado_Receita!$N$2:$N$475)</f>
        <v>0</v>
      </c>
      <c r="M19" s="13">
        <f>SUMIF(Mercado_Receita!$T$2:$T$475,"44531B2Energia horáriaRuralNão se aplicaNão se aplicaNão se aplicaIntermediário",Mercado_Receita!$N$2:$N$475)</f>
        <v>0</v>
      </c>
      <c r="N19" s="13">
        <f>SUMIF(Mercado_Receita!$T$2:$T$475,"44562B2Energia horáriaRuralNão se aplicaNão se aplicaNão se aplicaIntermediário",Mercado_Receita!$N$2:$N$475)</f>
        <v>0</v>
      </c>
      <c r="O19" s="13">
        <f>SUMIF(Mercado_Receita!$T$2:$T$475,"44593B2Energia horáriaRuralNão se aplicaNão se aplicaNão se aplicaIntermediário",Mercado_Receita!$N$2:$N$475)</f>
        <v>0</v>
      </c>
      <c r="P19" s="13">
        <f>SUMIF(Mercado_Receita!$T$2:$T$475,"44621B2Energia horáriaRuralNão se aplicaNão se aplicaNão se aplicaIntermediário",Mercado_Receita!$N$2:$N$475)</f>
        <v>0</v>
      </c>
      <c r="Q19" s="13">
        <f>SUMIF(Mercado_Receita!$T$2:$T$475,"44652B2Energia horáriaRuralNão se aplicaNão se aplicaNão se aplicaIntermediário",Mercado_Receita!$N$2:$N$475)</f>
        <v>0</v>
      </c>
      <c r="R19" s="13">
        <f>SUMIF(Mercado_Receita!$T$2:$T$475,"44682B2Energia horáriaRuralNão se aplicaNão se aplicaNão se aplicaIntermediário",Mercado_Receita!$N$2:$N$475)</f>
        <v>0</v>
      </c>
      <c r="S19" s="13">
        <f>SUMIF(Mercado_Receita!$T$2:$T$475,"44713B2Energia horáriaRuralNão se aplicaNão se aplicaNão se aplicaIntermediário",Mercado_Receita!$N$2:$N$475)</f>
        <v>0</v>
      </c>
      <c r="T19" s="13">
        <f>SUMIF(Mercado_Receita!$T$2:$T$475,"44743B2Energia horáriaRuralNão se aplicaNão se aplicaNão se aplicaIntermediário",Mercado_Receita!$N$2:$N$475)</f>
        <v>0</v>
      </c>
      <c r="U19" s="13">
        <f t="shared" si="0"/>
        <v>0</v>
      </c>
      <c r="V19" s="13"/>
      <c r="W19" s="13"/>
    </row>
    <row r="20" spans="1:23" ht="11.25" customHeight="1" x14ac:dyDescent="0.25">
      <c r="A20" s="124"/>
      <c r="B20" s="124"/>
      <c r="C20" s="124"/>
      <c r="D20" s="124"/>
      <c r="E20" s="124"/>
      <c r="F20" s="124"/>
      <c r="G20" s="13" t="s">
        <v>77</v>
      </c>
      <c r="H20" s="13" t="s">
        <v>75</v>
      </c>
      <c r="I20" s="13">
        <f>SUMIF(Mercado_Receita!$T$2:$T$475,"44409B2Energia horáriaRuralNão se aplicaNão se aplicaNão se aplicaFora ponta",Mercado_Receita!$N$2:$N$475)</f>
        <v>0</v>
      </c>
      <c r="J20" s="13">
        <f>SUMIF(Mercado_Receita!$T$2:$T$475,"44440B2Energia horáriaRuralNão se aplicaNão se aplicaNão se aplicaFora ponta",Mercado_Receita!$N$2:$N$475)</f>
        <v>0</v>
      </c>
      <c r="K20" s="13">
        <f>SUMIF(Mercado_Receita!$T$2:$T$475,"44470B2Energia horáriaRuralNão se aplicaNão se aplicaNão se aplicaFora ponta",Mercado_Receita!$N$2:$N$475)</f>
        <v>0</v>
      </c>
      <c r="L20" s="13">
        <f>SUMIF(Mercado_Receita!$T$2:$T$475,"44501B2Energia horáriaRuralNão se aplicaNão se aplicaNão se aplicaFora ponta",Mercado_Receita!$N$2:$N$475)</f>
        <v>0</v>
      </c>
      <c r="M20" s="13">
        <f>SUMIF(Mercado_Receita!$T$2:$T$475,"44531B2Energia horáriaRuralNão se aplicaNão se aplicaNão se aplicaFora ponta",Mercado_Receita!$N$2:$N$475)</f>
        <v>0</v>
      </c>
      <c r="N20" s="13">
        <f>SUMIF(Mercado_Receita!$T$2:$T$475,"44562B2Energia horáriaRuralNão se aplicaNão se aplicaNão se aplicaFora ponta",Mercado_Receita!$N$2:$N$475)</f>
        <v>0</v>
      </c>
      <c r="O20" s="13">
        <f>SUMIF(Mercado_Receita!$T$2:$T$475,"44593B2Energia horáriaRuralNão se aplicaNão se aplicaNão se aplicaFora ponta",Mercado_Receita!$N$2:$N$475)</f>
        <v>0</v>
      </c>
      <c r="P20" s="13">
        <f>SUMIF(Mercado_Receita!$T$2:$T$475,"44621B2Energia horáriaRuralNão se aplicaNão se aplicaNão se aplicaFora ponta",Mercado_Receita!$N$2:$N$475)</f>
        <v>0</v>
      </c>
      <c r="Q20" s="13">
        <f>SUMIF(Mercado_Receita!$T$2:$T$475,"44652B2Energia horáriaRuralNão se aplicaNão se aplicaNão se aplicaFora ponta",Mercado_Receita!$N$2:$N$475)</f>
        <v>0</v>
      </c>
      <c r="R20" s="13">
        <f>SUMIF(Mercado_Receita!$T$2:$T$475,"44682B2Energia horáriaRuralNão se aplicaNão se aplicaNão se aplicaFora ponta",Mercado_Receita!$N$2:$N$475)</f>
        <v>0</v>
      </c>
      <c r="S20" s="13">
        <f>SUMIF(Mercado_Receita!$T$2:$T$475,"44713B2Energia horáriaRuralNão se aplicaNão se aplicaNão se aplicaFora ponta",Mercado_Receita!$N$2:$N$475)</f>
        <v>0</v>
      </c>
      <c r="T20" s="13">
        <f>SUMIF(Mercado_Receita!$T$2:$T$475,"44743B2Energia horáriaRuralNão se aplicaNão se aplicaNão se aplicaFora ponta",Mercado_Receita!$N$2:$N$475)</f>
        <v>0</v>
      </c>
      <c r="U20" s="13">
        <f t="shared" si="0"/>
        <v>0</v>
      </c>
      <c r="V20" s="13"/>
      <c r="W20" s="13"/>
    </row>
    <row r="21" spans="1:23" ht="11.25" customHeight="1" x14ac:dyDescent="0.25">
      <c r="A21" s="124"/>
      <c r="B21" s="12" t="s">
        <v>78</v>
      </c>
      <c r="C21" s="12" t="s">
        <v>42</v>
      </c>
      <c r="D21" s="12" t="s">
        <v>25</v>
      </c>
      <c r="E21" s="12" t="s">
        <v>25</v>
      </c>
      <c r="F21" s="12" t="s">
        <v>25</v>
      </c>
      <c r="G21" s="13" t="s">
        <v>79</v>
      </c>
      <c r="H21" s="13" t="s">
        <v>75</v>
      </c>
      <c r="I21" s="13">
        <f>SUMIF(Mercado_Receita!$T$2:$T$475,"44409B2Energia convencionalRuralNão se aplicaNão se aplicaNão se aplicaNão se aplica",Mercado_Receita!$N$2:$N$475)</f>
        <v>279.41199999999998</v>
      </c>
      <c r="J21" s="13">
        <f>SUMIF(Mercado_Receita!$T$2:$T$475,"44440B2Energia convencionalRuralNão se aplicaNão se aplicaNão se aplicaNão se aplica",Mercado_Receita!$N$2:$N$475)</f>
        <v>277.59100000000001</v>
      </c>
      <c r="K21" s="13">
        <f>SUMIF(Mercado_Receita!$T$2:$T$475,"44470B2Energia convencionalRuralNão se aplicaNão se aplicaNão se aplicaNão se aplica",Mercado_Receita!$N$2:$N$475)</f>
        <v>270.93200000000002</v>
      </c>
      <c r="L21" s="13">
        <f>SUMIF(Mercado_Receita!$T$2:$T$475,"44501B2Energia convencionalRuralNão se aplicaNão se aplicaNão se aplicaNão se aplica",Mercado_Receita!$N$2:$N$475)</f>
        <v>285.89799999999997</v>
      </c>
      <c r="M21" s="13">
        <f>SUMIF(Mercado_Receita!$T$2:$T$475,"44531B2Energia convencionalRuralNão se aplicaNão se aplicaNão se aplicaNão se aplica",Mercado_Receita!$N$2:$N$475)</f>
        <v>292.392</v>
      </c>
      <c r="N21" s="13">
        <f>SUMIF(Mercado_Receita!$T$2:$T$475,"44562B2Energia convencionalRuralNão se aplicaNão se aplicaNão se aplicaNão se aplica",Mercado_Receita!$N$2:$N$475)</f>
        <v>290.33100000000002</v>
      </c>
      <c r="O21" s="13">
        <f>SUMIF(Mercado_Receita!$T$2:$T$475,"44593B2Energia convencionalRuralNão se aplicaNão se aplicaNão se aplicaNão se aplica",Mercado_Receita!$N$2:$N$475)</f>
        <v>276.63099999999997</v>
      </c>
      <c r="P21" s="13">
        <f>SUMIF(Mercado_Receita!$T$2:$T$475,"44621B2Energia convencionalRuralNão se aplicaNão se aplicaNão se aplicaNão se aplica",Mercado_Receita!$N$2:$N$475)</f>
        <v>279.25700000000001</v>
      </c>
      <c r="Q21" s="13">
        <f>SUMIF(Mercado_Receita!$T$2:$T$475,"44652B2Energia convencionalRuralNão se aplicaNão se aplicaNão se aplicaNão se aplica",Mercado_Receita!$N$2:$N$475)</f>
        <v>267.45699999999999</v>
      </c>
      <c r="R21" s="13">
        <f>SUMIF(Mercado_Receita!$T$2:$T$475,"44682B2Energia convencionalRuralNão se aplicaNão se aplicaNão se aplicaNão se aplica",Mercado_Receita!$N$2:$N$475)</f>
        <v>285.048</v>
      </c>
      <c r="S21" s="13">
        <f>SUMIF(Mercado_Receita!$T$2:$T$475,"44713B2Energia convencionalRuralNão se aplicaNão se aplicaNão se aplicaNão se aplica",Mercado_Receita!$N$2:$N$475)</f>
        <v>265.42399999999998</v>
      </c>
      <c r="T21" s="13">
        <f>SUMIF(Mercado_Receita!$T$2:$T$475,"44743B2Energia convencionalRuralNão se aplicaNão se aplicaNão se aplicaNão se aplica",Mercado_Receita!$N$2:$N$475)</f>
        <v>265.42399999999998</v>
      </c>
      <c r="U21" s="13">
        <f t="shared" si="0"/>
        <v>3335.7969999999996</v>
      </c>
      <c r="V21" s="13"/>
      <c r="W21" s="13"/>
    </row>
    <row r="22" spans="1:23" ht="11.25" customHeight="1" x14ac:dyDescent="0.25">
      <c r="A22" s="124"/>
      <c r="B22" s="123" t="s">
        <v>74</v>
      </c>
      <c r="C22" s="123" t="s">
        <v>42</v>
      </c>
      <c r="D22" s="123" t="s">
        <v>91</v>
      </c>
      <c r="E22" s="123" t="s">
        <v>25</v>
      </c>
      <c r="F22" s="123" t="s">
        <v>25</v>
      </c>
      <c r="G22" s="13" t="s">
        <v>76</v>
      </c>
      <c r="H22" s="13" t="s">
        <v>75</v>
      </c>
      <c r="I22" s="13">
        <f>SUMIF(Mercado_Receita!$T$2:$T$475,"44409B2Energia horáriaRuralCooperativa de eletrificação ruralNão se aplicaNão se aplicaPonta",Mercado_Receita!$N$2:$N$475)</f>
        <v>0</v>
      </c>
      <c r="J22" s="13">
        <f>SUMIF(Mercado_Receita!$T$2:$T$475,"44440B2Energia horáriaRuralCooperativa de eletrificação ruralNão se aplicaNão se aplicaPonta",Mercado_Receita!$N$2:$N$475)</f>
        <v>0</v>
      </c>
      <c r="K22" s="13">
        <f>SUMIF(Mercado_Receita!$T$2:$T$475,"44470B2Energia horáriaRuralCooperativa de eletrificação ruralNão se aplicaNão se aplicaPonta",Mercado_Receita!$N$2:$N$475)</f>
        <v>0</v>
      </c>
      <c r="L22" s="13">
        <f>SUMIF(Mercado_Receita!$T$2:$T$475,"44501B2Energia horáriaRuralCooperativa de eletrificação ruralNão se aplicaNão se aplicaPonta",Mercado_Receita!$N$2:$N$475)</f>
        <v>0</v>
      </c>
      <c r="M22" s="13">
        <f>SUMIF(Mercado_Receita!$T$2:$T$475,"44531B2Energia horáriaRuralCooperativa de eletrificação ruralNão se aplicaNão se aplicaPonta",Mercado_Receita!$N$2:$N$475)</f>
        <v>0</v>
      </c>
      <c r="N22" s="13">
        <f>SUMIF(Mercado_Receita!$T$2:$T$475,"44562B2Energia horáriaRuralCooperativa de eletrificação ruralNão se aplicaNão se aplicaPonta",Mercado_Receita!$N$2:$N$475)</f>
        <v>0</v>
      </c>
      <c r="O22" s="13">
        <f>SUMIF(Mercado_Receita!$T$2:$T$475,"44593B2Energia horáriaRuralCooperativa de eletrificação ruralNão se aplicaNão se aplicaPonta",Mercado_Receita!$N$2:$N$475)</f>
        <v>0</v>
      </c>
      <c r="P22" s="13">
        <f>SUMIF(Mercado_Receita!$T$2:$T$475,"44621B2Energia horáriaRuralCooperativa de eletrificação ruralNão se aplicaNão se aplicaPonta",Mercado_Receita!$N$2:$N$475)</f>
        <v>0</v>
      </c>
      <c r="Q22" s="13">
        <f>SUMIF(Mercado_Receita!$T$2:$T$475,"44652B2Energia horáriaRuralCooperativa de eletrificação ruralNão se aplicaNão se aplicaPonta",Mercado_Receita!$N$2:$N$475)</f>
        <v>0</v>
      </c>
      <c r="R22" s="13">
        <f>SUMIF(Mercado_Receita!$T$2:$T$475,"44682B2Energia horáriaRuralCooperativa de eletrificação ruralNão se aplicaNão se aplicaPonta",Mercado_Receita!$N$2:$N$475)</f>
        <v>0</v>
      </c>
      <c r="S22" s="13">
        <f>SUMIF(Mercado_Receita!$T$2:$T$475,"44713B2Energia horáriaRuralCooperativa de eletrificação ruralNão se aplicaNão se aplicaPonta",Mercado_Receita!$N$2:$N$475)</f>
        <v>0</v>
      </c>
      <c r="T22" s="13">
        <f>SUMIF(Mercado_Receita!$T$2:$T$475,"44743B2Energia horáriaRuralCooperativa de eletrificação ruralNão se aplicaNão se aplicaPonta",Mercado_Receita!$N$2:$N$475)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124"/>
      <c r="B23" s="124"/>
      <c r="C23" s="124"/>
      <c r="D23" s="124"/>
      <c r="E23" s="124"/>
      <c r="F23" s="124"/>
      <c r="G23" s="13" t="s">
        <v>88</v>
      </c>
      <c r="H23" s="13" t="s">
        <v>75</v>
      </c>
      <c r="I23" s="13">
        <f>SUMIF(Mercado_Receita!$T$2:$T$475,"44409B2Energia horáriaRuralCooperativa de eletrificação ruralNão se aplicaNão se aplicaIntermediário",Mercado_Receita!$N$2:$N$475)</f>
        <v>0</v>
      </c>
      <c r="J23" s="13">
        <f>SUMIF(Mercado_Receita!$T$2:$T$475,"44440B2Energia horáriaRuralCooperativa de eletrificação ruralNão se aplicaNão se aplicaIntermediário",Mercado_Receita!$N$2:$N$475)</f>
        <v>0</v>
      </c>
      <c r="K23" s="13">
        <f>SUMIF(Mercado_Receita!$T$2:$T$475,"44470B2Energia horáriaRuralCooperativa de eletrificação ruralNão se aplicaNão se aplicaIntermediário",Mercado_Receita!$N$2:$N$475)</f>
        <v>0</v>
      </c>
      <c r="L23" s="13">
        <f>SUMIF(Mercado_Receita!$T$2:$T$475,"44501B2Energia horáriaRuralCooperativa de eletrificação ruralNão se aplicaNão se aplicaIntermediário",Mercado_Receita!$N$2:$N$475)</f>
        <v>0</v>
      </c>
      <c r="M23" s="13">
        <f>SUMIF(Mercado_Receita!$T$2:$T$475,"44531B2Energia horáriaRuralCooperativa de eletrificação ruralNão se aplicaNão se aplicaIntermediário",Mercado_Receita!$N$2:$N$475)</f>
        <v>0</v>
      </c>
      <c r="N23" s="13">
        <f>SUMIF(Mercado_Receita!$T$2:$T$475,"44562B2Energia horáriaRuralCooperativa de eletrificação ruralNão se aplicaNão se aplicaIntermediário",Mercado_Receita!$N$2:$N$475)</f>
        <v>0</v>
      </c>
      <c r="O23" s="13">
        <f>SUMIF(Mercado_Receita!$T$2:$T$475,"44593B2Energia horáriaRuralCooperativa de eletrificação ruralNão se aplicaNão se aplicaIntermediário",Mercado_Receita!$N$2:$N$475)</f>
        <v>0</v>
      </c>
      <c r="P23" s="13">
        <f>SUMIF(Mercado_Receita!$T$2:$T$475,"44621B2Energia horáriaRuralCooperativa de eletrificação ruralNão se aplicaNão se aplicaIntermediário",Mercado_Receita!$N$2:$N$475)</f>
        <v>0</v>
      </c>
      <c r="Q23" s="13">
        <f>SUMIF(Mercado_Receita!$T$2:$T$475,"44652B2Energia horáriaRuralCooperativa de eletrificação ruralNão se aplicaNão se aplicaIntermediário",Mercado_Receita!$N$2:$N$475)</f>
        <v>0</v>
      </c>
      <c r="R23" s="13">
        <f>SUMIF(Mercado_Receita!$T$2:$T$475,"44682B2Energia horáriaRuralCooperativa de eletrificação ruralNão se aplicaNão se aplicaIntermediário",Mercado_Receita!$N$2:$N$475)</f>
        <v>0</v>
      </c>
      <c r="S23" s="13">
        <f>SUMIF(Mercado_Receita!$T$2:$T$475,"44713B2Energia horáriaRuralCooperativa de eletrificação ruralNão se aplicaNão se aplicaIntermediário",Mercado_Receita!$N$2:$N$475)</f>
        <v>0</v>
      </c>
      <c r="T23" s="13">
        <f>SUMIF(Mercado_Receita!$T$2:$T$475,"44743B2Energia horáriaRuralCooperativa de eletrificação ruralNão se aplicaNão se aplicaIntermediário",Mercado_Receita!$N$2:$N$475)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124"/>
      <c r="B24" s="124"/>
      <c r="C24" s="124"/>
      <c r="D24" s="124"/>
      <c r="E24" s="124"/>
      <c r="F24" s="124"/>
      <c r="G24" s="13" t="s">
        <v>77</v>
      </c>
      <c r="H24" s="13" t="s">
        <v>75</v>
      </c>
      <c r="I24" s="13">
        <f>SUMIF(Mercado_Receita!$T$2:$T$475,"44409B2Energia horáriaRuralCooperativa de eletrificação ruralNão se aplicaNão se aplicaFora ponta",Mercado_Receita!$N$2:$N$475)</f>
        <v>0</v>
      </c>
      <c r="J24" s="13">
        <f>SUMIF(Mercado_Receita!$T$2:$T$475,"44440B2Energia horáriaRuralCooperativa de eletrificação ruralNão se aplicaNão se aplicaFora ponta",Mercado_Receita!$N$2:$N$475)</f>
        <v>0</v>
      </c>
      <c r="K24" s="13">
        <f>SUMIF(Mercado_Receita!$T$2:$T$475,"44470B2Energia horáriaRuralCooperativa de eletrificação ruralNão se aplicaNão se aplicaFora ponta",Mercado_Receita!$N$2:$N$475)</f>
        <v>0</v>
      </c>
      <c r="L24" s="13">
        <f>SUMIF(Mercado_Receita!$T$2:$T$475,"44501B2Energia horáriaRuralCooperativa de eletrificação ruralNão se aplicaNão se aplicaFora ponta",Mercado_Receita!$N$2:$N$475)</f>
        <v>0</v>
      </c>
      <c r="M24" s="13">
        <f>SUMIF(Mercado_Receita!$T$2:$T$475,"44531B2Energia horáriaRuralCooperativa de eletrificação ruralNão se aplicaNão se aplicaFora ponta",Mercado_Receita!$N$2:$N$475)</f>
        <v>0</v>
      </c>
      <c r="N24" s="13">
        <f>SUMIF(Mercado_Receita!$T$2:$T$475,"44562B2Energia horáriaRuralCooperativa de eletrificação ruralNão se aplicaNão se aplicaFora ponta",Mercado_Receita!$N$2:$N$475)</f>
        <v>0</v>
      </c>
      <c r="O24" s="13">
        <f>SUMIF(Mercado_Receita!$T$2:$T$475,"44593B2Energia horáriaRuralCooperativa de eletrificação ruralNão se aplicaNão se aplicaFora ponta",Mercado_Receita!$N$2:$N$475)</f>
        <v>0</v>
      </c>
      <c r="P24" s="13">
        <f>SUMIF(Mercado_Receita!$T$2:$T$475,"44621B2Energia horáriaRuralCooperativa de eletrificação ruralNão se aplicaNão se aplicaFora ponta",Mercado_Receita!$N$2:$N$475)</f>
        <v>0</v>
      </c>
      <c r="Q24" s="13">
        <f>SUMIF(Mercado_Receita!$T$2:$T$475,"44652B2Energia horáriaRuralCooperativa de eletrificação ruralNão se aplicaNão se aplicaFora ponta",Mercado_Receita!$N$2:$N$475)</f>
        <v>0</v>
      </c>
      <c r="R24" s="13">
        <f>SUMIF(Mercado_Receita!$T$2:$T$475,"44682B2Energia horáriaRuralCooperativa de eletrificação ruralNão se aplicaNão se aplicaFora ponta",Mercado_Receita!$N$2:$N$475)</f>
        <v>0</v>
      </c>
      <c r="S24" s="13">
        <f>SUMIF(Mercado_Receita!$T$2:$T$475,"44713B2Energia horáriaRuralCooperativa de eletrificação ruralNão se aplicaNão se aplicaFora ponta",Mercado_Receita!$N$2:$N$475)</f>
        <v>0</v>
      </c>
      <c r="T24" s="13">
        <f>SUMIF(Mercado_Receita!$T$2:$T$475,"44743B2Energia horáriaRuralCooperativa de eletrificação ruralNão se aplicaNão se aplicaFora ponta",Mercado_Receita!$N$2:$N$475)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124"/>
      <c r="B25" s="12" t="s">
        <v>78</v>
      </c>
      <c r="C25" s="12" t="s">
        <v>42</v>
      </c>
      <c r="D25" s="12" t="s">
        <v>91</v>
      </c>
      <c r="E25" s="12" t="s">
        <v>25</v>
      </c>
      <c r="F25" s="12" t="s">
        <v>25</v>
      </c>
      <c r="G25" s="13" t="s">
        <v>79</v>
      </c>
      <c r="H25" s="13" t="s">
        <v>75</v>
      </c>
      <c r="I25" s="13">
        <f>SUMIF(Mercado_Receita!$T$2:$T$475,"44409B2Energia convencionalRuralCooperativa de eletrificação ruralNão se aplicaNão se aplicaNão se aplica",Mercado_Receita!$N$2:$N$475)</f>
        <v>0</v>
      </c>
      <c r="J25" s="13">
        <f>SUMIF(Mercado_Receita!$T$2:$T$475,"44440B2Energia convencionalRuralCooperativa de eletrificação ruralNão se aplicaNão se aplicaNão se aplica",Mercado_Receita!$N$2:$N$475)</f>
        <v>0</v>
      </c>
      <c r="K25" s="13">
        <f>SUMIF(Mercado_Receita!$T$2:$T$475,"44470B2Energia convencionalRuralCooperativa de eletrificação ruralNão se aplicaNão se aplicaNão se aplica",Mercado_Receita!$N$2:$N$475)</f>
        <v>0</v>
      </c>
      <c r="L25" s="13">
        <f>SUMIF(Mercado_Receita!$T$2:$T$475,"44501B2Energia convencionalRuralCooperativa de eletrificação ruralNão se aplicaNão se aplicaNão se aplica",Mercado_Receita!$N$2:$N$475)</f>
        <v>0</v>
      </c>
      <c r="M25" s="13">
        <f>SUMIF(Mercado_Receita!$T$2:$T$475,"44531B2Energia convencionalRuralCooperativa de eletrificação ruralNão se aplicaNão se aplicaNão se aplica",Mercado_Receita!$N$2:$N$475)</f>
        <v>0</v>
      </c>
      <c r="N25" s="13">
        <f>SUMIF(Mercado_Receita!$T$2:$T$475,"44562B2Energia convencionalRuralCooperativa de eletrificação ruralNão se aplicaNão se aplicaNão se aplica",Mercado_Receita!$N$2:$N$475)</f>
        <v>0</v>
      </c>
      <c r="O25" s="13">
        <f>SUMIF(Mercado_Receita!$T$2:$T$475,"44593B2Energia convencionalRuralCooperativa de eletrificação ruralNão se aplicaNão se aplicaNão se aplica",Mercado_Receita!$N$2:$N$475)</f>
        <v>0</v>
      </c>
      <c r="P25" s="13">
        <f>SUMIF(Mercado_Receita!$T$2:$T$475,"44621B2Energia convencionalRuralCooperativa de eletrificação ruralNão se aplicaNão se aplicaNão se aplica",Mercado_Receita!$N$2:$N$475)</f>
        <v>0</v>
      </c>
      <c r="Q25" s="13">
        <f>SUMIF(Mercado_Receita!$T$2:$T$475,"44652B2Energia convencionalRuralCooperativa de eletrificação ruralNão se aplicaNão se aplicaNão se aplica",Mercado_Receita!$N$2:$N$475)</f>
        <v>0</v>
      </c>
      <c r="R25" s="13">
        <f>SUMIF(Mercado_Receita!$T$2:$T$475,"44682B2Energia convencionalRuralCooperativa de eletrificação ruralNão se aplicaNão se aplicaNão se aplica",Mercado_Receita!$N$2:$N$475)</f>
        <v>0</v>
      </c>
      <c r="S25" s="13">
        <f>SUMIF(Mercado_Receita!$T$2:$T$475,"44713B2Energia convencionalRuralCooperativa de eletrificação ruralNão se aplicaNão se aplicaNão se aplica",Mercado_Receita!$N$2:$N$475)</f>
        <v>0</v>
      </c>
      <c r="T25" s="13">
        <f>SUMIF(Mercado_Receita!$T$2:$T$475,"44743B2Energia convencionalRuralCooperativa de eletrificação ruralNão se aplicaNão se aplicaNão se aplica",Mercado_Receita!$N$2:$N$475)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124"/>
      <c r="B26" s="123" t="s">
        <v>74</v>
      </c>
      <c r="C26" s="123" t="s">
        <v>42</v>
      </c>
      <c r="D26" s="123" t="s">
        <v>92</v>
      </c>
      <c r="E26" s="123" t="s">
        <v>25</v>
      </c>
      <c r="F26" s="123" t="s">
        <v>25</v>
      </c>
      <c r="G26" s="13" t="s">
        <v>76</v>
      </c>
      <c r="H26" s="13" t="s">
        <v>75</v>
      </c>
      <c r="I26" s="13">
        <f>SUMIF(Mercado_Receita!$T$2:$T$475,"44409B2Energia horáriaRuralServiço público de irrigação ruralNão se aplicaNão se aplicaPonta",Mercado_Receita!$N$2:$N$475)</f>
        <v>0</v>
      </c>
      <c r="J26" s="13">
        <f>SUMIF(Mercado_Receita!$T$2:$T$475,"44440B2Energia horáriaRuralServiço público de irrigação ruralNão se aplicaNão se aplicaPonta",Mercado_Receita!$N$2:$N$475)</f>
        <v>0</v>
      </c>
      <c r="K26" s="13">
        <f>SUMIF(Mercado_Receita!$T$2:$T$475,"44470B2Energia horáriaRuralServiço público de irrigação ruralNão se aplicaNão se aplicaPonta",Mercado_Receita!$N$2:$N$475)</f>
        <v>0</v>
      </c>
      <c r="L26" s="13">
        <f>SUMIF(Mercado_Receita!$T$2:$T$475,"44501B2Energia horáriaRuralServiço público de irrigação ruralNão se aplicaNão se aplicaPonta",Mercado_Receita!$N$2:$N$475)</f>
        <v>0</v>
      </c>
      <c r="M26" s="13">
        <f>SUMIF(Mercado_Receita!$T$2:$T$475,"44531B2Energia horáriaRuralServiço público de irrigação ruralNão se aplicaNão se aplicaPonta",Mercado_Receita!$N$2:$N$475)</f>
        <v>0</v>
      </c>
      <c r="N26" s="13">
        <f>SUMIF(Mercado_Receita!$T$2:$T$475,"44562B2Energia horáriaRuralServiço público de irrigação ruralNão se aplicaNão se aplicaPonta",Mercado_Receita!$N$2:$N$475)</f>
        <v>0</v>
      </c>
      <c r="O26" s="13">
        <f>SUMIF(Mercado_Receita!$T$2:$T$475,"44593B2Energia horáriaRuralServiço público de irrigação ruralNão se aplicaNão se aplicaPonta",Mercado_Receita!$N$2:$N$475)</f>
        <v>0</v>
      </c>
      <c r="P26" s="13">
        <f>SUMIF(Mercado_Receita!$T$2:$T$475,"44621B2Energia horáriaRuralServiço público de irrigação ruralNão se aplicaNão se aplicaPonta",Mercado_Receita!$N$2:$N$475)</f>
        <v>0</v>
      </c>
      <c r="Q26" s="13">
        <f>SUMIF(Mercado_Receita!$T$2:$T$475,"44652B2Energia horáriaRuralServiço público de irrigação ruralNão se aplicaNão se aplicaPonta",Mercado_Receita!$N$2:$N$475)</f>
        <v>0</v>
      </c>
      <c r="R26" s="13">
        <f>SUMIF(Mercado_Receita!$T$2:$T$475,"44682B2Energia horáriaRuralServiço público de irrigação ruralNão se aplicaNão se aplicaPonta",Mercado_Receita!$N$2:$N$475)</f>
        <v>0</v>
      </c>
      <c r="S26" s="13">
        <f>SUMIF(Mercado_Receita!$T$2:$T$475,"44713B2Energia horáriaRuralServiço público de irrigação ruralNão se aplicaNão se aplicaPonta",Mercado_Receita!$N$2:$N$475)</f>
        <v>0</v>
      </c>
      <c r="T26" s="13">
        <f>SUMIF(Mercado_Receita!$T$2:$T$475,"44743B2Energia horáriaRuralServiço público de irrigação ruralNão se aplicaNão se aplicaPonta",Mercado_Receita!$N$2:$N$475)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124"/>
      <c r="B27" s="124"/>
      <c r="C27" s="124"/>
      <c r="D27" s="124"/>
      <c r="E27" s="124"/>
      <c r="F27" s="124"/>
      <c r="G27" s="13" t="s">
        <v>88</v>
      </c>
      <c r="H27" s="13" t="s">
        <v>75</v>
      </c>
      <c r="I27" s="13">
        <f>SUMIF(Mercado_Receita!$T$2:$T$475,"44409B2Energia horáriaRuralServiço público de irrigação ruralNão se aplicaNão se aplicaIntermediário",Mercado_Receita!$N$2:$N$475)</f>
        <v>0</v>
      </c>
      <c r="J27" s="13">
        <f>SUMIF(Mercado_Receita!$T$2:$T$475,"44440B2Energia horáriaRuralServiço público de irrigação ruralNão se aplicaNão se aplicaIntermediário",Mercado_Receita!$N$2:$N$475)</f>
        <v>0</v>
      </c>
      <c r="K27" s="13">
        <f>SUMIF(Mercado_Receita!$T$2:$T$475,"44470B2Energia horáriaRuralServiço público de irrigação ruralNão se aplicaNão se aplicaIntermediário",Mercado_Receita!$N$2:$N$475)</f>
        <v>0</v>
      </c>
      <c r="L27" s="13">
        <f>SUMIF(Mercado_Receita!$T$2:$T$475,"44501B2Energia horáriaRuralServiço público de irrigação ruralNão se aplicaNão se aplicaIntermediário",Mercado_Receita!$N$2:$N$475)</f>
        <v>0</v>
      </c>
      <c r="M27" s="13">
        <f>SUMIF(Mercado_Receita!$T$2:$T$475,"44531B2Energia horáriaRuralServiço público de irrigação ruralNão se aplicaNão se aplicaIntermediário",Mercado_Receita!$N$2:$N$475)</f>
        <v>0</v>
      </c>
      <c r="N27" s="13">
        <f>SUMIF(Mercado_Receita!$T$2:$T$475,"44562B2Energia horáriaRuralServiço público de irrigação ruralNão se aplicaNão se aplicaIntermediário",Mercado_Receita!$N$2:$N$475)</f>
        <v>0</v>
      </c>
      <c r="O27" s="13">
        <f>SUMIF(Mercado_Receita!$T$2:$T$475,"44593B2Energia horáriaRuralServiço público de irrigação ruralNão se aplicaNão se aplicaIntermediário",Mercado_Receita!$N$2:$N$475)</f>
        <v>0</v>
      </c>
      <c r="P27" s="13">
        <f>SUMIF(Mercado_Receita!$T$2:$T$475,"44621B2Energia horáriaRuralServiço público de irrigação ruralNão se aplicaNão se aplicaIntermediário",Mercado_Receita!$N$2:$N$475)</f>
        <v>0</v>
      </c>
      <c r="Q27" s="13">
        <f>SUMIF(Mercado_Receita!$T$2:$T$475,"44652B2Energia horáriaRuralServiço público de irrigação ruralNão se aplicaNão se aplicaIntermediário",Mercado_Receita!$N$2:$N$475)</f>
        <v>0</v>
      </c>
      <c r="R27" s="13">
        <f>SUMIF(Mercado_Receita!$T$2:$T$475,"44682B2Energia horáriaRuralServiço público de irrigação ruralNão se aplicaNão se aplicaIntermediário",Mercado_Receita!$N$2:$N$475)</f>
        <v>0</v>
      </c>
      <c r="S27" s="13">
        <f>SUMIF(Mercado_Receita!$T$2:$T$475,"44713B2Energia horáriaRuralServiço público de irrigação ruralNão se aplicaNão se aplicaIntermediário",Mercado_Receita!$N$2:$N$475)</f>
        <v>0</v>
      </c>
      <c r="T27" s="13">
        <f>SUMIF(Mercado_Receita!$T$2:$T$475,"44743B2Energia horáriaRuralServiço público de irrigação ruralNão se aplicaNão se aplicaIntermediário",Mercado_Receita!$N$2:$N$475)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124"/>
      <c r="B28" s="124"/>
      <c r="C28" s="124"/>
      <c r="D28" s="124"/>
      <c r="E28" s="124"/>
      <c r="F28" s="124"/>
      <c r="G28" s="13" t="s">
        <v>77</v>
      </c>
      <c r="H28" s="13" t="s">
        <v>75</v>
      </c>
      <c r="I28" s="13">
        <f>SUMIF(Mercado_Receita!$T$2:$T$475,"44409B2Energia horáriaRuralServiço público de irrigação ruralNão se aplicaNão se aplicaFora ponta",Mercado_Receita!$N$2:$N$475)</f>
        <v>0</v>
      </c>
      <c r="J28" s="13">
        <f>SUMIF(Mercado_Receita!$T$2:$T$475,"44440B2Energia horáriaRuralServiço público de irrigação ruralNão se aplicaNão se aplicaFora ponta",Mercado_Receita!$N$2:$N$475)</f>
        <v>0</v>
      </c>
      <c r="K28" s="13">
        <f>SUMIF(Mercado_Receita!$T$2:$T$475,"44470B2Energia horáriaRuralServiço público de irrigação ruralNão se aplicaNão se aplicaFora ponta",Mercado_Receita!$N$2:$N$475)</f>
        <v>0</v>
      </c>
      <c r="L28" s="13">
        <f>SUMIF(Mercado_Receita!$T$2:$T$475,"44501B2Energia horáriaRuralServiço público de irrigação ruralNão se aplicaNão se aplicaFora ponta",Mercado_Receita!$N$2:$N$475)</f>
        <v>0</v>
      </c>
      <c r="M28" s="13">
        <f>SUMIF(Mercado_Receita!$T$2:$T$475,"44531B2Energia horáriaRuralServiço público de irrigação ruralNão se aplicaNão se aplicaFora ponta",Mercado_Receita!$N$2:$N$475)</f>
        <v>0</v>
      </c>
      <c r="N28" s="13">
        <f>SUMIF(Mercado_Receita!$T$2:$T$475,"44562B2Energia horáriaRuralServiço público de irrigação ruralNão se aplicaNão se aplicaFora ponta",Mercado_Receita!$N$2:$N$475)</f>
        <v>0</v>
      </c>
      <c r="O28" s="13">
        <f>SUMIF(Mercado_Receita!$T$2:$T$475,"44593B2Energia horáriaRuralServiço público de irrigação ruralNão se aplicaNão se aplicaFora ponta",Mercado_Receita!$N$2:$N$475)</f>
        <v>0</v>
      </c>
      <c r="P28" s="13">
        <f>SUMIF(Mercado_Receita!$T$2:$T$475,"44621B2Energia horáriaRuralServiço público de irrigação ruralNão se aplicaNão se aplicaFora ponta",Mercado_Receita!$N$2:$N$475)</f>
        <v>0</v>
      </c>
      <c r="Q28" s="13">
        <f>SUMIF(Mercado_Receita!$T$2:$T$475,"44652B2Energia horáriaRuralServiço público de irrigação ruralNão se aplicaNão se aplicaFora ponta",Mercado_Receita!$N$2:$N$475)</f>
        <v>0</v>
      </c>
      <c r="R28" s="13">
        <f>SUMIF(Mercado_Receita!$T$2:$T$475,"44682B2Energia horáriaRuralServiço público de irrigação ruralNão se aplicaNão se aplicaFora ponta",Mercado_Receita!$N$2:$N$475)</f>
        <v>0</v>
      </c>
      <c r="S28" s="13">
        <f>SUMIF(Mercado_Receita!$T$2:$T$475,"44713B2Energia horáriaRuralServiço público de irrigação ruralNão se aplicaNão se aplicaFora ponta",Mercado_Receita!$N$2:$N$475)</f>
        <v>0</v>
      </c>
      <c r="T28" s="13">
        <f>SUMIF(Mercado_Receita!$T$2:$T$475,"44743B2Energia horáriaRuralServiço público de irrigação ruralNão se aplicaNão se aplicaFora ponta",Mercado_Receita!$N$2:$N$475)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124"/>
      <c r="B29" s="12" t="s">
        <v>78</v>
      </c>
      <c r="C29" s="12" t="s">
        <v>42</v>
      </c>
      <c r="D29" s="12" t="s">
        <v>92</v>
      </c>
      <c r="E29" s="12" t="s">
        <v>25</v>
      </c>
      <c r="F29" s="12" t="s">
        <v>25</v>
      </c>
      <c r="G29" s="13" t="s">
        <v>79</v>
      </c>
      <c r="H29" s="13" t="s">
        <v>75</v>
      </c>
      <c r="I29" s="13">
        <f>SUMIF(Mercado_Receita!$T$2:$T$475,"44409B2Energia convencionalRuralServiço público de irrigação ruralNão se aplicaNão se aplicaNão se aplica",Mercado_Receita!$N$2:$N$475)</f>
        <v>0</v>
      </c>
      <c r="J29" s="13">
        <f>SUMIF(Mercado_Receita!$T$2:$T$475,"44440B2Energia convencionalRuralServiço público de irrigação ruralNão se aplicaNão se aplicaNão se aplica",Mercado_Receita!$N$2:$N$475)</f>
        <v>0</v>
      </c>
      <c r="K29" s="13">
        <f>SUMIF(Mercado_Receita!$T$2:$T$475,"44470B2Energia convencionalRuralServiço público de irrigação ruralNão se aplicaNão se aplicaNão se aplica",Mercado_Receita!$N$2:$N$475)</f>
        <v>0</v>
      </c>
      <c r="L29" s="13">
        <f>SUMIF(Mercado_Receita!$T$2:$T$475,"44501B2Energia convencionalRuralServiço público de irrigação ruralNão se aplicaNão se aplicaNão se aplica",Mercado_Receita!$N$2:$N$475)</f>
        <v>0</v>
      </c>
      <c r="M29" s="13">
        <f>SUMIF(Mercado_Receita!$T$2:$T$475,"44531B2Energia convencionalRuralServiço público de irrigação ruralNão se aplicaNão se aplicaNão se aplica",Mercado_Receita!$N$2:$N$475)</f>
        <v>0</v>
      </c>
      <c r="N29" s="13">
        <f>SUMIF(Mercado_Receita!$T$2:$T$475,"44562B2Energia convencionalRuralServiço público de irrigação ruralNão se aplicaNão se aplicaNão se aplica",Mercado_Receita!$N$2:$N$475)</f>
        <v>0</v>
      </c>
      <c r="O29" s="13">
        <f>SUMIF(Mercado_Receita!$T$2:$T$475,"44593B2Energia convencionalRuralServiço público de irrigação ruralNão se aplicaNão se aplicaNão se aplica",Mercado_Receita!$N$2:$N$475)</f>
        <v>0</v>
      </c>
      <c r="P29" s="13">
        <f>SUMIF(Mercado_Receita!$T$2:$T$475,"44621B2Energia convencionalRuralServiço público de irrigação ruralNão se aplicaNão se aplicaNão se aplica",Mercado_Receita!$N$2:$N$475)</f>
        <v>0</v>
      </c>
      <c r="Q29" s="13">
        <f>SUMIF(Mercado_Receita!$T$2:$T$475,"44652B2Energia convencionalRuralServiço público de irrigação ruralNão se aplicaNão se aplicaNão se aplica",Mercado_Receita!$N$2:$N$475)</f>
        <v>0</v>
      </c>
      <c r="R29" s="13">
        <f>SUMIF(Mercado_Receita!$T$2:$T$475,"44682B2Energia convencionalRuralServiço público de irrigação ruralNão se aplicaNão se aplicaNão se aplica",Mercado_Receita!$N$2:$N$475)</f>
        <v>0</v>
      </c>
      <c r="S29" s="13">
        <f>SUMIF(Mercado_Receita!$T$2:$T$475,"44713B2Energia convencionalRuralServiço público de irrigação ruralNão se aplicaNão se aplicaNão se aplica",Mercado_Receita!$N$2:$N$475)</f>
        <v>0</v>
      </c>
      <c r="T29" s="13">
        <f>SUMIF(Mercado_Receita!$T$2:$T$475,"44743B2Energia convencionalRuralServiço público de irrigação ruralNão se aplicaNão se aplicaNão se aplica",Mercado_Receita!$N$2:$N$475)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124"/>
      <c r="B30" s="123" t="s">
        <v>89</v>
      </c>
      <c r="C30" s="123" t="s">
        <v>42</v>
      </c>
      <c r="D30" s="12" t="s">
        <v>25</v>
      </c>
      <c r="E30" s="12" t="s">
        <v>25</v>
      </c>
      <c r="F30" s="12" t="s">
        <v>25</v>
      </c>
      <c r="G30" s="13" t="s">
        <v>79</v>
      </c>
      <c r="H30" s="13" t="s">
        <v>75</v>
      </c>
      <c r="I30" s="13">
        <f>SUMIF(Mercado_Receita!$T$2:$T$475,"44409B2Energia convencional pré-pagamentoRuralNão se aplicaNão se aplicaNão se aplicaNão se aplica",Mercado_Receita!$N$2:$N$475)</f>
        <v>0</v>
      </c>
      <c r="J30" s="13">
        <f>SUMIF(Mercado_Receita!$T$2:$T$475,"44440B2Energia convencional pré-pagamentoRuralNão se aplicaNão se aplicaNão se aplicaNão se aplica",Mercado_Receita!$N$2:$N$475)</f>
        <v>0</v>
      </c>
      <c r="K30" s="13">
        <f>SUMIF(Mercado_Receita!$T$2:$T$475,"44470B2Energia convencional pré-pagamentoRuralNão se aplicaNão se aplicaNão se aplicaNão se aplica",Mercado_Receita!$N$2:$N$475)</f>
        <v>0</v>
      </c>
      <c r="L30" s="13">
        <f>SUMIF(Mercado_Receita!$T$2:$T$475,"44501B2Energia convencional pré-pagamentoRuralNão se aplicaNão se aplicaNão se aplicaNão se aplica",Mercado_Receita!$N$2:$N$475)</f>
        <v>0</v>
      </c>
      <c r="M30" s="13">
        <f>SUMIF(Mercado_Receita!$T$2:$T$475,"44531B2Energia convencional pré-pagamentoRuralNão se aplicaNão se aplicaNão se aplicaNão se aplica",Mercado_Receita!$N$2:$N$475)</f>
        <v>0</v>
      </c>
      <c r="N30" s="13">
        <f>SUMIF(Mercado_Receita!$T$2:$T$475,"44562B2Energia convencional pré-pagamentoRuralNão se aplicaNão se aplicaNão se aplicaNão se aplica",Mercado_Receita!$N$2:$N$475)</f>
        <v>0</v>
      </c>
      <c r="O30" s="13">
        <f>SUMIF(Mercado_Receita!$T$2:$T$475,"44593B2Energia convencional pré-pagamentoRuralNão se aplicaNão se aplicaNão se aplicaNão se aplica",Mercado_Receita!$N$2:$N$475)</f>
        <v>0</v>
      </c>
      <c r="P30" s="13">
        <f>SUMIF(Mercado_Receita!$T$2:$T$475,"44621B2Energia convencional pré-pagamentoRuralNão se aplicaNão se aplicaNão se aplicaNão se aplica",Mercado_Receita!$N$2:$N$475)</f>
        <v>0</v>
      </c>
      <c r="Q30" s="13">
        <f>SUMIF(Mercado_Receita!$T$2:$T$475,"44652B2Energia convencional pré-pagamentoRuralNão se aplicaNão se aplicaNão se aplicaNão se aplica",Mercado_Receita!$N$2:$N$475)</f>
        <v>0</v>
      </c>
      <c r="R30" s="13">
        <f>SUMIF(Mercado_Receita!$T$2:$T$475,"44682B2Energia convencional pré-pagamentoRuralNão se aplicaNão se aplicaNão se aplicaNão se aplica",Mercado_Receita!$N$2:$N$475)</f>
        <v>0</v>
      </c>
      <c r="S30" s="13">
        <f>SUMIF(Mercado_Receita!$T$2:$T$475,"44713B2Energia convencional pré-pagamentoRuralNão se aplicaNão se aplicaNão se aplicaNão se aplica",Mercado_Receita!$N$2:$N$475)</f>
        <v>0</v>
      </c>
      <c r="T30" s="13">
        <f>SUMIF(Mercado_Receita!$T$2:$T$475,"44743B2Energia convencional pré-pagamentoRuralNão se aplicaNão se aplicaNão se aplicaNão se aplica",Mercado_Receita!$N$2:$N$475)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124"/>
      <c r="B31" s="124"/>
      <c r="C31" s="124"/>
      <c r="D31" s="12" t="s">
        <v>91</v>
      </c>
      <c r="E31" s="12" t="s">
        <v>25</v>
      </c>
      <c r="F31" s="12" t="s">
        <v>25</v>
      </c>
      <c r="G31" s="13" t="s">
        <v>79</v>
      </c>
      <c r="H31" s="13" t="s">
        <v>75</v>
      </c>
      <c r="I31" s="13">
        <f>SUMIF(Mercado_Receita!$T$2:$T$475,"44409B2Energia convencional pré-pagamentoRuralCooperativa de eletrificação ruralNão se aplicaNão se aplicaNão se aplica",Mercado_Receita!$N$2:$N$475)</f>
        <v>0</v>
      </c>
      <c r="J31" s="13">
        <f>SUMIF(Mercado_Receita!$T$2:$T$475,"44440B2Energia convencional pré-pagamentoRuralCooperativa de eletrificação ruralNão se aplicaNão se aplicaNão se aplica",Mercado_Receita!$N$2:$N$475)</f>
        <v>0</v>
      </c>
      <c r="K31" s="13">
        <f>SUMIF(Mercado_Receita!$T$2:$T$475,"44470B2Energia convencional pré-pagamentoRuralCooperativa de eletrificação ruralNão se aplicaNão se aplicaNão se aplica",Mercado_Receita!$N$2:$N$475)</f>
        <v>0</v>
      </c>
      <c r="L31" s="13">
        <f>SUMIF(Mercado_Receita!$T$2:$T$475,"44501B2Energia convencional pré-pagamentoRuralCooperativa de eletrificação ruralNão se aplicaNão se aplicaNão se aplica",Mercado_Receita!$N$2:$N$475)</f>
        <v>0</v>
      </c>
      <c r="M31" s="13">
        <f>SUMIF(Mercado_Receita!$T$2:$T$475,"44531B2Energia convencional pré-pagamentoRuralCooperativa de eletrificação ruralNão se aplicaNão se aplicaNão se aplica",Mercado_Receita!$N$2:$N$475)</f>
        <v>0</v>
      </c>
      <c r="N31" s="13">
        <f>SUMIF(Mercado_Receita!$T$2:$T$475,"44562B2Energia convencional pré-pagamentoRuralCooperativa de eletrificação ruralNão se aplicaNão se aplicaNão se aplica",Mercado_Receita!$N$2:$N$475)</f>
        <v>0</v>
      </c>
      <c r="O31" s="13">
        <f>SUMIF(Mercado_Receita!$T$2:$T$475,"44593B2Energia convencional pré-pagamentoRuralCooperativa de eletrificação ruralNão se aplicaNão se aplicaNão se aplica",Mercado_Receita!$N$2:$N$475)</f>
        <v>0</v>
      </c>
      <c r="P31" s="13">
        <f>SUMIF(Mercado_Receita!$T$2:$T$475,"44621B2Energia convencional pré-pagamentoRuralCooperativa de eletrificação ruralNão se aplicaNão se aplicaNão se aplica",Mercado_Receita!$N$2:$N$475)</f>
        <v>0</v>
      </c>
      <c r="Q31" s="13">
        <f>SUMIF(Mercado_Receita!$T$2:$T$475,"44652B2Energia convencional pré-pagamentoRuralCooperativa de eletrificação ruralNão se aplicaNão se aplicaNão se aplica",Mercado_Receita!$N$2:$N$475)</f>
        <v>0</v>
      </c>
      <c r="R31" s="13">
        <f>SUMIF(Mercado_Receita!$T$2:$T$475,"44682B2Energia convencional pré-pagamentoRuralCooperativa de eletrificação ruralNão se aplicaNão se aplicaNão se aplica",Mercado_Receita!$N$2:$N$475)</f>
        <v>0</v>
      </c>
      <c r="S31" s="13">
        <f>SUMIF(Mercado_Receita!$T$2:$T$475,"44713B2Energia convencional pré-pagamentoRuralCooperativa de eletrificação ruralNão se aplicaNão se aplicaNão se aplica",Mercado_Receita!$N$2:$N$475)</f>
        <v>0</v>
      </c>
      <c r="T31" s="13">
        <f>SUMIF(Mercado_Receita!$T$2:$T$475,"44743B2Energia convencional pré-pagamentoRuralCooperativa de eletrificação ruralNão se aplicaNão se aplicaNão se aplica",Mercado_Receita!$N$2:$N$475)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124"/>
      <c r="B32" s="124"/>
      <c r="C32" s="124"/>
      <c r="D32" s="12" t="s">
        <v>92</v>
      </c>
      <c r="E32" s="12" t="s">
        <v>25</v>
      </c>
      <c r="F32" s="12" t="s">
        <v>25</v>
      </c>
      <c r="G32" s="13" t="s">
        <v>79</v>
      </c>
      <c r="H32" s="13" t="s">
        <v>75</v>
      </c>
      <c r="I32" s="13">
        <f>SUMIF(Mercado_Receita!$T$2:$T$475,"44409B2Energia convencional pré-pagamentoRuralServiço público de irrigação ruralNão se aplicaNão se aplicaNão se aplica",Mercado_Receita!$N$2:$N$475)</f>
        <v>0</v>
      </c>
      <c r="J32" s="13">
        <f>SUMIF(Mercado_Receita!$T$2:$T$475,"44440B2Energia convencional pré-pagamentoRuralServiço público de irrigação ruralNão se aplicaNão se aplicaNão se aplica",Mercado_Receita!$N$2:$N$475)</f>
        <v>0</v>
      </c>
      <c r="K32" s="13">
        <f>SUMIF(Mercado_Receita!$T$2:$T$475,"44470B2Energia convencional pré-pagamentoRuralServiço público de irrigação ruralNão se aplicaNão se aplicaNão se aplica",Mercado_Receita!$N$2:$N$475)</f>
        <v>0</v>
      </c>
      <c r="L32" s="13">
        <f>SUMIF(Mercado_Receita!$T$2:$T$475,"44501B2Energia convencional pré-pagamentoRuralServiço público de irrigação ruralNão se aplicaNão se aplicaNão se aplica",Mercado_Receita!$N$2:$N$475)</f>
        <v>0</v>
      </c>
      <c r="M32" s="13">
        <f>SUMIF(Mercado_Receita!$T$2:$T$475,"44531B2Energia convencional pré-pagamentoRuralServiço público de irrigação ruralNão se aplicaNão se aplicaNão se aplica",Mercado_Receita!$N$2:$N$475)</f>
        <v>0</v>
      </c>
      <c r="N32" s="13">
        <f>SUMIF(Mercado_Receita!$T$2:$T$475,"44562B2Energia convencional pré-pagamentoRuralServiço público de irrigação ruralNão se aplicaNão se aplicaNão se aplica",Mercado_Receita!$N$2:$N$475)</f>
        <v>0</v>
      </c>
      <c r="O32" s="13">
        <f>SUMIF(Mercado_Receita!$T$2:$T$475,"44593B2Energia convencional pré-pagamentoRuralServiço público de irrigação ruralNão se aplicaNão se aplicaNão se aplica",Mercado_Receita!$N$2:$N$475)</f>
        <v>0</v>
      </c>
      <c r="P32" s="13">
        <f>SUMIF(Mercado_Receita!$T$2:$T$475,"44621B2Energia convencional pré-pagamentoRuralServiço público de irrigação ruralNão se aplicaNão se aplicaNão se aplica",Mercado_Receita!$N$2:$N$475)</f>
        <v>0</v>
      </c>
      <c r="Q32" s="13">
        <f>SUMIF(Mercado_Receita!$T$2:$T$475,"44652B2Energia convencional pré-pagamentoRuralServiço público de irrigação ruralNão se aplicaNão se aplicaNão se aplica",Mercado_Receita!$N$2:$N$475)</f>
        <v>0</v>
      </c>
      <c r="R32" s="13">
        <f>SUMIF(Mercado_Receita!$T$2:$T$475,"44682B2Energia convencional pré-pagamentoRuralServiço público de irrigação ruralNão se aplicaNão se aplicaNão se aplica",Mercado_Receita!$N$2:$N$475)</f>
        <v>0</v>
      </c>
      <c r="S32" s="13">
        <f>SUMIF(Mercado_Receita!$T$2:$T$475,"44713B2Energia convencional pré-pagamentoRuralServiço público de irrigação ruralNão se aplicaNão se aplicaNão se aplica",Mercado_Receita!$N$2:$N$475)</f>
        <v>0</v>
      </c>
      <c r="T32" s="13">
        <f>SUMIF(Mercado_Receita!$T$2:$T$475,"44743B2Energia convencional pré-pagamentoRuralServiço público de irrigação ruralNão se aplicaNão se aplicaNão se aplica",Mercado_Receita!$N$2:$N$475)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123" t="s">
        <v>36</v>
      </c>
      <c r="B33" s="123" t="s">
        <v>74</v>
      </c>
      <c r="C33" s="123" t="s">
        <v>25</v>
      </c>
      <c r="D33" s="123" t="s">
        <v>25</v>
      </c>
      <c r="E33" s="123" t="s">
        <v>25</v>
      </c>
      <c r="F33" s="123" t="s">
        <v>25</v>
      </c>
      <c r="G33" s="13" t="s">
        <v>76</v>
      </c>
      <c r="H33" s="13" t="s">
        <v>75</v>
      </c>
      <c r="I33" s="13">
        <f>SUMIF(Mercado_Receita!$T$2:$T$475,"44409B3Energia horáriaNão se aplicaNão se aplicaNão se aplicaNão se aplicaPonta",Mercado_Receita!$N$2:$N$475)</f>
        <v>2.9000000000000001E-2</v>
      </c>
      <c r="J33" s="13">
        <f>SUMIF(Mercado_Receita!$T$2:$T$475,"44440B3Energia horáriaNão se aplicaNão se aplicaNão se aplicaNão se aplicaPonta",Mercado_Receita!$N$2:$N$475)</f>
        <v>2.9000000000000001E-2</v>
      </c>
      <c r="K33" s="13">
        <f>SUMIF(Mercado_Receita!$T$2:$T$475,"44470B3Energia horáriaNão se aplicaNão se aplicaNão se aplicaNão se aplicaPonta",Mercado_Receita!$N$2:$N$475)</f>
        <v>2.5000000000000001E-2</v>
      </c>
      <c r="L33" s="13">
        <f>SUMIF(Mercado_Receita!$T$2:$T$475,"44501B3Energia horáriaNão se aplicaNão se aplicaNão se aplicaNão se aplicaPonta",Mercado_Receita!$N$2:$N$475)</f>
        <v>2.5000000000000001E-2</v>
      </c>
      <c r="M33" s="13">
        <f>SUMIF(Mercado_Receita!$T$2:$T$475,"44531B3Energia horáriaNão se aplicaNão se aplicaNão se aplicaNão se aplicaPonta",Mercado_Receita!$N$2:$N$475)</f>
        <v>3.1E-2</v>
      </c>
      <c r="N33" s="13">
        <f>SUMIF(Mercado_Receita!$T$2:$T$475,"44562B3Energia horáriaNão se aplicaNão se aplicaNão se aplicaNão se aplicaPonta",Mercado_Receita!$N$2:$N$475)</f>
        <v>0.03</v>
      </c>
      <c r="O33" s="13">
        <f>SUMIF(Mercado_Receita!$T$2:$T$475,"44593B3Energia horáriaNão se aplicaNão se aplicaNão se aplicaNão se aplicaPonta",Mercado_Receita!$N$2:$N$475)</f>
        <v>3.6999999999999998E-2</v>
      </c>
      <c r="P33" s="13">
        <f>SUMIF(Mercado_Receita!$T$2:$T$475,"44621B3Energia horáriaNão se aplicaNão se aplicaNão se aplicaNão se aplicaPonta",Mercado_Receita!$N$2:$N$475)</f>
        <v>2.5999999999999999E-2</v>
      </c>
      <c r="Q33" s="13">
        <f>SUMIF(Mercado_Receita!$T$2:$T$475,"44652B3Energia horáriaNão se aplicaNão se aplicaNão se aplicaNão se aplicaPonta",Mercado_Receita!$N$2:$N$475)</f>
        <v>2.4E-2</v>
      </c>
      <c r="R33" s="13">
        <f>SUMIF(Mercado_Receita!$T$2:$T$475,"44682B3Energia horáriaNão se aplicaNão se aplicaNão se aplicaNão se aplicaPonta",Mercado_Receita!$N$2:$N$475)</f>
        <v>2.5999999999999999E-2</v>
      </c>
      <c r="S33" s="13">
        <f>SUMIF(Mercado_Receita!$T$2:$T$475,"44713B3Energia horáriaNão se aplicaNão se aplicaNão se aplicaNão se aplicaPonta",Mercado_Receita!$N$2:$N$475)</f>
        <v>2.7E-2</v>
      </c>
      <c r="T33" s="13">
        <f>SUMIF(Mercado_Receita!$T$2:$T$475,"44743B3Energia horáriaNão se aplicaNão se aplicaNão se aplicaNão se aplicaPonta",Mercado_Receita!$N$2:$N$475)</f>
        <v>2.7E-2</v>
      </c>
      <c r="U33" s="13">
        <f t="shared" si="0"/>
        <v>0.33600000000000008</v>
      </c>
      <c r="V33" s="13"/>
      <c r="W33" s="13"/>
    </row>
    <row r="34" spans="1:23" ht="11.25" customHeight="1" x14ac:dyDescent="0.25">
      <c r="A34" s="124"/>
      <c r="B34" s="124"/>
      <c r="C34" s="124"/>
      <c r="D34" s="124"/>
      <c r="E34" s="124"/>
      <c r="F34" s="124"/>
      <c r="G34" s="13" t="s">
        <v>88</v>
      </c>
      <c r="H34" s="13" t="s">
        <v>75</v>
      </c>
      <c r="I34" s="13">
        <f>SUMIF(Mercado_Receita!$T$2:$T$475,"44409B3Energia horáriaNão se aplicaNão se aplicaNão se aplicaNão se aplicaIntermediário",Mercado_Receita!$N$2:$N$475)</f>
        <v>2.5999999999999999E-2</v>
      </c>
      <c r="J34" s="13">
        <f>SUMIF(Mercado_Receita!$T$2:$T$475,"44440B3Energia horáriaNão se aplicaNão se aplicaNão se aplicaNão se aplicaIntermediário",Mercado_Receita!$N$2:$N$475)</f>
        <v>2.8000000000000001E-2</v>
      </c>
      <c r="K34" s="13">
        <f>SUMIF(Mercado_Receita!$T$2:$T$475,"44470B3Energia horáriaNão se aplicaNão se aplicaNão se aplicaNão se aplicaIntermediário",Mercado_Receita!$N$2:$N$475)</f>
        <v>3.1E-2</v>
      </c>
      <c r="L34" s="13">
        <f>SUMIF(Mercado_Receita!$T$2:$T$475,"44501B3Energia horáriaNão se aplicaNão se aplicaNão se aplicaNão se aplicaIntermediário",Mercado_Receita!$N$2:$N$475)</f>
        <v>4.8000000000000001E-2</v>
      </c>
      <c r="M34" s="13">
        <f>SUMIF(Mercado_Receita!$T$2:$T$475,"44531B3Energia horáriaNão se aplicaNão se aplicaNão se aplicaNão se aplicaIntermediário",Mercado_Receita!$N$2:$N$475)</f>
        <v>4.9000000000000002E-2</v>
      </c>
      <c r="N34" s="13">
        <f>SUMIF(Mercado_Receita!$T$2:$T$475,"44562B3Energia horáriaNão se aplicaNão se aplicaNão se aplicaNão se aplicaIntermediário",Mercado_Receita!$N$2:$N$475)</f>
        <v>4.1000000000000002E-2</v>
      </c>
      <c r="O34" s="13">
        <f>SUMIF(Mercado_Receita!$T$2:$T$475,"44593B3Energia horáriaNão se aplicaNão se aplicaNão se aplicaNão se aplicaIntermediário",Mercado_Receita!$N$2:$N$475)</f>
        <v>6.4000000000000001E-2</v>
      </c>
      <c r="P34" s="13">
        <f>SUMIF(Mercado_Receita!$T$2:$T$475,"44621B3Energia horáriaNão se aplicaNão se aplicaNão se aplicaNão se aplicaIntermediário",Mercado_Receita!$N$2:$N$475)</f>
        <v>4.3999999999999997E-2</v>
      </c>
      <c r="Q34" s="13">
        <f>SUMIF(Mercado_Receita!$T$2:$T$475,"44652B3Energia horáriaNão se aplicaNão se aplicaNão se aplicaNão se aplicaIntermediário",Mercado_Receita!$N$2:$N$475)</f>
        <v>3.6999999999999998E-2</v>
      </c>
      <c r="R34" s="13">
        <f>SUMIF(Mercado_Receita!$T$2:$T$475,"44682B3Energia horáriaNão se aplicaNão se aplicaNão se aplicaNão se aplicaIntermediário",Mercado_Receita!$N$2:$N$475)</f>
        <v>3.5000000000000003E-2</v>
      </c>
      <c r="S34" s="13">
        <f>SUMIF(Mercado_Receita!$T$2:$T$475,"44713B3Energia horáriaNão se aplicaNão se aplicaNão se aplicaNão se aplicaIntermediário",Mercado_Receita!$N$2:$N$475)</f>
        <v>2.8000000000000001E-2</v>
      </c>
      <c r="T34" s="13">
        <f>SUMIF(Mercado_Receita!$T$2:$T$475,"44743B3Energia horáriaNão se aplicaNão se aplicaNão se aplicaNão se aplicaIntermediário",Mercado_Receita!$N$2:$N$475)</f>
        <v>2.8000000000000001E-2</v>
      </c>
      <c r="U34" s="13">
        <f t="shared" si="0"/>
        <v>0.45900000000000007</v>
      </c>
      <c r="V34" s="13"/>
      <c r="W34" s="13"/>
    </row>
    <row r="35" spans="1:23" ht="11.25" customHeight="1" x14ac:dyDescent="0.25">
      <c r="A35" s="124"/>
      <c r="B35" s="124"/>
      <c r="C35" s="124"/>
      <c r="D35" s="124"/>
      <c r="E35" s="124"/>
      <c r="F35" s="124"/>
      <c r="G35" s="13" t="s">
        <v>77</v>
      </c>
      <c r="H35" s="13" t="s">
        <v>75</v>
      </c>
      <c r="I35" s="13">
        <f>SUMIF(Mercado_Receita!$T$2:$T$475,"44409B3Energia horáriaNão se aplicaNão se aplicaNão se aplicaNão se aplicaFora ponta",Mercado_Receita!$N$2:$N$475)</f>
        <v>0.67900000000000005</v>
      </c>
      <c r="J35" s="13">
        <f>SUMIF(Mercado_Receita!$T$2:$T$475,"44440B3Energia horáriaNão se aplicaNão se aplicaNão se aplicaNão se aplicaFora ponta",Mercado_Receita!$N$2:$N$475)</f>
        <v>0.73699999999999999</v>
      </c>
      <c r="K35" s="13">
        <f>SUMIF(Mercado_Receita!$T$2:$T$475,"44470B3Energia horáriaNão se aplicaNão se aplicaNão se aplicaNão se aplicaFora ponta",Mercado_Receita!$N$2:$N$475)</f>
        <v>0.70199999999999996</v>
      </c>
      <c r="L35" s="13">
        <f>SUMIF(Mercado_Receita!$T$2:$T$475,"44501B3Energia horáriaNão se aplicaNão se aplicaNão se aplicaNão se aplicaFora ponta",Mercado_Receita!$N$2:$N$475)</f>
        <v>1.1000000000000001</v>
      </c>
      <c r="M35" s="13">
        <f>SUMIF(Mercado_Receita!$T$2:$T$475,"44531B3Energia horáriaNão se aplicaNão se aplicaNão se aplicaNão se aplicaFora ponta",Mercado_Receita!$N$2:$N$475)</f>
        <v>1.31</v>
      </c>
      <c r="N35" s="13">
        <f>SUMIF(Mercado_Receita!$T$2:$T$475,"44562B3Energia horáriaNão se aplicaNão se aplicaNão se aplicaNão se aplicaFora ponta",Mercado_Receita!$N$2:$N$475)</f>
        <v>1.37</v>
      </c>
      <c r="O35" s="13">
        <f>SUMIF(Mercado_Receita!$T$2:$T$475,"44593B3Energia horáriaNão se aplicaNão se aplicaNão se aplicaNão se aplicaFora ponta",Mercado_Receita!$N$2:$N$475)</f>
        <v>1.2749999999999999</v>
      </c>
      <c r="P35" s="13">
        <f>SUMIF(Mercado_Receita!$T$2:$T$475,"44621B3Energia horáriaNão se aplicaNão se aplicaNão se aplicaNão se aplicaFora ponta",Mercado_Receita!$N$2:$N$475)</f>
        <v>1.129</v>
      </c>
      <c r="Q35" s="13">
        <f>SUMIF(Mercado_Receita!$T$2:$T$475,"44652B3Energia horáriaNão se aplicaNão se aplicaNão se aplicaNão se aplicaFora ponta",Mercado_Receita!$N$2:$N$475)</f>
        <v>0.77100000000000002</v>
      </c>
      <c r="R35" s="13">
        <f>SUMIF(Mercado_Receita!$T$2:$T$475,"44682B3Energia horáriaNão se aplicaNão se aplicaNão se aplicaNão se aplicaFora ponta",Mercado_Receita!$N$2:$N$475)</f>
        <v>0.61699999999999999</v>
      </c>
      <c r="S35" s="13">
        <f>SUMIF(Mercado_Receita!$T$2:$T$475,"44713B3Energia horáriaNão se aplicaNão se aplicaNão se aplicaNão se aplicaFora ponta",Mercado_Receita!$N$2:$N$475)</f>
        <v>0.443</v>
      </c>
      <c r="T35" s="13">
        <f>SUMIF(Mercado_Receita!$T$2:$T$475,"44743B3Energia horáriaNão se aplicaNão se aplicaNão se aplicaNão se aplicaFora ponta",Mercado_Receita!$N$2:$N$475)</f>
        <v>0.443</v>
      </c>
      <c r="U35" s="13">
        <f t="shared" si="0"/>
        <v>10.576000000000001</v>
      </c>
      <c r="V35" s="13"/>
      <c r="W35" s="13"/>
    </row>
    <row r="36" spans="1:23" ht="11.25" customHeight="1" x14ac:dyDescent="0.25">
      <c r="A36" s="124"/>
      <c r="B36" s="12" t="s">
        <v>78</v>
      </c>
      <c r="C36" s="12" t="s">
        <v>25</v>
      </c>
      <c r="D36" s="12" t="s">
        <v>25</v>
      </c>
      <c r="E36" s="12" t="s">
        <v>25</v>
      </c>
      <c r="F36" s="12" t="s">
        <v>25</v>
      </c>
      <c r="G36" s="13" t="s">
        <v>79</v>
      </c>
      <c r="H36" s="13" t="s">
        <v>75</v>
      </c>
      <c r="I36" s="13">
        <f>SUMIF(Mercado_Receita!$T$2:$T$475,"44409B3Energia convencionalNão se aplicaNão se aplicaNão se aplicaNão se aplicaNão se aplica",Mercado_Receita!$N$2:$N$475)</f>
        <v>493.86799999999999</v>
      </c>
      <c r="J36" s="13">
        <f>SUMIF(Mercado_Receita!$T$2:$T$475,"44440B3Energia convencionalNão se aplicaNão se aplicaNão se aplicaNão se aplicaNão se aplica",Mercado_Receita!$N$2:$N$475)</f>
        <v>527.66500000000008</v>
      </c>
      <c r="K36" s="13">
        <f>SUMIF(Mercado_Receita!$T$2:$T$475,"44470B3Energia convencionalNão se aplicaNão se aplicaNão se aplicaNão se aplicaNão se aplica",Mercado_Receita!$N$2:$N$475)</f>
        <v>490.13899999999995</v>
      </c>
      <c r="L36" s="13">
        <f>SUMIF(Mercado_Receita!$T$2:$T$475,"44501B3Energia convencionalNão se aplicaNão se aplicaNão se aplicaNão se aplicaNão se aplica",Mercado_Receita!$N$2:$N$475)</f>
        <v>573.70900000000006</v>
      </c>
      <c r="M36" s="13">
        <f>SUMIF(Mercado_Receita!$T$2:$T$475,"44531B3Energia convencionalNão se aplicaNão se aplicaNão se aplicaNão se aplicaNão se aplica",Mercado_Receita!$N$2:$N$475)</f>
        <v>636.90700000000004</v>
      </c>
      <c r="N36" s="13">
        <f>SUMIF(Mercado_Receita!$T$2:$T$475,"44562B3Energia convencionalNão se aplicaNão se aplicaNão se aplicaNão se aplicaNão se aplica",Mercado_Receita!$N$2:$N$475)</f>
        <v>597</v>
      </c>
      <c r="O36" s="13">
        <f>SUMIF(Mercado_Receita!$T$2:$T$475,"44593B3Energia convencionalNão se aplicaNão se aplicaNão se aplicaNão se aplicaNão se aplica",Mercado_Receita!$N$2:$N$475)</f>
        <v>582.52800000000002</v>
      </c>
      <c r="P36" s="13">
        <f>SUMIF(Mercado_Receita!$T$2:$T$475,"44621B3Energia convencionalNão se aplicaNão se aplicaNão se aplicaNão se aplicaNão se aplica",Mercado_Receita!$N$2:$N$475)</f>
        <v>617.60500000000002</v>
      </c>
      <c r="Q36" s="13">
        <f>SUMIF(Mercado_Receita!$T$2:$T$475,"44652B3Energia convencionalNão se aplicaNão se aplicaNão se aplicaNão se aplicaNão se aplica",Mercado_Receita!$N$2:$N$475)</f>
        <v>504.30900000000003</v>
      </c>
      <c r="R36" s="13">
        <f>SUMIF(Mercado_Receita!$T$2:$T$475,"44682B3Energia convencionalNão se aplicaNão se aplicaNão se aplicaNão se aplicaNão se aplica",Mercado_Receita!$N$2:$N$475)</f>
        <v>517.24199999999996</v>
      </c>
      <c r="S36" s="13">
        <f>SUMIF(Mercado_Receita!$T$2:$T$475,"44713B3Energia convencionalNão se aplicaNão se aplicaNão se aplicaNão se aplicaNão se aplica",Mercado_Receita!$N$2:$N$475)</f>
        <v>495.726</v>
      </c>
      <c r="T36" s="13">
        <f>SUMIF(Mercado_Receita!$T$2:$T$475,"44743B3Energia convencionalNão se aplicaNão se aplicaNão se aplicaNão se aplicaNão se aplica",Mercado_Receita!$N$2:$N$475)</f>
        <v>495.726</v>
      </c>
      <c r="U36" s="13">
        <f t="shared" si="0"/>
        <v>6532.424</v>
      </c>
      <c r="V36" s="13"/>
      <c r="W36" s="13"/>
    </row>
    <row r="37" spans="1:23" ht="11.25" customHeight="1" x14ac:dyDescent="0.25">
      <c r="A37" s="124"/>
      <c r="B37" s="12" t="s">
        <v>89</v>
      </c>
      <c r="C37" s="12" t="s">
        <v>25</v>
      </c>
      <c r="D37" s="12" t="s">
        <v>25</v>
      </c>
      <c r="E37" s="12" t="s">
        <v>25</v>
      </c>
      <c r="F37" s="12" t="s">
        <v>25</v>
      </c>
      <c r="G37" s="13" t="s">
        <v>79</v>
      </c>
      <c r="H37" s="13" t="s">
        <v>75</v>
      </c>
      <c r="I37" s="13">
        <f>SUMIF(Mercado_Receita!$T$2:$T$475,"44409B3Energia convencional pré-pagamentoNão se aplicaNão se aplicaNão se aplicaNão se aplicaNão se aplica",Mercado_Receita!$N$2:$N$475)</f>
        <v>0</v>
      </c>
      <c r="J37" s="13">
        <f>SUMIF(Mercado_Receita!$T$2:$T$475,"44440B3Energia convencional pré-pagamentoNão se aplicaNão se aplicaNão se aplicaNão se aplicaNão se aplica",Mercado_Receita!$N$2:$N$475)</f>
        <v>0</v>
      </c>
      <c r="K37" s="13">
        <f>SUMIF(Mercado_Receita!$T$2:$T$475,"44470B3Energia convencional pré-pagamentoNão se aplicaNão se aplicaNão se aplicaNão se aplicaNão se aplica",Mercado_Receita!$N$2:$N$475)</f>
        <v>0</v>
      </c>
      <c r="L37" s="13">
        <f>SUMIF(Mercado_Receita!$T$2:$T$475,"44501B3Energia convencional pré-pagamentoNão se aplicaNão se aplicaNão se aplicaNão se aplicaNão se aplica",Mercado_Receita!$N$2:$N$475)</f>
        <v>0</v>
      </c>
      <c r="M37" s="13">
        <f>SUMIF(Mercado_Receita!$T$2:$T$475,"44531B3Energia convencional pré-pagamentoNão se aplicaNão se aplicaNão se aplicaNão se aplicaNão se aplica",Mercado_Receita!$N$2:$N$475)</f>
        <v>0</v>
      </c>
      <c r="N37" s="13">
        <f>SUMIF(Mercado_Receita!$T$2:$T$475,"44562B3Energia convencional pré-pagamentoNão se aplicaNão se aplicaNão se aplicaNão se aplicaNão se aplica",Mercado_Receita!$N$2:$N$475)</f>
        <v>0</v>
      </c>
      <c r="O37" s="13">
        <f>SUMIF(Mercado_Receita!$T$2:$T$475,"44593B3Energia convencional pré-pagamentoNão se aplicaNão se aplicaNão se aplicaNão se aplicaNão se aplica",Mercado_Receita!$N$2:$N$475)</f>
        <v>0</v>
      </c>
      <c r="P37" s="13">
        <f>SUMIF(Mercado_Receita!$T$2:$T$475,"44621B3Energia convencional pré-pagamentoNão se aplicaNão se aplicaNão se aplicaNão se aplicaNão se aplica",Mercado_Receita!$N$2:$N$475)</f>
        <v>0</v>
      </c>
      <c r="Q37" s="13">
        <f>SUMIF(Mercado_Receita!$T$2:$T$475,"44652B3Energia convencional pré-pagamentoNão se aplicaNão se aplicaNão se aplicaNão se aplicaNão se aplica",Mercado_Receita!$N$2:$N$475)</f>
        <v>0</v>
      </c>
      <c r="R37" s="13">
        <f>SUMIF(Mercado_Receita!$T$2:$T$475,"44682B3Energia convencional pré-pagamentoNão se aplicaNão se aplicaNão se aplicaNão se aplicaNão se aplica",Mercado_Receita!$N$2:$N$475)</f>
        <v>0</v>
      </c>
      <c r="S37" s="13">
        <f>SUMIF(Mercado_Receita!$T$2:$T$475,"44713B3Energia convencional pré-pagamentoNão se aplicaNão se aplicaNão se aplicaNão se aplicaNão se aplica",Mercado_Receita!$N$2:$N$475)</f>
        <v>0</v>
      </c>
      <c r="T37" s="13">
        <f>SUMIF(Mercado_Receita!$T$2:$T$475,"44743B3Energia convencional pré-pagamentoNão se aplicaNão se aplicaNão se aplicaNão se aplicaNão se aplica",Mercado_Receita!$N$2:$N$475)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123" t="s">
        <v>44</v>
      </c>
      <c r="B38" s="123" t="s">
        <v>78</v>
      </c>
      <c r="C38" s="123" t="s">
        <v>45</v>
      </c>
      <c r="D38" s="12" t="s">
        <v>93</v>
      </c>
      <c r="E38" s="12" t="s">
        <v>25</v>
      </c>
      <c r="F38" s="12" t="s">
        <v>25</v>
      </c>
      <c r="G38" s="13" t="s">
        <v>79</v>
      </c>
      <c r="H38" s="13" t="s">
        <v>75</v>
      </c>
      <c r="I38" s="13">
        <f>SUMIF(Mercado_Receita!$T$2:$T$475,"44409B4Energia convencionalIluminação públicaIluminação pública – B4aNão se aplicaNão se aplicaNão se aplica",Mercado_Receita!$N$2:$N$475)</f>
        <v>0</v>
      </c>
      <c r="J38" s="13">
        <f>SUMIF(Mercado_Receita!$T$2:$T$475,"44440B4Energia convencionalIluminação públicaIluminação pública – B4aNão se aplicaNão se aplicaNão se aplica",Mercado_Receita!$N$2:$N$475)</f>
        <v>0</v>
      </c>
      <c r="K38" s="13">
        <f>SUMIF(Mercado_Receita!$T$2:$T$475,"44470B4Energia convencionalIluminação públicaIluminação pública – B4aNão se aplicaNão se aplicaNão se aplica",Mercado_Receita!$N$2:$N$475)</f>
        <v>0</v>
      </c>
      <c r="L38" s="13">
        <f>SUMIF(Mercado_Receita!$T$2:$T$475,"44501B4Energia convencionalIluminação públicaIluminação pública – B4aNão se aplicaNão se aplicaNão se aplica",Mercado_Receita!$N$2:$N$475)</f>
        <v>0</v>
      </c>
      <c r="M38" s="13">
        <f>SUMIF(Mercado_Receita!$T$2:$T$475,"44531B4Energia convencionalIluminação públicaIluminação pública – B4aNão se aplicaNão se aplicaNão se aplica",Mercado_Receita!$N$2:$N$475)</f>
        <v>0</v>
      </c>
      <c r="N38" s="13">
        <f>SUMIF(Mercado_Receita!$T$2:$T$475,"44562B4Energia convencionalIluminação públicaIluminação pública – B4aNão se aplicaNão se aplicaNão se aplica",Mercado_Receita!$N$2:$N$475)</f>
        <v>0</v>
      </c>
      <c r="O38" s="13">
        <f>SUMIF(Mercado_Receita!$T$2:$T$475,"44593B4Energia convencionalIluminação públicaIluminação pública – B4aNão se aplicaNão se aplicaNão se aplica",Mercado_Receita!$N$2:$N$475)</f>
        <v>0</v>
      </c>
      <c r="P38" s="13">
        <f>SUMIF(Mercado_Receita!$T$2:$T$475,"44621B4Energia convencionalIluminação públicaIluminação pública – B4aNão se aplicaNão se aplicaNão se aplica",Mercado_Receita!$N$2:$N$475)</f>
        <v>0</v>
      </c>
      <c r="Q38" s="13">
        <f>SUMIF(Mercado_Receita!$T$2:$T$475,"44652B4Energia convencionalIluminação públicaIluminação pública – B4aNão se aplicaNão se aplicaNão se aplica",Mercado_Receita!$N$2:$N$475)</f>
        <v>0</v>
      </c>
      <c r="R38" s="13">
        <f>SUMIF(Mercado_Receita!$T$2:$T$475,"44682B4Energia convencionalIluminação públicaIluminação pública – B4aNão se aplicaNão se aplicaNão se aplica",Mercado_Receita!$N$2:$N$475)</f>
        <v>0</v>
      </c>
      <c r="S38" s="13">
        <f>SUMIF(Mercado_Receita!$T$2:$T$475,"44713B4Energia convencionalIluminação públicaIluminação pública – B4aNão se aplicaNão se aplicaNão se aplica",Mercado_Receita!$N$2:$N$475)</f>
        <v>0</v>
      </c>
      <c r="T38" s="13">
        <f>SUMIF(Mercado_Receita!$T$2:$T$475,"44743B4Energia convencionalIluminação públicaIluminação pública – B4aNão se aplicaNão se aplicaNão se aplica",Mercado_Receita!$N$2:$N$475)</f>
        <v>0</v>
      </c>
      <c r="U38" s="13">
        <f t="shared" si="0"/>
        <v>0</v>
      </c>
      <c r="V38" s="13"/>
      <c r="W38" s="13"/>
    </row>
    <row r="39" spans="1:23" ht="11.25" customHeight="1" x14ac:dyDescent="0.25">
      <c r="A39" s="124"/>
      <c r="B39" s="124"/>
      <c r="C39" s="124"/>
      <c r="D39" s="13" t="s">
        <v>46</v>
      </c>
      <c r="E39" s="13" t="s">
        <v>25</v>
      </c>
      <c r="F39" s="13" t="s">
        <v>25</v>
      </c>
      <c r="G39" s="13" t="s">
        <v>79</v>
      </c>
      <c r="H39" s="13" t="s">
        <v>75</v>
      </c>
      <c r="I39" s="13">
        <f>SUMIF(Mercado_Receita!$T$2:$T$475,"44409B4Energia convencionalIluminação públicaIluminação pública – B4bNão se aplicaNão se aplicaNão se aplica",Mercado_Receita!$N$2:$N$475)</f>
        <v>137.149</v>
      </c>
      <c r="J39" s="13">
        <f>SUMIF(Mercado_Receita!$T$2:$T$475,"44440B4Energia convencionalIluminação públicaIluminação pública – B4bNão se aplicaNão se aplicaNão se aplica",Mercado_Receita!$N$2:$N$475)</f>
        <v>137.149</v>
      </c>
      <c r="K39" s="13">
        <f>SUMIF(Mercado_Receita!$T$2:$T$475,"44470B4Energia convencionalIluminação públicaIluminação pública – B4bNão se aplicaNão se aplicaNão se aplica",Mercado_Receita!$N$2:$N$475)</f>
        <v>137.149</v>
      </c>
      <c r="L39" s="13">
        <f>SUMIF(Mercado_Receita!$T$2:$T$475,"44501B4Energia convencionalIluminação públicaIluminação pública – B4bNão se aplicaNão se aplicaNão se aplica",Mercado_Receita!$N$2:$N$475)</f>
        <v>137.52600000000001</v>
      </c>
      <c r="M39" s="13">
        <f>SUMIF(Mercado_Receita!$T$2:$T$475,"44531B4Energia convencionalIluminação públicaIluminação pública – B4bNão se aplicaNão se aplicaNão se aplica",Mercado_Receita!$N$2:$N$475)</f>
        <v>137.52600000000001</v>
      </c>
      <c r="N39" s="13">
        <f>SUMIF(Mercado_Receita!$T$2:$T$475,"44562B4Energia convencionalIluminação públicaIluminação pública – B4bNão se aplicaNão se aplicaNão se aplica",Mercado_Receita!$N$2:$N$475)</f>
        <v>138.613</v>
      </c>
      <c r="O39" s="13">
        <f>SUMIF(Mercado_Receita!$T$2:$T$475,"44593B4Energia convencionalIluminação públicaIluminação pública – B4bNão se aplicaNão se aplicaNão se aplica",Mercado_Receita!$N$2:$N$475)</f>
        <v>138.547</v>
      </c>
      <c r="P39" s="13">
        <f>SUMIF(Mercado_Receita!$T$2:$T$475,"44621B4Energia convencionalIluminação públicaIluminação pública – B4bNão se aplicaNão se aplicaNão se aplica",Mercado_Receita!$N$2:$N$475)</f>
        <v>138.04</v>
      </c>
      <c r="Q39" s="13">
        <f>SUMIF(Mercado_Receita!$T$2:$T$475,"44652B4Energia convencionalIluminação públicaIluminação pública – B4bNão se aplicaNão se aplicaNão se aplica",Mercado_Receita!$N$2:$N$475)</f>
        <v>138.06899999999999</v>
      </c>
      <c r="R39" s="13">
        <f>SUMIF(Mercado_Receita!$T$2:$T$475,"44682B4Energia convencionalIluminação públicaIluminação pública – B4bNão se aplicaNão se aplicaNão se aplica",Mercado_Receita!$N$2:$N$475)</f>
        <v>138.06899999999999</v>
      </c>
      <c r="S39" s="13">
        <f>SUMIF(Mercado_Receita!$T$2:$T$475,"44713B4Energia convencionalIluminação públicaIluminação pública – B4bNão se aplicaNão se aplicaNão se aplica",Mercado_Receita!$N$2:$N$475)</f>
        <v>139.01400000000001</v>
      </c>
      <c r="T39" s="13">
        <f>SUMIF(Mercado_Receita!$T$2:$T$475,"44743B4Energia convencionalIluminação públicaIluminação pública – B4bNão se aplicaNão se aplicaNão se aplica",Mercado_Receita!$N$2:$N$475)</f>
        <v>139.01400000000001</v>
      </c>
      <c r="U39" s="13">
        <f t="shared" si="0"/>
        <v>1655.8650000000002</v>
      </c>
      <c r="V39" s="13"/>
      <c r="W39" s="13"/>
    </row>
    <row r="40" spans="1:23" ht="11.25" customHeight="1" x14ac:dyDescent="0.25">
      <c r="A40" s="125" t="s">
        <v>532</v>
      </c>
      <c r="B40" s="126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3"/>
      <c r="W40" s="13"/>
    </row>
  </sheetData>
  <mergeCells count="44">
    <mergeCell ref="A38:A39"/>
    <mergeCell ref="B38:B39"/>
    <mergeCell ref="C38:C39"/>
    <mergeCell ref="A40:U40"/>
    <mergeCell ref="C30:C32"/>
    <mergeCell ref="B30:B32"/>
    <mergeCell ref="A18:A32"/>
    <mergeCell ref="F33:F35"/>
    <mergeCell ref="E33:E35"/>
    <mergeCell ref="D33:D35"/>
    <mergeCell ref="C33:C35"/>
    <mergeCell ref="B33:B35"/>
    <mergeCell ref="A33:A37"/>
    <mergeCell ref="F22:F24"/>
    <mergeCell ref="E22:E24"/>
    <mergeCell ref="D22:D24"/>
    <mergeCell ref="C22:C24"/>
    <mergeCell ref="B22:B24"/>
    <mergeCell ref="F26:F28"/>
    <mergeCell ref="E26:E28"/>
    <mergeCell ref="D26:D28"/>
    <mergeCell ref="C26:C28"/>
    <mergeCell ref="B26:B28"/>
    <mergeCell ref="C13:C17"/>
    <mergeCell ref="B13:B17"/>
    <mergeCell ref="A5:A17"/>
    <mergeCell ref="F18:F20"/>
    <mergeCell ref="E18:E20"/>
    <mergeCell ref="D18:D20"/>
    <mergeCell ref="C18:C20"/>
    <mergeCell ref="B18:B20"/>
    <mergeCell ref="F5:F7"/>
    <mergeCell ref="E5:E7"/>
    <mergeCell ref="D5:D7"/>
    <mergeCell ref="C5:C7"/>
    <mergeCell ref="B5:B7"/>
    <mergeCell ref="C8:C12"/>
    <mergeCell ref="B8:B12"/>
    <mergeCell ref="A2:A4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973DF-6BFE-4BF8-9E39-DC83DE2B0C32}">
  <dimension ref="A1:AD200"/>
  <sheetViews>
    <sheetView showGridLines="0" tabSelected="1" topLeftCell="A43" workbookViewId="0">
      <selection activeCell="F55" sqref="F55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10" style="14" bestFit="1" customWidth="1"/>
    <col min="7" max="11" width="9.140625" style="14"/>
    <col min="12" max="12" width="34.140625" style="14" bestFit="1" customWidth="1"/>
    <col min="13" max="13" width="10" style="14" bestFit="1" customWidth="1"/>
    <col min="14" max="14" width="9.140625" style="14"/>
    <col min="15" max="15" width="30.7109375" style="14" customWidth="1"/>
    <col min="16" max="16" width="4" style="14" bestFit="1" customWidth="1"/>
    <col min="17" max="16384" width="9.140625" style="14"/>
  </cols>
  <sheetData>
    <row r="1" spans="1:30" ht="12" customHeight="1" x14ac:dyDescent="0.2">
      <c r="A1" s="10" t="s">
        <v>572</v>
      </c>
      <c r="B1" s="10" t="s">
        <v>573</v>
      </c>
      <c r="C1" s="10" t="s">
        <v>574</v>
      </c>
      <c r="D1" s="10" t="s">
        <v>575</v>
      </c>
      <c r="E1" s="10" t="s">
        <v>576</v>
      </c>
      <c r="F1" s="10" t="s">
        <v>577</v>
      </c>
      <c r="G1" s="7"/>
      <c r="H1" s="7"/>
      <c r="I1" s="7"/>
      <c r="J1" s="7"/>
      <c r="K1" s="7"/>
      <c r="L1" s="131" t="s">
        <v>578</v>
      </c>
      <c r="M1" s="136"/>
      <c r="N1" s="7"/>
      <c r="O1" s="131" t="s">
        <v>665</v>
      </c>
      <c r="P1" s="132"/>
      <c r="Q1" s="132"/>
      <c r="R1" s="132"/>
      <c r="S1" s="132"/>
      <c r="T1" s="132"/>
      <c r="U1" s="132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7" t="s">
        <v>533</v>
      </c>
      <c r="B2" s="127" t="s">
        <v>534</v>
      </c>
      <c r="C2" s="16" t="s">
        <v>619</v>
      </c>
      <c r="D2" s="13">
        <v>0</v>
      </c>
      <c r="E2" s="13">
        <v>0</v>
      </c>
      <c r="F2" s="13">
        <v>0</v>
      </c>
      <c r="G2" s="15"/>
      <c r="H2" s="15"/>
      <c r="I2" s="15"/>
      <c r="J2" s="15"/>
      <c r="K2" s="15"/>
      <c r="L2" s="13" t="s">
        <v>579</v>
      </c>
      <c r="M2" s="17">
        <v>0.11625348544481451</v>
      </c>
      <c r="N2" s="15"/>
      <c r="O2" s="34" t="s">
        <v>666</v>
      </c>
      <c r="P2" s="34" t="s">
        <v>667</v>
      </c>
      <c r="Q2" s="34" t="s">
        <v>668</v>
      </c>
      <c r="R2" s="34" t="s">
        <v>38</v>
      </c>
      <c r="S2" s="34" t="s">
        <v>669</v>
      </c>
      <c r="T2" s="34" t="s">
        <v>85</v>
      </c>
      <c r="U2" s="34"/>
      <c r="V2" s="15"/>
      <c r="W2" s="15"/>
      <c r="X2" s="13" t="s">
        <v>632</v>
      </c>
      <c r="Y2" s="15"/>
      <c r="Z2" s="15"/>
      <c r="AA2" s="15" t="s">
        <v>677</v>
      </c>
      <c r="AB2" s="15"/>
      <c r="AC2" s="15"/>
      <c r="AD2" s="15"/>
    </row>
    <row r="3" spans="1:30" ht="12" customHeight="1" x14ac:dyDescent="0.2">
      <c r="A3" s="137"/>
      <c r="B3" s="137"/>
      <c r="C3" s="16" t="s">
        <v>535</v>
      </c>
      <c r="D3" s="13">
        <v>27365.997860554216</v>
      </c>
      <c r="E3" s="13">
        <v>-457.71495656638444</v>
      </c>
      <c r="F3" s="13">
        <v>0</v>
      </c>
      <c r="G3" s="15"/>
      <c r="H3" s="15"/>
      <c r="I3" s="15"/>
      <c r="J3" s="15"/>
      <c r="K3" s="15"/>
      <c r="L3" s="13" t="s">
        <v>580</v>
      </c>
      <c r="M3" s="17"/>
      <c r="N3" s="15"/>
      <c r="O3" s="35">
        <v>1</v>
      </c>
      <c r="P3" s="35">
        <v>1</v>
      </c>
      <c r="Q3" s="35">
        <v>1</v>
      </c>
      <c r="R3" s="35">
        <v>1</v>
      </c>
      <c r="S3" s="35">
        <v>1</v>
      </c>
      <c r="T3" s="35">
        <v>1</v>
      </c>
      <c r="U3" s="35" t="s">
        <v>670</v>
      </c>
      <c r="V3" s="15"/>
      <c r="W3" s="15"/>
      <c r="X3" s="13" t="s">
        <v>633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37"/>
      <c r="B4" s="137"/>
      <c r="C4" s="16" t="s">
        <v>536</v>
      </c>
      <c r="D4" s="13">
        <f>$M$22-D$30</f>
        <v>83815.458027374334</v>
      </c>
      <c r="E4" s="13">
        <f>IF((D4+D$30)&lt;&gt;0,$M$20*D4/(D4+D$30),0)</f>
        <v>8.5761777002605968E-2</v>
      </c>
      <c r="F4" s="13">
        <f>IF((D4+D$30)&lt;&gt;0,$M$21*D4/(D4+D$30),0)</f>
        <v>0</v>
      </c>
      <c r="G4" s="15"/>
      <c r="H4" s="15"/>
      <c r="I4" s="15"/>
      <c r="J4" s="15"/>
      <c r="K4" s="15"/>
      <c r="L4" s="13" t="s">
        <v>581</v>
      </c>
      <c r="M4" s="17">
        <v>0.10076792163048442</v>
      </c>
      <c r="N4" s="15"/>
      <c r="O4" s="35">
        <v>1</v>
      </c>
      <c r="P4" s="35">
        <v>1</v>
      </c>
      <c r="Q4" s="35">
        <v>1</v>
      </c>
      <c r="R4" s="35">
        <v>1</v>
      </c>
      <c r="S4" s="35">
        <v>1</v>
      </c>
      <c r="T4" s="35">
        <v>1</v>
      </c>
      <c r="U4" s="35" t="s">
        <v>84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37"/>
      <c r="B5" s="137"/>
      <c r="C5" s="16" t="s">
        <v>537</v>
      </c>
      <c r="D5" s="13">
        <v>0</v>
      </c>
      <c r="E5" s="13">
        <v>0</v>
      </c>
      <c r="F5" s="13">
        <v>0</v>
      </c>
      <c r="G5" s="15"/>
      <c r="H5" s="15"/>
      <c r="I5" s="15"/>
      <c r="J5" s="15"/>
      <c r="K5" s="15"/>
      <c r="L5" s="13" t="s">
        <v>582</v>
      </c>
      <c r="M5" s="17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37"/>
      <c r="B6" s="137"/>
      <c r="C6" s="16" t="s">
        <v>538</v>
      </c>
      <c r="D6" s="13">
        <v>0</v>
      </c>
      <c r="E6" s="13">
        <v>0</v>
      </c>
      <c r="F6" s="13">
        <v>0</v>
      </c>
      <c r="G6" s="15"/>
      <c r="H6" s="15"/>
      <c r="I6" s="15"/>
      <c r="J6" s="15"/>
      <c r="K6" s="15"/>
      <c r="L6" s="13" t="s">
        <v>583</v>
      </c>
      <c r="M6" s="17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37"/>
      <c r="B7" s="137"/>
      <c r="C7" s="16" t="s">
        <v>539</v>
      </c>
      <c r="D7" s="13">
        <v>5512588.8119572811</v>
      </c>
      <c r="E7" s="13">
        <v>-105958.4652364559</v>
      </c>
      <c r="F7" s="13">
        <v>938744.41830000002</v>
      </c>
      <c r="G7" s="15"/>
      <c r="H7" s="15"/>
      <c r="I7" s="15"/>
      <c r="J7" s="15"/>
      <c r="K7" s="15"/>
      <c r="L7" s="13" t="s">
        <v>584</v>
      </c>
      <c r="M7" s="13">
        <f>M8+M9+M10+M11</f>
        <v>4594.7177174656053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37"/>
      <c r="B8" s="137"/>
      <c r="C8" s="16" t="s">
        <v>540</v>
      </c>
      <c r="D8" s="13">
        <v>1008889.0274199464</v>
      </c>
      <c r="E8" s="13">
        <v>-17941.336094698403</v>
      </c>
      <c r="F8" s="13">
        <v>270128.0294</v>
      </c>
      <c r="G8" s="15"/>
      <c r="H8" s="15"/>
      <c r="I8" s="15"/>
      <c r="J8" s="15"/>
      <c r="K8" s="15"/>
      <c r="L8" s="18" t="s">
        <v>585</v>
      </c>
      <c r="M8" s="13">
        <v>2836.9714558406044</v>
      </c>
      <c r="N8" s="15"/>
      <c r="O8" s="13" t="s">
        <v>618</v>
      </c>
      <c r="P8" s="22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37"/>
      <c r="B9" s="137"/>
      <c r="C9" s="16" t="s">
        <v>541</v>
      </c>
      <c r="D9" s="13"/>
      <c r="E9" s="13"/>
      <c r="F9" s="13"/>
      <c r="G9" s="15"/>
      <c r="H9" s="15"/>
      <c r="I9" s="15"/>
      <c r="J9" s="15"/>
      <c r="K9" s="15"/>
      <c r="L9" s="19" t="s">
        <v>586</v>
      </c>
      <c r="M9" s="13">
        <v>849.36316162500077</v>
      </c>
      <c r="N9" s="15"/>
      <c r="O9" s="13" t="s">
        <v>623</v>
      </c>
      <c r="P9" s="22">
        <f>SUM(Mercado_Receita!$J$2:$J$475)</f>
        <v>164435</v>
      </c>
      <c r="Q9" s="22">
        <v>164435</v>
      </c>
      <c r="R9" s="22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37"/>
      <c r="B10" s="128"/>
      <c r="C10" s="16" t="s">
        <v>542</v>
      </c>
      <c r="D10" s="13">
        <f>SUM(D$2:D9)</f>
        <v>6632659.2952651558</v>
      </c>
      <c r="E10" s="13">
        <f>SUM(E$2:E9)</f>
        <v>-124357.43052594368</v>
      </c>
      <c r="F10" s="13">
        <f>SUM(F$2:F9)</f>
        <v>1208872.4476999999</v>
      </c>
      <c r="G10" s="15"/>
      <c r="H10" s="15"/>
      <c r="I10" s="15"/>
      <c r="J10" s="15"/>
      <c r="K10" s="15"/>
      <c r="L10" s="18" t="s">
        <v>587</v>
      </c>
      <c r="M10" s="13">
        <v>97.331912625648584</v>
      </c>
      <c r="N10" s="15"/>
      <c r="O10" s="13" t="s">
        <v>624</v>
      </c>
      <c r="P10" s="22">
        <f>SUM(Mercado_Receita!$L$2:$L$475)</f>
        <v>71274.597999999954</v>
      </c>
      <c r="Q10" s="22">
        <v>71274.597999999896</v>
      </c>
      <c r="R10" s="22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37"/>
      <c r="B11" s="127" t="s">
        <v>543</v>
      </c>
      <c r="C11" s="16" t="s">
        <v>544</v>
      </c>
      <c r="D11" s="13">
        <v>0</v>
      </c>
      <c r="E11" s="13">
        <v>0</v>
      </c>
      <c r="F11" s="13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18" t="s">
        <v>588</v>
      </c>
      <c r="M11" s="13">
        <v>811.05118737435134</v>
      </c>
      <c r="N11" s="15"/>
      <c r="O11" s="13" t="s">
        <v>625</v>
      </c>
      <c r="P11" s="22">
        <f>SUM(Mercado_Receita!$N$2:$N$475)</f>
        <v>30717.63400000002</v>
      </c>
      <c r="Q11" s="22">
        <v>30717.633999999998</v>
      </c>
      <c r="R11" s="22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37"/>
      <c r="B12" s="137"/>
      <c r="C12" s="16" t="s">
        <v>545</v>
      </c>
      <c r="D12" s="13">
        <v>0</v>
      </c>
      <c r="E12" s="13">
        <v>0</v>
      </c>
      <c r="F12" s="13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13" t="s">
        <v>589</v>
      </c>
      <c r="M12" s="13">
        <v>35312.35171746563</v>
      </c>
      <c r="N12" s="15"/>
      <c r="O12" s="13" t="s">
        <v>626</v>
      </c>
      <c r="P12" s="22">
        <f>SUMIF('MERCADO TUSD'!$H$2:$H$48,"kW",'MERCADO TUSD'!$U$2:$U$48)</f>
        <v>164435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37"/>
      <c r="B13" s="137"/>
      <c r="C13" s="16" t="s">
        <v>546</v>
      </c>
      <c r="D13" s="13">
        <f>-$M$51+0</f>
        <v>0</v>
      </c>
      <c r="E13" s="13">
        <v>0</v>
      </c>
      <c r="F13" s="13">
        <v>0</v>
      </c>
      <c r="G13" s="15"/>
      <c r="H13" s="15"/>
      <c r="I13" s="15"/>
      <c r="J13" s="15"/>
      <c r="K13" s="15"/>
      <c r="L13" s="13" t="s">
        <v>590</v>
      </c>
      <c r="M13" s="13">
        <v>767.22748664606752</v>
      </c>
      <c r="N13" s="15"/>
      <c r="O13" s="13" t="s">
        <v>627</v>
      </c>
      <c r="P13" s="22">
        <f>SUMIF('MERCADO TUSD'!$H$2:$H$48,"MWh",'MERCADO TUSD'!$U$2:$U$48)</f>
        <v>71274.598000000013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37"/>
      <c r="B14" s="137"/>
      <c r="C14" s="16" t="s">
        <v>547</v>
      </c>
      <c r="D14" s="13">
        <v>0</v>
      </c>
      <c r="E14" s="13">
        <v>0</v>
      </c>
      <c r="F14" s="13">
        <v>0</v>
      </c>
      <c r="G14" s="15"/>
      <c r="H14" s="15"/>
      <c r="I14" s="15"/>
      <c r="J14" s="15"/>
      <c r="K14" s="15"/>
      <c r="L14" s="13" t="s">
        <v>591</v>
      </c>
      <c r="M14" s="13">
        <v>194.50493191360999</v>
      </c>
      <c r="N14" s="15"/>
      <c r="O14" s="13" t="s">
        <v>628</v>
      </c>
      <c r="P14" s="22">
        <f>SUMIF('MERCADO TE'!$H$2:$H$39,"MWh",'MERCADO TE'!$U$2:$U$39)</f>
        <v>30717.633999999998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37"/>
      <c r="B15" s="137"/>
      <c r="C15" s="16" t="s">
        <v>548</v>
      </c>
      <c r="D15" s="13">
        <v>6012295.3953999998</v>
      </c>
      <c r="E15" s="13">
        <v>42588.727591660594</v>
      </c>
      <c r="F15" s="13">
        <v>0</v>
      </c>
      <c r="G15" s="15"/>
      <c r="H15" s="15"/>
      <c r="I15" s="15"/>
      <c r="J15" s="15"/>
      <c r="K15" s="15"/>
      <c r="L15" s="13" t="s">
        <v>592</v>
      </c>
      <c r="M15" s="13">
        <f>M14*M12</f>
        <v>6868426.5665151011</v>
      </c>
      <c r="N15" s="15"/>
      <c r="O15" s="13" t="s">
        <v>629</v>
      </c>
      <c r="P15" s="22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37"/>
      <c r="B16" s="137"/>
      <c r="C16" s="16" t="s">
        <v>549</v>
      </c>
      <c r="D16" s="13">
        <v>0</v>
      </c>
      <c r="E16" s="13">
        <v>0</v>
      </c>
      <c r="F16" s="1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13" t="s">
        <v>593</v>
      </c>
      <c r="M16" s="13">
        <v>-100146.42329792748</v>
      </c>
      <c r="N16" s="15"/>
      <c r="O16" s="13" t="s">
        <v>630</v>
      </c>
      <c r="P16" s="22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37"/>
      <c r="B17" s="137"/>
      <c r="C17" s="16" t="s">
        <v>550</v>
      </c>
      <c r="D17" s="13">
        <v>0</v>
      </c>
      <c r="E17" s="13">
        <v>0</v>
      </c>
      <c r="F17" s="1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13" t="s">
        <v>594</v>
      </c>
      <c r="M17" s="13">
        <v>1144626.3424</v>
      </c>
      <c r="N17" s="15"/>
      <c r="O17" s="13" t="s">
        <v>631</v>
      </c>
      <c r="P17" s="22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37"/>
      <c r="B18" s="128"/>
      <c r="C18" s="16" t="s">
        <v>542</v>
      </c>
      <c r="D18" s="13">
        <f>SUM(D$11:D17)</f>
        <v>6012295.3953999998</v>
      </c>
      <c r="E18" s="13">
        <f>SUM(E$11:E17)</f>
        <v>42588.727591660594</v>
      </c>
      <c r="F18" s="13">
        <f>SUM(F$11:F17)</f>
        <v>0</v>
      </c>
      <c r="G18" s="15"/>
      <c r="H18" s="15"/>
      <c r="I18" s="15"/>
      <c r="J18" s="15"/>
      <c r="K18" s="15"/>
      <c r="L18" s="13" t="s">
        <v>595</v>
      </c>
      <c r="M18" s="1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37"/>
      <c r="B19" s="127" t="s">
        <v>551</v>
      </c>
      <c r="C19" s="16" t="s">
        <v>552</v>
      </c>
      <c r="D19" s="13">
        <v>6040700.2605260396</v>
      </c>
      <c r="E19" s="13">
        <v>0</v>
      </c>
      <c r="F19" s="13">
        <v>0</v>
      </c>
      <c r="G19" s="15"/>
      <c r="H19" s="15"/>
      <c r="I19" s="15"/>
      <c r="J19" s="15"/>
      <c r="K19" s="15"/>
      <c r="L19" s="13" t="s">
        <v>596</v>
      </c>
      <c r="M19" s="13">
        <v>8085.2637000000004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37"/>
      <c r="B20" s="128"/>
      <c r="C20" s="16" t="s">
        <v>542</v>
      </c>
      <c r="D20" s="13">
        <f>SUM(D$19:D19)</f>
        <v>6040700.2605260396</v>
      </c>
      <c r="E20" s="13">
        <f>SUM(E$19:E19)</f>
        <v>0</v>
      </c>
      <c r="F20" s="13">
        <f>SUM(F$19:F19)</f>
        <v>0</v>
      </c>
      <c r="G20" s="15"/>
      <c r="H20" s="15"/>
      <c r="I20" s="15"/>
      <c r="J20" s="15"/>
      <c r="K20" s="15"/>
      <c r="L20" s="13" t="s">
        <v>597</v>
      </c>
      <c r="M20" s="13">
        <v>0.16066034642835003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37"/>
      <c r="B21" s="127" t="s">
        <v>553</v>
      </c>
      <c r="C21" s="16" t="s">
        <v>554</v>
      </c>
      <c r="D21" s="13"/>
      <c r="E21" s="13">
        <f>IF($D$47&lt;&gt;0,(1-$D$46/$D$47)*-7198556.76139961,0)+0</f>
        <v>-5364684.1037082169</v>
      </c>
      <c r="F21" s="13"/>
      <c r="G21" s="15"/>
      <c r="H21" s="15"/>
      <c r="I21" s="15"/>
      <c r="J21" s="15"/>
      <c r="K21" s="15"/>
      <c r="L21" s="13" t="s">
        <v>598</v>
      </c>
      <c r="M21" s="13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37"/>
      <c r="B22" s="137"/>
      <c r="C22" s="16" t="s">
        <v>555</v>
      </c>
      <c r="D22" s="13"/>
      <c r="E22" s="13"/>
      <c r="F22" s="13"/>
      <c r="G22" s="15"/>
      <c r="H22" s="15"/>
      <c r="I22" s="15"/>
      <c r="J22" s="15"/>
      <c r="K22" s="15"/>
      <c r="L22" s="13" t="s">
        <v>620</v>
      </c>
      <c r="M22" s="13">
        <v>157014.2433303314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37"/>
      <c r="B23" s="128"/>
      <c r="C23" s="16" t="s">
        <v>542</v>
      </c>
      <c r="D23" s="13">
        <f>SUM(D$21:D22)</f>
        <v>0</v>
      </c>
      <c r="E23" s="13">
        <f>SUM(E$21:E22)</f>
        <v>-5364684.1037082169</v>
      </c>
      <c r="F23" s="13">
        <f>SUM(F$21:F22)</f>
        <v>0</v>
      </c>
      <c r="G23" s="15"/>
      <c r="H23" s="15"/>
      <c r="I23" s="15"/>
      <c r="J23" s="15"/>
      <c r="K23" s="15"/>
      <c r="L23" s="13" t="s">
        <v>599</v>
      </c>
      <c r="M23" s="13">
        <v>18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37"/>
      <c r="B24" s="127" t="s">
        <v>556</v>
      </c>
      <c r="C24" s="16" t="s">
        <v>557</v>
      </c>
      <c r="D24" s="13">
        <f>$M$14*$M$8</f>
        <v>551804.93985913182</v>
      </c>
      <c r="E24" s="13">
        <f>$M$16*$M$8/$M$12</f>
        <v>-8045.6987564560177</v>
      </c>
      <c r="F24" s="13">
        <f>$M$17*$M$8/$M$12</f>
        <v>91958.538671496077</v>
      </c>
      <c r="G24" s="15"/>
      <c r="H24" s="15"/>
      <c r="I24" s="15"/>
      <c r="J24" s="15"/>
      <c r="K24" s="15"/>
      <c r="L24" s="13" t="s">
        <v>600</v>
      </c>
      <c r="M24" s="13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37"/>
      <c r="B25" s="137"/>
      <c r="C25" s="16" t="s">
        <v>558</v>
      </c>
      <c r="D25" s="13">
        <f>$M$14*$M$10</f>
        <v>18931.537038273214</v>
      </c>
      <c r="E25" s="13">
        <f>$M$16*$M$10/$M$12</f>
        <v>-276.03494098026817</v>
      </c>
      <c r="F25" s="13">
        <f>$M$17*$M$10/$M$12</f>
        <v>3154.9490682148294</v>
      </c>
      <c r="G25" s="15"/>
      <c r="H25" s="15"/>
      <c r="I25" s="15"/>
      <c r="J25" s="15"/>
      <c r="K25" s="15"/>
      <c r="L25" s="13" t="s">
        <v>601</v>
      </c>
      <c r="M25" s="13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37"/>
      <c r="B26" s="137"/>
      <c r="C26" s="16" t="s">
        <v>559</v>
      </c>
      <c r="D26" s="13">
        <f>$M$14*$M$9</f>
        <v>165205.32392179928</v>
      </c>
      <c r="E26" s="13">
        <f>$M$16*$M$9/$M$12</f>
        <v>-2408.8082096127278</v>
      </c>
      <c r="F26" s="13">
        <f>$M$17*$M$9/$M$12</f>
        <v>27531.540715235598</v>
      </c>
      <c r="G26" s="15"/>
      <c r="H26" s="15"/>
      <c r="I26" s="15"/>
      <c r="J26" s="15"/>
      <c r="K26" s="15"/>
      <c r="L26" s="13" t="s">
        <v>602</v>
      </c>
      <c r="M26" s="13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37"/>
      <c r="B27" s="137"/>
      <c r="C27" s="16" t="s">
        <v>560</v>
      </c>
      <c r="D27" s="13">
        <v>10183.199417314685</v>
      </c>
      <c r="E27" s="13">
        <v>366.44006796318683</v>
      </c>
      <c r="F27" s="13">
        <v>0</v>
      </c>
      <c r="G27" s="15"/>
      <c r="H27" s="15"/>
      <c r="I27" s="15"/>
      <c r="J27" s="15"/>
      <c r="K27" s="15"/>
      <c r="L27" s="13" t="s">
        <v>603</v>
      </c>
      <c r="M27" s="13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37"/>
      <c r="B28" s="128"/>
      <c r="C28" s="16" t="s">
        <v>542</v>
      </c>
      <c r="D28" s="13">
        <f>SUM(D$24:D27)</f>
        <v>746125.00023651903</v>
      </c>
      <c r="E28" s="13">
        <f>SUM(E$24:E27)</f>
        <v>-10364.101839085826</v>
      </c>
      <c r="F28" s="13">
        <f>SUM(F$24:F27)</f>
        <v>122645.0284549465</v>
      </c>
      <c r="G28" s="15"/>
      <c r="H28" s="15"/>
      <c r="I28" s="15"/>
      <c r="J28" s="15"/>
      <c r="K28" s="15"/>
      <c r="L28" s="13" t="s">
        <v>604</v>
      </c>
      <c r="M28" s="13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28"/>
      <c r="B29" s="129" t="s">
        <v>542</v>
      </c>
      <c r="C29" s="130"/>
      <c r="D29" s="13">
        <f>SUMIF(C$2:C28,"SUBTOTAL",D$2:D28)</f>
        <v>19431779.951427713</v>
      </c>
      <c r="E29" s="13">
        <f>SUMIF(C$2:C28,"SUBTOTAL",E$2:E28)</f>
        <v>-5456816.9084815858</v>
      </c>
      <c r="F29" s="13">
        <f>SUMIF(C$2:C28,"SUBTOTAL",F$2:F28)</f>
        <v>1331517.4761549465</v>
      </c>
      <c r="G29" s="15"/>
      <c r="H29" s="15"/>
      <c r="I29" s="15"/>
      <c r="J29" s="15"/>
      <c r="K29" s="15"/>
      <c r="L29" s="13" t="s">
        <v>605</v>
      </c>
      <c r="M29" s="13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27" t="s">
        <v>561</v>
      </c>
      <c r="B30" s="127" t="s">
        <v>534</v>
      </c>
      <c r="C30" s="16" t="s">
        <v>536</v>
      </c>
      <c r="D30" s="1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73198.785302957069</v>
      </c>
      <c r="E30" s="13">
        <f>IF((D30+D$4)&lt;&gt;0,$M$20*D30/(D30+D$4),0)</f>
        <v>7.4898569425744063E-2</v>
      </c>
      <c r="F30" s="13">
        <f>IF((D30+D$4)&lt;&gt;0,$M$21*D30/(D30+D$4),0)</f>
        <v>0</v>
      </c>
      <c r="G30" s="15"/>
      <c r="H30" s="15"/>
      <c r="I30" s="15"/>
      <c r="J30" s="15"/>
      <c r="K30" s="15"/>
      <c r="L30" s="13" t="s">
        <v>606</v>
      </c>
      <c r="M30" s="13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37"/>
      <c r="B31" s="137"/>
      <c r="C31" s="16" t="s">
        <v>562</v>
      </c>
      <c r="D31" s="13">
        <v>631086.40869767964</v>
      </c>
      <c r="E31" s="13">
        <v>36452.39382646844</v>
      </c>
      <c r="F31" s="13">
        <v>290820.58199999999</v>
      </c>
      <c r="G31" s="15"/>
      <c r="H31" s="15"/>
      <c r="I31" s="15"/>
      <c r="J31" s="15"/>
      <c r="K31" s="15"/>
      <c r="L31" s="13" t="s">
        <v>607</v>
      </c>
      <c r="M31" s="13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37"/>
      <c r="B32" s="137"/>
      <c r="C32" s="16" t="s">
        <v>563</v>
      </c>
      <c r="D32" s="13">
        <v>0</v>
      </c>
      <c r="E32" s="13">
        <v>0</v>
      </c>
      <c r="F32" s="13">
        <v>0</v>
      </c>
      <c r="G32" s="15"/>
      <c r="H32" s="15"/>
      <c r="I32" s="15"/>
      <c r="J32" s="15"/>
      <c r="K32" s="15"/>
      <c r="L32" s="13" t="s">
        <v>608</v>
      </c>
      <c r="M32" s="13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37"/>
      <c r="B33" s="137"/>
      <c r="C33" s="16" t="s">
        <v>622</v>
      </c>
      <c r="D33" s="13">
        <v>0</v>
      </c>
      <c r="E33" s="13">
        <v>-9.4234900844694225E-19</v>
      </c>
      <c r="F33" s="13">
        <v>0</v>
      </c>
      <c r="G33" s="15"/>
      <c r="H33" s="15"/>
      <c r="I33" s="15"/>
      <c r="J33" s="15"/>
      <c r="K33" s="15"/>
      <c r="L33" s="13" t="s">
        <v>609</v>
      </c>
      <c r="M33" s="13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37"/>
      <c r="B34" s="137"/>
      <c r="C34" s="16" t="s">
        <v>564</v>
      </c>
      <c r="D34" s="13">
        <v>-701487.35</v>
      </c>
      <c r="E34" s="13">
        <v>0</v>
      </c>
      <c r="F34" s="13">
        <v>0</v>
      </c>
      <c r="G34" s="15"/>
      <c r="H34" s="15"/>
      <c r="I34" s="15"/>
      <c r="J34" s="15"/>
      <c r="K34" s="15"/>
      <c r="L34" s="13" t="s">
        <v>610</v>
      </c>
      <c r="M34" s="13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37"/>
      <c r="B35" s="128"/>
      <c r="C35" s="16" t="s">
        <v>542</v>
      </c>
      <c r="D35" s="13">
        <f>SUM(D$30:D34)</f>
        <v>2797.8440006367164</v>
      </c>
      <c r="E35" s="13">
        <f>SUM(E$30:E34)</f>
        <v>36452.468725037863</v>
      </c>
      <c r="F35" s="13">
        <f>SUM(F$30:F34)</f>
        <v>290820.58199999999</v>
      </c>
      <c r="G35" s="15"/>
      <c r="H35" s="15"/>
      <c r="I35" s="15"/>
      <c r="J35" s="15"/>
      <c r="K35" s="15"/>
      <c r="L35" s="13" t="s">
        <v>611</v>
      </c>
      <c r="M35" s="13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37"/>
      <c r="B36" s="127" t="s">
        <v>565</v>
      </c>
      <c r="C36" s="16" t="s">
        <v>566</v>
      </c>
      <c r="D36" s="13">
        <f>$M$14*($M$12-$M$7)</f>
        <v>5974731.309717196</v>
      </c>
      <c r="E36" s="13">
        <f>$M$16*($M$12-$M$7)/$M$12</f>
        <v>-87115.726584510674</v>
      </c>
      <c r="F36" s="13">
        <f>$M$17*($M$12-$M$7)/$M$12</f>
        <v>995691.63033714134</v>
      </c>
      <c r="G36" s="15"/>
      <c r="H36" s="15"/>
      <c r="I36" s="15"/>
      <c r="J36" s="15"/>
      <c r="K36" s="15"/>
      <c r="L36" s="13" t="s">
        <v>612</v>
      </c>
      <c r="M36" s="13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37"/>
      <c r="B37" s="128"/>
      <c r="C37" s="16" t="s">
        <v>542</v>
      </c>
      <c r="D37" s="13">
        <f>SUM(D$36:D36)</f>
        <v>5974731.309717196</v>
      </c>
      <c r="E37" s="13">
        <f>SUM(E$36:E36)</f>
        <v>-87115.726584510674</v>
      </c>
      <c r="F37" s="13">
        <f>SUM(F$36:F36)</f>
        <v>995691.63033714134</v>
      </c>
      <c r="G37" s="15"/>
      <c r="H37" s="15"/>
      <c r="I37" s="15"/>
      <c r="J37" s="15"/>
      <c r="K37" s="15"/>
      <c r="L37" s="13" t="s">
        <v>613</v>
      </c>
      <c r="M37" s="13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37"/>
      <c r="B38" s="127" t="s">
        <v>543</v>
      </c>
      <c r="C38" s="16" t="s">
        <v>567</v>
      </c>
      <c r="D38" s="13">
        <v>300438.78378876136</v>
      </c>
      <c r="E38" s="13">
        <v>26649.726315666448</v>
      </c>
      <c r="F38" s="13">
        <v>63621.552600000003</v>
      </c>
      <c r="G38" s="15"/>
      <c r="H38" s="15"/>
      <c r="I38" s="15"/>
      <c r="J38" s="15"/>
      <c r="K38" s="15"/>
      <c r="L38" s="13" t="s">
        <v>614</v>
      </c>
      <c r="M38" s="13">
        <f>IFERROR(VLOOKUP("Convencional1RuralNão se aplicaRURALB2",Descontos!B1:U88,VLOOKUP("Convencional1RuralNão se aplicaRURALB2",Descontos!B1:U88,20,FALSE)+12,FALSE),100)</f>
        <v>0.06</v>
      </c>
      <c r="N38" s="15" t="s">
        <v>671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37"/>
      <c r="B39" s="137"/>
      <c r="C39" s="16" t="s">
        <v>568</v>
      </c>
      <c r="D39" s="13">
        <v>206871.02282621071</v>
      </c>
      <c r="E39" s="13">
        <v>28930.848428573499</v>
      </c>
      <c r="F39" s="13">
        <f>IF((+$D$11+$D$12+$D$16+$D$17+$D$39)&lt;&gt;0,$M$19*$D$39/(+$D$11+$D$12+$D$16+$D$17+$D$39),0)</f>
        <v>8085.2637000000004</v>
      </c>
      <c r="G39" s="15"/>
      <c r="H39" s="15"/>
      <c r="I39" s="15"/>
      <c r="J39" s="15"/>
      <c r="K39" s="15"/>
      <c r="L39" s="13" t="s">
        <v>615</v>
      </c>
      <c r="M39" s="13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688</v>
      </c>
      <c r="P39" s="15" t="s">
        <v>689</v>
      </c>
      <c r="Q39" s="15" t="s">
        <v>690</v>
      </c>
      <c r="R39" s="15" t="s">
        <v>691</v>
      </c>
      <c r="S39" s="15" t="s">
        <v>1</v>
      </c>
      <c r="T39" s="15" t="s">
        <v>692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137"/>
      <c r="B40" s="137"/>
      <c r="C40" s="16" t="s">
        <v>569</v>
      </c>
      <c r="D40" s="13"/>
      <c r="E40" s="13">
        <v>0</v>
      </c>
      <c r="F40" s="13">
        <v>0</v>
      </c>
      <c r="G40" s="15"/>
      <c r="H40" s="15"/>
      <c r="I40" s="15"/>
      <c r="J40" s="15"/>
      <c r="K40" s="15"/>
      <c r="L40" s="13" t="s">
        <v>616</v>
      </c>
      <c r="M40" s="13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39"/>
      <c r="P40" s="39"/>
      <c r="Q40" s="39"/>
      <c r="R40" s="39"/>
      <c r="S40" s="39"/>
      <c r="T40" s="39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137"/>
      <c r="B41" s="128"/>
      <c r="C41" s="16" t="s">
        <v>542</v>
      </c>
      <c r="D41" s="13">
        <f>SUM(D$38:D40)</f>
        <v>507309.80661497207</v>
      </c>
      <c r="E41" s="13">
        <f>SUM(E$38:E40)</f>
        <v>55580.574744239944</v>
      </c>
      <c r="F41" s="13">
        <f>SUM(F$38:F40)</f>
        <v>71706.816300000006</v>
      </c>
      <c r="G41" s="15"/>
      <c r="H41" s="15"/>
      <c r="I41" s="15"/>
      <c r="J41" s="15"/>
      <c r="K41" s="15"/>
      <c r="L41" s="15"/>
      <c r="M41" s="15"/>
      <c r="N41" s="15"/>
      <c r="O41" s="39"/>
      <c r="P41" s="39"/>
      <c r="Q41" s="39"/>
      <c r="R41" s="39"/>
      <c r="S41" s="39"/>
      <c r="T41" s="39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137"/>
      <c r="B42" s="127" t="s">
        <v>553</v>
      </c>
      <c r="C42" s="16" t="s">
        <v>554</v>
      </c>
      <c r="D42" s="13"/>
      <c r="E42" s="13">
        <f>IF($D$47&lt;&gt;0,($D$46/$D$47)* -7198556.76139961,0)+0</f>
        <v>-1833872.6576913935</v>
      </c>
      <c r="F42" s="13"/>
      <c r="G42" s="15"/>
      <c r="H42" s="15"/>
      <c r="I42" s="15"/>
      <c r="J42" s="15"/>
      <c r="K42" s="15"/>
      <c r="L42" s="15"/>
      <c r="M42" s="15"/>
      <c r="N42" s="15"/>
      <c r="O42" s="39"/>
      <c r="P42" s="39"/>
      <c r="Q42" s="39"/>
      <c r="R42" s="39"/>
      <c r="S42" s="39"/>
      <c r="T42" s="39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137"/>
      <c r="B43" s="128"/>
      <c r="C43" s="16" t="s">
        <v>542</v>
      </c>
      <c r="D43" s="13">
        <f>SUM(D$42:D42)</f>
        <v>0</v>
      </c>
      <c r="E43" s="13">
        <f>SUM(E$42:E42)</f>
        <v>-1833872.6576913935</v>
      </c>
      <c r="F43" s="1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39"/>
      <c r="P43" s="39"/>
      <c r="Q43" s="39"/>
      <c r="R43" s="39"/>
      <c r="S43" s="39"/>
      <c r="T43" s="39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137"/>
      <c r="B44" s="127" t="s">
        <v>556</v>
      </c>
      <c r="C44" s="16" t="s">
        <v>570</v>
      </c>
      <c r="D44" s="13">
        <f>$M$14*$M$11</f>
        <v>157753.45597870075</v>
      </c>
      <c r="E44" s="13">
        <f>$M$16*$M$11/$M$12</f>
        <v>-2300.154806367791</v>
      </c>
      <c r="F44" s="13">
        <f>$M$17*$M$11/$M$12</f>
        <v>26289.68360791204</v>
      </c>
      <c r="G44" s="15"/>
      <c r="H44" s="15"/>
      <c r="I44" s="15"/>
      <c r="J44" s="15"/>
      <c r="K44" s="15"/>
      <c r="L44" s="15"/>
      <c r="M44" s="15"/>
      <c r="N44" s="15"/>
      <c r="O44" s="39"/>
      <c r="P44" s="39"/>
      <c r="Q44" s="39"/>
      <c r="R44" s="39"/>
      <c r="S44" s="39"/>
      <c r="T44" s="39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137"/>
      <c r="B45" s="128"/>
      <c r="C45" s="16" t="s">
        <v>542</v>
      </c>
      <c r="D45" s="13">
        <f>SUM(D$44:D44)</f>
        <v>157753.45597870075</v>
      </c>
      <c r="E45" s="13">
        <f>SUM(E$44:E44)</f>
        <v>-2300.154806367791</v>
      </c>
      <c r="F45" s="13">
        <f>SUM(F$44:F44)</f>
        <v>26289.68360791204</v>
      </c>
      <c r="G45" s="15"/>
      <c r="H45" s="15"/>
      <c r="I45" s="15"/>
      <c r="J45" s="15"/>
      <c r="K45" s="15"/>
      <c r="L45" s="15"/>
      <c r="M45" s="15"/>
      <c r="N45" s="15"/>
      <c r="O45" s="39"/>
      <c r="P45" s="39"/>
      <c r="Q45" s="39"/>
      <c r="R45" s="39"/>
      <c r="S45" s="39"/>
      <c r="T45" s="39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128"/>
      <c r="B46" s="129" t="s">
        <v>542</v>
      </c>
      <c r="C46" s="130"/>
      <c r="D46" s="13">
        <f>SUMIF(C$30:C45,"SUBTOTAL",D$30:D45)</f>
        <v>6642592.4163115053</v>
      </c>
      <c r="E46" s="13">
        <f>SUMIF(C$30:C45,"SUBTOTAL",E$30:E45)</f>
        <v>-1831255.4956129943</v>
      </c>
      <c r="F46" s="13">
        <f>SUMIF(C$30:C45,"SUBTOTAL",F$30:F45)</f>
        <v>1384508.7122450536</v>
      </c>
      <c r="G46" s="15"/>
      <c r="H46" s="15"/>
      <c r="I46" s="15"/>
      <c r="J46" s="15"/>
      <c r="K46" s="15"/>
      <c r="L46" s="15"/>
      <c r="M46" s="15"/>
      <c r="N46" s="15"/>
      <c r="O46" s="39"/>
      <c r="P46" s="39"/>
      <c r="Q46" s="39"/>
      <c r="R46" s="39"/>
      <c r="S46" s="39"/>
      <c r="T46" s="39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129" t="s">
        <v>571</v>
      </c>
      <c r="B47" s="135"/>
      <c r="C47" s="130"/>
      <c r="D47" s="13">
        <f>SUMIF(C$2:C46,"SUBTOTAL",D$2:D46)</f>
        <v>26074372.367739219</v>
      </c>
      <c r="E47" s="13">
        <f>SUMIF(C$2:C46,"SUBTOTAL",E$2:E46)</f>
        <v>-7288072.4040945806</v>
      </c>
      <c r="F47" s="13">
        <f>SUMIF(C$2:C46,"SUBTOTAL",F$2:F46)</f>
        <v>2716026.1883999999</v>
      </c>
      <c r="G47" s="15"/>
      <c r="H47" s="15"/>
      <c r="I47" s="15"/>
      <c r="J47" s="15"/>
      <c r="K47" s="15"/>
      <c r="L47" s="15"/>
      <c r="M47" s="15"/>
      <c r="N47" s="15"/>
      <c r="O47" s="39"/>
      <c r="P47" s="39"/>
      <c r="Q47" s="39"/>
      <c r="R47" s="39"/>
      <c r="S47" s="39"/>
      <c r="T47" s="39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133" t="s">
        <v>663</v>
      </c>
      <c r="B48" s="134"/>
      <c r="C48" s="134"/>
      <c r="D48" s="32">
        <f ca="1">'TUSD BE'!$AM$53+'TUSD BE'!$AM$57+'TE BE'!$AB$44</f>
        <v>26074372.367739215</v>
      </c>
      <c r="E48" s="32">
        <f ca="1">'TUSD BF'!$AM$53+'TE BF'!$AB$44</f>
        <v>-7288072.4040945796</v>
      </c>
      <c r="F48" s="32">
        <f ca="1">'TUSD CVA'!$AM$53+'TE CVA'!$AB$44</f>
        <v>2716026.1884000003</v>
      </c>
      <c r="L48" s="16"/>
      <c r="M48" s="13"/>
      <c r="O48" s="39"/>
      <c r="P48" s="39"/>
      <c r="Q48" s="39"/>
      <c r="R48" s="39"/>
      <c r="S48" s="39"/>
      <c r="T48" s="39"/>
    </row>
    <row r="49" spans="1:20" ht="12" customHeight="1" x14ac:dyDescent="0.25">
      <c r="A49" s="133" t="s">
        <v>664</v>
      </c>
      <c r="B49" s="134"/>
      <c r="C49" s="134"/>
      <c r="D49" s="33" t="str">
        <f ca="1">IF(ABS(D48-D47)&gt;1,"ERRO","OK")</f>
        <v>OK</v>
      </c>
      <c r="E49" s="33" t="str">
        <f ca="1">IF(ABS(E48-E47)&gt;1,"ERRO","OK")</f>
        <v>OK</v>
      </c>
      <c r="F49" s="33" t="str">
        <f ca="1">IF(ABS(F48-F47)&gt;1,"ERRO","OK")</f>
        <v>OK</v>
      </c>
      <c r="L49" s="16"/>
      <c r="M49" s="13"/>
      <c r="O49" s="39"/>
      <c r="P49" s="39"/>
      <c r="Q49" s="39"/>
      <c r="R49" s="39"/>
      <c r="S49" s="39"/>
      <c r="T49" s="39"/>
    </row>
    <row r="50" spans="1:20" ht="12" customHeight="1" x14ac:dyDescent="0.25">
      <c r="L50" s="16"/>
      <c r="M50" s="13"/>
      <c r="O50" s="39"/>
      <c r="P50" s="39"/>
      <c r="Q50" s="39"/>
      <c r="R50" s="39"/>
      <c r="S50" s="39"/>
      <c r="T50" s="39"/>
    </row>
    <row r="51" spans="1:20" ht="12" customHeight="1" x14ac:dyDescent="0.25">
      <c r="L51" s="20" t="s">
        <v>617</v>
      </c>
      <c r="M51" s="21">
        <v>0</v>
      </c>
      <c r="O51" s="39"/>
      <c r="P51" s="39"/>
      <c r="Q51" s="39"/>
      <c r="R51" s="39"/>
      <c r="S51" s="39"/>
      <c r="T51" s="39"/>
    </row>
    <row r="52" spans="1:20" ht="12" customHeight="1" x14ac:dyDescent="0.25">
      <c r="O52" s="39"/>
      <c r="P52" s="39"/>
      <c r="Q52" s="39"/>
      <c r="R52" s="39"/>
      <c r="S52" s="39"/>
      <c r="T52" s="39"/>
    </row>
    <row r="53" spans="1:20" ht="12" customHeight="1" x14ac:dyDescent="0.25">
      <c r="O53" s="39"/>
      <c r="P53" s="39"/>
      <c r="Q53" s="39"/>
      <c r="R53" s="39"/>
      <c r="S53" s="39"/>
      <c r="T53" s="39"/>
    </row>
    <row r="54" spans="1:20" ht="12" customHeight="1" x14ac:dyDescent="0.25">
      <c r="O54" s="39"/>
      <c r="P54" s="39"/>
      <c r="Q54" s="39"/>
      <c r="R54" s="39"/>
      <c r="S54" s="39"/>
      <c r="T54" s="39"/>
    </row>
    <row r="55" spans="1:20" ht="12" customHeight="1" x14ac:dyDescent="0.25">
      <c r="O55" s="39"/>
      <c r="P55" s="39"/>
      <c r="Q55" s="39"/>
      <c r="R55" s="39"/>
      <c r="S55" s="39"/>
      <c r="T55" s="39"/>
    </row>
    <row r="56" spans="1:20" ht="12" customHeight="1" x14ac:dyDescent="0.25">
      <c r="O56" s="39"/>
      <c r="P56" s="39"/>
      <c r="Q56" s="39"/>
      <c r="R56" s="39"/>
      <c r="S56" s="39"/>
      <c r="T56" s="39"/>
    </row>
    <row r="57" spans="1:20" ht="12" customHeight="1" x14ac:dyDescent="0.25">
      <c r="O57" s="39"/>
      <c r="P57" s="39"/>
      <c r="Q57" s="39"/>
      <c r="R57" s="39"/>
      <c r="S57" s="39"/>
      <c r="T57" s="39"/>
    </row>
    <row r="58" spans="1:20" ht="12" customHeight="1" x14ac:dyDescent="0.25">
      <c r="O58" s="39"/>
      <c r="P58" s="39"/>
      <c r="Q58" s="39"/>
      <c r="R58" s="39"/>
      <c r="S58" s="39"/>
      <c r="T58" s="39"/>
    </row>
    <row r="59" spans="1:20" ht="12" customHeight="1" x14ac:dyDescent="0.25">
      <c r="O59" s="39"/>
      <c r="P59" s="39"/>
      <c r="Q59" s="39"/>
      <c r="R59" s="39"/>
      <c r="S59" s="39"/>
      <c r="T59" s="39"/>
    </row>
    <row r="60" spans="1:20" ht="12" customHeight="1" x14ac:dyDescent="0.25">
      <c r="O60" s="39"/>
      <c r="P60" s="39"/>
      <c r="Q60" s="39"/>
      <c r="R60" s="39"/>
      <c r="S60" s="39"/>
      <c r="T60" s="39"/>
    </row>
    <row r="61" spans="1:20" ht="12" customHeight="1" x14ac:dyDescent="0.25">
      <c r="O61" s="39"/>
      <c r="P61" s="39"/>
      <c r="Q61" s="39"/>
      <c r="R61" s="39"/>
      <c r="S61" s="39"/>
      <c r="T61" s="39"/>
    </row>
    <row r="62" spans="1:20" ht="12" customHeight="1" x14ac:dyDescent="0.25">
      <c r="O62" s="39"/>
      <c r="P62" s="39"/>
      <c r="Q62" s="39"/>
      <c r="R62" s="39"/>
      <c r="S62" s="39"/>
      <c r="T62" s="39"/>
    </row>
    <row r="63" spans="1:20" ht="12" customHeight="1" x14ac:dyDescent="0.25">
      <c r="O63" s="39"/>
      <c r="P63" s="39"/>
      <c r="Q63" s="39"/>
      <c r="R63" s="39"/>
      <c r="S63" s="39"/>
      <c r="T63" s="39"/>
    </row>
    <row r="64" spans="1:20" ht="12" customHeight="1" x14ac:dyDescent="0.25">
      <c r="O64" s="39"/>
      <c r="P64" s="39"/>
      <c r="Q64" s="39"/>
      <c r="R64" s="39"/>
      <c r="S64" s="39"/>
      <c r="T64" s="39"/>
    </row>
    <row r="65" spans="15:20" ht="12" customHeight="1" x14ac:dyDescent="0.25">
      <c r="O65" s="39"/>
      <c r="P65" s="39"/>
      <c r="Q65" s="39"/>
      <c r="R65" s="39"/>
      <c r="S65" s="39"/>
      <c r="T65" s="39"/>
    </row>
    <row r="66" spans="15:20" ht="12" customHeight="1" x14ac:dyDescent="0.25">
      <c r="O66" s="39"/>
      <c r="P66" s="39"/>
      <c r="Q66" s="39"/>
      <c r="R66" s="39"/>
      <c r="S66" s="39"/>
      <c r="T66" s="39"/>
    </row>
    <row r="67" spans="15:20" ht="12" customHeight="1" x14ac:dyDescent="0.25">
      <c r="O67" s="39"/>
      <c r="P67" s="39"/>
      <c r="Q67" s="39"/>
      <c r="R67" s="39"/>
      <c r="S67" s="39"/>
      <c r="T67" s="39"/>
    </row>
    <row r="68" spans="15:20" ht="12" customHeight="1" x14ac:dyDescent="0.25">
      <c r="O68" s="39"/>
      <c r="P68" s="39"/>
      <c r="Q68" s="39"/>
      <c r="R68" s="39"/>
      <c r="S68" s="39"/>
      <c r="T68" s="39"/>
    </row>
    <row r="69" spans="15:20" ht="12" customHeight="1" x14ac:dyDescent="0.25">
      <c r="O69" s="39"/>
      <c r="P69" s="39"/>
      <c r="Q69" s="39"/>
      <c r="R69" s="39"/>
      <c r="S69" s="39"/>
      <c r="T69" s="39"/>
    </row>
    <row r="70" spans="15:20" ht="12" customHeight="1" x14ac:dyDescent="0.25">
      <c r="O70" s="39"/>
      <c r="P70" s="39"/>
      <c r="Q70" s="39"/>
      <c r="R70" s="39"/>
      <c r="S70" s="39"/>
      <c r="T70" s="39"/>
    </row>
    <row r="71" spans="15:20" ht="12" customHeight="1" x14ac:dyDescent="0.25">
      <c r="O71" s="39"/>
      <c r="P71" s="39"/>
      <c r="Q71" s="39"/>
      <c r="R71" s="39"/>
      <c r="S71" s="39"/>
      <c r="T71" s="39"/>
    </row>
    <row r="72" spans="15:20" ht="12" customHeight="1" x14ac:dyDescent="0.25">
      <c r="O72" s="39"/>
      <c r="P72" s="39"/>
      <c r="Q72" s="39"/>
      <c r="R72" s="39"/>
      <c r="S72" s="39"/>
      <c r="T72" s="39"/>
    </row>
    <row r="73" spans="15:20" ht="12" customHeight="1" x14ac:dyDescent="0.25">
      <c r="O73" s="39"/>
      <c r="P73" s="39"/>
      <c r="Q73" s="39"/>
      <c r="R73" s="39"/>
      <c r="S73" s="39"/>
      <c r="T73" s="39"/>
    </row>
    <row r="74" spans="15:20" ht="12" customHeight="1" x14ac:dyDescent="0.25">
      <c r="O74" s="39"/>
      <c r="P74" s="39"/>
      <c r="Q74" s="39"/>
      <c r="R74" s="39"/>
      <c r="S74" s="39"/>
      <c r="T74" s="39"/>
    </row>
    <row r="75" spans="15:20" ht="12" customHeight="1" x14ac:dyDescent="0.25">
      <c r="O75" s="39"/>
      <c r="P75" s="39"/>
      <c r="Q75" s="39"/>
      <c r="R75" s="39"/>
      <c r="S75" s="39"/>
      <c r="T75" s="39"/>
    </row>
    <row r="76" spans="15:20" ht="12" customHeight="1" x14ac:dyDescent="0.25">
      <c r="O76" s="39"/>
      <c r="P76" s="39"/>
      <c r="Q76" s="39"/>
      <c r="R76" s="39"/>
      <c r="S76" s="39"/>
      <c r="T76" s="39"/>
    </row>
    <row r="77" spans="15:20" ht="12" customHeight="1" x14ac:dyDescent="0.25">
      <c r="O77" s="39"/>
      <c r="P77" s="39"/>
      <c r="Q77" s="39"/>
      <c r="R77" s="39"/>
      <c r="S77" s="39"/>
      <c r="T77" s="39"/>
    </row>
    <row r="78" spans="15:20" ht="12" customHeight="1" x14ac:dyDescent="0.25">
      <c r="O78" s="39"/>
      <c r="P78" s="39"/>
      <c r="Q78" s="39"/>
      <c r="R78" s="39"/>
      <c r="S78" s="39"/>
      <c r="T78" s="39"/>
    </row>
    <row r="79" spans="15:20" ht="12" customHeight="1" x14ac:dyDescent="0.25">
      <c r="O79" s="39"/>
      <c r="P79" s="39"/>
      <c r="Q79" s="39"/>
      <c r="R79" s="39"/>
      <c r="S79" s="39"/>
      <c r="T79" s="39"/>
    </row>
    <row r="80" spans="15:20" ht="12" customHeight="1" x14ac:dyDescent="0.25">
      <c r="O80" s="39"/>
      <c r="P80" s="39"/>
      <c r="Q80" s="39"/>
      <c r="R80" s="39"/>
      <c r="S80" s="39"/>
      <c r="T80" s="39"/>
    </row>
    <row r="81" spans="15:20" ht="12" customHeight="1" x14ac:dyDescent="0.25">
      <c r="O81" s="39"/>
      <c r="P81" s="39"/>
      <c r="Q81" s="39"/>
      <c r="R81" s="39"/>
      <c r="S81" s="39"/>
      <c r="T81" s="39"/>
    </row>
    <row r="82" spans="15:20" ht="12" customHeight="1" x14ac:dyDescent="0.25">
      <c r="O82" s="39"/>
      <c r="P82" s="39"/>
      <c r="Q82" s="39"/>
      <c r="R82" s="39"/>
      <c r="S82" s="39"/>
      <c r="T82" s="39"/>
    </row>
    <row r="83" spans="15:20" ht="12" customHeight="1" x14ac:dyDescent="0.25">
      <c r="O83" s="39"/>
      <c r="P83" s="39"/>
      <c r="Q83" s="39"/>
      <c r="R83" s="39"/>
      <c r="S83" s="39"/>
      <c r="T83" s="39"/>
    </row>
    <row r="84" spans="15:20" ht="12" customHeight="1" x14ac:dyDescent="0.25">
      <c r="O84" s="39"/>
      <c r="P84" s="39"/>
      <c r="Q84" s="39"/>
      <c r="R84" s="39"/>
      <c r="S84" s="39"/>
      <c r="T84" s="39"/>
    </row>
    <row r="85" spans="15:20" ht="12" customHeight="1" x14ac:dyDescent="0.25">
      <c r="O85" s="39"/>
      <c r="P85" s="39"/>
      <c r="Q85" s="39"/>
      <c r="R85" s="39"/>
      <c r="S85" s="39"/>
      <c r="T85" s="39"/>
    </row>
    <row r="86" spans="15:20" ht="12" customHeight="1" x14ac:dyDescent="0.25">
      <c r="O86" s="39"/>
      <c r="P86" s="39"/>
      <c r="Q86" s="39"/>
      <c r="R86" s="39"/>
      <c r="S86" s="39"/>
      <c r="T86" s="39"/>
    </row>
    <row r="87" spans="15:20" ht="12" customHeight="1" x14ac:dyDescent="0.25">
      <c r="O87" s="39"/>
      <c r="P87" s="39"/>
      <c r="Q87" s="39"/>
      <c r="R87" s="39"/>
      <c r="S87" s="39"/>
      <c r="T87" s="39"/>
    </row>
    <row r="88" spans="15:20" ht="12" customHeight="1" x14ac:dyDescent="0.25">
      <c r="O88" s="39"/>
      <c r="P88" s="39"/>
      <c r="Q88" s="39"/>
      <c r="R88" s="39"/>
      <c r="S88" s="39"/>
      <c r="T88" s="39"/>
    </row>
    <row r="89" spans="15:20" ht="12" customHeight="1" x14ac:dyDescent="0.25">
      <c r="O89" s="39"/>
      <c r="P89" s="39"/>
      <c r="Q89" s="39"/>
      <c r="R89" s="39"/>
      <c r="S89" s="39"/>
      <c r="T89" s="39"/>
    </row>
    <row r="90" spans="15:20" ht="12" customHeight="1" x14ac:dyDescent="0.25">
      <c r="O90" s="39"/>
      <c r="P90" s="39"/>
      <c r="Q90" s="39"/>
      <c r="R90" s="39"/>
      <c r="S90" s="39"/>
      <c r="T90" s="39"/>
    </row>
    <row r="91" spans="15:20" ht="12" customHeight="1" x14ac:dyDescent="0.25">
      <c r="O91" s="39"/>
      <c r="P91" s="39"/>
      <c r="Q91" s="39"/>
      <c r="R91" s="39"/>
      <c r="S91" s="39"/>
      <c r="T91" s="39"/>
    </row>
    <row r="92" spans="15:20" ht="12" customHeight="1" x14ac:dyDescent="0.25">
      <c r="O92" s="39"/>
      <c r="P92" s="39"/>
      <c r="Q92" s="39"/>
      <c r="R92" s="39"/>
      <c r="S92" s="39"/>
      <c r="T92" s="39"/>
    </row>
    <row r="93" spans="15:20" ht="12" customHeight="1" x14ac:dyDescent="0.25">
      <c r="O93" s="39"/>
      <c r="P93" s="39"/>
      <c r="Q93" s="39"/>
      <c r="R93" s="39"/>
      <c r="S93" s="39"/>
      <c r="T93" s="39"/>
    </row>
    <row r="94" spans="15:20" ht="12" customHeight="1" x14ac:dyDescent="0.25">
      <c r="O94" s="39"/>
      <c r="P94" s="39"/>
      <c r="Q94" s="39"/>
      <c r="R94" s="39"/>
      <c r="S94" s="39"/>
      <c r="T94" s="39"/>
    </row>
    <row r="95" spans="15:20" ht="12" customHeight="1" x14ac:dyDescent="0.25">
      <c r="O95" s="39"/>
      <c r="P95" s="39"/>
      <c r="Q95" s="39"/>
      <c r="R95" s="39"/>
      <c r="S95" s="39"/>
      <c r="T95" s="39"/>
    </row>
    <row r="96" spans="15:20" ht="12" customHeight="1" x14ac:dyDescent="0.25">
      <c r="O96" s="39"/>
      <c r="P96" s="39"/>
      <c r="Q96" s="39"/>
      <c r="R96" s="39"/>
      <c r="S96" s="39"/>
      <c r="T96" s="39"/>
    </row>
    <row r="97" spans="15:30" ht="12" customHeight="1" x14ac:dyDescent="0.25">
      <c r="O97" s="39"/>
      <c r="P97" s="39"/>
      <c r="Q97" s="39"/>
      <c r="R97" s="39"/>
      <c r="S97" s="39"/>
      <c r="T97" s="39"/>
    </row>
    <row r="98" spans="15:30" ht="12" customHeight="1" x14ac:dyDescent="0.25">
      <c r="O98" s="39"/>
      <c r="P98" s="39"/>
      <c r="Q98" s="39"/>
      <c r="R98" s="39"/>
      <c r="S98" s="39"/>
      <c r="T98" s="39"/>
    </row>
    <row r="99" spans="15:30" ht="12" customHeight="1" x14ac:dyDescent="0.25">
      <c r="O99" s="38"/>
      <c r="P99" s="38"/>
      <c r="Q99" s="38"/>
      <c r="R99" s="38"/>
      <c r="S99" s="38"/>
      <c r="T99" s="38"/>
    </row>
    <row r="100" spans="15:30" ht="12" customHeight="1" x14ac:dyDescent="0.25"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</row>
    <row r="101" spans="15:30" ht="12" customHeight="1" x14ac:dyDescent="0.25">
      <c r="O101" s="39" t="s">
        <v>688</v>
      </c>
      <c r="P101" s="39" t="s">
        <v>693</v>
      </c>
      <c r="Q101" s="39" t="s">
        <v>694</v>
      </c>
      <c r="R101" s="39" t="s">
        <v>695</v>
      </c>
      <c r="S101" s="39" t="s">
        <v>696</v>
      </c>
      <c r="T101" s="39" t="s">
        <v>697</v>
      </c>
      <c r="U101" s="39" t="s">
        <v>698</v>
      </c>
      <c r="V101" s="39" t="s">
        <v>699</v>
      </c>
      <c r="W101" s="39"/>
      <c r="X101" s="39"/>
      <c r="Y101" s="39"/>
      <c r="Z101" s="39"/>
      <c r="AA101" s="39"/>
      <c r="AB101" s="39"/>
      <c r="AC101" s="39"/>
      <c r="AD101" s="39"/>
    </row>
    <row r="102" spans="15:30" ht="12" customHeight="1" x14ac:dyDescent="0.25">
      <c r="O102" s="39" t="s">
        <v>37</v>
      </c>
      <c r="P102" s="39"/>
      <c r="Q102" s="39" t="s">
        <v>41</v>
      </c>
      <c r="R102" s="39" t="s">
        <v>42</v>
      </c>
      <c r="S102" s="39" t="s">
        <v>25</v>
      </c>
      <c r="T102" s="39" t="s">
        <v>700</v>
      </c>
      <c r="U102" s="39">
        <v>4</v>
      </c>
      <c r="V102" s="39">
        <v>0.3</v>
      </c>
      <c r="W102" s="39">
        <v>0.24</v>
      </c>
      <c r="X102" s="39">
        <v>0.18</v>
      </c>
      <c r="Y102" s="39">
        <v>0.12</v>
      </c>
      <c r="Z102" s="39">
        <v>0.06</v>
      </c>
      <c r="AA102" s="39">
        <v>0</v>
      </c>
      <c r="AB102" s="39"/>
      <c r="AC102" s="39"/>
      <c r="AD102" s="39"/>
    </row>
    <row r="103" spans="15:30" ht="12" customHeight="1" x14ac:dyDescent="0.25">
      <c r="O103" s="39" t="s">
        <v>37</v>
      </c>
      <c r="P103" s="39" t="s">
        <v>56</v>
      </c>
      <c r="Q103" s="39" t="s">
        <v>38</v>
      </c>
      <c r="R103" s="39" t="s">
        <v>42</v>
      </c>
      <c r="S103" s="39" t="s">
        <v>25</v>
      </c>
      <c r="T103" s="39" t="s">
        <v>701</v>
      </c>
      <c r="U103" s="39">
        <v>4</v>
      </c>
      <c r="V103" s="39">
        <v>0.1</v>
      </c>
      <c r="W103" s="39">
        <v>0.08</v>
      </c>
      <c r="X103" s="39">
        <v>0.06</v>
      </c>
      <c r="Y103" s="39">
        <v>0.04</v>
      </c>
      <c r="Z103" s="39">
        <v>0.02</v>
      </c>
      <c r="AA103" s="39">
        <v>0</v>
      </c>
      <c r="AB103" s="39"/>
      <c r="AC103" s="39"/>
      <c r="AD103" s="39"/>
    </row>
    <row r="104" spans="15:30" ht="12" customHeight="1" x14ac:dyDescent="0.25">
      <c r="O104" s="39" t="s">
        <v>37</v>
      </c>
      <c r="P104" s="39" t="s">
        <v>56</v>
      </c>
      <c r="Q104" s="39" t="s">
        <v>38</v>
      </c>
      <c r="R104" s="39" t="s">
        <v>47</v>
      </c>
      <c r="S104" s="39" t="s">
        <v>48</v>
      </c>
      <c r="T104" s="39" t="s">
        <v>700</v>
      </c>
      <c r="U104" s="39">
        <v>4</v>
      </c>
      <c r="V104" s="39">
        <v>0.15</v>
      </c>
      <c r="W104" s="39">
        <v>0.12</v>
      </c>
      <c r="X104" s="39">
        <v>0.09</v>
      </c>
      <c r="Y104" s="39">
        <v>0.06</v>
      </c>
      <c r="Z104" s="39">
        <v>0.03</v>
      </c>
      <c r="AA104" s="39">
        <v>0</v>
      </c>
      <c r="AB104" s="39"/>
      <c r="AC104" s="39"/>
      <c r="AD104" s="39"/>
    </row>
    <row r="105" spans="15:30" ht="12" customHeight="1" x14ac:dyDescent="0.25">
      <c r="O105" s="39" t="s">
        <v>37</v>
      </c>
      <c r="P105" s="39" t="s">
        <v>702</v>
      </c>
      <c r="Q105" s="39" t="s">
        <v>41</v>
      </c>
      <c r="R105" s="39" t="s">
        <v>42</v>
      </c>
      <c r="S105" s="39" t="s">
        <v>91</v>
      </c>
      <c r="T105" s="39" t="s">
        <v>700</v>
      </c>
      <c r="U105" s="39">
        <v>4</v>
      </c>
      <c r="V105" s="39">
        <v>0.3</v>
      </c>
      <c r="W105" s="39">
        <v>0.24</v>
      </c>
      <c r="X105" s="39">
        <v>0.18</v>
      </c>
      <c r="Y105" s="39">
        <v>0.12</v>
      </c>
      <c r="Z105" s="39">
        <v>0.06</v>
      </c>
      <c r="AA105" s="39">
        <v>0</v>
      </c>
      <c r="AB105" s="39"/>
      <c r="AC105" s="39"/>
      <c r="AD105" s="39"/>
    </row>
    <row r="106" spans="15:30" ht="12" customHeight="1" x14ac:dyDescent="0.25">
      <c r="O106" s="39" t="s">
        <v>37</v>
      </c>
      <c r="P106" s="39" t="s">
        <v>32</v>
      </c>
      <c r="Q106" s="39" t="s">
        <v>41</v>
      </c>
      <c r="R106" s="39" t="s">
        <v>42</v>
      </c>
      <c r="S106" s="39" t="s">
        <v>25</v>
      </c>
      <c r="T106" s="39" t="s">
        <v>42</v>
      </c>
      <c r="U106" s="39">
        <v>4</v>
      </c>
      <c r="V106" s="39">
        <v>0.3</v>
      </c>
      <c r="W106" s="39">
        <v>0.24</v>
      </c>
      <c r="X106" s="39">
        <v>0.18</v>
      </c>
      <c r="Y106" s="39">
        <v>0.12</v>
      </c>
      <c r="Z106" s="39">
        <v>0.06</v>
      </c>
      <c r="AA106" s="39">
        <v>0</v>
      </c>
      <c r="AB106" s="39"/>
      <c r="AC106" s="39"/>
      <c r="AD106" s="39"/>
    </row>
    <row r="107" spans="15:30" ht="12" customHeight="1" x14ac:dyDescent="0.25">
      <c r="O107" s="39" t="s">
        <v>37</v>
      </c>
      <c r="P107" s="39" t="s">
        <v>702</v>
      </c>
      <c r="Q107" s="39" t="s">
        <v>41</v>
      </c>
      <c r="R107" s="39" t="s">
        <v>42</v>
      </c>
      <c r="S107" s="39" t="s">
        <v>92</v>
      </c>
      <c r="T107" s="39" t="s">
        <v>700</v>
      </c>
      <c r="U107" s="39">
        <v>4</v>
      </c>
      <c r="V107" s="39">
        <v>0.4</v>
      </c>
      <c r="W107" s="39">
        <v>0.32</v>
      </c>
      <c r="X107" s="39">
        <v>0.24</v>
      </c>
      <c r="Y107" s="39">
        <v>0.16</v>
      </c>
      <c r="Z107" s="39">
        <v>0.08</v>
      </c>
      <c r="AA107" s="39">
        <v>0</v>
      </c>
      <c r="AB107" s="39"/>
      <c r="AC107" s="39"/>
      <c r="AD107" s="39"/>
    </row>
    <row r="108" spans="15:30" ht="12" customHeight="1" x14ac:dyDescent="0.25">
      <c r="O108" s="39" t="s">
        <v>37</v>
      </c>
      <c r="P108" s="39" t="s">
        <v>32</v>
      </c>
      <c r="Q108" s="39" t="s">
        <v>36</v>
      </c>
      <c r="R108" s="39" t="s">
        <v>47</v>
      </c>
      <c r="S108" s="39" t="s">
        <v>48</v>
      </c>
      <c r="T108" s="39" t="s">
        <v>700</v>
      </c>
      <c r="U108" s="39">
        <v>4</v>
      </c>
      <c r="V108" s="39">
        <v>0.15</v>
      </c>
      <c r="W108" s="39">
        <v>0.12</v>
      </c>
      <c r="X108" s="39">
        <v>0.09</v>
      </c>
      <c r="Y108" s="39">
        <v>0.06</v>
      </c>
      <c r="Z108" s="39">
        <v>0.03</v>
      </c>
      <c r="AA108" s="39">
        <v>0</v>
      </c>
      <c r="AB108" s="39"/>
      <c r="AC108" s="39"/>
      <c r="AD108" s="39"/>
    </row>
    <row r="109" spans="15:30" ht="12" customHeight="1" x14ac:dyDescent="0.25">
      <c r="O109" s="39" t="s">
        <v>37</v>
      </c>
      <c r="P109" s="39" t="s">
        <v>23</v>
      </c>
      <c r="Q109" s="39" t="s">
        <v>38</v>
      </c>
      <c r="R109" s="39" t="s">
        <v>42</v>
      </c>
      <c r="S109" s="39" t="s">
        <v>25</v>
      </c>
      <c r="T109" s="39" t="s">
        <v>701</v>
      </c>
      <c r="U109" s="39">
        <v>4</v>
      </c>
      <c r="V109" s="39">
        <v>0.1</v>
      </c>
      <c r="W109" s="39">
        <v>0.08</v>
      </c>
      <c r="X109" s="39">
        <v>0.06</v>
      </c>
      <c r="Y109" s="39">
        <v>0.04</v>
      </c>
      <c r="Z109" s="39">
        <v>0.02</v>
      </c>
      <c r="AA109" s="39">
        <v>0</v>
      </c>
      <c r="AB109" s="39"/>
      <c r="AC109" s="39"/>
      <c r="AD109" s="39"/>
    </row>
    <row r="110" spans="15:30" ht="12" customHeight="1" x14ac:dyDescent="0.25">
      <c r="O110" s="39" t="s">
        <v>37</v>
      </c>
      <c r="P110" s="39" t="s">
        <v>703</v>
      </c>
      <c r="Q110" s="39" t="s">
        <v>38</v>
      </c>
      <c r="R110" s="39" t="s">
        <v>47</v>
      </c>
      <c r="S110" s="39" t="s">
        <v>48</v>
      </c>
      <c r="T110" s="39" t="s">
        <v>700</v>
      </c>
      <c r="U110" s="39">
        <v>4</v>
      </c>
      <c r="V110" s="39">
        <v>0.15</v>
      </c>
      <c r="W110" s="39">
        <v>0.12</v>
      </c>
      <c r="X110" s="39">
        <v>0.09</v>
      </c>
      <c r="Y110" s="39">
        <v>0.06</v>
      </c>
      <c r="Z110" s="39">
        <v>0.03</v>
      </c>
      <c r="AA110" s="39">
        <v>0</v>
      </c>
      <c r="AB110" s="39"/>
      <c r="AC110" s="39"/>
      <c r="AD110" s="39"/>
    </row>
    <row r="111" spans="15:30" ht="12" customHeight="1" x14ac:dyDescent="0.25">
      <c r="O111" s="39" t="s">
        <v>37</v>
      </c>
      <c r="P111" s="39" t="s">
        <v>23</v>
      </c>
      <c r="Q111" s="39" t="s">
        <v>41</v>
      </c>
      <c r="R111" s="39" t="s">
        <v>42</v>
      </c>
      <c r="S111" s="39" t="s">
        <v>91</v>
      </c>
      <c r="T111" s="39" t="s">
        <v>700</v>
      </c>
      <c r="U111" s="39">
        <v>4</v>
      </c>
      <c r="V111" s="39">
        <v>0.3</v>
      </c>
      <c r="W111" s="39">
        <v>0.24</v>
      </c>
      <c r="X111" s="39">
        <v>0.18</v>
      </c>
      <c r="Y111" s="39">
        <v>0.12</v>
      </c>
      <c r="Z111" s="39">
        <v>0.06</v>
      </c>
      <c r="AA111" s="39">
        <v>0</v>
      </c>
      <c r="AB111" s="39"/>
      <c r="AC111" s="39"/>
      <c r="AD111" s="39"/>
    </row>
    <row r="112" spans="15:30" ht="12" customHeight="1" x14ac:dyDescent="0.25">
      <c r="O112" s="39" t="s">
        <v>37</v>
      </c>
      <c r="P112" s="39" t="s">
        <v>23</v>
      </c>
      <c r="Q112" s="39" t="s">
        <v>41</v>
      </c>
      <c r="R112" s="39" t="s">
        <v>42</v>
      </c>
      <c r="S112" s="39" t="s">
        <v>25</v>
      </c>
      <c r="T112" s="39" t="s">
        <v>42</v>
      </c>
      <c r="U112" s="39">
        <v>4</v>
      </c>
      <c r="V112" s="39">
        <v>0.3</v>
      </c>
      <c r="W112" s="39">
        <v>0.24</v>
      </c>
      <c r="X112" s="39">
        <v>0.18</v>
      </c>
      <c r="Y112" s="39">
        <v>0.12</v>
      </c>
      <c r="Z112" s="39">
        <v>0.06</v>
      </c>
      <c r="AA112" s="39">
        <v>0</v>
      </c>
      <c r="AB112" s="39"/>
      <c r="AC112" s="39"/>
      <c r="AD112" s="39"/>
    </row>
    <row r="113" spans="15:30" ht="12" customHeight="1" x14ac:dyDescent="0.25">
      <c r="O113" s="39" t="s">
        <v>37</v>
      </c>
      <c r="P113" s="39" t="s">
        <v>23</v>
      </c>
      <c r="Q113" s="39" t="s">
        <v>41</v>
      </c>
      <c r="R113" s="39" t="s">
        <v>42</v>
      </c>
      <c r="S113" s="39" t="s">
        <v>92</v>
      </c>
      <c r="T113" s="39" t="s">
        <v>700</v>
      </c>
      <c r="U113" s="39">
        <v>4</v>
      </c>
      <c r="V113" s="39">
        <v>0.4</v>
      </c>
      <c r="W113" s="39">
        <v>0.32</v>
      </c>
      <c r="X113" s="39">
        <v>0.24</v>
      </c>
      <c r="Y113" s="39">
        <v>0.16</v>
      </c>
      <c r="Z113" s="39">
        <v>0.08</v>
      </c>
      <c r="AA113" s="39">
        <v>0</v>
      </c>
      <c r="AB113" s="39"/>
      <c r="AC113" s="39"/>
      <c r="AD113" s="39"/>
    </row>
    <row r="114" spans="15:30" ht="12" customHeight="1" x14ac:dyDescent="0.25">
      <c r="O114" s="39" t="s">
        <v>37</v>
      </c>
      <c r="P114" s="39" t="s">
        <v>23</v>
      </c>
      <c r="Q114" s="39" t="s">
        <v>36</v>
      </c>
      <c r="R114" s="39" t="s">
        <v>47</v>
      </c>
      <c r="S114" s="39" t="s">
        <v>48</v>
      </c>
      <c r="T114" s="39" t="s">
        <v>700</v>
      </c>
      <c r="U114" s="39">
        <v>4</v>
      </c>
      <c r="V114" s="39">
        <v>0.15</v>
      </c>
      <c r="W114" s="39">
        <v>0.12</v>
      </c>
      <c r="X114" s="39">
        <v>0.09</v>
      </c>
      <c r="Y114" s="39">
        <v>0.06</v>
      </c>
      <c r="Z114" s="39">
        <v>0.03</v>
      </c>
      <c r="AA114" s="39">
        <v>0</v>
      </c>
      <c r="AB114" s="39"/>
      <c r="AC114" s="39"/>
      <c r="AD114" s="39"/>
    </row>
    <row r="115" spans="15:30" ht="12" customHeight="1" x14ac:dyDescent="0.25">
      <c r="O115" s="39" t="s">
        <v>37</v>
      </c>
      <c r="P115" s="39" t="s">
        <v>39</v>
      </c>
      <c r="Q115" s="39" t="s">
        <v>38</v>
      </c>
      <c r="R115" s="39" t="s">
        <v>42</v>
      </c>
      <c r="S115" s="39" t="s">
        <v>25</v>
      </c>
      <c r="T115" s="39" t="s">
        <v>701</v>
      </c>
      <c r="U115" s="39">
        <v>4</v>
      </c>
      <c r="V115" s="39">
        <v>0.1</v>
      </c>
      <c r="W115" s="39">
        <v>0.08</v>
      </c>
      <c r="X115" s="39">
        <v>0.06</v>
      </c>
      <c r="Y115" s="39">
        <v>0.04</v>
      </c>
      <c r="Z115" s="39">
        <v>0.02</v>
      </c>
      <c r="AA115" s="39">
        <v>0</v>
      </c>
      <c r="AB115" s="39"/>
      <c r="AC115" s="39"/>
      <c r="AD115" s="39"/>
    </row>
    <row r="116" spans="15:30" ht="12" customHeight="1" x14ac:dyDescent="0.25">
      <c r="O116" s="39" t="s">
        <v>37</v>
      </c>
      <c r="P116" s="39" t="s">
        <v>39</v>
      </c>
      <c r="Q116" s="39" t="s">
        <v>38</v>
      </c>
      <c r="R116" s="39" t="s">
        <v>47</v>
      </c>
      <c r="S116" s="39" t="s">
        <v>48</v>
      </c>
      <c r="T116" s="39" t="s">
        <v>700</v>
      </c>
      <c r="U116" s="39">
        <v>4</v>
      </c>
      <c r="V116" s="39">
        <v>0.15</v>
      </c>
      <c r="W116" s="39">
        <v>0.12</v>
      </c>
      <c r="X116" s="39">
        <v>0.09</v>
      </c>
      <c r="Y116" s="39">
        <v>0.06</v>
      </c>
      <c r="Z116" s="39">
        <v>0.03</v>
      </c>
      <c r="AA116" s="39">
        <v>0</v>
      </c>
      <c r="AB116" s="39"/>
      <c r="AC116" s="39"/>
      <c r="AD116" s="39"/>
    </row>
    <row r="117" spans="15:30" ht="12" customHeight="1" x14ac:dyDescent="0.25"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</row>
    <row r="118" spans="15:30" ht="12" customHeight="1" x14ac:dyDescent="0.25"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</row>
    <row r="119" spans="15:30" ht="12" customHeight="1" x14ac:dyDescent="0.25"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</row>
    <row r="120" spans="15:30" ht="12" customHeight="1" x14ac:dyDescent="0.25"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</row>
    <row r="121" spans="15:30" ht="12" customHeight="1" x14ac:dyDescent="0.25"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</row>
    <row r="122" spans="15:30" ht="12" customHeight="1" x14ac:dyDescent="0.25"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</row>
    <row r="123" spans="15:30" ht="12" customHeight="1" x14ac:dyDescent="0.25"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</row>
    <row r="124" spans="15:30" ht="12" customHeight="1" x14ac:dyDescent="0.25"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</row>
    <row r="125" spans="15:30" ht="12" customHeight="1" x14ac:dyDescent="0.25"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</row>
    <row r="126" spans="15:30" ht="12" customHeight="1" x14ac:dyDescent="0.25"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</row>
    <row r="127" spans="15:30" ht="12" customHeight="1" x14ac:dyDescent="0.25"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</row>
    <row r="128" spans="15:30" ht="12" customHeight="1" x14ac:dyDescent="0.25"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</row>
    <row r="129" spans="15:30" ht="12" customHeight="1" x14ac:dyDescent="0.25"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</row>
    <row r="130" spans="15:30" ht="12" customHeight="1" x14ac:dyDescent="0.25"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</row>
    <row r="131" spans="15:30" ht="12" customHeight="1" x14ac:dyDescent="0.25"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</row>
    <row r="132" spans="15:30" ht="12" customHeight="1" x14ac:dyDescent="0.25"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</row>
    <row r="133" spans="15:30" ht="12" customHeight="1" x14ac:dyDescent="0.25"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</row>
    <row r="134" spans="15:30" ht="12" customHeight="1" x14ac:dyDescent="0.25"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</row>
    <row r="135" spans="15:30" ht="12" customHeight="1" x14ac:dyDescent="0.25"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</row>
    <row r="136" spans="15:30" ht="12" customHeight="1" x14ac:dyDescent="0.25"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</row>
    <row r="137" spans="15:30" ht="12" customHeight="1" x14ac:dyDescent="0.25"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</row>
    <row r="138" spans="15:30" ht="12" customHeight="1" x14ac:dyDescent="0.25"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</row>
    <row r="139" spans="15:30" ht="12" customHeight="1" x14ac:dyDescent="0.25"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</row>
    <row r="140" spans="15:30" ht="12" customHeight="1" x14ac:dyDescent="0.25"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</row>
    <row r="141" spans="15:30" ht="12" customHeight="1" x14ac:dyDescent="0.25"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</row>
    <row r="142" spans="15:30" ht="12" customHeight="1" x14ac:dyDescent="0.25"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</row>
    <row r="143" spans="15:30" ht="12" customHeight="1" x14ac:dyDescent="0.25"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</row>
    <row r="144" spans="15:30" ht="12" customHeight="1" x14ac:dyDescent="0.25"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</row>
    <row r="145" spans="15:30" ht="12" customHeight="1" x14ac:dyDescent="0.25"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</row>
    <row r="146" spans="15:30" ht="12" customHeight="1" x14ac:dyDescent="0.25"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</row>
    <row r="147" spans="15:30" ht="12" customHeight="1" x14ac:dyDescent="0.25"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</row>
    <row r="148" spans="15:30" ht="12" customHeight="1" x14ac:dyDescent="0.25"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</row>
    <row r="149" spans="15:30" ht="12" customHeight="1" x14ac:dyDescent="0.25"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</row>
    <row r="150" spans="15:30" ht="12" customHeight="1" x14ac:dyDescent="0.25"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</row>
    <row r="151" spans="15:30" ht="12" customHeight="1" x14ac:dyDescent="0.25"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</row>
    <row r="152" spans="15:30" ht="12" customHeight="1" x14ac:dyDescent="0.25"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</row>
    <row r="153" spans="15:30" ht="12" customHeight="1" x14ac:dyDescent="0.25"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</row>
    <row r="154" spans="15:30" ht="12" customHeight="1" x14ac:dyDescent="0.25"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</row>
    <row r="155" spans="15:30" ht="12" customHeight="1" x14ac:dyDescent="0.25"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</row>
    <row r="156" spans="15:30" ht="12" customHeight="1" x14ac:dyDescent="0.25"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</row>
    <row r="157" spans="15:30" ht="12" customHeight="1" x14ac:dyDescent="0.25"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</row>
    <row r="158" spans="15:30" ht="12" customHeight="1" x14ac:dyDescent="0.25"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</row>
    <row r="159" spans="15:30" ht="12" customHeight="1" x14ac:dyDescent="0.25"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</row>
    <row r="160" spans="15:30" ht="12" customHeight="1" x14ac:dyDescent="0.25"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</row>
    <row r="161" spans="15:30" ht="12" customHeight="1" x14ac:dyDescent="0.25"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</row>
    <row r="162" spans="15:30" ht="12" customHeight="1" x14ac:dyDescent="0.25"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</row>
    <row r="163" spans="15:30" ht="12" customHeight="1" x14ac:dyDescent="0.25"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</row>
    <row r="164" spans="15:30" ht="12" customHeight="1" x14ac:dyDescent="0.25"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</row>
    <row r="165" spans="15:30" ht="12" customHeight="1" x14ac:dyDescent="0.25"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</row>
    <row r="166" spans="15:30" ht="12" customHeight="1" x14ac:dyDescent="0.25"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</row>
    <row r="167" spans="15:30" ht="12" customHeight="1" x14ac:dyDescent="0.25"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</row>
    <row r="168" spans="15:30" ht="12" customHeight="1" x14ac:dyDescent="0.25"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</row>
    <row r="169" spans="15:30" ht="12" customHeight="1" x14ac:dyDescent="0.25"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</row>
    <row r="170" spans="15:30" ht="12" customHeight="1" x14ac:dyDescent="0.25"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</row>
    <row r="171" spans="15:30" ht="12" customHeight="1" x14ac:dyDescent="0.25"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</row>
    <row r="172" spans="15:30" ht="12" customHeight="1" x14ac:dyDescent="0.25"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</row>
    <row r="173" spans="15:30" ht="12" customHeight="1" x14ac:dyDescent="0.25"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</row>
    <row r="174" spans="15:30" ht="12" customHeight="1" x14ac:dyDescent="0.25"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</row>
    <row r="175" spans="15:30" ht="12" customHeight="1" x14ac:dyDescent="0.25"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</row>
    <row r="176" spans="15:30" ht="12" customHeight="1" x14ac:dyDescent="0.25"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</row>
    <row r="177" spans="15:30" ht="12" customHeight="1" x14ac:dyDescent="0.25"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</row>
    <row r="178" spans="15:30" ht="12" customHeight="1" x14ac:dyDescent="0.25"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</row>
    <row r="179" spans="15:30" ht="12" customHeight="1" x14ac:dyDescent="0.25"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</row>
    <row r="180" spans="15:30" ht="12" customHeight="1" x14ac:dyDescent="0.25"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</row>
    <row r="181" spans="15:30" ht="12" customHeight="1" x14ac:dyDescent="0.25"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</row>
    <row r="182" spans="15:30" ht="12" customHeight="1" x14ac:dyDescent="0.25"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</row>
    <row r="183" spans="15:30" ht="12" customHeight="1" x14ac:dyDescent="0.25"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</row>
    <row r="184" spans="15:30" ht="12" customHeight="1" x14ac:dyDescent="0.25"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</row>
    <row r="185" spans="15:30" ht="12" customHeight="1" x14ac:dyDescent="0.25"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</row>
    <row r="186" spans="15:30" ht="12" customHeight="1" x14ac:dyDescent="0.25"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</row>
    <row r="187" spans="15:30" ht="12" customHeight="1" x14ac:dyDescent="0.25"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</row>
    <row r="188" spans="15:30" ht="12" customHeight="1" x14ac:dyDescent="0.25"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</row>
    <row r="189" spans="15:30" ht="12" customHeight="1" x14ac:dyDescent="0.25"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</row>
    <row r="190" spans="15:30" ht="12" customHeight="1" x14ac:dyDescent="0.25"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</row>
    <row r="191" spans="15:30" ht="12" customHeight="1" x14ac:dyDescent="0.25"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</row>
    <row r="192" spans="15:30" ht="12" customHeight="1" x14ac:dyDescent="0.25"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</row>
    <row r="193" spans="15:30" ht="12" customHeight="1" x14ac:dyDescent="0.25"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</row>
    <row r="194" spans="15:30" ht="12" customHeight="1" x14ac:dyDescent="0.25"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</row>
    <row r="195" spans="15:30" ht="12" customHeight="1" x14ac:dyDescent="0.25"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</row>
    <row r="196" spans="15:30" ht="12" customHeight="1" x14ac:dyDescent="0.25"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</row>
    <row r="197" spans="15:30" ht="12" customHeight="1" x14ac:dyDescent="0.25"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</row>
    <row r="198" spans="15:30" ht="12" customHeight="1" x14ac:dyDescent="0.25"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</row>
    <row r="199" spans="15:30" ht="12" customHeight="1" x14ac:dyDescent="0.25"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</row>
    <row r="200" spans="15:30" ht="12" customHeight="1" x14ac:dyDescent="0.25"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</row>
  </sheetData>
  <mergeCells count="19"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B44:B45"/>
    <mergeCell ref="B46:C46"/>
    <mergeCell ref="O1:U1"/>
    <mergeCell ref="A48:C48"/>
  </mergeCells>
  <pageMargins left="0.511811024" right="0.511811024" top="0.78740157499999996" bottom="0.78740157499999996" header="0.31496062000000002" footer="0.31496062000000002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0DC2F-4207-453A-88A1-DF357D3D3884}">
  <dimension ref="A1:AP51"/>
  <sheetViews>
    <sheetView showGridLines="0" topLeftCell="D40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9.28515625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8" t="s">
        <v>65</v>
      </c>
      <c r="B1" s="138" t="s">
        <v>66</v>
      </c>
      <c r="C1" s="138" t="s">
        <v>67</v>
      </c>
      <c r="D1" s="138" t="s">
        <v>68</v>
      </c>
      <c r="E1" s="138" t="s">
        <v>69</v>
      </c>
      <c r="F1" s="138" t="s">
        <v>15</v>
      </c>
      <c r="G1" s="138" t="s">
        <v>71</v>
      </c>
      <c r="H1" s="138" t="s">
        <v>72</v>
      </c>
      <c r="I1" s="138" t="s">
        <v>634</v>
      </c>
      <c r="J1" s="131"/>
      <c r="L1" s="139" t="s">
        <v>635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P1" s="139" t="s">
        <v>636</v>
      </c>
    </row>
    <row r="2" spans="1:42" ht="11.25" customHeight="1" x14ac:dyDescent="0.25">
      <c r="A2" s="138"/>
      <c r="B2" s="138"/>
      <c r="C2" s="138"/>
      <c r="D2" s="138"/>
      <c r="E2" s="138"/>
      <c r="F2" s="138"/>
      <c r="G2" s="138"/>
      <c r="H2" s="138"/>
      <c r="I2" s="138"/>
      <c r="J2" s="131"/>
      <c r="L2" s="139" t="s">
        <v>533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P2" s="140"/>
    </row>
    <row r="3" spans="1:42" ht="11.25" customHeight="1" x14ac:dyDescent="0.25">
      <c r="A3" s="138"/>
      <c r="B3" s="138"/>
      <c r="C3" s="138"/>
      <c r="D3" s="138"/>
      <c r="E3" s="138"/>
      <c r="F3" s="138"/>
      <c r="G3" s="138"/>
      <c r="H3" s="138"/>
      <c r="I3" s="138"/>
      <c r="J3" s="131"/>
      <c r="L3" s="139" t="s">
        <v>534</v>
      </c>
      <c r="M3" s="139"/>
      <c r="N3" s="139"/>
      <c r="O3" s="139"/>
      <c r="P3" s="139"/>
      <c r="Q3" s="139"/>
      <c r="R3" s="139"/>
      <c r="S3" s="139"/>
      <c r="T3" s="139"/>
      <c r="U3" s="139" t="s">
        <v>543</v>
      </c>
      <c r="V3" s="139"/>
      <c r="W3" s="139"/>
      <c r="X3" s="139"/>
      <c r="Y3" s="139"/>
      <c r="Z3" s="139"/>
      <c r="AA3" s="139"/>
      <c r="AB3" s="139"/>
      <c r="AC3" s="139" t="s">
        <v>551</v>
      </c>
      <c r="AD3" s="139"/>
      <c r="AE3" s="139" t="s">
        <v>553</v>
      </c>
      <c r="AF3" s="139"/>
      <c r="AG3" s="139"/>
      <c r="AH3" s="139" t="s">
        <v>556</v>
      </c>
      <c r="AI3" s="139"/>
      <c r="AJ3" s="139"/>
      <c r="AK3" s="139"/>
      <c r="AL3" s="139"/>
      <c r="AM3" s="139" t="s">
        <v>542</v>
      </c>
      <c r="AP3" s="140"/>
    </row>
    <row r="4" spans="1:42" ht="11.25" customHeight="1" x14ac:dyDescent="0.25">
      <c r="A4" s="138"/>
      <c r="B4" s="138"/>
      <c r="C4" s="138"/>
      <c r="D4" s="138"/>
      <c r="E4" s="138"/>
      <c r="F4" s="138"/>
      <c r="G4" s="138"/>
      <c r="H4" s="138"/>
      <c r="I4" s="138"/>
      <c r="J4" s="131"/>
      <c r="L4" s="10" t="s">
        <v>619</v>
      </c>
      <c r="M4" s="10" t="s">
        <v>535</v>
      </c>
      <c r="N4" s="10" t="s">
        <v>536</v>
      </c>
      <c r="O4" s="10" t="s">
        <v>537</v>
      </c>
      <c r="P4" s="10" t="s">
        <v>538</v>
      </c>
      <c r="Q4" s="10" t="s">
        <v>539</v>
      </c>
      <c r="R4" s="10" t="s">
        <v>540</v>
      </c>
      <c r="S4" s="10" t="s">
        <v>541</v>
      </c>
      <c r="T4" s="10" t="s">
        <v>542</v>
      </c>
      <c r="U4" s="10" t="s">
        <v>544</v>
      </c>
      <c r="V4" s="10" t="s">
        <v>545</v>
      </c>
      <c r="W4" s="10" t="s">
        <v>546</v>
      </c>
      <c r="X4" s="10" t="s">
        <v>547</v>
      </c>
      <c r="Y4" s="10" t="s">
        <v>548</v>
      </c>
      <c r="Z4" s="10" t="s">
        <v>549</v>
      </c>
      <c r="AA4" s="10" t="s">
        <v>550</v>
      </c>
      <c r="AB4" s="10" t="s">
        <v>542</v>
      </c>
      <c r="AC4" s="10" t="s">
        <v>552</v>
      </c>
      <c r="AD4" s="10" t="s">
        <v>542</v>
      </c>
      <c r="AE4" s="10" t="s">
        <v>554</v>
      </c>
      <c r="AF4" s="10" t="s">
        <v>555</v>
      </c>
      <c r="AG4" s="10" t="s">
        <v>542</v>
      </c>
      <c r="AH4" s="10" t="s">
        <v>557</v>
      </c>
      <c r="AI4" s="10" t="s">
        <v>558</v>
      </c>
      <c r="AJ4" s="10" t="s">
        <v>559</v>
      </c>
      <c r="AK4" s="10" t="s">
        <v>560</v>
      </c>
      <c r="AL4" s="10" t="s">
        <v>542</v>
      </c>
      <c r="AM4" s="141"/>
      <c r="AP4" s="140"/>
    </row>
    <row r="5" spans="1:42" ht="11.25" customHeight="1" x14ac:dyDescent="0.25">
      <c r="A5" s="142" t="s">
        <v>38</v>
      </c>
      <c r="B5" s="142" t="s">
        <v>56</v>
      </c>
      <c r="C5" s="142" t="s">
        <v>25</v>
      </c>
      <c r="D5" s="142" t="s">
        <v>25</v>
      </c>
      <c r="E5" s="142" t="s">
        <v>25</v>
      </c>
      <c r="F5" s="142" t="s">
        <v>25</v>
      </c>
      <c r="G5" s="24" t="s">
        <v>81</v>
      </c>
      <c r="H5" s="24" t="s">
        <v>80</v>
      </c>
      <c r="I5" s="24">
        <f>'MERCADO TUSD'!$U$2</f>
        <v>40015</v>
      </c>
      <c r="J5" s="15"/>
      <c r="L5" s="13"/>
      <c r="M5" s="13"/>
      <c r="N5" s="13"/>
      <c r="O5" s="13"/>
      <c r="P5" s="13"/>
      <c r="Q5" s="13"/>
      <c r="R5" s="13"/>
      <c r="S5" s="13"/>
      <c r="T5" s="13"/>
      <c r="U5" s="13">
        <v>0</v>
      </c>
      <c r="V5" s="13">
        <v>0</v>
      </c>
      <c r="W5" s="13">
        <v>0</v>
      </c>
      <c r="X5" s="13">
        <v>0</v>
      </c>
      <c r="Y5" s="13">
        <v>26.968499999999999</v>
      </c>
      <c r="Z5" s="13">
        <v>0</v>
      </c>
      <c r="AA5" s="13">
        <v>0</v>
      </c>
      <c r="AB5" s="13"/>
      <c r="AC5" s="13">
        <v>19.912099999999999</v>
      </c>
      <c r="AD5" s="13"/>
      <c r="AE5" s="13"/>
      <c r="AF5" s="13"/>
      <c r="AG5" s="13"/>
      <c r="AH5" s="13"/>
      <c r="AI5" s="13"/>
      <c r="AJ5" s="13"/>
      <c r="AK5" s="13"/>
      <c r="AL5" s="13"/>
      <c r="AM5" s="13"/>
      <c r="AP5" s="13">
        <v>1</v>
      </c>
    </row>
    <row r="6" spans="1:42" ht="11.25" customHeight="1" x14ac:dyDescent="0.25">
      <c r="A6" s="142"/>
      <c r="B6" s="142"/>
      <c r="C6" s="142"/>
      <c r="D6" s="142"/>
      <c r="E6" s="142"/>
      <c r="F6" s="142"/>
      <c r="G6" s="24" t="s">
        <v>82</v>
      </c>
      <c r="H6" s="24" t="s">
        <v>80</v>
      </c>
      <c r="I6" s="24">
        <f>'MERCADO TUSD'!$U$3</f>
        <v>87299</v>
      </c>
      <c r="J6" s="15"/>
      <c r="L6" s="13"/>
      <c r="M6" s="13"/>
      <c r="N6" s="13"/>
      <c r="O6" s="13"/>
      <c r="P6" s="13"/>
      <c r="Q6" s="13"/>
      <c r="R6" s="13"/>
      <c r="S6" s="13"/>
      <c r="T6" s="13"/>
      <c r="U6" s="13">
        <v>0</v>
      </c>
      <c r="V6" s="13">
        <v>0</v>
      </c>
      <c r="W6" s="13">
        <v>0</v>
      </c>
      <c r="X6" s="13">
        <v>0</v>
      </c>
      <c r="Y6" s="13">
        <v>10.5976</v>
      </c>
      <c r="Z6" s="13">
        <v>0</v>
      </c>
      <c r="AA6" s="13">
        <v>0</v>
      </c>
      <c r="AB6" s="13"/>
      <c r="AC6" s="13">
        <v>5.2942</v>
      </c>
      <c r="AD6" s="13"/>
      <c r="AE6" s="13"/>
      <c r="AF6" s="13"/>
      <c r="AG6" s="13"/>
      <c r="AH6" s="13"/>
      <c r="AI6" s="13"/>
      <c r="AJ6" s="13"/>
      <c r="AK6" s="13"/>
      <c r="AL6" s="13"/>
      <c r="AM6" s="13"/>
      <c r="AP6" s="13">
        <v>1</v>
      </c>
    </row>
    <row r="7" spans="1:42" ht="11.25" customHeight="1" x14ac:dyDescent="0.25">
      <c r="A7" s="142"/>
      <c r="B7" s="142"/>
      <c r="C7" s="142"/>
      <c r="D7" s="142"/>
      <c r="E7" s="142"/>
      <c r="F7" s="142"/>
      <c r="G7" s="24" t="s">
        <v>79</v>
      </c>
      <c r="H7" s="24" t="s">
        <v>75</v>
      </c>
      <c r="I7" s="24">
        <f>'MERCADO TUSD'!$U$4</f>
        <v>40556.964</v>
      </c>
      <c r="J7" s="15"/>
      <c r="L7" s="13"/>
      <c r="M7" s="13"/>
      <c r="N7" s="13"/>
      <c r="O7" s="13"/>
      <c r="P7" s="13"/>
      <c r="Q7" s="13"/>
      <c r="R7" s="13"/>
      <c r="S7" s="13"/>
      <c r="T7" s="13"/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/>
      <c r="AC7" s="13">
        <v>0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P7" s="13">
        <v>1</v>
      </c>
    </row>
    <row r="8" spans="1:42" ht="11.25" customHeight="1" x14ac:dyDescent="0.25">
      <c r="A8" s="142"/>
      <c r="B8" s="142"/>
      <c r="C8" s="142"/>
      <c r="D8" s="142"/>
      <c r="E8" s="23" t="s">
        <v>83</v>
      </c>
      <c r="F8" s="23" t="s">
        <v>25</v>
      </c>
      <c r="G8" s="24" t="s">
        <v>79</v>
      </c>
      <c r="H8" s="24" t="s">
        <v>75</v>
      </c>
      <c r="I8" s="24">
        <f>'MERCADO TUSD'!$U$5</f>
        <v>0</v>
      </c>
      <c r="J8" s="15"/>
      <c r="L8" s="13"/>
      <c r="M8" s="13"/>
      <c r="N8" s="13"/>
      <c r="O8" s="13"/>
      <c r="P8" s="13"/>
      <c r="Q8" s="13"/>
      <c r="R8" s="13"/>
      <c r="S8" s="13"/>
      <c r="T8" s="13"/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/>
      <c r="AC8" s="13">
        <v>0</v>
      </c>
      <c r="AD8" s="13"/>
      <c r="AE8" s="13"/>
      <c r="AF8" s="13"/>
      <c r="AG8" s="13"/>
      <c r="AH8" s="13"/>
      <c r="AI8" s="13"/>
      <c r="AJ8" s="13"/>
      <c r="AK8" s="13"/>
      <c r="AL8" s="13"/>
      <c r="AM8" s="13"/>
      <c r="AP8" s="13">
        <v>1</v>
      </c>
    </row>
    <row r="9" spans="1:42" ht="11.25" customHeight="1" x14ac:dyDescent="0.25">
      <c r="A9" s="142"/>
      <c r="B9" s="23" t="s">
        <v>84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80</v>
      </c>
      <c r="I9" s="24">
        <f>'MERCADO TUSD'!$U$6</f>
        <v>0</v>
      </c>
      <c r="J9" s="15"/>
      <c r="L9" s="13"/>
      <c r="M9" s="13"/>
      <c r="N9" s="13"/>
      <c r="O9" s="13"/>
      <c r="P9" s="13"/>
      <c r="Q9" s="13"/>
      <c r="R9" s="13"/>
      <c r="S9" s="13"/>
      <c r="T9" s="13"/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/>
      <c r="AC9" s="13">
        <v>6.7561</v>
      </c>
      <c r="AD9" s="13"/>
      <c r="AE9" s="13"/>
      <c r="AF9" s="13"/>
      <c r="AG9" s="13"/>
      <c r="AH9" s="13"/>
      <c r="AI9" s="13"/>
      <c r="AJ9" s="13"/>
      <c r="AK9" s="13"/>
      <c r="AL9" s="13"/>
      <c r="AM9" s="13"/>
      <c r="AP9" s="13"/>
    </row>
    <row r="10" spans="1:42" ht="11.25" customHeight="1" x14ac:dyDescent="0.25">
      <c r="A10" s="142"/>
      <c r="B10" s="142" t="s">
        <v>39</v>
      </c>
      <c r="C10" s="142" t="s">
        <v>25</v>
      </c>
      <c r="D10" s="142" t="s">
        <v>25</v>
      </c>
      <c r="E10" s="142" t="s">
        <v>25</v>
      </c>
      <c r="F10" s="142" t="s">
        <v>25</v>
      </c>
      <c r="G10" s="24" t="s">
        <v>9</v>
      </c>
      <c r="H10" s="24" t="s">
        <v>80</v>
      </c>
      <c r="I10" s="24">
        <f>'MERCADO TUSD'!$U$7</f>
        <v>37121</v>
      </c>
      <c r="J10" s="15"/>
      <c r="L10" s="13"/>
      <c r="M10" s="13"/>
      <c r="N10" s="13"/>
      <c r="O10" s="13"/>
      <c r="P10" s="13"/>
      <c r="Q10" s="13"/>
      <c r="R10" s="13"/>
      <c r="S10" s="13"/>
      <c r="T10" s="13"/>
      <c r="U10" s="13">
        <v>0</v>
      </c>
      <c r="V10" s="13">
        <v>0</v>
      </c>
      <c r="W10" s="13">
        <v>0</v>
      </c>
      <c r="X10" s="13">
        <v>0</v>
      </c>
      <c r="Y10" s="13">
        <v>10.5976</v>
      </c>
      <c r="Z10" s="13">
        <v>0</v>
      </c>
      <c r="AA10" s="13">
        <v>0</v>
      </c>
      <c r="AB10" s="13"/>
      <c r="AC10" s="13">
        <v>5.2942</v>
      </c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P10" s="13">
        <v>1</v>
      </c>
    </row>
    <row r="11" spans="1:42" ht="11.25" customHeight="1" x14ac:dyDescent="0.25">
      <c r="A11" s="142"/>
      <c r="B11" s="142"/>
      <c r="C11" s="142"/>
      <c r="D11" s="142"/>
      <c r="E11" s="142"/>
      <c r="F11" s="142"/>
      <c r="G11" s="24" t="s">
        <v>76</v>
      </c>
      <c r="H11" s="24" t="s">
        <v>75</v>
      </c>
      <c r="I11" s="24">
        <f>'MERCADO TUSD'!$U$8</f>
        <v>280.50399999999996</v>
      </c>
      <c r="J11" s="15"/>
      <c r="L11" s="13"/>
      <c r="M11" s="13"/>
      <c r="N11" s="13"/>
      <c r="O11" s="13"/>
      <c r="P11" s="13"/>
      <c r="Q11" s="13"/>
      <c r="R11" s="13"/>
      <c r="S11" s="13"/>
      <c r="T11" s="13"/>
      <c r="U11" s="13">
        <v>0</v>
      </c>
      <c r="V11" s="13">
        <v>0</v>
      </c>
      <c r="W11" s="13">
        <v>0</v>
      </c>
      <c r="X11" s="13">
        <v>0</v>
      </c>
      <c r="Y11" s="13">
        <v>648.59360000000004</v>
      </c>
      <c r="Z11" s="13">
        <v>0</v>
      </c>
      <c r="AA11" s="13">
        <v>0</v>
      </c>
      <c r="AB11" s="13"/>
      <c r="AC11" s="13">
        <v>478.88589999999999</v>
      </c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P11" s="13">
        <v>1</v>
      </c>
    </row>
    <row r="12" spans="1:42" ht="11.25" customHeight="1" x14ac:dyDescent="0.25">
      <c r="A12" s="142"/>
      <c r="B12" s="142"/>
      <c r="C12" s="142"/>
      <c r="D12" s="142"/>
      <c r="E12" s="142"/>
      <c r="F12" s="142"/>
      <c r="G12" s="24" t="s">
        <v>77</v>
      </c>
      <c r="H12" s="24" t="s">
        <v>75</v>
      </c>
      <c r="I12" s="24">
        <f>'MERCADO TUSD'!$U$9</f>
        <v>7558.6610000000001</v>
      </c>
      <c r="J12" s="15"/>
      <c r="L12" s="13"/>
      <c r="M12" s="13"/>
      <c r="N12" s="13"/>
      <c r="O12" s="13"/>
      <c r="P12" s="13"/>
      <c r="Q12" s="13"/>
      <c r="R12" s="13"/>
      <c r="S12" s="13"/>
      <c r="T12" s="13"/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/>
      <c r="AC12" s="13">
        <v>0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P12" s="13">
        <v>1</v>
      </c>
    </row>
    <row r="13" spans="1:42" ht="11.25" customHeight="1" x14ac:dyDescent="0.25">
      <c r="A13" s="142"/>
      <c r="B13" s="142"/>
      <c r="C13" s="142"/>
      <c r="D13" s="142"/>
      <c r="E13" s="142" t="s">
        <v>83</v>
      </c>
      <c r="F13" s="142" t="s">
        <v>25</v>
      </c>
      <c r="G13" s="24" t="s">
        <v>76</v>
      </c>
      <c r="H13" s="24" t="s">
        <v>75</v>
      </c>
      <c r="I13" s="24">
        <f>'MERCADO TUSD'!$U$10</f>
        <v>0</v>
      </c>
      <c r="J13" s="15"/>
      <c r="L13" s="13"/>
      <c r="M13" s="13"/>
      <c r="N13" s="13"/>
      <c r="O13" s="13"/>
      <c r="P13" s="13"/>
      <c r="Q13" s="13"/>
      <c r="R13" s="13"/>
      <c r="S13" s="13"/>
      <c r="T13" s="13"/>
      <c r="U13" s="13">
        <v>0</v>
      </c>
      <c r="V13" s="13">
        <v>0</v>
      </c>
      <c r="W13" s="13">
        <v>0</v>
      </c>
      <c r="X13" s="13">
        <v>0</v>
      </c>
      <c r="Y13" s="13">
        <v>648.59360000000004</v>
      </c>
      <c r="Z13" s="13">
        <v>0</v>
      </c>
      <c r="AA13" s="13">
        <v>0</v>
      </c>
      <c r="AB13" s="13"/>
      <c r="AC13" s="13">
        <v>478.88589999999999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P13" s="13">
        <v>1</v>
      </c>
    </row>
    <row r="14" spans="1:42" ht="11.25" customHeight="1" x14ac:dyDescent="0.25">
      <c r="A14" s="142"/>
      <c r="B14" s="142"/>
      <c r="C14" s="142"/>
      <c r="D14" s="142"/>
      <c r="E14" s="142"/>
      <c r="F14" s="142"/>
      <c r="G14" s="24" t="s">
        <v>77</v>
      </c>
      <c r="H14" s="24" t="s">
        <v>75</v>
      </c>
      <c r="I14" s="24">
        <f>'MERCADO TUSD'!$U$11</f>
        <v>0</v>
      </c>
      <c r="J14" s="15"/>
      <c r="L14" s="13"/>
      <c r="M14" s="13"/>
      <c r="N14" s="13"/>
      <c r="O14" s="13"/>
      <c r="P14" s="13"/>
      <c r="Q14" s="13"/>
      <c r="R14" s="13"/>
      <c r="S14" s="13"/>
      <c r="T14" s="13"/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/>
      <c r="AC14" s="13">
        <v>0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P14" s="13">
        <v>1</v>
      </c>
    </row>
    <row r="15" spans="1:42" ht="11.25" customHeight="1" x14ac:dyDescent="0.25">
      <c r="A15" s="142" t="s">
        <v>85</v>
      </c>
      <c r="B15" s="142" t="s">
        <v>84</v>
      </c>
      <c r="C15" s="142" t="s">
        <v>25</v>
      </c>
      <c r="D15" s="142" t="s">
        <v>25</v>
      </c>
      <c r="E15" s="23" t="s">
        <v>86</v>
      </c>
      <c r="F15" s="23" t="s">
        <v>25</v>
      </c>
      <c r="G15" s="24" t="s">
        <v>9</v>
      </c>
      <c r="H15" s="24" t="s">
        <v>80</v>
      </c>
      <c r="I15" s="24">
        <f>'MERCADO TUSD'!$U$12+0.00000001</f>
        <v>1E-8</v>
      </c>
      <c r="J15" s="15"/>
      <c r="L15" s="13"/>
      <c r="M15" s="13"/>
      <c r="N15" s="13"/>
      <c r="O15" s="13"/>
      <c r="P15" s="13"/>
      <c r="Q15" s="13"/>
      <c r="R15" s="13"/>
      <c r="S15" s="13"/>
      <c r="T15" s="13"/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/>
      <c r="AC15" s="13">
        <v>5.5128000000000004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P15" s="13"/>
    </row>
    <row r="16" spans="1:42" ht="11.25" customHeight="1" x14ac:dyDescent="0.25">
      <c r="A16" s="142"/>
      <c r="B16" s="142"/>
      <c r="C16" s="142"/>
      <c r="D16" s="142"/>
      <c r="E16" s="23" t="s">
        <v>87</v>
      </c>
      <c r="F16" s="23" t="s">
        <v>25</v>
      </c>
      <c r="G16" s="24" t="s">
        <v>9</v>
      </c>
      <c r="H16" s="24" t="s">
        <v>80</v>
      </c>
      <c r="I16" s="24">
        <f>'MERCADO TUSD'!$U$13+0.00000001</f>
        <v>1E-8</v>
      </c>
      <c r="J16" s="15"/>
      <c r="L16" s="13"/>
      <c r="M16" s="13"/>
      <c r="N16" s="13"/>
      <c r="O16" s="13"/>
      <c r="P16" s="13"/>
      <c r="Q16" s="13"/>
      <c r="R16" s="13"/>
      <c r="S16" s="13"/>
      <c r="T16" s="13"/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/>
      <c r="AC16" s="13">
        <v>13.289899999999999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P16" s="13"/>
    </row>
    <row r="17" spans="1:42" ht="11.25" customHeight="1" x14ac:dyDescent="0.25">
      <c r="A17" s="142" t="s">
        <v>22</v>
      </c>
      <c r="B17" s="142" t="s">
        <v>32</v>
      </c>
      <c r="C17" s="142" t="s">
        <v>24</v>
      </c>
      <c r="D17" s="142" t="s">
        <v>24</v>
      </c>
      <c r="E17" s="142" t="s">
        <v>25</v>
      </c>
      <c r="F17" s="142" t="s">
        <v>25</v>
      </c>
      <c r="G17" s="24" t="s">
        <v>76</v>
      </c>
      <c r="H17" s="24" t="s">
        <v>75</v>
      </c>
      <c r="I17" s="24">
        <f>'MERCADO TUSD'!$U$14</f>
        <v>0.17000000000000004</v>
      </c>
      <c r="J17" s="15"/>
      <c r="L17" s="13"/>
      <c r="M17" s="13"/>
      <c r="N17" s="13"/>
      <c r="O17" s="13"/>
      <c r="P17" s="13"/>
      <c r="Q17" s="13"/>
      <c r="R17" s="13"/>
      <c r="S17" s="13"/>
      <c r="T17" s="13"/>
      <c r="U17" s="13">
        <v>0</v>
      </c>
      <c r="V17" s="13">
        <v>0</v>
      </c>
      <c r="W17" s="13">
        <v>0</v>
      </c>
      <c r="X17" s="13">
        <v>0</v>
      </c>
      <c r="Y17" s="13">
        <v>290.82040000000001</v>
      </c>
      <c r="Z17" s="13">
        <v>0</v>
      </c>
      <c r="AA17" s="13">
        <v>0</v>
      </c>
      <c r="AB17" s="13"/>
      <c r="AC17" s="13">
        <v>506.32920000000001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P17" s="13">
        <v>1</v>
      </c>
    </row>
    <row r="18" spans="1:42" ht="11.25" customHeight="1" x14ac:dyDescent="0.25">
      <c r="A18" s="142"/>
      <c r="B18" s="142"/>
      <c r="C18" s="142"/>
      <c r="D18" s="142"/>
      <c r="E18" s="142"/>
      <c r="F18" s="142"/>
      <c r="G18" s="24" t="s">
        <v>88</v>
      </c>
      <c r="H18" s="24" t="s">
        <v>75</v>
      </c>
      <c r="I18" s="24">
        <f>'MERCADO TUSD'!$U$15</f>
        <v>0.13000000000000003</v>
      </c>
      <c r="J18" s="15"/>
      <c r="L18" s="13"/>
      <c r="M18" s="13"/>
      <c r="N18" s="13"/>
      <c r="O18" s="13"/>
      <c r="P18" s="13"/>
      <c r="Q18" s="13"/>
      <c r="R18" s="13"/>
      <c r="S18" s="13"/>
      <c r="T18" s="13"/>
      <c r="U18" s="13">
        <v>0</v>
      </c>
      <c r="V18" s="13">
        <v>0</v>
      </c>
      <c r="W18" s="13">
        <v>0</v>
      </c>
      <c r="X18" s="13">
        <v>0</v>
      </c>
      <c r="Y18" s="13">
        <v>174.4922</v>
      </c>
      <c r="Z18" s="13">
        <v>0</v>
      </c>
      <c r="AA18" s="13">
        <v>0</v>
      </c>
      <c r="AB18" s="13"/>
      <c r="AC18" s="13">
        <v>303.79750000000001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P18" s="13">
        <v>1</v>
      </c>
    </row>
    <row r="19" spans="1:42" ht="11.25" customHeight="1" x14ac:dyDescent="0.25">
      <c r="A19" s="142"/>
      <c r="B19" s="142"/>
      <c r="C19" s="142"/>
      <c r="D19" s="142"/>
      <c r="E19" s="142"/>
      <c r="F19" s="142"/>
      <c r="G19" s="24" t="s">
        <v>77</v>
      </c>
      <c r="H19" s="24" t="s">
        <v>75</v>
      </c>
      <c r="I19" s="24">
        <f>'MERCADO TUSD'!$U$16</f>
        <v>2.4539999999999997</v>
      </c>
      <c r="J19" s="15"/>
      <c r="L19" s="13"/>
      <c r="M19" s="13"/>
      <c r="N19" s="13"/>
      <c r="O19" s="13"/>
      <c r="P19" s="13"/>
      <c r="Q19" s="13"/>
      <c r="R19" s="13"/>
      <c r="S19" s="13"/>
      <c r="T19" s="13"/>
      <c r="U19" s="13">
        <v>0</v>
      </c>
      <c r="V19" s="13">
        <v>0</v>
      </c>
      <c r="W19" s="13">
        <v>0</v>
      </c>
      <c r="X19" s="13">
        <v>0</v>
      </c>
      <c r="Y19" s="13">
        <v>58.164099999999998</v>
      </c>
      <c r="Z19" s="13">
        <v>0</v>
      </c>
      <c r="AA19" s="13">
        <v>0</v>
      </c>
      <c r="AB19" s="13"/>
      <c r="AC19" s="13">
        <v>101.2658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P19" s="13">
        <v>1</v>
      </c>
    </row>
    <row r="20" spans="1:42" ht="11.25" customHeight="1" x14ac:dyDescent="0.25">
      <c r="A20" s="142"/>
      <c r="B20" s="142" t="s">
        <v>23</v>
      </c>
      <c r="C20" s="142" t="s">
        <v>24</v>
      </c>
      <c r="D20" s="23" t="s">
        <v>24</v>
      </c>
      <c r="E20" s="23" t="s">
        <v>25</v>
      </c>
      <c r="F20" s="23" t="s">
        <v>25</v>
      </c>
      <c r="G20" s="24" t="s">
        <v>79</v>
      </c>
      <c r="H20" s="24" t="s">
        <v>75</v>
      </c>
      <c r="I20" s="24">
        <f>'MERCADO TUSD'!$U$17</f>
        <v>10574.981000000002</v>
      </c>
      <c r="J20" s="15"/>
      <c r="L20" s="13"/>
      <c r="M20" s="13"/>
      <c r="N20" s="13"/>
      <c r="O20" s="13"/>
      <c r="P20" s="13"/>
      <c r="Q20" s="13"/>
      <c r="R20" s="13"/>
      <c r="S20" s="13"/>
      <c r="T20" s="13"/>
      <c r="U20" s="13">
        <v>0</v>
      </c>
      <c r="V20" s="13">
        <v>0</v>
      </c>
      <c r="W20" s="13">
        <v>0</v>
      </c>
      <c r="X20" s="13">
        <v>0</v>
      </c>
      <c r="Y20" s="13">
        <v>103.8644</v>
      </c>
      <c r="Z20" s="13">
        <v>0</v>
      </c>
      <c r="AA20" s="13">
        <v>0</v>
      </c>
      <c r="AB20" s="13"/>
      <c r="AC20" s="13">
        <v>180.83189999999999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P20" s="13">
        <v>1</v>
      </c>
    </row>
    <row r="21" spans="1:42" ht="11.25" customHeight="1" x14ac:dyDescent="0.25">
      <c r="A21" s="142"/>
      <c r="B21" s="142"/>
      <c r="C21" s="142"/>
      <c r="D21" s="23" t="s">
        <v>28</v>
      </c>
      <c r="E21" s="23" t="s">
        <v>25</v>
      </c>
      <c r="F21" s="23" t="s">
        <v>25</v>
      </c>
      <c r="G21" s="24" t="s">
        <v>79</v>
      </c>
      <c r="H21" s="24" t="s">
        <v>75</v>
      </c>
      <c r="I21" s="24">
        <f>'MERCADO TUSD'!$U$18</f>
        <v>204.62</v>
      </c>
      <c r="J21" s="15"/>
      <c r="L21" s="13"/>
      <c r="M21" s="13"/>
      <c r="N21" s="13"/>
      <c r="O21" s="13"/>
      <c r="P21" s="13"/>
      <c r="Q21" s="13"/>
      <c r="R21" s="13"/>
      <c r="S21" s="13"/>
      <c r="T21" s="13"/>
      <c r="U21" s="13">
        <v>0</v>
      </c>
      <c r="V21" s="13">
        <v>0</v>
      </c>
      <c r="W21" s="13">
        <v>0</v>
      </c>
      <c r="X21" s="13">
        <v>0</v>
      </c>
      <c r="Y21" s="13">
        <f>(1 - CUSTOS!$M$24)*103.8644</f>
        <v>103.8644</v>
      </c>
      <c r="Z21" s="13">
        <v>0</v>
      </c>
      <c r="AA21" s="13">
        <v>0</v>
      </c>
      <c r="AB21" s="13"/>
      <c r="AC21" s="13">
        <f>(1 - CUSTOS!$M$24)*180.8319</f>
        <v>180.83189999999999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P21" s="13">
        <f>IF((1 - CUSTOS!$M$24)&lt;&gt;0,1/(1 - CUSTOS!$M$24),1)</f>
        <v>1</v>
      </c>
    </row>
    <row r="22" spans="1:42" ht="11.25" customHeight="1" x14ac:dyDescent="0.25">
      <c r="A22" s="142"/>
      <c r="B22" s="142"/>
      <c r="C22" s="142"/>
      <c r="D22" s="23" t="s">
        <v>29</v>
      </c>
      <c r="E22" s="23" t="s">
        <v>25</v>
      </c>
      <c r="F22" s="23" t="s">
        <v>25</v>
      </c>
      <c r="G22" s="24" t="s">
        <v>79</v>
      </c>
      <c r="H22" s="24" t="s">
        <v>75</v>
      </c>
      <c r="I22" s="24">
        <f>'MERCADO TUSD'!$U$19</f>
        <v>376.553</v>
      </c>
      <c r="J22" s="15"/>
      <c r="L22" s="13"/>
      <c r="M22" s="13"/>
      <c r="N22" s="13"/>
      <c r="O22" s="13"/>
      <c r="P22" s="13"/>
      <c r="Q22" s="13"/>
      <c r="R22" s="13"/>
      <c r="S22" s="13"/>
      <c r="T22" s="13"/>
      <c r="U22" s="13">
        <v>0</v>
      </c>
      <c r="V22" s="13">
        <v>0</v>
      </c>
      <c r="W22" s="13">
        <v>0</v>
      </c>
      <c r="X22" s="13">
        <v>0</v>
      </c>
      <c r="Y22" s="13">
        <f>(1 - CUSTOS!$M$25)*103.8644</f>
        <v>103.8644</v>
      </c>
      <c r="Z22" s="13">
        <v>0</v>
      </c>
      <c r="AA22" s="13">
        <v>0</v>
      </c>
      <c r="AB22" s="13"/>
      <c r="AC22" s="13">
        <f>(1 - CUSTOS!$M$25)*180.8319</f>
        <v>180.83189999999999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P22" s="13">
        <f>IF((1 - CUSTOS!$M$25)&lt;&gt;0,1/(1 - CUSTOS!$M$25),1)</f>
        <v>1</v>
      </c>
    </row>
    <row r="23" spans="1:42" ht="11.25" customHeight="1" x14ac:dyDescent="0.25">
      <c r="A23" s="142"/>
      <c r="B23" s="142"/>
      <c r="C23" s="142"/>
      <c r="D23" s="23" t="s">
        <v>30</v>
      </c>
      <c r="E23" s="23" t="s">
        <v>25</v>
      </c>
      <c r="F23" s="23" t="s">
        <v>25</v>
      </c>
      <c r="G23" s="24" t="s">
        <v>79</v>
      </c>
      <c r="H23" s="24" t="s">
        <v>75</v>
      </c>
      <c r="I23" s="24">
        <f>'MERCADO TUSD'!$U$20</f>
        <v>166.29699999999997</v>
      </c>
      <c r="J23" s="15"/>
      <c r="L23" s="13"/>
      <c r="M23" s="13"/>
      <c r="N23" s="13"/>
      <c r="O23" s="13"/>
      <c r="P23" s="13"/>
      <c r="Q23" s="13"/>
      <c r="R23" s="13"/>
      <c r="S23" s="13"/>
      <c r="T23" s="13"/>
      <c r="U23" s="13">
        <v>0</v>
      </c>
      <c r="V23" s="13">
        <v>0</v>
      </c>
      <c r="W23" s="13">
        <v>0</v>
      </c>
      <c r="X23" s="13">
        <v>0</v>
      </c>
      <c r="Y23" s="13">
        <f>(1 - CUSTOS!$M$26)*103.8644</f>
        <v>103.8644</v>
      </c>
      <c r="Z23" s="13">
        <v>0</v>
      </c>
      <c r="AA23" s="13">
        <v>0</v>
      </c>
      <c r="AB23" s="13"/>
      <c r="AC23" s="13">
        <f>(1 - CUSTOS!$M$26)*180.8319</f>
        <v>180.83189999999999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P23" s="13">
        <f>IF((1 - CUSTOS!$M$26)&lt;&gt;0,1/(1 - CUSTOS!$M$26),1)</f>
        <v>1</v>
      </c>
    </row>
    <row r="24" spans="1:42" ht="11.25" customHeight="1" x14ac:dyDescent="0.25">
      <c r="A24" s="142"/>
      <c r="B24" s="142"/>
      <c r="C24" s="142"/>
      <c r="D24" s="23" t="s">
        <v>31</v>
      </c>
      <c r="E24" s="23" t="s">
        <v>25</v>
      </c>
      <c r="F24" s="23" t="s">
        <v>25</v>
      </c>
      <c r="G24" s="24" t="s">
        <v>79</v>
      </c>
      <c r="H24" s="24" t="s">
        <v>75</v>
      </c>
      <c r="I24" s="24">
        <f>'MERCADO TUSD'!$U$21</f>
        <v>17.806999999999999</v>
      </c>
      <c r="J24" s="15"/>
      <c r="L24" s="13"/>
      <c r="M24" s="13"/>
      <c r="N24" s="13"/>
      <c r="O24" s="13"/>
      <c r="P24" s="13"/>
      <c r="Q24" s="13"/>
      <c r="R24" s="13"/>
      <c r="S24" s="13"/>
      <c r="T24" s="13"/>
      <c r="U24" s="13">
        <v>0</v>
      </c>
      <c r="V24" s="13">
        <v>0</v>
      </c>
      <c r="W24" s="13">
        <v>0</v>
      </c>
      <c r="X24" s="13">
        <v>0</v>
      </c>
      <c r="Y24" s="13">
        <f>(1 - CUSTOS!$M$27)*103.8644</f>
        <v>103.8644</v>
      </c>
      <c r="Z24" s="13">
        <v>0</v>
      </c>
      <c r="AA24" s="13">
        <v>0</v>
      </c>
      <c r="AB24" s="13"/>
      <c r="AC24" s="13">
        <f>(1 - CUSTOS!$M$27)*180.8319</f>
        <v>180.83189999999999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P24" s="13">
        <f>IF((1 - CUSTOS!$M$27)&lt;&gt;0,1/(1 - CUSTOS!$M$27),1)</f>
        <v>1</v>
      </c>
    </row>
    <row r="25" spans="1:42" ht="11.25" customHeight="1" x14ac:dyDescent="0.25">
      <c r="A25" s="142"/>
      <c r="B25" s="142" t="s">
        <v>90</v>
      </c>
      <c r="C25" s="142" t="s">
        <v>24</v>
      </c>
      <c r="D25" s="23" t="s">
        <v>24</v>
      </c>
      <c r="E25" s="23" t="s">
        <v>25</v>
      </c>
      <c r="F25" s="23" t="s">
        <v>25</v>
      </c>
      <c r="G25" s="24" t="s">
        <v>79</v>
      </c>
      <c r="H25" s="24" t="s">
        <v>75</v>
      </c>
      <c r="I25" s="24">
        <f>'MERCADO TUSD'!$U$22</f>
        <v>0</v>
      </c>
      <c r="J25" s="15"/>
      <c r="L25" s="13"/>
      <c r="M25" s="13"/>
      <c r="N25" s="13"/>
      <c r="O25" s="13"/>
      <c r="P25" s="13"/>
      <c r="Q25" s="13"/>
      <c r="R25" s="13"/>
      <c r="S25" s="13"/>
      <c r="T25" s="13"/>
      <c r="U25" s="13">
        <v>0</v>
      </c>
      <c r="V25" s="13">
        <v>0</v>
      </c>
      <c r="W25" s="13">
        <v>0</v>
      </c>
      <c r="X25" s="13">
        <v>0</v>
      </c>
      <c r="Y25" s="13">
        <v>103.8644</v>
      </c>
      <c r="Z25" s="13">
        <v>0</v>
      </c>
      <c r="AA25" s="13">
        <v>0</v>
      </c>
      <c r="AB25" s="13"/>
      <c r="AC25" s="13">
        <v>180.83189999999999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P25" s="13">
        <v>1</v>
      </c>
    </row>
    <row r="26" spans="1:42" ht="11.25" customHeight="1" x14ac:dyDescent="0.25">
      <c r="A26" s="142"/>
      <c r="B26" s="142"/>
      <c r="C26" s="142"/>
      <c r="D26" s="23" t="s">
        <v>28</v>
      </c>
      <c r="E26" s="23" t="s">
        <v>25</v>
      </c>
      <c r="F26" s="23" t="s">
        <v>25</v>
      </c>
      <c r="G26" s="24" t="s">
        <v>79</v>
      </c>
      <c r="H26" s="24" t="s">
        <v>75</v>
      </c>
      <c r="I26" s="24">
        <f>'MERCADO TUSD'!$U$23</f>
        <v>0</v>
      </c>
      <c r="J26" s="15"/>
      <c r="L26" s="13"/>
      <c r="M26" s="13"/>
      <c r="N26" s="13"/>
      <c r="O26" s="13"/>
      <c r="P26" s="13"/>
      <c r="Q26" s="13"/>
      <c r="R26" s="13"/>
      <c r="S26" s="13"/>
      <c r="T26" s="13"/>
      <c r="U26" s="13">
        <v>0</v>
      </c>
      <c r="V26" s="13">
        <v>0</v>
      </c>
      <c r="W26" s="13">
        <v>0</v>
      </c>
      <c r="X26" s="13">
        <v>0</v>
      </c>
      <c r="Y26" s="13">
        <f>(1 - CUSTOS!$M$24)*103.8644</f>
        <v>103.8644</v>
      </c>
      <c r="Z26" s="13">
        <v>0</v>
      </c>
      <c r="AA26" s="13">
        <v>0</v>
      </c>
      <c r="AB26" s="13"/>
      <c r="AC26" s="13">
        <f>(1 - CUSTOS!$M$24)*180.8319</f>
        <v>180.83189999999999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P26" s="13">
        <f>IF((1 - CUSTOS!$M$24)&lt;&gt;0,1/(1 - CUSTOS!$M$24),1)</f>
        <v>1</v>
      </c>
    </row>
    <row r="27" spans="1:42" ht="11.25" customHeight="1" x14ac:dyDescent="0.25">
      <c r="A27" s="142"/>
      <c r="B27" s="142"/>
      <c r="C27" s="142"/>
      <c r="D27" s="23" t="s">
        <v>29</v>
      </c>
      <c r="E27" s="23" t="s">
        <v>25</v>
      </c>
      <c r="F27" s="23" t="s">
        <v>25</v>
      </c>
      <c r="G27" s="24" t="s">
        <v>79</v>
      </c>
      <c r="H27" s="24" t="s">
        <v>75</v>
      </c>
      <c r="I27" s="24">
        <f>'MERCADO TUSD'!$U$24</f>
        <v>0</v>
      </c>
      <c r="J27" s="15"/>
      <c r="L27" s="13"/>
      <c r="M27" s="13"/>
      <c r="N27" s="13"/>
      <c r="O27" s="13"/>
      <c r="P27" s="13"/>
      <c r="Q27" s="13"/>
      <c r="R27" s="13"/>
      <c r="S27" s="13"/>
      <c r="T27" s="13"/>
      <c r="U27" s="13">
        <v>0</v>
      </c>
      <c r="V27" s="13">
        <v>0</v>
      </c>
      <c r="W27" s="13">
        <v>0</v>
      </c>
      <c r="X27" s="13">
        <v>0</v>
      </c>
      <c r="Y27" s="13">
        <f>(1 - CUSTOS!$M$25)*103.8644</f>
        <v>103.8644</v>
      </c>
      <c r="Z27" s="13">
        <v>0</v>
      </c>
      <c r="AA27" s="13">
        <v>0</v>
      </c>
      <c r="AB27" s="13"/>
      <c r="AC27" s="13">
        <f>(1 - CUSTOS!$M$25)*180.8319</f>
        <v>180.83189999999999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P27" s="13">
        <f>IF((1 - CUSTOS!$M$25)&lt;&gt;0,1/(1 - CUSTOS!$M$25),1)</f>
        <v>1</v>
      </c>
    </row>
    <row r="28" spans="1:42" ht="11.25" customHeight="1" x14ac:dyDescent="0.25">
      <c r="A28" s="142"/>
      <c r="B28" s="142"/>
      <c r="C28" s="142"/>
      <c r="D28" s="23" t="s">
        <v>30</v>
      </c>
      <c r="E28" s="23" t="s">
        <v>25</v>
      </c>
      <c r="F28" s="23" t="s">
        <v>25</v>
      </c>
      <c r="G28" s="24" t="s">
        <v>79</v>
      </c>
      <c r="H28" s="24" t="s">
        <v>75</v>
      </c>
      <c r="I28" s="24">
        <f>'MERCADO TUSD'!$U$25</f>
        <v>0</v>
      </c>
      <c r="J28" s="15"/>
      <c r="L28" s="13"/>
      <c r="M28" s="13"/>
      <c r="N28" s="13"/>
      <c r="O28" s="13"/>
      <c r="P28" s="13"/>
      <c r="Q28" s="13"/>
      <c r="R28" s="13"/>
      <c r="S28" s="13"/>
      <c r="T28" s="13"/>
      <c r="U28" s="13">
        <v>0</v>
      </c>
      <c r="V28" s="13">
        <v>0</v>
      </c>
      <c r="W28" s="13">
        <v>0</v>
      </c>
      <c r="X28" s="13">
        <v>0</v>
      </c>
      <c r="Y28" s="13">
        <f>(1 - CUSTOS!$M$26)*103.8644</f>
        <v>103.8644</v>
      </c>
      <c r="Z28" s="13">
        <v>0</v>
      </c>
      <c r="AA28" s="13">
        <v>0</v>
      </c>
      <c r="AB28" s="13"/>
      <c r="AC28" s="13">
        <f>(1 - CUSTOS!$M$26)*180.8319</f>
        <v>180.83189999999999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P28" s="13">
        <f>IF((1 - CUSTOS!$M$26)&lt;&gt;0,1/(1 - CUSTOS!$M$26),1)</f>
        <v>1</v>
      </c>
    </row>
    <row r="29" spans="1:42" ht="11.25" customHeight="1" x14ac:dyDescent="0.25">
      <c r="A29" s="142"/>
      <c r="B29" s="142"/>
      <c r="C29" s="142"/>
      <c r="D29" s="23" t="s">
        <v>31</v>
      </c>
      <c r="E29" s="23" t="s">
        <v>25</v>
      </c>
      <c r="F29" s="23" t="s">
        <v>25</v>
      </c>
      <c r="G29" s="24" t="s">
        <v>79</v>
      </c>
      <c r="H29" s="24" t="s">
        <v>75</v>
      </c>
      <c r="I29" s="24">
        <f>'MERCADO TUSD'!$U$26</f>
        <v>0</v>
      </c>
      <c r="J29" s="15"/>
      <c r="L29" s="13"/>
      <c r="M29" s="13"/>
      <c r="N29" s="13"/>
      <c r="O29" s="13"/>
      <c r="P29" s="13"/>
      <c r="Q29" s="13"/>
      <c r="R29" s="13"/>
      <c r="S29" s="13"/>
      <c r="T29" s="13"/>
      <c r="U29" s="13">
        <v>0</v>
      </c>
      <c r="V29" s="13">
        <v>0</v>
      </c>
      <c r="W29" s="13">
        <v>0</v>
      </c>
      <c r="X29" s="13">
        <v>0</v>
      </c>
      <c r="Y29" s="13">
        <f>(1 - CUSTOS!$M$27)*103.8644</f>
        <v>103.8644</v>
      </c>
      <c r="Z29" s="13">
        <v>0</v>
      </c>
      <c r="AA29" s="13">
        <v>0</v>
      </c>
      <c r="AB29" s="13"/>
      <c r="AC29" s="13">
        <f>(1 - CUSTOS!$M$27)*180.8319</f>
        <v>180.83189999999999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P29" s="13">
        <f>IF((1 - CUSTOS!$M$27)&lt;&gt;0,1/(1 - CUSTOS!$M$27),1)</f>
        <v>1</v>
      </c>
    </row>
    <row r="30" spans="1:42" ht="11.25" customHeight="1" x14ac:dyDescent="0.25">
      <c r="A30" s="142" t="s">
        <v>41</v>
      </c>
      <c r="B30" s="142" t="s">
        <v>32</v>
      </c>
      <c r="C30" s="142" t="s">
        <v>42</v>
      </c>
      <c r="D30" s="142" t="s">
        <v>25</v>
      </c>
      <c r="E30" s="142" t="s">
        <v>25</v>
      </c>
      <c r="F30" s="142" t="s">
        <v>25</v>
      </c>
      <c r="G30" s="24" t="s">
        <v>76</v>
      </c>
      <c r="H30" s="24" t="s">
        <v>75</v>
      </c>
      <c r="I30" s="24">
        <f>'MERCADO TUSD'!$U$27</f>
        <v>0</v>
      </c>
      <c r="J30" s="15"/>
      <c r="L30" s="13"/>
      <c r="M30" s="13"/>
      <c r="N30" s="13"/>
      <c r="O30" s="13"/>
      <c r="P30" s="13"/>
      <c r="Q30" s="13"/>
      <c r="R30" s="13"/>
      <c r="S30" s="13"/>
      <c r="T30" s="13"/>
      <c r="U30" s="13">
        <v>0</v>
      </c>
      <c r="V30" s="13">
        <v>0</v>
      </c>
      <c r="W30" s="13">
        <v>0</v>
      </c>
      <c r="X30" s="13">
        <v>0</v>
      </c>
      <c r="Y30" s="13">
        <f>(1 - CUSTOS!$M$28)*296.0136</f>
        <v>296.0136</v>
      </c>
      <c r="Z30" s="13">
        <v>0</v>
      </c>
      <c r="AA30" s="13">
        <v>0</v>
      </c>
      <c r="AB30" s="13"/>
      <c r="AC30" s="13">
        <f>(1 - CUSTOS!$M$28)*515.3708</f>
        <v>515.37080000000003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P30" s="13">
        <f>IF((1 - CUSTOS!$M$28)&lt;&gt;0,1/(1 - CUSTOS!$M$28),1)</f>
        <v>1</v>
      </c>
    </row>
    <row r="31" spans="1:42" ht="11.25" customHeight="1" x14ac:dyDescent="0.25">
      <c r="A31" s="142"/>
      <c r="B31" s="142"/>
      <c r="C31" s="142"/>
      <c r="D31" s="142"/>
      <c r="E31" s="142"/>
      <c r="F31" s="142"/>
      <c r="G31" s="24" t="s">
        <v>88</v>
      </c>
      <c r="H31" s="24" t="s">
        <v>75</v>
      </c>
      <c r="I31" s="24">
        <f>'MERCADO TUSD'!$U$28</f>
        <v>0</v>
      </c>
      <c r="J31" s="15"/>
      <c r="L31" s="13"/>
      <c r="M31" s="13"/>
      <c r="N31" s="13"/>
      <c r="O31" s="13"/>
      <c r="P31" s="13"/>
      <c r="Q31" s="13"/>
      <c r="R31" s="13"/>
      <c r="S31" s="13"/>
      <c r="T31" s="13"/>
      <c r="U31" s="13">
        <v>0</v>
      </c>
      <c r="V31" s="13">
        <v>0</v>
      </c>
      <c r="W31" s="13">
        <v>0</v>
      </c>
      <c r="X31" s="13">
        <v>0</v>
      </c>
      <c r="Y31" s="13">
        <f>(1 - CUSTOS!$M$28)*177.6081</f>
        <v>177.60810000000001</v>
      </c>
      <c r="Z31" s="13">
        <v>0</v>
      </c>
      <c r="AA31" s="13">
        <v>0</v>
      </c>
      <c r="AB31" s="13"/>
      <c r="AC31" s="13">
        <f>(1 - CUSTOS!$M$28)*309.2225</f>
        <v>309.22250000000003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P31" s="13">
        <f>IF((1 - CUSTOS!$M$28)&lt;&gt;0,1/(1 - CUSTOS!$M$28),1)</f>
        <v>1</v>
      </c>
    </row>
    <row r="32" spans="1:42" ht="11.25" customHeight="1" x14ac:dyDescent="0.25">
      <c r="A32" s="142"/>
      <c r="B32" s="142"/>
      <c r="C32" s="142"/>
      <c r="D32" s="142"/>
      <c r="E32" s="142"/>
      <c r="F32" s="142"/>
      <c r="G32" s="24" t="s">
        <v>77</v>
      </c>
      <c r="H32" s="24" t="s">
        <v>75</v>
      </c>
      <c r="I32" s="24">
        <f>'MERCADO TUSD'!$U$29</f>
        <v>0</v>
      </c>
      <c r="J32" s="15"/>
      <c r="L32" s="13"/>
      <c r="M32" s="13"/>
      <c r="N32" s="13"/>
      <c r="O32" s="13"/>
      <c r="P32" s="13"/>
      <c r="Q32" s="13"/>
      <c r="R32" s="13"/>
      <c r="S32" s="13"/>
      <c r="T32" s="13"/>
      <c r="U32" s="13">
        <v>0</v>
      </c>
      <c r="V32" s="13">
        <v>0</v>
      </c>
      <c r="W32" s="13">
        <v>0</v>
      </c>
      <c r="X32" s="13">
        <v>0</v>
      </c>
      <c r="Y32" s="13">
        <f>(1 - CUSTOS!$M$28)*59.2027</f>
        <v>59.2027</v>
      </c>
      <c r="Z32" s="13">
        <v>0</v>
      </c>
      <c r="AA32" s="13">
        <v>0</v>
      </c>
      <c r="AB32" s="13"/>
      <c r="AC32" s="13">
        <f>(1 - CUSTOS!$M$28)*103.0742</f>
        <v>103.0742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P32" s="13">
        <f>IF((1 - CUSTOS!$M$28)&lt;&gt;0,1/(1 - CUSTOS!$M$28),1)</f>
        <v>1</v>
      </c>
    </row>
    <row r="33" spans="1:42" ht="11.25" customHeight="1" x14ac:dyDescent="0.25">
      <c r="A33" s="142"/>
      <c r="B33" s="23" t="s">
        <v>23</v>
      </c>
      <c r="C33" s="23" t="s">
        <v>42</v>
      </c>
      <c r="D33" s="23" t="s">
        <v>25</v>
      </c>
      <c r="E33" s="23" t="s">
        <v>25</v>
      </c>
      <c r="F33" s="23" t="s">
        <v>25</v>
      </c>
      <c r="G33" s="24" t="s">
        <v>79</v>
      </c>
      <c r="H33" s="24" t="s">
        <v>75</v>
      </c>
      <c r="I33" s="24">
        <f>'MERCADO TUSD'!$U$30</f>
        <v>3335.7969999999996</v>
      </c>
      <c r="J33" s="15"/>
      <c r="L33" s="13"/>
      <c r="M33" s="13"/>
      <c r="N33" s="13"/>
      <c r="O33" s="13"/>
      <c r="P33" s="13"/>
      <c r="Q33" s="13"/>
      <c r="R33" s="13"/>
      <c r="S33" s="13"/>
      <c r="T33" s="13"/>
      <c r="U33" s="13">
        <v>0</v>
      </c>
      <c r="V33" s="13">
        <v>0</v>
      </c>
      <c r="W33" s="13">
        <v>0</v>
      </c>
      <c r="X33" s="13">
        <v>0</v>
      </c>
      <c r="Y33" s="13">
        <f>(1 - CUSTOS!$M$28)*103.8644</f>
        <v>103.8644</v>
      </c>
      <c r="Z33" s="13">
        <v>0</v>
      </c>
      <c r="AA33" s="13">
        <v>0</v>
      </c>
      <c r="AB33" s="13"/>
      <c r="AC33" s="13">
        <f>(1 - CUSTOS!$M$28)*180.8319</f>
        <v>180.83189999999999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P33" s="13">
        <f>IF((1 - CUSTOS!$M$28)&lt;&gt;0,1/(1 - CUSTOS!$M$28),1)</f>
        <v>1</v>
      </c>
    </row>
    <row r="34" spans="1:42" ht="11.25" customHeight="1" x14ac:dyDescent="0.25">
      <c r="A34" s="142"/>
      <c r="B34" s="142" t="s">
        <v>32</v>
      </c>
      <c r="C34" s="142" t="s">
        <v>42</v>
      </c>
      <c r="D34" s="142" t="s">
        <v>91</v>
      </c>
      <c r="E34" s="142" t="s">
        <v>25</v>
      </c>
      <c r="F34" s="142" t="s">
        <v>25</v>
      </c>
      <c r="G34" s="24" t="s">
        <v>76</v>
      </c>
      <c r="H34" s="24" t="s">
        <v>75</v>
      </c>
      <c r="I34" s="24">
        <f>'MERCADO TUSD'!$U$31</f>
        <v>0</v>
      </c>
      <c r="J34" s="15"/>
      <c r="L34" s="13"/>
      <c r="M34" s="13"/>
      <c r="N34" s="13"/>
      <c r="O34" s="13"/>
      <c r="P34" s="13"/>
      <c r="Q34" s="13"/>
      <c r="R34" s="13"/>
      <c r="S34" s="13"/>
      <c r="T34" s="13"/>
      <c r="U34" s="13">
        <v>0</v>
      </c>
      <c r="V34" s="13">
        <v>0</v>
      </c>
      <c r="W34" s="13">
        <v>0</v>
      </c>
      <c r="X34" s="13">
        <v>0</v>
      </c>
      <c r="Y34" s="13">
        <f>(1 - CUSTOS!$M$29)*296.0136</f>
        <v>296.0136</v>
      </c>
      <c r="Z34" s="13">
        <v>0</v>
      </c>
      <c r="AA34" s="13">
        <v>0</v>
      </c>
      <c r="AB34" s="13"/>
      <c r="AC34" s="13">
        <f>(1 - CUSTOS!$M$29)*515.3708</f>
        <v>515.37080000000003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P34" s="13">
        <f>IF((1 - CUSTOS!$M$29)&lt;&gt;0,1/(1 - CUSTOS!$M$29),1)</f>
        <v>1</v>
      </c>
    </row>
    <row r="35" spans="1:42" ht="11.25" customHeight="1" x14ac:dyDescent="0.25">
      <c r="A35" s="142"/>
      <c r="B35" s="142"/>
      <c r="C35" s="142"/>
      <c r="D35" s="142"/>
      <c r="E35" s="142"/>
      <c r="F35" s="142"/>
      <c r="G35" s="24" t="s">
        <v>88</v>
      </c>
      <c r="H35" s="24" t="s">
        <v>75</v>
      </c>
      <c r="I35" s="24">
        <f>'MERCADO TUSD'!$U$32</f>
        <v>0</v>
      </c>
      <c r="J35" s="15"/>
      <c r="L35" s="13"/>
      <c r="M35" s="13"/>
      <c r="N35" s="13"/>
      <c r="O35" s="13"/>
      <c r="P35" s="13"/>
      <c r="Q35" s="13"/>
      <c r="R35" s="13"/>
      <c r="S35" s="13"/>
      <c r="T35" s="13"/>
      <c r="U35" s="13">
        <v>0</v>
      </c>
      <c r="V35" s="13">
        <v>0</v>
      </c>
      <c r="W35" s="13">
        <v>0</v>
      </c>
      <c r="X35" s="13">
        <v>0</v>
      </c>
      <c r="Y35" s="13">
        <f>(1 - CUSTOS!$M$29)*177.6081</f>
        <v>177.60810000000001</v>
      </c>
      <c r="Z35" s="13">
        <v>0</v>
      </c>
      <c r="AA35" s="13">
        <v>0</v>
      </c>
      <c r="AB35" s="13"/>
      <c r="AC35" s="13">
        <f>(1 - CUSTOS!$M$29)*309.2225</f>
        <v>309.22250000000003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P35" s="13">
        <f>IF((1 - CUSTOS!$M$29)&lt;&gt;0,1/(1 - CUSTOS!$M$29),1)</f>
        <v>1</v>
      </c>
    </row>
    <row r="36" spans="1:42" ht="11.25" customHeight="1" x14ac:dyDescent="0.25">
      <c r="A36" s="142"/>
      <c r="B36" s="142"/>
      <c r="C36" s="142"/>
      <c r="D36" s="142"/>
      <c r="E36" s="142"/>
      <c r="F36" s="142"/>
      <c r="G36" s="24" t="s">
        <v>77</v>
      </c>
      <c r="H36" s="24" t="s">
        <v>75</v>
      </c>
      <c r="I36" s="24">
        <f>'MERCADO TUSD'!$U$33</f>
        <v>0</v>
      </c>
      <c r="J36" s="15"/>
      <c r="L36" s="13"/>
      <c r="M36" s="13"/>
      <c r="N36" s="13"/>
      <c r="O36" s="13"/>
      <c r="P36" s="13"/>
      <c r="Q36" s="13"/>
      <c r="R36" s="13"/>
      <c r="S36" s="13"/>
      <c r="T36" s="13"/>
      <c r="U36" s="13">
        <v>0</v>
      </c>
      <c r="V36" s="13">
        <v>0</v>
      </c>
      <c r="W36" s="13">
        <v>0</v>
      </c>
      <c r="X36" s="13">
        <v>0</v>
      </c>
      <c r="Y36" s="13">
        <f>(1 - CUSTOS!$M$29)*59.2027</f>
        <v>59.2027</v>
      </c>
      <c r="Z36" s="13">
        <v>0</v>
      </c>
      <c r="AA36" s="13">
        <v>0</v>
      </c>
      <c r="AB36" s="13"/>
      <c r="AC36" s="13">
        <f>(1 - CUSTOS!$M$29)*103.0742</f>
        <v>103.0742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P36" s="13">
        <f>IF((1 - CUSTOS!$M$29)&lt;&gt;0,1/(1 - CUSTOS!$M$29),1)</f>
        <v>1</v>
      </c>
    </row>
    <row r="37" spans="1:42" ht="11.25" customHeight="1" x14ac:dyDescent="0.25">
      <c r="A37" s="142"/>
      <c r="B37" s="23" t="s">
        <v>23</v>
      </c>
      <c r="C37" s="23" t="s">
        <v>42</v>
      </c>
      <c r="D37" s="23" t="s">
        <v>91</v>
      </c>
      <c r="E37" s="23" t="s">
        <v>25</v>
      </c>
      <c r="F37" s="23" t="s">
        <v>25</v>
      </c>
      <c r="G37" s="24" t="s">
        <v>79</v>
      </c>
      <c r="H37" s="24" t="s">
        <v>75</v>
      </c>
      <c r="I37" s="24">
        <f>'MERCADO TUSD'!$U$34</f>
        <v>0</v>
      </c>
      <c r="J37" s="15"/>
      <c r="L37" s="13"/>
      <c r="M37" s="13"/>
      <c r="N37" s="13"/>
      <c r="O37" s="13"/>
      <c r="P37" s="13"/>
      <c r="Q37" s="13"/>
      <c r="R37" s="13"/>
      <c r="S37" s="13"/>
      <c r="T37" s="13"/>
      <c r="U37" s="13">
        <v>0</v>
      </c>
      <c r="V37" s="13">
        <v>0</v>
      </c>
      <c r="W37" s="13">
        <v>0</v>
      </c>
      <c r="X37" s="13">
        <v>0</v>
      </c>
      <c r="Y37" s="13">
        <f>(1 - CUSTOS!$M$29)*103.8644</f>
        <v>103.8644</v>
      </c>
      <c r="Z37" s="13">
        <v>0</v>
      </c>
      <c r="AA37" s="13">
        <v>0</v>
      </c>
      <c r="AB37" s="13"/>
      <c r="AC37" s="13">
        <f>(1 - CUSTOS!$M$29)*180.8319</f>
        <v>180.83189999999999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P37" s="13">
        <f>IF((1 - CUSTOS!$M$29)&lt;&gt;0,1/(1 - CUSTOS!$M$29),1)</f>
        <v>1</v>
      </c>
    </row>
    <row r="38" spans="1:42" ht="11.25" customHeight="1" x14ac:dyDescent="0.25">
      <c r="A38" s="142"/>
      <c r="B38" s="142" t="s">
        <v>32</v>
      </c>
      <c r="C38" s="142" t="s">
        <v>42</v>
      </c>
      <c r="D38" s="142" t="s">
        <v>92</v>
      </c>
      <c r="E38" s="142" t="s">
        <v>25</v>
      </c>
      <c r="F38" s="142" t="s">
        <v>25</v>
      </c>
      <c r="G38" s="24" t="s">
        <v>76</v>
      </c>
      <c r="H38" s="24" t="s">
        <v>75</v>
      </c>
      <c r="I38" s="24">
        <f>'MERCADO TUSD'!$U$35</f>
        <v>0</v>
      </c>
      <c r="J38" s="15"/>
      <c r="L38" s="13"/>
      <c r="M38" s="13"/>
      <c r="N38" s="13"/>
      <c r="O38" s="13"/>
      <c r="P38" s="13"/>
      <c r="Q38" s="13"/>
      <c r="R38" s="13"/>
      <c r="S38" s="13"/>
      <c r="T38" s="13"/>
      <c r="U38" s="13">
        <v>0</v>
      </c>
      <c r="V38" s="13">
        <v>0</v>
      </c>
      <c r="W38" s="13">
        <v>0</v>
      </c>
      <c r="X38" s="13">
        <v>0</v>
      </c>
      <c r="Y38" s="13">
        <f>(1 - CUSTOS!$M$30)*296.0136</f>
        <v>296.0136</v>
      </c>
      <c r="Z38" s="13">
        <v>0</v>
      </c>
      <c r="AA38" s="13">
        <v>0</v>
      </c>
      <c r="AB38" s="13"/>
      <c r="AC38" s="13">
        <f>(1 - CUSTOS!$M$30)*515.3708</f>
        <v>515.37080000000003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P38" s="13">
        <f>IF((1 - CUSTOS!$M$30)&lt;&gt;0,1/(1 - CUSTOS!$M$30),1)</f>
        <v>1</v>
      </c>
    </row>
    <row r="39" spans="1:42" ht="11.25" customHeight="1" x14ac:dyDescent="0.25">
      <c r="A39" s="142"/>
      <c r="B39" s="142"/>
      <c r="C39" s="142"/>
      <c r="D39" s="142"/>
      <c r="E39" s="142"/>
      <c r="F39" s="142"/>
      <c r="G39" s="24" t="s">
        <v>88</v>
      </c>
      <c r="H39" s="24" t="s">
        <v>75</v>
      </c>
      <c r="I39" s="24">
        <f>'MERCADO TUSD'!$U$36</f>
        <v>0</v>
      </c>
      <c r="J39" s="15"/>
      <c r="L39" s="13"/>
      <c r="M39" s="13"/>
      <c r="N39" s="13"/>
      <c r="O39" s="13"/>
      <c r="P39" s="13"/>
      <c r="Q39" s="13"/>
      <c r="R39" s="13"/>
      <c r="S39" s="13"/>
      <c r="T39" s="13"/>
      <c r="U39" s="13">
        <v>0</v>
      </c>
      <c r="V39" s="13">
        <v>0</v>
      </c>
      <c r="W39" s="13">
        <v>0</v>
      </c>
      <c r="X39" s="13">
        <v>0</v>
      </c>
      <c r="Y39" s="13">
        <f>(1 - CUSTOS!$M$30)*177.6081</f>
        <v>177.60810000000001</v>
      </c>
      <c r="Z39" s="13">
        <v>0</v>
      </c>
      <c r="AA39" s="13">
        <v>0</v>
      </c>
      <c r="AB39" s="13"/>
      <c r="AC39" s="13">
        <f>(1 - CUSTOS!$M$30)*309.2225</f>
        <v>309.22250000000003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P39" s="13">
        <f>IF((1 - CUSTOS!$M$30)&lt;&gt;0,1/(1 - CUSTOS!$M$30),1)</f>
        <v>1</v>
      </c>
    </row>
    <row r="40" spans="1:42" ht="11.25" customHeight="1" x14ac:dyDescent="0.25">
      <c r="A40" s="142"/>
      <c r="B40" s="142"/>
      <c r="C40" s="142"/>
      <c r="D40" s="142"/>
      <c r="E40" s="142"/>
      <c r="F40" s="142"/>
      <c r="G40" s="24" t="s">
        <v>77</v>
      </c>
      <c r="H40" s="24" t="s">
        <v>75</v>
      </c>
      <c r="I40" s="24">
        <f>'MERCADO TUSD'!$U$37</f>
        <v>0</v>
      </c>
      <c r="J40" s="15"/>
      <c r="L40" s="13"/>
      <c r="M40" s="13"/>
      <c r="N40" s="13"/>
      <c r="O40" s="13"/>
      <c r="P40" s="13"/>
      <c r="Q40" s="13"/>
      <c r="R40" s="13"/>
      <c r="S40" s="13"/>
      <c r="T40" s="13"/>
      <c r="U40" s="13">
        <v>0</v>
      </c>
      <c r="V40" s="13">
        <v>0</v>
      </c>
      <c r="W40" s="13">
        <v>0</v>
      </c>
      <c r="X40" s="13">
        <v>0</v>
      </c>
      <c r="Y40" s="13">
        <f>(1 - CUSTOS!$M$30)*59.2027</f>
        <v>59.2027</v>
      </c>
      <c r="Z40" s="13">
        <v>0</v>
      </c>
      <c r="AA40" s="13">
        <v>0</v>
      </c>
      <c r="AB40" s="13"/>
      <c r="AC40" s="13">
        <f>(1 - CUSTOS!$M$30)*103.0742</f>
        <v>103.0742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P40" s="13">
        <f>IF((1 - CUSTOS!$M$30)&lt;&gt;0,1/(1 - CUSTOS!$M$30),1)</f>
        <v>1</v>
      </c>
    </row>
    <row r="41" spans="1:42" ht="11.25" customHeight="1" x14ac:dyDescent="0.25">
      <c r="A41" s="142"/>
      <c r="B41" s="23" t="s">
        <v>23</v>
      </c>
      <c r="C41" s="23" t="s">
        <v>42</v>
      </c>
      <c r="D41" s="23" t="s">
        <v>92</v>
      </c>
      <c r="E41" s="23" t="s">
        <v>25</v>
      </c>
      <c r="F41" s="23" t="s">
        <v>25</v>
      </c>
      <c r="G41" s="24" t="s">
        <v>79</v>
      </c>
      <c r="H41" s="24" t="s">
        <v>75</v>
      </c>
      <c r="I41" s="24">
        <f>'MERCADO TUSD'!$U$38</f>
        <v>0</v>
      </c>
      <c r="J41" s="15"/>
      <c r="L41" s="13"/>
      <c r="M41" s="13"/>
      <c r="N41" s="13"/>
      <c r="O41" s="13"/>
      <c r="P41" s="13"/>
      <c r="Q41" s="13"/>
      <c r="R41" s="13"/>
      <c r="S41" s="13"/>
      <c r="T41" s="13"/>
      <c r="U41" s="13">
        <v>0</v>
      </c>
      <c r="V41" s="13">
        <v>0</v>
      </c>
      <c r="W41" s="13">
        <v>0</v>
      </c>
      <c r="X41" s="13">
        <v>0</v>
      </c>
      <c r="Y41" s="13">
        <f>(1 - CUSTOS!$M$30)*103.8644</f>
        <v>103.8644</v>
      </c>
      <c r="Z41" s="13">
        <v>0</v>
      </c>
      <c r="AA41" s="13">
        <v>0</v>
      </c>
      <c r="AB41" s="13"/>
      <c r="AC41" s="13">
        <f>(1 - CUSTOS!$M$30)*180.8319</f>
        <v>180.83189999999999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P41" s="13">
        <f>IF((1 - CUSTOS!$M$30)&lt;&gt;0,1/(1 - CUSTOS!$M$30),1)</f>
        <v>1</v>
      </c>
    </row>
    <row r="42" spans="1:42" ht="11.25" customHeight="1" x14ac:dyDescent="0.25">
      <c r="A42" s="142"/>
      <c r="B42" s="142" t="s">
        <v>90</v>
      </c>
      <c r="C42" s="142" t="s">
        <v>42</v>
      </c>
      <c r="D42" s="23" t="s">
        <v>25</v>
      </c>
      <c r="E42" s="23" t="s">
        <v>25</v>
      </c>
      <c r="F42" s="23" t="s">
        <v>25</v>
      </c>
      <c r="G42" s="24" t="s">
        <v>79</v>
      </c>
      <c r="H42" s="24" t="s">
        <v>75</v>
      </c>
      <c r="I42" s="24">
        <f>'MERCADO TUSD'!$U$39</f>
        <v>0</v>
      </c>
      <c r="J42" s="15"/>
      <c r="L42" s="13"/>
      <c r="M42" s="13"/>
      <c r="N42" s="13"/>
      <c r="O42" s="13"/>
      <c r="P42" s="13"/>
      <c r="Q42" s="13"/>
      <c r="R42" s="13"/>
      <c r="S42" s="13"/>
      <c r="T42" s="13"/>
      <c r="U42" s="13">
        <v>0</v>
      </c>
      <c r="V42" s="13">
        <v>0</v>
      </c>
      <c r="W42" s="13">
        <v>0</v>
      </c>
      <c r="X42" s="13">
        <v>0</v>
      </c>
      <c r="Y42" s="13">
        <f>(1 - CUSTOS!$M$28)*103.8644</f>
        <v>103.8644</v>
      </c>
      <c r="Z42" s="13">
        <v>0</v>
      </c>
      <c r="AA42" s="13">
        <v>0</v>
      </c>
      <c r="AB42" s="13"/>
      <c r="AC42" s="13">
        <f>(1 - CUSTOS!$M$28)*180.8319</f>
        <v>180.83189999999999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P42" s="13">
        <f>IF((1 - CUSTOS!$M$28)&lt;&gt;0,1/(1 - CUSTOS!$M$28),1)</f>
        <v>1</v>
      </c>
    </row>
    <row r="43" spans="1:42" ht="11.25" customHeight="1" x14ac:dyDescent="0.25">
      <c r="A43" s="142"/>
      <c r="B43" s="142"/>
      <c r="C43" s="142"/>
      <c r="D43" s="23" t="s">
        <v>91</v>
      </c>
      <c r="E43" s="23" t="s">
        <v>25</v>
      </c>
      <c r="F43" s="23" t="s">
        <v>25</v>
      </c>
      <c r="G43" s="24" t="s">
        <v>79</v>
      </c>
      <c r="H43" s="24" t="s">
        <v>75</v>
      </c>
      <c r="I43" s="24">
        <f>'MERCADO TUSD'!$U$40</f>
        <v>0</v>
      </c>
      <c r="J43" s="15"/>
      <c r="L43" s="13"/>
      <c r="M43" s="13"/>
      <c r="N43" s="13"/>
      <c r="O43" s="13"/>
      <c r="P43" s="13"/>
      <c r="Q43" s="13"/>
      <c r="R43" s="13"/>
      <c r="S43" s="13"/>
      <c r="T43" s="13"/>
      <c r="U43" s="13">
        <v>0</v>
      </c>
      <c r="V43" s="13">
        <v>0</v>
      </c>
      <c r="W43" s="13">
        <v>0</v>
      </c>
      <c r="X43" s="13">
        <v>0</v>
      </c>
      <c r="Y43" s="13">
        <f>(1 - CUSTOS!$M$29)*103.8644</f>
        <v>103.8644</v>
      </c>
      <c r="Z43" s="13">
        <v>0</v>
      </c>
      <c r="AA43" s="13">
        <v>0</v>
      </c>
      <c r="AB43" s="13"/>
      <c r="AC43" s="13">
        <f>(1 - CUSTOS!$M$29)*180.8319</f>
        <v>180.83189999999999</v>
      </c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P43" s="13">
        <f>IF((1 - CUSTOS!$M$29)&lt;&gt;0,1/(1 - CUSTOS!$M$29),1)</f>
        <v>1</v>
      </c>
    </row>
    <row r="44" spans="1:42" ht="11.25" customHeight="1" x14ac:dyDescent="0.25">
      <c r="A44" s="142"/>
      <c r="B44" s="142"/>
      <c r="C44" s="142"/>
      <c r="D44" s="23" t="s">
        <v>92</v>
      </c>
      <c r="E44" s="23" t="s">
        <v>25</v>
      </c>
      <c r="F44" s="23" t="s">
        <v>25</v>
      </c>
      <c r="G44" s="24" t="s">
        <v>79</v>
      </c>
      <c r="H44" s="24" t="s">
        <v>75</v>
      </c>
      <c r="I44" s="24">
        <f>'MERCADO TUSD'!$U$41</f>
        <v>0</v>
      </c>
      <c r="J44" s="15"/>
      <c r="L44" s="13"/>
      <c r="M44" s="13"/>
      <c r="N44" s="13"/>
      <c r="O44" s="13"/>
      <c r="P44" s="13"/>
      <c r="Q44" s="13"/>
      <c r="R44" s="13"/>
      <c r="S44" s="13"/>
      <c r="T44" s="13"/>
      <c r="U44" s="13">
        <v>0</v>
      </c>
      <c r="V44" s="13">
        <v>0</v>
      </c>
      <c r="W44" s="13">
        <v>0</v>
      </c>
      <c r="X44" s="13">
        <v>0</v>
      </c>
      <c r="Y44" s="13">
        <f>(1 - CUSTOS!$M$30)*103.8644</f>
        <v>103.8644</v>
      </c>
      <c r="Z44" s="13">
        <v>0</v>
      </c>
      <c r="AA44" s="13">
        <v>0</v>
      </c>
      <c r="AB44" s="13"/>
      <c r="AC44" s="13">
        <f>(1 - CUSTOS!$M$30)*180.8319</f>
        <v>180.83189999999999</v>
      </c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P44" s="13">
        <f>IF((1 - CUSTOS!$M$30)&lt;&gt;0,1/(1 - CUSTOS!$M$30),1)</f>
        <v>1</v>
      </c>
    </row>
    <row r="45" spans="1:42" ht="11.25" customHeight="1" x14ac:dyDescent="0.25">
      <c r="A45" s="142" t="s">
        <v>36</v>
      </c>
      <c r="B45" s="142" t="s">
        <v>32</v>
      </c>
      <c r="C45" s="142" t="s">
        <v>25</v>
      </c>
      <c r="D45" s="142" t="s">
        <v>25</v>
      </c>
      <c r="E45" s="142" t="s">
        <v>25</v>
      </c>
      <c r="F45" s="142" t="s">
        <v>25</v>
      </c>
      <c r="G45" s="24" t="s">
        <v>76</v>
      </c>
      <c r="H45" s="24" t="s">
        <v>75</v>
      </c>
      <c r="I45" s="24">
        <f>'MERCADO TUSD'!$U$42</f>
        <v>0.33600000000000008</v>
      </c>
      <c r="J45" s="15"/>
      <c r="L45" s="13"/>
      <c r="M45" s="13"/>
      <c r="N45" s="13"/>
      <c r="O45" s="13"/>
      <c r="P45" s="13"/>
      <c r="Q45" s="13"/>
      <c r="R45" s="13"/>
      <c r="S45" s="13"/>
      <c r="T45" s="13"/>
      <c r="U45" s="13">
        <v>0</v>
      </c>
      <c r="V45" s="13">
        <v>0</v>
      </c>
      <c r="W45" s="13">
        <v>0</v>
      </c>
      <c r="X45" s="13">
        <v>0</v>
      </c>
      <c r="Y45" s="13">
        <f>(1 - CUSTOS!$M$31)*342.7526</f>
        <v>342.75259999999997</v>
      </c>
      <c r="Z45" s="13">
        <v>0</v>
      </c>
      <c r="AA45" s="13">
        <v>0</v>
      </c>
      <c r="AB45" s="13"/>
      <c r="AC45" s="13">
        <f>(1 - CUSTOS!$M$31)*596.7452</f>
        <v>596.74519999999995</v>
      </c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P45" s="13">
        <f>IF((1 - CUSTOS!$M$31)&lt;&gt;0,1/(1 - CUSTOS!$M$31),1)</f>
        <v>1</v>
      </c>
    </row>
    <row r="46" spans="1:42" ht="11.25" customHeight="1" x14ac:dyDescent="0.25">
      <c r="A46" s="142"/>
      <c r="B46" s="142"/>
      <c r="C46" s="142"/>
      <c r="D46" s="142"/>
      <c r="E46" s="142"/>
      <c r="F46" s="142"/>
      <c r="G46" s="24" t="s">
        <v>88</v>
      </c>
      <c r="H46" s="24" t="s">
        <v>75</v>
      </c>
      <c r="I46" s="24">
        <f>'MERCADO TUSD'!$U$43</f>
        <v>0.45900000000000007</v>
      </c>
      <c r="J46" s="15"/>
      <c r="L46" s="13"/>
      <c r="M46" s="13"/>
      <c r="N46" s="13"/>
      <c r="O46" s="13"/>
      <c r="P46" s="13"/>
      <c r="Q46" s="13"/>
      <c r="R46" s="13"/>
      <c r="S46" s="13"/>
      <c r="T46" s="13"/>
      <c r="U46" s="13">
        <v>0</v>
      </c>
      <c r="V46" s="13">
        <v>0</v>
      </c>
      <c r="W46" s="13">
        <v>0</v>
      </c>
      <c r="X46" s="13">
        <v>0</v>
      </c>
      <c r="Y46" s="13">
        <f>(1 - CUSTOS!$M$31)*205.6515</f>
        <v>205.6515</v>
      </c>
      <c r="Z46" s="13">
        <v>0</v>
      </c>
      <c r="AA46" s="13">
        <v>0</v>
      </c>
      <c r="AB46" s="13"/>
      <c r="AC46" s="13">
        <f>(1 - CUSTOS!$M$31)*358.0471</f>
        <v>358.0471</v>
      </c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P46" s="13">
        <f>IF((1 - CUSTOS!$M$31)&lt;&gt;0,1/(1 - CUSTOS!$M$31),1)</f>
        <v>1</v>
      </c>
    </row>
    <row r="47" spans="1:42" ht="11.25" customHeight="1" x14ac:dyDescent="0.25">
      <c r="A47" s="142"/>
      <c r="B47" s="142"/>
      <c r="C47" s="142"/>
      <c r="D47" s="142"/>
      <c r="E47" s="142"/>
      <c r="F47" s="142"/>
      <c r="G47" s="24" t="s">
        <v>77</v>
      </c>
      <c r="H47" s="24" t="s">
        <v>75</v>
      </c>
      <c r="I47" s="24">
        <f>'MERCADO TUSD'!$U$44</f>
        <v>10.576000000000001</v>
      </c>
      <c r="J47" s="15"/>
      <c r="L47" s="13"/>
      <c r="M47" s="13"/>
      <c r="N47" s="13"/>
      <c r="O47" s="13"/>
      <c r="P47" s="13"/>
      <c r="Q47" s="13"/>
      <c r="R47" s="13"/>
      <c r="S47" s="13"/>
      <c r="T47" s="13"/>
      <c r="U47" s="13">
        <v>0</v>
      </c>
      <c r="V47" s="13">
        <v>0</v>
      </c>
      <c r="W47" s="13">
        <v>0</v>
      </c>
      <c r="X47" s="13">
        <v>0</v>
      </c>
      <c r="Y47" s="13">
        <f>(1 - CUSTOS!$M$31)*68.5505</f>
        <v>68.5505</v>
      </c>
      <c r="Z47" s="13">
        <v>0</v>
      </c>
      <c r="AA47" s="13">
        <v>0</v>
      </c>
      <c r="AB47" s="13"/>
      <c r="AC47" s="13">
        <f>(1 - CUSTOS!$M$31)*119.349</f>
        <v>119.349</v>
      </c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P47" s="13">
        <f>IF((1 - CUSTOS!$M$31)&lt;&gt;0,1/(1 - CUSTOS!$M$31),1)</f>
        <v>1</v>
      </c>
    </row>
    <row r="48" spans="1:42" ht="11.25" customHeight="1" x14ac:dyDescent="0.25">
      <c r="A48" s="142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79</v>
      </c>
      <c r="H48" s="24" t="s">
        <v>75</v>
      </c>
      <c r="I48" s="24">
        <f>'MERCADO TUSD'!$U$45</f>
        <v>6532.424</v>
      </c>
      <c r="J48" s="15"/>
      <c r="L48" s="13"/>
      <c r="M48" s="13"/>
      <c r="N48" s="13"/>
      <c r="O48" s="13"/>
      <c r="P48" s="13"/>
      <c r="Q48" s="13"/>
      <c r="R48" s="13"/>
      <c r="S48" s="13"/>
      <c r="T48" s="13"/>
      <c r="U48" s="13">
        <v>0</v>
      </c>
      <c r="V48" s="13">
        <v>0</v>
      </c>
      <c r="W48" s="13">
        <v>0</v>
      </c>
      <c r="X48" s="13">
        <v>0</v>
      </c>
      <c r="Y48" s="13">
        <f>(1 - CUSTOS!$M$31)*103.8644</f>
        <v>103.8644</v>
      </c>
      <c r="Z48" s="13">
        <v>0</v>
      </c>
      <c r="AA48" s="13">
        <v>0</v>
      </c>
      <c r="AB48" s="13"/>
      <c r="AC48" s="13">
        <f>(1 - CUSTOS!$M$31)*180.8319</f>
        <v>180.83189999999999</v>
      </c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P48" s="13">
        <f>IF((1 - CUSTOS!$M$31)&lt;&gt;0,1/(1 - CUSTOS!$M$31),1)</f>
        <v>1</v>
      </c>
    </row>
    <row r="49" spans="1:42" ht="11.25" customHeight="1" x14ac:dyDescent="0.25">
      <c r="A49" s="142"/>
      <c r="B49" s="23" t="s">
        <v>90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79</v>
      </c>
      <c r="H49" s="24" t="s">
        <v>75</v>
      </c>
      <c r="I49" s="24">
        <f>'MERCADO TUSD'!$U$46</f>
        <v>0</v>
      </c>
      <c r="J49" s="15"/>
      <c r="L49" s="13"/>
      <c r="M49" s="13"/>
      <c r="N49" s="13"/>
      <c r="O49" s="13"/>
      <c r="P49" s="13"/>
      <c r="Q49" s="13"/>
      <c r="R49" s="13"/>
      <c r="S49" s="13"/>
      <c r="T49" s="13"/>
      <c r="U49" s="13">
        <v>0</v>
      </c>
      <c r="V49" s="13">
        <v>0</v>
      </c>
      <c r="W49" s="13">
        <v>0</v>
      </c>
      <c r="X49" s="13">
        <v>0</v>
      </c>
      <c r="Y49" s="13">
        <f>(1 - CUSTOS!$M$31)*103.8644</f>
        <v>103.8644</v>
      </c>
      <c r="Z49" s="13">
        <v>0</v>
      </c>
      <c r="AA49" s="13">
        <v>0</v>
      </c>
      <c r="AB49" s="13"/>
      <c r="AC49" s="13">
        <f>(1 - CUSTOS!$M$31)*180.8319</f>
        <v>180.83189999999999</v>
      </c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P49" s="13">
        <f>IF((1 - CUSTOS!$M$31)&lt;&gt;0,1/(1 - CUSTOS!$M$31),1)</f>
        <v>1</v>
      </c>
    </row>
    <row r="50" spans="1:42" ht="11.25" customHeight="1" x14ac:dyDescent="0.25">
      <c r="A50" s="142" t="s">
        <v>44</v>
      </c>
      <c r="B50" s="142" t="s">
        <v>23</v>
      </c>
      <c r="C50" s="142" t="s">
        <v>45</v>
      </c>
      <c r="D50" s="23" t="s">
        <v>93</v>
      </c>
      <c r="E50" s="23" t="s">
        <v>25</v>
      </c>
      <c r="F50" s="23" t="s">
        <v>25</v>
      </c>
      <c r="G50" s="24" t="s">
        <v>79</v>
      </c>
      <c r="H50" s="24" t="s">
        <v>75</v>
      </c>
      <c r="I50" s="24">
        <f>'MERCADO TUSD'!$U$47</f>
        <v>0</v>
      </c>
      <c r="J50" s="15"/>
      <c r="L50" s="13"/>
      <c r="M50" s="13"/>
      <c r="N50" s="13"/>
      <c r="O50" s="13"/>
      <c r="P50" s="13"/>
      <c r="Q50" s="13"/>
      <c r="R50" s="13"/>
      <c r="S50" s="13"/>
      <c r="T50" s="13"/>
      <c r="U50" s="13">
        <v>0</v>
      </c>
      <c r="V50" s="13">
        <v>0</v>
      </c>
      <c r="W50" s="13">
        <v>0</v>
      </c>
      <c r="X50" s="13">
        <v>0</v>
      </c>
      <c r="Y50" s="13">
        <f>(1 - CUSTOS!$M$32)*103.8644</f>
        <v>57.125420000000005</v>
      </c>
      <c r="Z50" s="13">
        <v>0</v>
      </c>
      <c r="AA50" s="13">
        <v>0</v>
      </c>
      <c r="AB50" s="13"/>
      <c r="AC50" s="13">
        <f>(1 - CUSTOS!$M$32)*180.8319</f>
        <v>99.457544999999996</v>
      </c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P50" s="13">
        <f>IF((1 - CUSTOS!$M$32)&lt;&gt;0,1/(1 - CUSTOS!$M$32),1)</f>
        <v>1.8181818181818181</v>
      </c>
    </row>
    <row r="51" spans="1:42" ht="11.25" customHeight="1" x14ac:dyDescent="0.25">
      <c r="A51" s="142"/>
      <c r="B51" s="142"/>
      <c r="C51" s="142"/>
      <c r="D51" s="24" t="s">
        <v>46</v>
      </c>
      <c r="E51" s="24" t="s">
        <v>25</v>
      </c>
      <c r="F51" s="24" t="s">
        <v>25</v>
      </c>
      <c r="G51" s="24" t="s">
        <v>79</v>
      </c>
      <c r="H51" s="24" t="s">
        <v>75</v>
      </c>
      <c r="I51" s="24">
        <f>'MERCADO TUSD'!$U$48</f>
        <v>1655.8650000000002</v>
      </c>
      <c r="J51" s="15"/>
      <c r="L51" s="13"/>
      <c r="M51" s="13"/>
      <c r="N51" s="13"/>
      <c r="O51" s="13"/>
      <c r="P51" s="13"/>
      <c r="Q51" s="13"/>
      <c r="R51" s="13"/>
      <c r="S51" s="13"/>
      <c r="T51" s="13"/>
      <c r="U51" s="13">
        <v>0</v>
      </c>
      <c r="V51" s="13">
        <v>0</v>
      </c>
      <c r="W51" s="13">
        <v>0</v>
      </c>
      <c r="X51" s="13">
        <v>0</v>
      </c>
      <c r="Y51" s="13">
        <f>(1 - CUSTOS!$M$33)*103.8644</f>
        <v>62.318640000000002</v>
      </c>
      <c r="Z51" s="13">
        <v>0</v>
      </c>
      <c r="AA51" s="13">
        <v>0</v>
      </c>
      <c r="AB51" s="13"/>
      <c r="AC51" s="13">
        <f>(1 - CUSTOS!$M$33)*180.8319</f>
        <v>108.49914</v>
      </c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P51" s="13">
        <f>IF((1 - CUSTOS!$M$33)&lt;&gt;0,1/(1 - CUSTOS!$M$33),1)</f>
        <v>1.6666666666666667</v>
      </c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5AE39-F6AA-4A70-AA22-B2D404B3B9A3}">
  <dimension ref="A1:AP70"/>
  <sheetViews>
    <sheetView showGridLines="0" topLeftCell="D40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9.28515625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8" t="s">
        <v>65</v>
      </c>
      <c r="B1" s="138" t="s">
        <v>66</v>
      </c>
      <c r="C1" s="138" t="s">
        <v>67</v>
      </c>
      <c r="D1" s="138" t="s">
        <v>68</v>
      </c>
      <c r="E1" s="138" t="s">
        <v>69</v>
      </c>
      <c r="F1" s="138" t="s">
        <v>15</v>
      </c>
      <c r="G1" s="138" t="s">
        <v>71</v>
      </c>
      <c r="H1" s="138" t="s">
        <v>72</v>
      </c>
      <c r="I1" s="138" t="s">
        <v>634</v>
      </c>
      <c r="J1" s="131"/>
      <c r="L1" s="139" t="s">
        <v>635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P1" s="139" t="s">
        <v>636</v>
      </c>
    </row>
    <row r="2" spans="1:42" ht="11.25" customHeight="1" x14ac:dyDescent="0.25">
      <c r="A2" s="138"/>
      <c r="B2" s="138"/>
      <c r="C2" s="138"/>
      <c r="D2" s="138"/>
      <c r="E2" s="138"/>
      <c r="F2" s="138"/>
      <c r="G2" s="138"/>
      <c r="H2" s="138"/>
      <c r="I2" s="138"/>
      <c r="J2" s="131"/>
      <c r="L2" s="139" t="s">
        <v>533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P2" s="140"/>
    </row>
    <row r="3" spans="1:42" ht="11.25" customHeight="1" x14ac:dyDescent="0.25">
      <c r="A3" s="138"/>
      <c r="B3" s="138"/>
      <c r="C3" s="138"/>
      <c r="D3" s="138"/>
      <c r="E3" s="138"/>
      <c r="F3" s="138"/>
      <c r="G3" s="138"/>
      <c r="H3" s="138"/>
      <c r="I3" s="138"/>
      <c r="J3" s="131"/>
      <c r="L3" s="139" t="s">
        <v>534</v>
      </c>
      <c r="M3" s="139"/>
      <c r="N3" s="139"/>
      <c r="O3" s="139"/>
      <c r="P3" s="139"/>
      <c r="Q3" s="139"/>
      <c r="R3" s="139"/>
      <c r="S3" s="139"/>
      <c r="T3" s="139"/>
      <c r="U3" s="139" t="s">
        <v>543</v>
      </c>
      <c r="V3" s="139"/>
      <c r="W3" s="139"/>
      <c r="X3" s="139"/>
      <c r="Y3" s="139"/>
      <c r="Z3" s="139"/>
      <c r="AA3" s="139"/>
      <c r="AB3" s="139"/>
      <c r="AC3" s="139" t="s">
        <v>551</v>
      </c>
      <c r="AD3" s="139"/>
      <c r="AE3" s="139" t="s">
        <v>553</v>
      </c>
      <c r="AF3" s="139"/>
      <c r="AG3" s="139"/>
      <c r="AH3" s="139" t="s">
        <v>556</v>
      </c>
      <c r="AI3" s="139"/>
      <c r="AJ3" s="139"/>
      <c r="AK3" s="139"/>
      <c r="AL3" s="139"/>
      <c r="AM3" s="139" t="s">
        <v>542</v>
      </c>
      <c r="AP3" s="140"/>
    </row>
    <row r="4" spans="1:42" ht="11.25" customHeight="1" x14ac:dyDescent="0.25">
      <c r="A4" s="138"/>
      <c r="B4" s="138"/>
      <c r="C4" s="138"/>
      <c r="D4" s="138"/>
      <c r="E4" s="138"/>
      <c r="F4" s="138"/>
      <c r="G4" s="138"/>
      <c r="H4" s="138"/>
      <c r="I4" s="138"/>
      <c r="J4" s="131"/>
      <c r="L4" s="10" t="s">
        <v>619</v>
      </c>
      <c r="M4" s="10" t="s">
        <v>535</v>
      </c>
      <c r="N4" s="10" t="s">
        <v>536</v>
      </c>
      <c r="O4" s="10" t="s">
        <v>537</v>
      </c>
      <c r="P4" s="10" t="s">
        <v>538</v>
      </c>
      <c r="Q4" s="10" t="s">
        <v>539</v>
      </c>
      <c r="R4" s="10" t="s">
        <v>540</v>
      </c>
      <c r="S4" s="10" t="s">
        <v>541</v>
      </c>
      <c r="T4" s="10" t="s">
        <v>542</v>
      </c>
      <c r="U4" s="10" t="s">
        <v>544</v>
      </c>
      <c r="V4" s="10" t="s">
        <v>545</v>
      </c>
      <c r="W4" s="10" t="s">
        <v>546</v>
      </c>
      <c r="X4" s="10" t="s">
        <v>547</v>
      </c>
      <c r="Y4" s="10" t="s">
        <v>548</v>
      </c>
      <c r="Z4" s="10" t="s">
        <v>549</v>
      </c>
      <c r="AA4" s="10" t="s">
        <v>550</v>
      </c>
      <c r="AB4" s="10" t="s">
        <v>542</v>
      </c>
      <c r="AC4" s="10" t="s">
        <v>552</v>
      </c>
      <c r="AD4" s="10" t="s">
        <v>542</v>
      </c>
      <c r="AE4" s="10" t="s">
        <v>554</v>
      </c>
      <c r="AF4" s="10" t="s">
        <v>555</v>
      </c>
      <c r="AG4" s="10" t="s">
        <v>542</v>
      </c>
      <c r="AH4" s="10" t="s">
        <v>557</v>
      </c>
      <c r="AI4" s="10" t="s">
        <v>558</v>
      </c>
      <c r="AJ4" s="10" t="s">
        <v>559</v>
      </c>
      <c r="AK4" s="10" t="s">
        <v>560</v>
      </c>
      <c r="AL4" s="10" t="s">
        <v>542</v>
      </c>
      <c r="AM4" s="141"/>
      <c r="AP4" s="140"/>
    </row>
    <row r="5" spans="1:42" ht="11.25" customHeight="1" x14ac:dyDescent="0.25">
      <c r="A5" s="142" t="s">
        <v>38</v>
      </c>
      <c r="B5" s="142" t="s">
        <v>56</v>
      </c>
      <c r="C5" s="142" t="s">
        <v>25</v>
      </c>
      <c r="D5" s="142" t="s">
        <v>25</v>
      </c>
      <c r="E5" s="142" t="s">
        <v>25</v>
      </c>
      <c r="F5" s="142" t="s">
        <v>25</v>
      </c>
      <c r="G5" s="24" t="s">
        <v>81</v>
      </c>
      <c r="H5" s="24" t="s">
        <v>80</v>
      </c>
      <c r="I5" s="24">
        <f>'MERCADO TUSD'!$U$2</f>
        <v>40015</v>
      </c>
      <c r="J5" s="15"/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/>
      <c r="U5" s="13">
        <f>TRANSICAO!$U$5*CUSTOS!$R$3</f>
        <v>0</v>
      </c>
      <c r="V5" s="13">
        <f>TRANSICAO!$V$5*CUSTOS!$R$3</f>
        <v>0</v>
      </c>
      <c r="W5" s="13">
        <f>TRANSICAO!$W$5*CUSTOS!$R$3</f>
        <v>0</v>
      </c>
      <c r="X5" s="13">
        <f>TRANSICAO!$X$5*CUSTOS!$R$3</f>
        <v>0</v>
      </c>
      <c r="Y5" s="13">
        <f>TRANSICAO!$Y$5*CUSTOS!$R$3</f>
        <v>26.968499999999999</v>
      </c>
      <c r="Z5" s="13">
        <f>TRANSICAO!$Z$5*CUSTOS!$R$3</f>
        <v>0</v>
      </c>
      <c r="AA5" s="13">
        <f>TRANSICAO!$AA$5*CUSTOS!$R$3</f>
        <v>0</v>
      </c>
      <c r="AB5" s="13">
        <f>TRANSICAO!$AB$5*CUSTOS!$R$3</f>
        <v>0</v>
      </c>
      <c r="AC5" s="13">
        <f>TRANSICAO!$AC$5*CUSTOS!$R$3</f>
        <v>19.912099999999999</v>
      </c>
      <c r="AD5" s="13">
        <f>TRANSICAO!$AD$5*CUSTOS!$R$3</f>
        <v>0</v>
      </c>
      <c r="AE5" s="13">
        <v>0</v>
      </c>
      <c r="AF5" s="13">
        <v>0</v>
      </c>
      <c r="AG5" s="13"/>
      <c r="AH5" s="13">
        <v>0</v>
      </c>
      <c r="AI5" s="13">
        <v>0</v>
      </c>
      <c r="AJ5" s="13">
        <v>0</v>
      </c>
      <c r="AK5" s="13">
        <f t="shared" ref="AK5:AK51" si="0">AJ5</f>
        <v>0</v>
      </c>
      <c r="AL5" s="13"/>
      <c r="AM5" s="13"/>
      <c r="AP5" s="13">
        <v>1</v>
      </c>
    </row>
    <row r="6" spans="1:42" ht="11.25" customHeight="1" x14ac:dyDescent="0.25">
      <c r="A6" s="142"/>
      <c r="B6" s="142"/>
      <c r="C6" s="142"/>
      <c r="D6" s="142"/>
      <c r="E6" s="142"/>
      <c r="F6" s="142"/>
      <c r="G6" s="24" t="s">
        <v>82</v>
      </c>
      <c r="H6" s="24" t="s">
        <v>80</v>
      </c>
      <c r="I6" s="24">
        <f>'MERCADO TUSD'!$U$3</f>
        <v>87299</v>
      </c>
      <c r="J6" s="15"/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/>
      <c r="U6" s="13">
        <f>TRANSICAO!$U$6*CUSTOS!$R$3</f>
        <v>0</v>
      </c>
      <c r="V6" s="13">
        <f>TRANSICAO!$V$6*CUSTOS!$R$3</f>
        <v>0</v>
      </c>
      <c r="W6" s="13">
        <f>TRANSICAO!$W$6*CUSTOS!$R$3</f>
        <v>0</v>
      </c>
      <c r="X6" s="13">
        <f>TRANSICAO!$X$6*CUSTOS!$R$3</f>
        <v>0</v>
      </c>
      <c r="Y6" s="13">
        <f>TRANSICAO!$Y$6*CUSTOS!$R$3</f>
        <v>10.5976</v>
      </c>
      <c r="Z6" s="13">
        <f>TRANSICAO!$Z$6*CUSTOS!$R$3</f>
        <v>0</v>
      </c>
      <c r="AA6" s="13">
        <f>TRANSICAO!$AA$6*CUSTOS!$R$3</f>
        <v>0</v>
      </c>
      <c r="AB6" s="13">
        <f>TRANSICAO!$AB$6*CUSTOS!$R$3</f>
        <v>0</v>
      </c>
      <c r="AC6" s="13">
        <f>TRANSICAO!$AC$6*CUSTOS!$R$3</f>
        <v>5.2942</v>
      </c>
      <c r="AD6" s="13">
        <f>TRANSICAO!$AD$6*CUSTOS!$R$3</f>
        <v>0</v>
      </c>
      <c r="AE6" s="13">
        <v>0</v>
      </c>
      <c r="AF6" s="13">
        <v>0</v>
      </c>
      <c r="AG6" s="13"/>
      <c r="AH6" s="13">
        <v>0</v>
      </c>
      <c r="AI6" s="13">
        <v>0</v>
      </c>
      <c r="AJ6" s="13">
        <v>0</v>
      </c>
      <c r="AK6" s="13">
        <f t="shared" si="0"/>
        <v>0</v>
      </c>
      <c r="AL6" s="13"/>
      <c r="AM6" s="13"/>
      <c r="AP6" s="13">
        <v>1</v>
      </c>
    </row>
    <row r="7" spans="1:42" ht="11.25" customHeight="1" x14ac:dyDescent="0.25">
      <c r="A7" s="142"/>
      <c r="B7" s="142"/>
      <c r="C7" s="142"/>
      <c r="D7" s="142"/>
      <c r="E7" s="142"/>
      <c r="F7" s="142"/>
      <c r="G7" s="24" t="s">
        <v>79</v>
      </c>
      <c r="H7" s="24" t="s">
        <v>75</v>
      </c>
      <c r="I7" s="24">
        <f>'MERCADO TUSD'!$U$4</f>
        <v>40556.964</v>
      </c>
      <c r="J7" s="15"/>
      <c r="L7" s="13">
        <f>0.84</f>
        <v>0.84</v>
      </c>
      <c r="M7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0.1569872652281025</v>
      </c>
      <c r="N7" s="13">
        <f ca="1">(+M7+O7+R7+U7+V7+W7+X7+Y7+Z7+AA7+AC7+AH7+AI7+AJ7+AK7)*CUSTOS!$M$5</f>
        <v>9.7038732893448179E-2</v>
      </c>
      <c r="O7" s="13">
        <v>1</v>
      </c>
      <c r="P7" s="13">
        <v>1</v>
      </c>
      <c r="Q7" s="13">
        <f>0.84</f>
        <v>0.84</v>
      </c>
      <c r="R7" s="13">
        <v>1</v>
      </c>
      <c r="S7" s="13">
        <v>1</v>
      </c>
      <c r="T7" s="13"/>
      <c r="U7" s="13">
        <f>TRANSICAO!$U$7*CUSTOS!$R$3</f>
        <v>0</v>
      </c>
      <c r="V7" s="13">
        <f>TRANSICAO!$V$7*CUSTOS!$R$3</f>
        <v>0</v>
      </c>
      <c r="W7" s="13">
        <f>TRANSICAO!$W$7*CUSTOS!$R$3</f>
        <v>0</v>
      </c>
      <c r="X7" s="13">
        <f>TRANSICAO!$X$7*CUSTOS!$R$3</f>
        <v>0</v>
      </c>
      <c r="Y7" s="13">
        <f>TRANSICAO!$Y$7*CUSTOS!$R$3</f>
        <v>0</v>
      </c>
      <c r="Z7" s="13">
        <f>TRANSICAO!$Z$7*CUSTOS!$R$3</f>
        <v>0</v>
      </c>
      <c r="AA7" s="13">
        <f>TRANSICAO!$AA$7*CUSTOS!$R$3</f>
        <v>0</v>
      </c>
      <c r="AB7" s="13">
        <f>TRANSICAO!$AB$7*CUSTOS!$R$3</f>
        <v>0</v>
      </c>
      <c r="AC7" s="13">
        <f>TRANSICAO!$AC$7*CUSTOS!$R$3</f>
        <v>0</v>
      </c>
      <c r="AD7" s="13">
        <f>TRANSICAO!$AD$7*CUSTOS!$R$3</f>
        <v>0</v>
      </c>
      <c r="AE7" s="13">
        <v>0</v>
      </c>
      <c r="AF7" s="13">
        <v>0</v>
      </c>
      <c r="AG7" s="13"/>
      <c r="AH7" s="13">
        <v>2.1189</v>
      </c>
      <c r="AI7" s="13">
        <v>2.1189</v>
      </c>
      <c r="AJ7" s="13">
        <f ca="1">$N$63</f>
        <v>1.6545430120583577</v>
      </c>
      <c r="AK7" s="13">
        <f t="shared" ca="1" si="0"/>
        <v>1.6545430120583577</v>
      </c>
      <c r="AL7" s="13"/>
      <c r="AM7" s="13"/>
      <c r="AP7" s="13">
        <v>1</v>
      </c>
    </row>
    <row r="8" spans="1:42" ht="11.25" customHeight="1" x14ac:dyDescent="0.25">
      <c r="A8" s="142"/>
      <c r="B8" s="142"/>
      <c r="C8" s="142"/>
      <c r="D8" s="142"/>
      <c r="E8" s="23" t="s">
        <v>83</v>
      </c>
      <c r="F8" s="23" t="s">
        <v>25</v>
      </c>
      <c r="G8" s="24" t="s">
        <v>79</v>
      </c>
      <c r="H8" s="24" t="s">
        <v>75</v>
      </c>
      <c r="I8" s="24">
        <f>'MERCADO TUSD'!$U$5</f>
        <v>0</v>
      </c>
      <c r="J8" s="15"/>
      <c r="L8" s="13">
        <v>0</v>
      </c>
      <c r="M8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0.1569872652281025</v>
      </c>
      <c r="N8" s="13">
        <f ca="1">(+M8+O8+R8+U8+V8+W8+X8+Y8+Z8+AA8+AC8+AH8+AI8+AJ8+AK8)*CUSTOS!$M$5</f>
        <v>8.7038732893448184E-2</v>
      </c>
      <c r="O8" s="13">
        <v>1</v>
      </c>
      <c r="P8" s="13">
        <v>0</v>
      </c>
      <c r="Q8" s="13">
        <v>0</v>
      </c>
      <c r="R8" s="13">
        <v>0</v>
      </c>
      <c r="S8" s="13">
        <v>0</v>
      </c>
      <c r="T8" s="13"/>
      <c r="U8" s="13">
        <f>TRANSICAO!$U$8*CUSTOS!$R$3</f>
        <v>0</v>
      </c>
      <c r="V8" s="13">
        <f>TRANSICAO!$V$8*CUSTOS!$R$3</f>
        <v>0</v>
      </c>
      <c r="W8" s="13">
        <f>TRANSICAO!$W$8*CUSTOS!$R$3</f>
        <v>0</v>
      </c>
      <c r="X8" s="13">
        <f>TRANSICAO!$X$8*CUSTOS!$R$3</f>
        <v>0</v>
      </c>
      <c r="Y8" s="13">
        <f>TRANSICAO!$Y$8*CUSTOS!$R$3</f>
        <v>0</v>
      </c>
      <c r="Z8" s="13">
        <f>TRANSICAO!$Z$8*CUSTOS!$R$3</f>
        <v>0</v>
      </c>
      <c r="AA8" s="13">
        <f>TRANSICAO!$AA$8*CUSTOS!$R$3</f>
        <v>0</v>
      </c>
      <c r="AB8" s="13">
        <f>TRANSICAO!$AB$8*CUSTOS!$R$3</f>
        <v>0</v>
      </c>
      <c r="AC8" s="13">
        <f>TRANSICAO!$AC$8*CUSTOS!$R$3</f>
        <v>0</v>
      </c>
      <c r="AD8" s="13">
        <f>TRANSICAO!$AD$8*CUSTOS!$R$3</f>
        <v>0</v>
      </c>
      <c r="AE8" s="13">
        <v>0</v>
      </c>
      <c r="AF8" s="13">
        <v>0</v>
      </c>
      <c r="AG8" s="13"/>
      <c r="AH8" s="13">
        <v>2.1189</v>
      </c>
      <c r="AI8" s="13">
        <v>2.1189</v>
      </c>
      <c r="AJ8" s="13">
        <f ca="1">$N$63</f>
        <v>1.6545430120583577</v>
      </c>
      <c r="AK8" s="13">
        <f t="shared" ca="1" si="0"/>
        <v>1.6545430120583577</v>
      </c>
      <c r="AL8" s="13"/>
      <c r="AM8" s="13"/>
      <c r="AP8" s="13">
        <v>1</v>
      </c>
    </row>
    <row r="9" spans="1:42" ht="11.25" customHeight="1" x14ac:dyDescent="0.25">
      <c r="A9" s="142"/>
      <c r="B9" s="23" t="s">
        <v>84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80</v>
      </c>
      <c r="I9" s="24">
        <f>'MERCADO TUSD'!$U$6</f>
        <v>0</v>
      </c>
      <c r="J9" s="15"/>
      <c r="L9" s="13">
        <v>0</v>
      </c>
      <c r="M9" s="13">
        <v>2.7E-2</v>
      </c>
      <c r="N9" s="13">
        <f>0.0678</f>
        <v>6.7799999999999999E-2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/>
      <c r="U9" s="13">
        <f>TRANSICAO!$U$9*CUSTOS!$R$4</f>
        <v>0</v>
      </c>
      <c r="V9" s="13">
        <f>TRANSICAO!$V$9*CUSTOS!$R$4</f>
        <v>0</v>
      </c>
      <c r="W9" s="13">
        <f>TRANSICAO!$W$9*CUSTOS!$R$4</f>
        <v>0</v>
      </c>
      <c r="X9" s="13">
        <f>TRANSICAO!$X$9*CUSTOS!$R$4</f>
        <v>0</v>
      </c>
      <c r="Y9" s="13">
        <f>TRANSICAO!$Y$9*CUSTOS!$R$4</f>
        <v>0</v>
      </c>
      <c r="Z9" s="13">
        <f>TRANSICAO!$Z$9*CUSTOS!$R$4</f>
        <v>0</v>
      </c>
      <c r="AA9" s="13">
        <f>TRANSICAO!$AA$9*CUSTOS!$R$4</f>
        <v>0</v>
      </c>
      <c r="AB9" s="13">
        <f>TRANSICAO!$AB$9*CUSTOS!$R$4</f>
        <v>0</v>
      </c>
      <c r="AC9" s="13">
        <f>TRANSICAO!$AC$9*CUSTOS!$R$4</f>
        <v>6.7561</v>
      </c>
      <c r="AD9" s="13">
        <f>TRANSICAO!$AD$9*CUSTOS!$R$4</f>
        <v>0</v>
      </c>
      <c r="AE9" s="13">
        <v>0</v>
      </c>
      <c r="AF9" s="13">
        <v>0</v>
      </c>
      <c r="AG9" s="13"/>
      <c r="AH9" s="13">
        <v>0</v>
      </c>
      <c r="AI9" s="13">
        <v>0</v>
      </c>
      <c r="AJ9" s="13">
        <v>0</v>
      </c>
      <c r="AK9" s="13">
        <f t="shared" si="0"/>
        <v>0</v>
      </c>
      <c r="AL9" s="13"/>
      <c r="AM9" s="13"/>
      <c r="AP9" s="13"/>
    </row>
    <row r="10" spans="1:42" ht="11.25" customHeight="1" x14ac:dyDescent="0.25">
      <c r="A10" s="142"/>
      <c r="B10" s="142" t="s">
        <v>39</v>
      </c>
      <c r="C10" s="142" t="s">
        <v>25</v>
      </c>
      <c r="D10" s="142" t="s">
        <v>25</v>
      </c>
      <c r="E10" s="142" t="s">
        <v>25</v>
      </c>
      <c r="F10" s="142" t="s">
        <v>25</v>
      </c>
      <c r="G10" s="24" t="s">
        <v>9</v>
      </c>
      <c r="H10" s="24" t="s">
        <v>80</v>
      </c>
      <c r="I10" s="24">
        <f>'MERCADO TUSD'!$U$7</f>
        <v>37121</v>
      </c>
      <c r="J10" s="15"/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/>
      <c r="U10" s="13">
        <f>TRANSICAO!$U$10*CUSTOS!$R$3</f>
        <v>0</v>
      </c>
      <c r="V10" s="13">
        <f>TRANSICAO!$V$10*CUSTOS!$R$3</f>
        <v>0</v>
      </c>
      <c r="W10" s="13">
        <f>TRANSICAO!$W$10*CUSTOS!$R$3</f>
        <v>0</v>
      </c>
      <c r="X10" s="13">
        <f>TRANSICAO!$X$10*CUSTOS!$R$3</f>
        <v>0</v>
      </c>
      <c r="Y10" s="13">
        <f>TRANSICAO!$Y$10*CUSTOS!$R$3</f>
        <v>10.5976</v>
      </c>
      <c r="Z10" s="13">
        <f>TRANSICAO!$Z$10*CUSTOS!$R$3</f>
        <v>0</v>
      </c>
      <c r="AA10" s="13">
        <f>TRANSICAO!$AA$10*CUSTOS!$R$3</f>
        <v>0</v>
      </c>
      <c r="AB10" s="13">
        <f>TRANSICAO!$AB$10*CUSTOS!$R$3</f>
        <v>0</v>
      </c>
      <c r="AC10" s="13">
        <f>TRANSICAO!$AC$10*CUSTOS!$R$3</f>
        <v>5.2942</v>
      </c>
      <c r="AD10" s="13">
        <f>TRANSICAO!$AD$10*CUSTOS!$R$3</f>
        <v>0</v>
      </c>
      <c r="AE10" s="13">
        <v>0</v>
      </c>
      <c r="AF10" s="13">
        <v>0</v>
      </c>
      <c r="AG10" s="13"/>
      <c r="AH10" s="13">
        <v>0</v>
      </c>
      <c r="AI10" s="13">
        <v>0</v>
      </c>
      <c r="AJ10" s="13">
        <v>0</v>
      </c>
      <c r="AK10" s="13">
        <f t="shared" si="0"/>
        <v>0</v>
      </c>
      <c r="AL10" s="13"/>
      <c r="AM10" s="13"/>
      <c r="AP10" s="13">
        <v>1</v>
      </c>
    </row>
    <row r="11" spans="1:42" ht="11.25" customHeight="1" x14ac:dyDescent="0.25">
      <c r="A11" s="142"/>
      <c r="B11" s="142"/>
      <c r="C11" s="142"/>
      <c r="D11" s="142"/>
      <c r="E11" s="142"/>
      <c r="F11" s="142"/>
      <c r="G11" s="24" t="s">
        <v>76</v>
      </c>
      <c r="H11" s="24" t="s">
        <v>75</v>
      </c>
      <c r="I11" s="24">
        <f>'MERCADO TUSD'!$U$8</f>
        <v>280.50399999999996</v>
      </c>
      <c r="J11" s="15"/>
      <c r="L11" s="13">
        <f>0.84</f>
        <v>0.84</v>
      </c>
      <c r="M11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0.1569872652281025</v>
      </c>
      <c r="N11" s="13">
        <f ca="1">(+M11+O11+R11+U11+V11+W11+X11+Y11+Z11+AA11+AC11+AH11+AI11+AJ11+AK11)*CUSTOS!$M$5</f>
        <v>11.371833732893448</v>
      </c>
      <c r="O11" s="13">
        <v>1</v>
      </c>
      <c r="P11" s="13">
        <v>1</v>
      </c>
      <c r="Q11" s="13">
        <f>0.84</f>
        <v>0.84</v>
      </c>
      <c r="R11" s="13">
        <v>1</v>
      </c>
      <c r="S11" s="13">
        <v>1</v>
      </c>
      <c r="T11" s="13"/>
      <c r="U11" s="13">
        <f>TRANSICAO!$U$11*CUSTOS!$R$3</f>
        <v>0</v>
      </c>
      <c r="V11" s="13">
        <f>TRANSICAO!$V$11*CUSTOS!$R$3</f>
        <v>0</v>
      </c>
      <c r="W11" s="13">
        <f>TRANSICAO!$W$11*CUSTOS!$R$3</f>
        <v>0</v>
      </c>
      <c r="X11" s="13">
        <f>TRANSICAO!$X$11*CUSTOS!$R$3</f>
        <v>0</v>
      </c>
      <c r="Y11" s="13">
        <f>TRANSICAO!$Y$11*CUSTOS!$R$3</f>
        <v>648.59360000000004</v>
      </c>
      <c r="Z11" s="13">
        <f>TRANSICAO!$Z$11*CUSTOS!$R$3</f>
        <v>0</v>
      </c>
      <c r="AA11" s="13">
        <f>TRANSICAO!$AA$11*CUSTOS!$R$3</f>
        <v>0</v>
      </c>
      <c r="AB11" s="13">
        <f>TRANSICAO!$AB$11*CUSTOS!$R$3</f>
        <v>0</v>
      </c>
      <c r="AC11" s="13">
        <f>TRANSICAO!$AC$11*CUSTOS!$R$3</f>
        <v>478.88589999999999</v>
      </c>
      <c r="AD11" s="13">
        <f>TRANSICAO!$AD$11*CUSTOS!$R$3</f>
        <v>0</v>
      </c>
      <c r="AE11" s="13">
        <v>0</v>
      </c>
      <c r="AF11" s="13">
        <v>0</v>
      </c>
      <c r="AG11" s="13"/>
      <c r="AH11" s="13">
        <v>2.1189</v>
      </c>
      <c r="AI11" s="13">
        <v>2.1189</v>
      </c>
      <c r="AJ11" s="13">
        <f ca="1">$N$63</f>
        <v>1.6545430120583577</v>
      </c>
      <c r="AK11" s="13">
        <f t="shared" ca="1" si="0"/>
        <v>1.6545430120583577</v>
      </c>
      <c r="AL11" s="13"/>
      <c r="AM11" s="13"/>
      <c r="AP11" s="13">
        <v>1</v>
      </c>
    </row>
    <row r="12" spans="1:42" ht="11.25" customHeight="1" x14ac:dyDescent="0.25">
      <c r="A12" s="142"/>
      <c r="B12" s="142"/>
      <c r="C12" s="142"/>
      <c r="D12" s="142"/>
      <c r="E12" s="142"/>
      <c r="F12" s="142"/>
      <c r="G12" s="24" t="s">
        <v>77</v>
      </c>
      <c r="H12" s="24" t="s">
        <v>75</v>
      </c>
      <c r="I12" s="24">
        <f>'MERCADO TUSD'!$U$9</f>
        <v>7558.6610000000001</v>
      </c>
      <c r="J12" s="15"/>
      <c r="L12" s="13">
        <f>0.84</f>
        <v>0.84</v>
      </c>
      <c r="M12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0.1569872652281025</v>
      </c>
      <c r="N12" s="13">
        <f ca="1">(+M12+O12+R12+U12+V12+W12+X12+Y12+Z12+AA12+AC12+AH12+AI12+AJ12+AK12)*CUSTOS!$M$5</f>
        <v>9.7038732893448179E-2</v>
      </c>
      <c r="O12" s="13">
        <v>1</v>
      </c>
      <c r="P12" s="13">
        <v>1</v>
      </c>
      <c r="Q12" s="13">
        <f>0.84</f>
        <v>0.84</v>
      </c>
      <c r="R12" s="13">
        <v>1</v>
      </c>
      <c r="S12" s="13">
        <v>1</v>
      </c>
      <c r="T12" s="13"/>
      <c r="U12" s="13">
        <f>TRANSICAO!$U$12*CUSTOS!$R$3</f>
        <v>0</v>
      </c>
      <c r="V12" s="13">
        <f>TRANSICAO!$V$12*CUSTOS!$R$3</f>
        <v>0</v>
      </c>
      <c r="W12" s="13">
        <f>TRANSICAO!$W$12*CUSTOS!$R$3</f>
        <v>0</v>
      </c>
      <c r="X12" s="13">
        <f>TRANSICAO!$X$12*CUSTOS!$R$3</f>
        <v>0</v>
      </c>
      <c r="Y12" s="13">
        <f>TRANSICAO!$Y$12*CUSTOS!$R$3</f>
        <v>0</v>
      </c>
      <c r="Z12" s="13">
        <f>TRANSICAO!$Z$12*CUSTOS!$R$3</f>
        <v>0</v>
      </c>
      <c r="AA12" s="13">
        <f>TRANSICAO!$AA$12*CUSTOS!$R$3</f>
        <v>0</v>
      </c>
      <c r="AB12" s="13">
        <f>TRANSICAO!$AB$12*CUSTOS!$R$3</f>
        <v>0</v>
      </c>
      <c r="AC12" s="13">
        <f>TRANSICAO!$AC$12*CUSTOS!$R$3</f>
        <v>0</v>
      </c>
      <c r="AD12" s="13">
        <f>TRANSICAO!$AD$12*CUSTOS!$R$3</f>
        <v>0</v>
      </c>
      <c r="AE12" s="13">
        <v>0</v>
      </c>
      <c r="AF12" s="13">
        <v>0</v>
      </c>
      <c r="AG12" s="13"/>
      <c r="AH12" s="13">
        <v>2.1189</v>
      </c>
      <c r="AI12" s="13">
        <v>2.1189</v>
      </c>
      <c r="AJ12" s="13">
        <f ca="1">$N$63</f>
        <v>1.6545430120583577</v>
      </c>
      <c r="AK12" s="13">
        <f t="shared" ca="1" si="0"/>
        <v>1.6545430120583577</v>
      </c>
      <c r="AL12" s="13"/>
      <c r="AM12" s="13"/>
      <c r="AP12" s="13">
        <v>1</v>
      </c>
    </row>
    <row r="13" spans="1:42" ht="11.25" customHeight="1" x14ac:dyDescent="0.25">
      <c r="A13" s="142"/>
      <c r="B13" s="142"/>
      <c r="C13" s="142"/>
      <c r="D13" s="142"/>
      <c r="E13" s="142" t="s">
        <v>83</v>
      </c>
      <c r="F13" s="142" t="s">
        <v>25</v>
      </c>
      <c r="G13" s="24" t="s">
        <v>76</v>
      </c>
      <c r="H13" s="24" t="s">
        <v>75</v>
      </c>
      <c r="I13" s="24">
        <f>'MERCADO TUSD'!$U$10</f>
        <v>0</v>
      </c>
      <c r="J13" s="15"/>
      <c r="L13" s="13">
        <v>0</v>
      </c>
      <c r="M13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0.1569872652281025</v>
      </c>
      <c r="N13" s="13">
        <f ca="1">(+M13+O13+R13+U13+V13+W13+X13+Y13+Z13+AA13+AC13+AH13+AI13+AJ13+AK13)*CUSTOS!$M$5</f>
        <v>11.361833732893446</v>
      </c>
      <c r="O13" s="13">
        <v>1</v>
      </c>
      <c r="P13" s="13">
        <v>0</v>
      </c>
      <c r="Q13" s="13">
        <v>0</v>
      </c>
      <c r="R13" s="13">
        <v>0</v>
      </c>
      <c r="S13" s="13">
        <v>0</v>
      </c>
      <c r="T13" s="13"/>
      <c r="U13" s="13">
        <f>TRANSICAO!$U$13*CUSTOS!$R$3</f>
        <v>0</v>
      </c>
      <c r="V13" s="13">
        <f>TRANSICAO!$V$13*CUSTOS!$R$3</f>
        <v>0</v>
      </c>
      <c r="W13" s="13">
        <f>TRANSICAO!$W$13*CUSTOS!$R$3</f>
        <v>0</v>
      </c>
      <c r="X13" s="13">
        <f>TRANSICAO!$X$13*CUSTOS!$R$3</f>
        <v>0</v>
      </c>
      <c r="Y13" s="13">
        <f>TRANSICAO!$Y$13*CUSTOS!$R$3</f>
        <v>648.59360000000004</v>
      </c>
      <c r="Z13" s="13">
        <f>TRANSICAO!$Z$13*CUSTOS!$R$3</f>
        <v>0</v>
      </c>
      <c r="AA13" s="13">
        <f>TRANSICAO!$AA$13*CUSTOS!$R$3</f>
        <v>0</v>
      </c>
      <c r="AB13" s="13">
        <f>TRANSICAO!$AB$13*CUSTOS!$R$3</f>
        <v>0</v>
      </c>
      <c r="AC13" s="13">
        <f>TRANSICAO!$AC$13*CUSTOS!$R$3</f>
        <v>478.88589999999999</v>
      </c>
      <c r="AD13" s="13">
        <f>TRANSICAO!$AD$13*CUSTOS!$R$3</f>
        <v>0</v>
      </c>
      <c r="AE13" s="13">
        <v>0</v>
      </c>
      <c r="AF13" s="13">
        <v>0</v>
      </c>
      <c r="AG13" s="13"/>
      <c r="AH13" s="13">
        <v>2.1189</v>
      </c>
      <c r="AI13" s="13">
        <v>2.1189</v>
      </c>
      <c r="AJ13" s="13">
        <f ca="1">$N$63</f>
        <v>1.6545430120583577</v>
      </c>
      <c r="AK13" s="13">
        <f t="shared" ca="1" si="0"/>
        <v>1.6545430120583577</v>
      </c>
      <c r="AL13" s="13"/>
      <c r="AM13" s="13"/>
      <c r="AP13" s="13">
        <v>1</v>
      </c>
    </row>
    <row r="14" spans="1:42" ht="11.25" customHeight="1" x14ac:dyDescent="0.25">
      <c r="A14" s="142"/>
      <c r="B14" s="142"/>
      <c r="C14" s="142"/>
      <c r="D14" s="142"/>
      <c r="E14" s="142"/>
      <c r="F14" s="142"/>
      <c r="G14" s="24" t="s">
        <v>77</v>
      </c>
      <c r="H14" s="24" t="s">
        <v>75</v>
      </c>
      <c r="I14" s="24">
        <f>'MERCADO TUSD'!$U$11</f>
        <v>0</v>
      </c>
      <c r="J14" s="15"/>
      <c r="L14" s="13">
        <v>0</v>
      </c>
      <c r="M14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0.1569872652281025</v>
      </c>
      <c r="N14" s="13">
        <f ca="1">(+M14+O14+R14+U14+V14+W14+X14+Y14+Z14+AA14+AC14+AH14+AI14+AJ14+AK14)*CUSTOS!$M$5</f>
        <v>8.7038732893448184E-2</v>
      </c>
      <c r="O14" s="13">
        <v>1</v>
      </c>
      <c r="P14" s="13">
        <v>0</v>
      </c>
      <c r="Q14" s="13">
        <v>0</v>
      </c>
      <c r="R14" s="13">
        <v>0</v>
      </c>
      <c r="S14" s="13">
        <v>0</v>
      </c>
      <c r="T14" s="13"/>
      <c r="U14" s="13">
        <f>TRANSICAO!$U$14*CUSTOS!$R$3</f>
        <v>0</v>
      </c>
      <c r="V14" s="13">
        <f>TRANSICAO!$V$14*CUSTOS!$R$3</f>
        <v>0</v>
      </c>
      <c r="W14" s="13">
        <f>TRANSICAO!$W$14*CUSTOS!$R$3</f>
        <v>0</v>
      </c>
      <c r="X14" s="13">
        <f>TRANSICAO!$X$14*CUSTOS!$R$3</f>
        <v>0</v>
      </c>
      <c r="Y14" s="13">
        <f>TRANSICAO!$Y$14*CUSTOS!$R$3</f>
        <v>0</v>
      </c>
      <c r="Z14" s="13">
        <f>TRANSICAO!$Z$14*CUSTOS!$R$3</f>
        <v>0</v>
      </c>
      <c r="AA14" s="13">
        <f>TRANSICAO!$AA$14*CUSTOS!$R$3</f>
        <v>0</v>
      </c>
      <c r="AB14" s="13">
        <f>TRANSICAO!$AB$14*CUSTOS!$R$3</f>
        <v>0</v>
      </c>
      <c r="AC14" s="13">
        <f>TRANSICAO!$AC$14*CUSTOS!$R$3</f>
        <v>0</v>
      </c>
      <c r="AD14" s="13">
        <f>TRANSICAO!$AD$14*CUSTOS!$R$3</f>
        <v>0</v>
      </c>
      <c r="AE14" s="13">
        <v>0</v>
      </c>
      <c r="AF14" s="13">
        <v>0</v>
      </c>
      <c r="AG14" s="13"/>
      <c r="AH14" s="13">
        <v>2.1189</v>
      </c>
      <c r="AI14" s="13">
        <v>2.1189</v>
      </c>
      <c r="AJ14" s="13">
        <f ca="1">$N$63</f>
        <v>1.6545430120583577</v>
      </c>
      <c r="AK14" s="13">
        <f t="shared" ca="1" si="0"/>
        <v>1.6545430120583577</v>
      </c>
      <c r="AL14" s="13"/>
      <c r="AM14" s="13"/>
      <c r="AP14" s="13">
        <v>1</v>
      </c>
    </row>
    <row r="15" spans="1:42" ht="11.25" customHeight="1" x14ac:dyDescent="0.25">
      <c r="A15" s="142" t="s">
        <v>85</v>
      </c>
      <c r="B15" s="142" t="s">
        <v>84</v>
      </c>
      <c r="C15" s="142" t="s">
        <v>25</v>
      </c>
      <c r="D15" s="142" t="s">
        <v>25</v>
      </c>
      <c r="E15" s="23" t="s">
        <v>86</v>
      </c>
      <c r="F15" s="23" t="s">
        <v>25</v>
      </c>
      <c r="G15" s="24" t="s">
        <v>9</v>
      </c>
      <c r="H15" s="24" t="s">
        <v>80</v>
      </c>
      <c r="I15" s="24">
        <f>'MERCADO TUSD'!$U$12+0.00000001</f>
        <v>1E-8</v>
      </c>
      <c r="J15" s="15"/>
      <c r="L15" s="13">
        <v>0</v>
      </c>
      <c r="M15" s="13">
        <v>2.2100000000000002E-2</v>
      </c>
      <c r="N15" s="13">
        <f>0.0553</f>
        <v>5.5300000000000002E-2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/>
      <c r="U15" s="13">
        <f>TRANSICAO!$U$15*CUSTOS!$T$4</f>
        <v>0</v>
      </c>
      <c r="V15" s="13">
        <f>TRANSICAO!$V$15*CUSTOS!$T$4</f>
        <v>0</v>
      </c>
      <c r="W15" s="13">
        <f>TRANSICAO!$W$15*CUSTOS!$T$4</f>
        <v>0</v>
      </c>
      <c r="X15" s="13">
        <f>TRANSICAO!$X$15*CUSTOS!$T$4</f>
        <v>0</v>
      </c>
      <c r="Y15" s="13">
        <f>TRANSICAO!$Y$15*CUSTOS!$T$4</f>
        <v>0</v>
      </c>
      <c r="Z15" s="13">
        <f>TRANSICAO!$Z$15*CUSTOS!$T$4</f>
        <v>0</v>
      </c>
      <c r="AA15" s="13">
        <f>TRANSICAO!$AA$15*CUSTOS!$T$4</f>
        <v>0</v>
      </c>
      <c r="AB15" s="13">
        <f>TRANSICAO!$AB$15*CUSTOS!$T$4</f>
        <v>0</v>
      </c>
      <c r="AC15" s="13">
        <f>TRANSICAO!$AC$15*CUSTOS!$T$4</f>
        <v>5.5128000000000004</v>
      </c>
      <c r="AD15" s="13">
        <f>TRANSICAO!$AD$15*CUSTOS!$T$4</f>
        <v>0</v>
      </c>
      <c r="AE15" s="13">
        <v>0</v>
      </c>
      <c r="AF15" s="13">
        <v>0</v>
      </c>
      <c r="AG15" s="13"/>
      <c r="AH15" s="13">
        <v>0</v>
      </c>
      <c r="AI15" s="13">
        <v>0</v>
      </c>
      <c r="AJ15" s="13">
        <v>0</v>
      </c>
      <c r="AK15" s="13">
        <f t="shared" si="0"/>
        <v>0</v>
      </c>
      <c r="AL15" s="13"/>
      <c r="AM15" s="13"/>
      <c r="AP15" s="13"/>
    </row>
    <row r="16" spans="1:42" ht="11.25" customHeight="1" x14ac:dyDescent="0.25">
      <c r="A16" s="142"/>
      <c r="B16" s="142"/>
      <c r="C16" s="142"/>
      <c r="D16" s="142"/>
      <c r="E16" s="23" t="s">
        <v>87</v>
      </c>
      <c r="F16" s="23" t="s">
        <v>25</v>
      </c>
      <c r="G16" s="24" t="s">
        <v>9</v>
      </c>
      <c r="H16" s="24" t="s">
        <v>80</v>
      </c>
      <c r="I16" s="24">
        <f>'MERCADO TUSD'!$U$13+0.00000001</f>
        <v>1E-8</v>
      </c>
      <c r="J16" s="15"/>
      <c r="L16" s="13">
        <v>0</v>
      </c>
      <c r="M16" s="13">
        <v>2.2100000000000002E-2</v>
      </c>
      <c r="N16" s="13">
        <f>0.0553</f>
        <v>5.5300000000000002E-2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/>
      <c r="U16" s="13">
        <f>TRANSICAO!$U$16*CUSTOS!$T$4</f>
        <v>0</v>
      </c>
      <c r="V16" s="13">
        <f>TRANSICAO!$V$16*CUSTOS!$T$4</f>
        <v>0</v>
      </c>
      <c r="W16" s="13">
        <f>TRANSICAO!$W$16*CUSTOS!$T$4</f>
        <v>0</v>
      </c>
      <c r="X16" s="13">
        <f>TRANSICAO!$X$16*CUSTOS!$T$4</f>
        <v>0</v>
      </c>
      <c r="Y16" s="13">
        <f>TRANSICAO!$Y$16*CUSTOS!$T$4</f>
        <v>0</v>
      </c>
      <c r="Z16" s="13">
        <f>TRANSICAO!$Z$16*CUSTOS!$T$4</f>
        <v>0</v>
      </c>
      <c r="AA16" s="13">
        <f>TRANSICAO!$AA$16*CUSTOS!$T$4</f>
        <v>0</v>
      </c>
      <c r="AB16" s="13">
        <f>TRANSICAO!$AB$16*CUSTOS!$T$4</f>
        <v>0</v>
      </c>
      <c r="AC16" s="13">
        <f>TRANSICAO!$AC$16*CUSTOS!$T$4</f>
        <v>13.289899999999999</v>
      </c>
      <c r="AD16" s="13">
        <f>TRANSICAO!$AD$16*CUSTOS!$T$4</f>
        <v>0</v>
      </c>
      <c r="AE16" s="13">
        <v>0</v>
      </c>
      <c r="AF16" s="13">
        <v>0</v>
      </c>
      <c r="AG16" s="13"/>
      <c r="AH16" s="13">
        <v>0</v>
      </c>
      <c r="AI16" s="13">
        <v>0</v>
      </c>
      <c r="AJ16" s="13">
        <v>0</v>
      </c>
      <c r="AK16" s="13">
        <f t="shared" si="0"/>
        <v>0</v>
      </c>
      <c r="AL16" s="13"/>
      <c r="AM16" s="13"/>
      <c r="AP16" s="13"/>
    </row>
    <row r="17" spans="1:42" ht="11.25" customHeight="1" x14ac:dyDescent="0.25">
      <c r="A17" s="142" t="s">
        <v>22</v>
      </c>
      <c r="B17" s="142" t="s">
        <v>32</v>
      </c>
      <c r="C17" s="142" t="s">
        <v>24</v>
      </c>
      <c r="D17" s="142" t="s">
        <v>24</v>
      </c>
      <c r="E17" s="142" t="s">
        <v>25</v>
      </c>
      <c r="F17" s="142" t="s">
        <v>25</v>
      </c>
      <c r="G17" s="24" t="s">
        <v>76</v>
      </c>
      <c r="H17" s="24" t="s">
        <v>75</v>
      </c>
      <c r="I17" s="24">
        <f>'MERCADO TUSD'!$U$14</f>
        <v>0.17000000000000004</v>
      </c>
      <c r="J17" s="15"/>
      <c r="L17" s="13">
        <f>1</f>
        <v>1</v>
      </c>
      <c r="M17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0.86406227275163194</v>
      </c>
      <c r="N17" s="13">
        <f ca="1">(+M17+O17+R17+U17+V17+W17+X17+Y17+Z17+AA17+AC17+AH17+AI17+AJ17+AK17)*CUSTOS!$M$5</f>
        <v>8.4097215526194375</v>
      </c>
      <c r="O17" s="13">
        <v>1</v>
      </c>
      <c r="P17" s="13">
        <v>1</v>
      </c>
      <c r="Q17" s="13">
        <f>1</f>
        <v>1</v>
      </c>
      <c r="R17" s="13">
        <v>1</v>
      </c>
      <c r="S17" s="13">
        <v>1</v>
      </c>
      <c r="T17" s="13"/>
      <c r="U17" s="13">
        <f>TRANSICAO!$U$17*CUSTOS!$T$3</f>
        <v>0</v>
      </c>
      <c r="V17" s="13">
        <f>TRANSICAO!$V$17*CUSTOS!$T$3</f>
        <v>0</v>
      </c>
      <c r="W17" s="13">
        <f>TRANSICAO!$W$17*CUSTOS!$T$3</f>
        <v>0</v>
      </c>
      <c r="X17" s="13">
        <f>TRANSICAO!$X$17*CUSTOS!$T$3</f>
        <v>0</v>
      </c>
      <c r="Y17" s="13">
        <f>TRANSICAO!$Y$17*CUSTOS!$T$3</f>
        <v>290.82040000000001</v>
      </c>
      <c r="Z17" s="13">
        <f>TRANSICAO!$Z$17*CUSTOS!$T$3</f>
        <v>0</v>
      </c>
      <c r="AA17" s="13">
        <f>TRANSICAO!$AA$17*CUSTOS!$T$3</f>
        <v>0</v>
      </c>
      <c r="AB17" s="13">
        <f>TRANSICAO!$AB$17*CUSTOS!$T$3</f>
        <v>0</v>
      </c>
      <c r="AC17" s="13">
        <f>TRANSICAO!$AC$17*CUSTOS!$T$3</f>
        <v>506.32920000000001</v>
      </c>
      <c r="AD17" s="13">
        <f>TRANSICAO!$AD$17*CUSTOS!$T$3</f>
        <v>0</v>
      </c>
      <c r="AE17" s="13">
        <v>0</v>
      </c>
      <c r="AF17" s="13">
        <v>0</v>
      </c>
      <c r="AG17" s="13"/>
      <c r="AH17" s="13">
        <v>16.758199999999999</v>
      </c>
      <c r="AI17" s="13">
        <v>16.758199999999999</v>
      </c>
      <c r="AJ17" s="13">
        <f ca="1">$N$64</f>
        <v>3.7210464945960515</v>
      </c>
      <c r="AK17" s="13">
        <f t="shared" ca="1" si="0"/>
        <v>3.7210464945960515</v>
      </c>
      <c r="AL17" s="13"/>
      <c r="AM17" s="13"/>
      <c r="AP17" s="13">
        <v>1</v>
      </c>
    </row>
    <row r="18" spans="1:42" ht="11.25" customHeight="1" x14ac:dyDescent="0.25">
      <c r="A18" s="142"/>
      <c r="B18" s="142"/>
      <c r="C18" s="142"/>
      <c r="D18" s="142"/>
      <c r="E18" s="142"/>
      <c r="F18" s="142"/>
      <c r="G18" s="24" t="s">
        <v>88</v>
      </c>
      <c r="H18" s="24" t="s">
        <v>75</v>
      </c>
      <c r="I18" s="24">
        <f>'MERCADO TUSD'!$U$15</f>
        <v>0.13000000000000003</v>
      </c>
      <c r="J18" s="15"/>
      <c r="L18" s="13">
        <f>1</f>
        <v>1</v>
      </c>
      <c r="M18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0.86406227275163194</v>
      </c>
      <c r="N18" s="13">
        <f ca="1">(+M18+O18+R18+U18+V18+W18+X18+Y18+Z18+AA18+AC18+AH18+AI18+AJ18+AK18)*CUSTOS!$M$5</f>
        <v>5.2211225526194385</v>
      </c>
      <c r="O18" s="13">
        <v>1</v>
      </c>
      <c r="P18" s="13">
        <v>1</v>
      </c>
      <c r="Q18" s="13">
        <f>1</f>
        <v>1</v>
      </c>
      <c r="R18" s="13">
        <v>1</v>
      </c>
      <c r="S18" s="13">
        <v>1</v>
      </c>
      <c r="T18" s="13"/>
      <c r="U18" s="13">
        <f>TRANSICAO!$U$18*CUSTOS!$T$3</f>
        <v>0</v>
      </c>
      <c r="V18" s="13">
        <f>TRANSICAO!$V$18*CUSTOS!$T$3</f>
        <v>0</v>
      </c>
      <c r="W18" s="13">
        <f>TRANSICAO!$W$18*CUSTOS!$T$3</f>
        <v>0</v>
      </c>
      <c r="X18" s="13">
        <f>TRANSICAO!$X$18*CUSTOS!$T$3</f>
        <v>0</v>
      </c>
      <c r="Y18" s="13">
        <f>TRANSICAO!$Y$18*CUSTOS!$T$3</f>
        <v>174.4922</v>
      </c>
      <c r="Z18" s="13">
        <f>TRANSICAO!$Z$18*CUSTOS!$T$3</f>
        <v>0</v>
      </c>
      <c r="AA18" s="13">
        <f>TRANSICAO!$AA$18*CUSTOS!$T$3</f>
        <v>0</v>
      </c>
      <c r="AB18" s="13">
        <f>TRANSICAO!$AB$18*CUSTOS!$T$3</f>
        <v>0</v>
      </c>
      <c r="AC18" s="13">
        <f>TRANSICAO!$AC$18*CUSTOS!$T$3</f>
        <v>303.79750000000001</v>
      </c>
      <c r="AD18" s="13">
        <f>TRANSICAO!$AD$18*CUSTOS!$T$3</f>
        <v>0</v>
      </c>
      <c r="AE18" s="13">
        <v>0</v>
      </c>
      <c r="AF18" s="13">
        <v>0</v>
      </c>
      <c r="AG18" s="13"/>
      <c r="AH18" s="13">
        <v>16.758199999999999</v>
      </c>
      <c r="AI18" s="13">
        <v>16.758199999999999</v>
      </c>
      <c r="AJ18" s="13">
        <f ca="1">$N$64</f>
        <v>3.7210464945960515</v>
      </c>
      <c r="AK18" s="13">
        <f t="shared" ca="1" si="0"/>
        <v>3.7210464945960515</v>
      </c>
      <c r="AL18" s="13"/>
      <c r="AM18" s="13"/>
      <c r="AP18" s="13">
        <v>1</v>
      </c>
    </row>
    <row r="19" spans="1:42" ht="11.25" customHeight="1" x14ac:dyDescent="0.25">
      <c r="A19" s="142"/>
      <c r="B19" s="142"/>
      <c r="C19" s="142"/>
      <c r="D19" s="142"/>
      <c r="E19" s="142"/>
      <c r="F19" s="142"/>
      <c r="G19" s="24" t="s">
        <v>77</v>
      </c>
      <c r="H19" s="24" t="s">
        <v>75</v>
      </c>
      <c r="I19" s="24">
        <f>'MERCADO TUSD'!$U$16</f>
        <v>2.4539999999999997</v>
      </c>
      <c r="J19" s="15"/>
      <c r="L19" s="13">
        <f>1</f>
        <v>1</v>
      </c>
      <c r="M19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0.86406227275163194</v>
      </c>
      <c r="N19" s="13">
        <f ca="1">(+M19+O19+R19+U19+V19+W19+X19+Y19+Z19+AA19+AC19+AH19+AI19+AJ19+AK19)*CUSTOS!$M$5</f>
        <v>2.0325245526194369</v>
      </c>
      <c r="O19" s="13">
        <v>1</v>
      </c>
      <c r="P19" s="13">
        <v>1</v>
      </c>
      <c r="Q19" s="13">
        <f>1</f>
        <v>1</v>
      </c>
      <c r="R19" s="13">
        <v>1</v>
      </c>
      <c r="S19" s="13">
        <v>1</v>
      </c>
      <c r="T19" s="13"/>
      <c r="U19" s="13">
        <f>TRANSICAO!$U$19*CUSTOS!$T$3</f>
        <v>0</v>
      </c>
      <c r="V19" s="13">
        <f>TRANSICAO!$V$19*CUSTOS!$T$3</f>
        <v>0</v>
      </c>
      <c r="W19" s="13">
        <f>TRANSICAO!$W$19*CUSTOS!$T$3</f>
        <v>0</v>
      </c>
      <c r="X19" s="13">
        <f>TRANSICAO!$X$19*CUSTOS!$T$3</f>
        <v>0</v>
      </c>
      <c r="Y19" s="13">
        <f>TRANSICAO!$Y$19*CUSTOS!$T$3</f>
        <v>58.164099999999998</v>
      </c>
      <c r="Z19" s="13">
        <f>TRANSICAO!$Z$19*CUSTOS!$T$3</f>
        <v>0</v>
      </c>
      <c r="AA19" s="13">
        <f>TRANSICAO!$AA$19*CUSTOS!$T$3</f>
        <v>0</v>
      </c>
      <c r="AB19" s="13">
        <f>TRANSICAO!$AB$19*CUSTOS!$T$3</f>
        <v>0</v>
      </c>
      <c r="AC19" s="13">
        <f>TRANSICAO!$AC$19*CUSTOS!$T$3</f>
        <v>101.2658</v>
      </c>
      <c r="AD19" s="13">
        <f>TRANSICAO!$AD$19*CUSTOS!$T$3</f>
        <v>0</v>
      </c>
      <c r="AE19" s="13">
        <v>0</v>
      </c>
      <c r="AF19" s="13">
        <v>0</v>
      </c>
      <c r="AG19" s="13"/>
      <c r="AH19" s="13">
        <v>16.758199999999999</v>
      </c>
      <c r="AI19" s="13">
        <v>16.758199999999999</v>
      </c>
      <c r="AJ19" s="13">
        <f ca="1">$N$64</f>
        <v>3.7210464945960515</v>
      </c>
      <c r="AK19" s="13">
        <f t="shared" ca="1" si="0"/>
        <v>3.7210464945960515</v>
      </c>
      <c r="AL19" s="13"/>
      <c r="AM19" s="13"/>
      <c r="AP19" s="13">
        <v>1</v>
      </c>
    </row>
    <row r="20" spans="1:42" ht="11.25" customHeight="1" x14ac:dyDescent="0.25">
      <c r="A20" s="142"/>
      <c r="B20" s="142" t="s">
        <v>23</v>
      </c>
      <c r="C20" s="142" t="s">
        <v>24</v>
      </c>
      <c r="D20" s="23" t="s">
        <v>24</v>
      </c>
      <c r="E20" s="23" t="s">
        <v>25</v>
      </c>
      <c r="F20" s="23" t="s">
        <v>25</v>
      </c>
      <c r="G20" s="24" t="s">
        <v>79</v>
      </c>
      <c r="H20" s="24" t="s">
        <v>75</v>
      </c>
      <c r="I20" s="24">
        <f>'MERCADO TUSD'!$U$17</f>
        <v>10574.981000000002</v>
      </c>
      <c r="J20" s="15"/>
      <c r="L20" s="13">
        <f>1</f>
        <v>1</v>
      </c>
      <c r="M20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0.86406227275163194</v>
      </c>
      <c r="N20" s="13">
        <f ca="1">(+M20+O20+R20+U20+V20+W20+X20+Y20+Z20+AA20+AC20+AH20+AI20+AJ20+AK20)*CUSTOS!$M$5</f>
        <v>3.2851885526194371</v>
      </c>
      <c r="O20" s="13">
        <v>1</v>
      </c>
      <c r="P20" s="13">
        <v>1</v>
      </c>
      <c r="Q20" s="13">
        <f>1</f>
        <v>1</v>
      </c>
      <c r="R20" s="13">
        <v>1</v>
      </c>
      <c r="S20" s="13">
        <v>1</v>
      </c>
      <c r="T20" s="13"/>
      <c r="U20" s="13">
        <f>TRANSICAO!$U$20*CUSTOS!$T$3</f>
        <v>0</v>
      </c>
      <c r="V20" s="13">
        <f>TRANSICAO!$V$20*CUSTOS!$T$3</f>
        <v>0</v>
      </c>
      <c r="W20" s="13">
        <f>TRANSICAO!$W$20*CUSTOS!$T$3</f>
        <v>0</v>
      </c>
      <c r="X20" s="13">
        <f>TRANSICAO!$X$20*CUSTOS!$T$3</f>
        <v>0</v>
      </c>
      <c r="Y20" s="13">
        <f>TRANSICAO!$Y$20*CUSTOS!$T$3</f>
        <v>103.8644</v>
      </c>
      <c r="Z20" s="13">
        <f>TRANSICAO!$Z$20*CUSTOS!$T$3</f>
        <v>0</v>
      </c>
      <c r="AA20" s="13">
        <f>TRANSICAO!$AA$20*CUSTOS!$T$3</f>
        <v>0</v>
      </c>
      <c r="AB20" s="13">
        <f>TRANSICAO!$AB$20*CUSTOS!$T$3</f>
        <v>0</v>
      </c>
      <c r="AC20" s="13">
        <f>TRANSICAO!$AC$20*CUSTOS!$T$3</f>
        <v>180.83189999999999</v>
      </c>
      <c r="AD20" s="13">
        <f>TRANSICAO!$AD$20*CUSTOS!$T$3</f>
        <v>0</v>
      </c>
      <c r="AE20" s="13">
        <v>0</v>
      </c>
      <c r="AF20" s="13">
        <v>0</v>
      </c>
      <c r="AG20" s="13"/>
      <c r="AH20" s="13">
        <v>16.758199999999999</v>
      </c>
      <c r="AI20" s="13">
        <v>16.758199999999999</v>
      </c>
      <c r="AJ20" s="13">
        <f ca="1">$N$64</f>
        <v>3.7210464945960515</v>
      </c>
      <c r="AK20" s="13">
        <f t="shared" ca="1" si="0"/>
        <v>3.7210464945960515</v>
      </c>
      <c r="AL20" s="13"/>
      <c r="AM20" s="13"/>
      <c r="AP20" s="13">
        <v>1</v>
      </c>
    </row>
    <row r="21" spans="1:42" ht="11.25" customHeight="1" x14ac:dyDescent="0.25">
      <c r="A21" s="142"/>
      <c r="B21" s="142"/>
      <c r="C21" s="142"/>
      <c r="D21" s="23" t="s">
        <v>28</v>
      </c>
      <c r="E21" s="23" t="s">
        <v>25</v>
      </c>
      <c r="F21" s="23" t="s">
        <v>25</v>
      </c>
      <c r="G21" s="24" t="s">
        <v>79</v>
      </c>
      <c r="H21" s="24" t="s">
        <v>75</v>
      </c>
      <c r="I21" s="24">
        <f>'MERCADO TUSD'!$U$18</f>
        <v>204.62</v>
      </c>
      <c r="J21" s="15"/>
      <c r="L21" s="13">
        <v>0</v>
      </c>
      <c r="M21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0.86406227275163194</v>
      </c>
      <c r="N21" s="13">
        <f ca="1">(+M21+O21+R21+U21+V21+W21+X21+Y21+Z21+AA21+AC21+AH21+AI21+AJ21+AK21)*CUSTOS!$M$5</f>
        <v>3.2751885526194373</v>
      </c>
      <c r="O21" s="13">
        <f>1 - CUSTOS!$M$24</f>
        <v>1</v>
      </c>
      <c r="P21" s="13">
        <v>0</v>
      </c>
      <c r="Q21" s="13">
        <v>0</v>
      </c>
      <c r="R21" s="13">
        <v>0</v>
      </c>
      <c r="S21" s="13">
        <f>1 - CUSTOS!$M$24</f>
        <v>1</v>
      </c>
      <c r="T21" s="13"/>
      <c r="U21" s="13">
        <f>TRANSICAO!$U$21*CUSTOS!$T$3</f>
        <v>0</v>
      </c>
      <c r="V21" s="13">
        <f>TRANSICAO!$V$21*CUSTOS!$T$3</f>
        <v>0</v>
      </c>
      <c r="W21" s="13">
        <f>TRANSICAO!$W$21*CUSTOS!$T$3</f>
        <v>0</v>
      </c>
      <c r="X21" s="13">
        <f>TRANSICAO!$X$21*CUSTOS!$T$3</f>
        <v>0</v>
      </c>
      <c r="Y21" s="13">
        <f>TRANSICAO!$Y$21*CUSTOS!$T$3</f>
        <v>103.8644</v>
      </c>
      <c r="Z21" s="13">
        <f>TRANSICAO!$Z$21*CUSTOS!$T$3</f>
        <v>0</v>
      </c>
      <c r="AA21" s="13">
        <f>TRANSICAO!$AA$21*CUSTOS!$T$3</f>
        <v>0</v>
      </c>
      <c r="AB21" s="13">
        <f>TRANSICAO!$AB$21*CUSTOS!$T$3</f>
        <v>0</v>
      </c>
      <c r="AC21" s="13">
        <f>TRANSICAO!$AC$21*CUSTOS!$T$3</f>
        <v>180.83189999999999</v>
      </c>
      <c r="AD21" s="13">
        <f>TRANSICAO!$AD$21*CUSTOS!$T$3</f>
        <v>0</v>
      </c>
      <c r="AE21" s="13">
        <v>0</v>
      </c>
      <c r="AF21" s="13">
        <v>0</v>
      </c>
      <c r="AG21" s="13"/>
      <c r="AH21" s="13">
        <f>(1 - CUSTOS!$M$24)*16.7582</f>
        <v>16.758199999999999</v>
      </c>
      <c r="AI21" s="13">
        <f>(1 - CUSTOS!$M$24)*16.7582</f>
        <v>16.758199999999999</v>
      </c>
      <c r="AJ21" s="13">
        <f ca="1">$N$64*(1-CUSTOS!$M$24)</f>
        <v>3.7210464945960515</v>
      </c>
      <c r="AK21" s="13">
        <f t="shared" ca="1" si="0"/>
        <v>3.7210464945960515</v>
      </c>
      <c r="AL21" s="13"/>
      <c r="AM21" s="13"/>
      <c r="AP21" s="13">
        <f>IF((1 - CUSTOS!$M$24)&lt;&gt;0,1/(1 - CUSTOS!$M$24),1)</f>
        <v>1</v>
      </c>
    </row>
    <row r="22" spans="1:42" ht="11.25" customHeight="1" x14ac:dyDescent="0.25">
      <c r="A22" s="142"/>
      <c r="B22" s="142"/>
      <c r="C22" s="142"/>
      <c r="D22" s="23" t="s">
        <v>29</v>
      </c>
      <c r="E22" s="23" t="s">
        <v>25</v>
      </c>
      <c r="F22" s="23" t="s">
        <v>25</v>
      </c>
      <c r="G22" s="24" t="s">
        <v>79</v>
      </c>
      <c r="H22" s="24" t="s">
        <v>75</v>
      </c>
      <c r="I22" s="24">
        <f>'MERCADO TUSD'!$U$19</f>
        <v>376.553</v>
      </c>
      <c r="J22" s="15"/>
      <c r="L22" s="13">
        <v>0</v>
      </c>
      <c r="M22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0.86406227275163194</v>
      </c>
      <c r="N22" s="13">
        <f ca="1">(+M22+O22+R22+U22+V22+W22+X22+Y22+Z22+AA22+AC22+AH22+AI22+AJ22+AK22)*CUSTOS!$M$5</f>
        <v>3.2751885526194373</v>
      </c>
      <c r="O22" s="13">
        <f>1 - CUSTOS!$M$25</f>
        <v>1</v>
      </c>
      <c r="P22" s="13">
        <v>0</v>
      </c>
      <c r="Q22" s="13">
        <v>0</v>
      </c>
      <c r="R22" s="13">
        <v>0</v>
      </c>
      <c r="S22" s="13">
        <f>1 - CUSTOS!$M$25</f>
        <v>1</v>
      </c>
      <c r="T22" s="13"/>
      <c r="U22" s="13">
        <f>TRANSICAO!$U$22*CUSTOS!$T$3</f>
        <v>0</v>
      </c>
      <c r="V22" s="13">
        <f>TRANSICAO!$V$22*CUSTOS!$T$3</f>
        <v>0</v>
      </c>
      <c r="W22" s="13">
        <f>TRANSICAO!$W$22*CUSTOS!$T$3</f>
        <v>0</v>
      </c>
      <c r="X22" s="13">
        <f>TRANSICAO!$X$22*CUSTOS!$T$3</f>
        <v>0</v>
      </c>
      <c r="Y22" s="13">
        <f>TRANSICAO!$Y$22*CUSTOS!$T$3</f>
        <v>103.8644</v>
      </c>
      <c r="Z22" s="13">
        <f>TRANSICAO!$Z$22*CUSTOS!$T$3</f>
        <v>0</v>
      </c>
      <c r="AA22" s="13">
        <f>TRANSICAO!$AA$22*CUSTOS!$T$3</f>
        <v>0</v>
      </c>
      <c r="AB22" s="13">
        <f>TRANSICAO!$AB$22*CUSTOS!$T$3</f>
        <v>0</v>
      </c>
      <c r="AC22" s="13">
        <f>TRANSICAO!$AC$22*CUSTOS!$T$3</f>
        <v>180.83189999999999</v>
      </c>
      <c r="AD22" s="13">
        <f>TRANSICAO!$AD$22*CUSTOS!$T$3</f>
        <v>0</v>
      </c>
      <c r="AE22" s="13">
        <v>0</v>
      </c>
      <c r="AF22" s="13">
        <v>0</v>
      </c>
      <c r="AG22" s="13"/>
      <c r="AH22" s="13">
        <f>(1 - CUSTOS!$M$25)*16.7582</f>
        <v>16.758199999999999</v>
      </c>
      <c r="AI22" s="13">
        <f>(1 - CUSTOS!$M$25)*16.7582</f>
        <v>16.758199999999999</v>
      </c>
      <c r="AJ22" s="13">
        <f ca="1">$N$64*(1-CUSTOS!$M$25)</f>
        <v>3.7210464945960515</v>
      </c>
      <c r="AK22" s="13">
        <f t="shared" ca="1" si="0"/>
        <v>3.7210464945960515</v>
      </c>
      <c r="AL22" s="13"/>
      <c r="AM22" s="13"/>
      <c r="AP22" s="13">
        <f>IF((1 - CUSTOS!$M$25)&lt;&gt;0,1/(1 - CUSTOS!$M$25),1)</f>
        <v>1</v>
      </c>
    </row>
    <row r="23" spans="1:42" ht="11.25" customHeight="1" x14ac:dyDescent="0.25">
      <c r="A23" s="142"/>
      <c r="B23" s="142"/>
      <c r="C23" s="142"/>
      <c r="D23" s="23" t="s">
        <v>30</v>
      </c>
      <c r="E23" s="23" t="s">
        <v>25</v>
      </c>
      <c r="F23" s="23" t="s">
        <v>25</v>
      </c>
      <c r="G23" s="24" t="s">
        <v>79</v>
      </c>
      <c r="H23" s="24" t="s">
        <v>75</v>
      </c>
      <c r="I23" s="24">
        <f>'MERCADO TUSD'!$U$20</f>
        <v>166.29699999999997</v>
      </c>
      <c r="J23" s="15"/>
      <c r="L23" s="13">
        <v>0</v>
      </c>
      <c r="M23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0.86406227275163194</v>
      </c>
      <c r="N23" s="13">
        <f ca="1">(+M23+O23+R23+U23+V23+W23+X23+Y23+Z23+AA23+AC23+AH23+AI23+AJ23+AK23)*CUSTOS!$M$5</f>
        <v>3.2751885526194373</v>
      </c>
      <c r="O23" s="13">
        <f>1 - CUSTOS!$M$26</f>
        <v>1</v>
      </c>
      <c r="P23" s="13">
        <v>0</v>
      </c>
      <c r="Q23" s="13">
        <v>0</v>
      </c>
      <c r="R23" s="13">
        <v>0</v>
      </c>
      <c r="S23" s="13">
        <f>1 - CUSTOS!$M$26</f>
        <v>1</v>
      </c>
      <c r="T23" s="13"/>
      <c r="U23" s="13">
        <f>TRANSICAO!$U$23*CUSTOS!$T$3</f>
        <v>0</v>
      </c>
      <c r="V23" s="13">
        <f>TRANSICAO!$V$23*CUSTOS!$T$3</f>
        <v>0</v>
      </c>
      <c r="W23" s="13">
        <f>TRANSICAO!$W$23*CUSTOS!$T$3</f>
        <v>0</v>
      </c>
      <c r="X23" s="13">
        <f>TRANSICAO!$X$23*CUSTOS!$T$3</f>
        <v>0</v>
      </c>
      <c r="Y23" s="13">
        <f>TRANSICAO!$Y$23*CUSTOS!$T$3</f>
        <v>103.8644</v>
      </c>
      <c r="Z23" s="13">
        <f>TRANSICAO!$Z$23*CUSTOS!$T$3</f>
        <v>0</v>
      </c>
      <c r="AA23" s="13">
        <f>TRANSICAO!$AA$23*CUSTOS!$T$3</f>
        <v>0</v>
      </c>
      <c r="AB23" s="13">
        <f>TRANSICAO!$AB$23*CUSTOS!$T$3</f>
        <v>0</v>
      </c>
      <c r="AC23" s="13">
        <f>TRANSICAO!$AC$23*CUSTOS!$T$3</f>
        <v>180.83189999999999</v>
      </c>
      <c r="AD23" s="13">
        <f>TRANSICAO!$AD$23*CUSTOS!$T$3</f>
        <v>0</v>
      </c>
      <c r="AE23" s="13">
        <v>0</v>
      </c>
      <c r="AF23" s="13">
        <v>0</v>
      </c>
      <c r="AG23" s="13"/>
      <c r="AH23" s="13">
        <f>(1 - CUSTOS!$M$26)*16.7582</f>
        <v>16.758199999999999</v>
      </c>
      <c r="AI23" s="13">
        <f>(1 - CUSTOS!$M$26)*16.7582</f>
        <v>16.758199999999999</v>
      </c>
      <c r="AJ23" s="13">
        <f ca="1">$N$64*(1-CUSTOS!$M$26)</f>
        <v>3.7210464945960515</v>
      </c>
      <c r="AK23" s="13">
        <f t="shared" ca="1" si="0"/>
        <v>3.7210464945960515</v>
      </c>
      <c r="AL23" s="13"/>
      <c r="AM23" s="13"/>
      <c r="AP23" s="13">
        <f>IF((1 - CUSTOS!$M$26)&lt;&gt;0,1/(1 - CUSTOS!$M$26),1)</f>
        <v>1</v>
      </c>
    </row>
    <row r="24" spans="1:42" ht="11.25" customHeight="1" x14ac:dyDescent="0.25">
      <c r="A24" s="142"/>
      <c r="B24" s="142"/>
      <c r="C24" s="142"/>
      <c r="D24" s="23" t="s">
        <v>31</v>
      </c>
      <c r="E24" s="23" t="s">
        <v>25</v>
      </c>
      <c r="F24" s="23" t="s">
        <v>25</v>
      </c>
      <c r="G24" s="24" t="s">
        <v>79</v>
      </c>
      <c r="H24" s="24" t="s">
        <v>75</v>
      </c>
      <c r="I24" s="24">
        <f>'MERCADO TUSD'!$U$21</f>
        <v>17.806999999999999</v>
      </c>
      <c r="J24" s="15"/>
      <c r="L24" s="13">
        <v>0</v>
      </c>
      <c r="M24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0.86406227275163194</v>
      </c>
      <c r="N24" s="13">
        <f ca="1">(+M24+O24+R24+U24+V24+W24+X24+Y24+Z24+AA24+AC24+AH24+AI24+AJ24+AK24)*CUSTOS!$M$5</f>
        <v>3.2751885526194373</v>
      </c>
      <c r="O24" s="13">
        <f>1 - CUSTOS!$M$27</f>
        <v>1</v>
      </c>
      <c r="P24" s="13">
        <v>0</v>
      </c>
      <c r="Q24" s="13">
        <v>0</v>
      </c>
      <c r="R24" s="13">
        <v>0</v>
      </c>
      <c r="S24" s="13">
        <f>1 - CUSTOS!$M$27</f>
        <v>1</v>
      </c>
      <c r="T24" s="13"/>
      <c r="U24" s="13">
        <f>TRANSICAO!$U$24*CUSTOS!$T$3</f>
        <v>0</v>
      </c>
      <c r="V24" s="13">
        <f>TRANSICAO!$V$24*CUSTOS!$T$3</f>
        <v>0</v>
      </c>
      <c r="W24" s="13">
        <f>TRANSICAO!$W$24*CUSTOS!$T$3</f>
        <v>0</v>
      </c>
      <c r="X24" s="13">
        <f>TRANSICAO!$X$24*CUSTOS!$T$3</f>
        <v>0</v>
      </c>
      <c r="Y24" s="13">
        <f>TRANSICAO!$Y$24*CUSTOS!$T$3</f>
        <v>103.8644</v>
      </c>
      <c r="Z24" s="13">
        <f>TRANSICAO!$Z$24*CUSTOS!$T$3</f>
        <v>0</v>
      </c>
      <c r="AA24" s="13">
        <f>TRANSICAO!$AA$24*CUSTOS!$T$3</f>
        <v>0</v>
      </c>
      <c r="AB24" s="13">
        <f>TRANSICAO!$AB$24*CUSTOS!$T$3</f>
        <v>0</v>
      </c>
      <c r="AC24" s="13">
        <f>TRANSICAO!$AC$24*CUSTOS!$T$3</f>
        <v>180.83189999999999</v>
      </c>
      <c r="AD24" s="13">
        <f>TRANSICAO!$AD$24*CUSTOS!$T$3</f>
        <v>0</v>
      </c>
      <c r="AE24" s="13">
        <v>0</v>
      </c>
      <c r="AF24" s="13">
        <v>0</v>
      </c>
      <c r="AG24" s="13"/>
      <c r="AH24" s="13">
        <f>(1 - CUSTOS!$M$27)*16.7582</f>
        <v>16.758199999999999</v>
      </c>
      <c r="AI24" s="13">
        <f>(1 - CUSTOS!$M$27)*16.7582</f>
        <v>16.758199999999999</v>
      </c>
      <c r="AJ24" s="13">
        <f ca="1">$N$64*(1-CUSTOS!$M$27)</f>
        <v>3.7210464945960515</v>
      </c>
      <c r="AK24" s="13">
        <f t="shared" ca="1" si="0"/>
        <v>3.7210464945960515</v>
      </c>
      <c r="AL24" s="13"/>
      <c r="AM24" s="13"/>
      <c r="AP24" s="13">
        <f>IF((1 - CUSTOS!$M$27)&lt;&gt;0,1/(1 - CUSTOS!$M$27),1)</f>
        <v>1</v>
      </c>
    </row>
    <row r="25" spans="1:42" ht="11.25" customHeight="1" x14ac:dyDescent="0.25">
      <c r="A25" s="142"/>
      <c r="B25" s="142" t="s">
        <v>90</v>
      </c>
      <c r="C25" s="142" t="s">
        <v>24</v>
      </c>
      <c r="D25" s="23" t="s">
        <v>24</v>
      </c>
      <c r="E25" s="23" t="s">
        <v>25</v>
      </c>
      <c r="F25" s="23" t="s">
        <v>25</v>
      </c>
      <c r="G25" s="24" t="s">
        <v>79</v>
      </c>
      <c r="H25" s="24" t="s">
        <v>75</v>
      </c>
      <c r="I25" s="24">
        <f>'MERCADO TUSD'!$U$22</f>
        <v>0</v>
      </c>
      <c r="J25" s="15"/>
      <c r="L25" s="13">
        <f>1</f>
        <v>1</v>
      </c>
      <c r="M25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0.86406227275163194</v>
      </c>
      <c r="N25" s="13">
        <f ca="1">(+M25+O25+R25+U25+V25+W25+X25+Y25+Z25+AA25+AC25+AH25+AI25+AJ25+AK25)*CUSTOS!$M$5</f>
        <v>3.2851885526194371</v>
      </c>
      <c r="O25" s="13">
        <v>1</v>
      </c>
      <c r="P25" s="13">
        <v>1</v>
      </c>
      <c r="Q25" s="13">
        <f>1</f>
        <v>1</v>
      </c>
      <c r="R25" s="13">
        <v>1</v>
      </c>
      <c r="S25" s="13">
        <v>1</v>
      </c>
      <c r="T25" s="13"/>
      <c r="U25" s="13">
        <f>TRANSICAO!$U$25*CUSTOS!$T$3</f>
        <v>0</v>
      </c>
      <c r="V25" s="13">
        <f>TRANSICAO!$V$25*CUSTOS!$T$3</f>
        <v>0</v>
      </c>
      <c r="W25" s="13">
        <f>TRANSICAO!$W$25*CUSTOS!$T$3</f>
        <v>0</v>
      </c>
      <c r="X25" s="13">
        <f>TRANSICAO!$X$25*CUSTOS!$T$3</f>
        <v>0</v>
      </c>
      <c r="Y25" s="13">
        <f>TRANSICAO!$Y$25*CUSTOS!$T$3</f>
        <v>103.8644</v>
      </c>
      <c r="Z25" s="13">
        <f>TRANSICAO!$Z$25*CUSTOS!$T$3</f>
        <v>0</v>
      </c>
      <c r="AA25" s="13">
        <f>TRANSICAO!$AA$25*CUSTOS!$T$3</f>
        <v>0</v>
      </c>
      <c r="AB25" s="13">
        <f>TRANSICAO!$AB$25*CUSTOS!$T$3</f>
        <v>0</v>
      </c>
      <c r="AC25" s="13">
        <f>TRANSICAO!$AC$25*CUSTOS!$T$3</f>
        <v>180.83189999999999</v>
      </c>
      <c r="AD25" s="13">
        <f>TRANSICAO!$AD$25*CUSTOS!$T$3</f>
        <v>0</v>
      </c>
      <c r="AE25" s="13">
        <v>0</v>
      </c>
      <c r="AF25" s="13">
        <v>0</v>
      </c>
      <c r="AG25" s="13"/>
      <c r="AH25" s="13">
        <v>16.758199999999999</v>
      </c>
      <c r="AI25" s="13">
        <v>16.758199999999999</v>
      </c>
      <c r="AJ25" s="13">
        <f ca="1">$N$64</f>
        <v>3.7210464945960515</v>
      </c>
      <c r="AK25" s="13">
        <f t="shared" ca="1" si="0"/>
        <v>3.7210464945960515</v>
      </c>
      <c r="AL25" s="13"/>
      <c r="AM25" s="13"/>
      <c r="AP25" s="13">
        <v>1</v>
      </c>
    </row>
    <row r="26" spans="1:42" ht="11.25" customHeight="1" x14ac:dyDescent="0.25">
      <c r="A26" s="142"/>
      <c r="B26" s="142"/>
      <c r="C26" s="142"/>
      <c r="D26" s="23" t="s">
        <v>28</v>
      </c>
      <c r="E26" s="23" t="s">
        <v>25</v>
      </c>
      <c r="F26" s="23" t="s">
        <v>25</v>
      </c>
      <c r="G26" s="24" t="s">
        <v>79</v>
      </c>
      <c r="H26" s="24" t="s">
        <v>75</v>
      </c>
      <c r="I26" s="24">
        <f>'MERCADO TUSD'!$U$23</f>
        <v>0</v>
      </c>
      <c r="J26" s="15"/>
      <c r="L26" s="13">
        <v>0</v>
      </c>
      <c r="M26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0.86406227275163194</v>
      </c>
      <c r="N26" s="13">
        <f ca="1">(+M26+O26+R26+U26+V26+W26+X26+Y26+Z26+AA26+AC26+AH26+AI26+AJ26+AK26)*CUSTOS!$M$5</f>
        <v>3.2751885526194373</v>
      </c>
      <c r="O26" s="13">
        <f>1 - CUSTOS!$M$24</f>
        <v>1</v>
      </c>
      <c r="P26" s="13">
        <v>0</v>
      </c>
      <c r="Q26" s="13">
        <v>0</v>
      </c>
      <c r="R26" s="13">
        <v>0</v>
      </c>
      <c r="S26" s="13">
        <f>1 - CUSTOS!$M$24</f>
        <v>1</v>
      </c>
      <c r="T26" s="13"/>
      <c r="U26" s="13">
        <f>TRANSICAO!$U$26*CUSTOS!$T$3</f>
        <v>0</v>
      </c>
      <c r="V26" s="13">
        <f>TRANSICAO!$V$26*CUSTOS!$T$3</f>
        <v>0</v>
      </c>
      <c r="W26" s="13">
        <f>TRANSICAO!$W$26*CUSTOS!$T$3</f>
        <v>0</v>
      </c>
      <c r="X26" s="13">
        <f>TRANSICAO!$X$26*CUSTOS!$T$3</f>
        <v>0</v>
      </c>
      <c r="Y26" s="13">
        <f>TRANSICAO!$Y$26*CUSTOS!$T$3</f>
        <v>103.8644</v>
      </c>
      <c r="Z26" s="13">
        <f>TRANSICAO!$Z$26*CUSTOS!$T$3</f>
        <v>0</v>
      </c>
      <c r="AA26" s="13">
        <f>TRANSICAO!$AA$26*CUSTOS!$T$3</f>
        <v>0</v>
      </c>
      <c r="AB26" s="13">
        <f>TRANSICAO!$AB$26*CUSTOS!$T$3</f>
        <v>0</v>
      </c>
      <c r="AC26" s="13">
        <f>TRANSICAO!$AC$26*CUSTOS!$T$3</f>
        <v>180.83189999999999</v>
      </c>
      <c r="AD26" s="13">
        <f>TRANSICAO!$AD$26*CUSTOS!$T$3</f>
        <v>0</v>
      </c>
      <c r="AE26" s="13">
        <v>0</v>
      </c>
      <c r="AF26" s="13">
        <v>0</v>
      </c>
      <c r="AG26" s="13"/>
      <c r="AH26" s="13">
        <f>(1 - CUSTOS!$M$24)*16.7582</f>
        <v>16.758199999999999</v>
      </c>
      <c r="AI26" s="13">
        <f>(1 - CUSTOS!$M$24)*16.7582</f>
        <v>16.758199999999999</v>
      </c>
      <c r="AJ26" s="13">
        <f ca="1">$N$64*(1-CUSTOS!$M$24)</f>
        <v>3.7210464945960515</v>
      </c>
      <c r="AK26" s="13">
        <f t="shared" ca="1" si="0"/>
        <v>3.7210464945960515</v>
      </c>
      <c r="AL26" s="13"/>
      <c r="AM26" s="13"/>
      <c r="AP26" s="13">
        <f>IF((1 - CUSTOS!$M$24)&lt;&gt;0,1/(1 - CUSTOS!$M$24),1)</f>
        <v>1</v>
      </c>
    </row>
    <row r="27" spans="1:42" ht="11.25" customHeight="1" x14ac:dyDescent="0.25">
      <c r="A27" s="142"/>
      <c r="B27" s="142"/>
      <c r="C27" s="142"/>
      <c r="D27" s="23" t="s">
        <v>29</v>
      </c>
      <c r="E27" s="23" t="s">
        <v>25</v>
      </c>
      <c r="F27" s="23" t="s">
        <v>25</v>
      </c>
      <c r="G27" s="24" t="s">
        <v>79</v>
      </c>
      <c r="H27" s="24" t="s">
        <v>75</v>
      </c>
      <c r="I27" s="24">
        <f>'MERCADO TUSD'!$U$24</f>
        <v>0</v>
      </c>
      <c r="J27" s="15"/>
      <c r="L27" s="13">
        <v>0</v>
      </c>
      <c r="M27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0.86406227275163194</v>
      </c>
      <c r="N27" s="13">
        <f ca="1">(+M27+O27+R27+U27+V27+W27+X27+Y27+Z27+AA27+AC27+AH27+AI27+AJ27+AK27)*CUSTOS!$M$5</f>
        <v>3.2751885526194373</v>
      </c>
      <c r="O27" s="13">
        <f>1 - CUSTOS!$M$25</f>
        <v>1</v>
      </c>
      <c r="P27" s="13">
        <v>0</v>
      </c>
      <c r="Q27" s="13">
        <v>0</v>
      </c>
      <c r="R27" s="13">
        <v>0</v>
      </c>
      <c r="S27" s="13">
        <f>1 - CUSTOS!$M$25</f>
        <v>1</v>
      </c>
      <c r="T27" s="13"/>
      <c r="U27" s="13">
        <f>TRANSICAO!$U$27*CUSTOS!$T$3</f>
        <v>0</v>
      </c>
      <c r="V27" s="13">
        <f>TRANSICAO!$V$27*CUSTOS!$T$3</f>
        <v>0</v>
      </c>
      <c r="W27" s="13">
        <f>TRANSICAO!$W$27*CUSTOS!$T$3</f>
        <v>0</v>
      </c>
      <c r="X27" s="13">
        <f>TRANSICAO!$X$27*CUSTOS!$T$3</f>
        <v>0</v>
      </c>
      <c r="Y27" s="13">
        <f>TRANSICAO!$Y$27*CUSTOS!$T$3</f>
        <v>103.8644</v>
      </c>
      <c r="Z27" s="13">
        <f>TRANSICAO!$Z$27*CUSTOS!$T$3</f>
        <v>0</v>
      </c>
      <c r="AA27" s="13">
        <f>TRANSICAO!$AA$27*CUSTOS!$T$3</f>
        <v>0</v>
      </c>
      <c r="AB27" s="13">
        <f>TRANSICAO!$AB$27*CUSTOS!$T$3</f>
        <v>0</v>
      </c>
      <c r="AC27" s="13">
        <f>TRANSICAO!$AC$27*CUSTOS!$T$3</f>
        <v>180.83189999999999</v>
      </c>
      <c r="AD27" s="13">
        <f>TRANSICAO!$AD$27*CUSTOS!$T$3</f>
        <v>0</v>
      </c>
      <c r="AE27" s="13">
        <v>0</v>
      </c>
      <c r="AF27" s="13">
        <v>0</v>
      </c>
      <c r="AG27" s="13"/>
      <c r="AH27" s="13">
        <f>(1 - CUSTOS!$M$25)*16.7582</f>
        <v>16.758199999999999</v>
      </c>
      <c r="AI27" s="13">
        <f>(1 - CUSTOS!$M$25)*16.7582</f>
        <v>16.758199999999999</v>
      </c>
      <c r="AJ27" s="13">
        <f ca="1">$N$64*(1-CUSTOS!$M$25)</f>
        <v>3.7210464945960515</v>
      </c>
      <c r="AK27" s="13">
        <f t="shared" ca="1" si="0"/>
        <v>3.7210464945960515</v>
      </c>
      <c r="AL27" s="13"/>
      <c r="AM27" s="13"/>
      <c r="AP27" s="13">
        <f>IF((1 - CUSTOS!$M$25)&lt;&gt;0,1/(1 - CUSTOS!$M$25),1)</f>
        <v>1</v>
      </c>
    </row>
    <row r="28" spans="1:42" ht="11.25" customHeight="1" x14ac:dyDescent="0.25">
      <c r="A28" s="142"/>
      <c r="B28" s="142"/>
      <c r="C28" s="142"/>
      <c r="D28" s="23" t="s">
        <v>30</v>
      </c>
      <c r="E28" s="23" t="s">
        <v>25</v>
      </c>
      <c r="F28" s="23" t="s">
        <v>25</v>
      </c>
      <c r="G28" s="24" t="s">
        <v>79</v>
      </c>
      <c r="H28" s="24" t="s">
        <v>75</v>
      </c>
      <c r="I28" s="24">
        <f>'MERCADO TUSD'!$U$25</f>
        <v>0</v>
      </c>
      <c r="J28" s="15"/>
      <c r="L28" s="13">
        <v>0</v>
      </c>
      <c r="M28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0.86406227275163194</v>
      </c>
      <c r="N28" s="13">
        <f ca="1">(+M28+O28+R28+U28+V28+W28+X28+Y28+Z28+AA28+AC28+AH28+AI28+AJ28+AK28)*CUSTOS!$M$5</f>
        <v>3.2751885526194373</v>
      </c>
      <c r="O28" s="13">
        <f>1 - CUSTOS!$M$26</f>
        <v>1</v>
      </c>
      <c r="P28" s="13">
        <v>0</v>
      </c>
      <c r="Q28" s="13">
        <v>0</v>
      </c>
      <c r="R28" s="13">
        <v>0</v>
      </c>
      <c r="S28" s="13">
        <f>1 - CUSTOS!$M$26</f>
        <v>1</v>
      </c>
      <c r="T28" s="13"/>
      <c r="U28" s="13">
        <f>TRANSICAO!$U$28*CUSTOS!$T$3</f>
        <v>0</v>
      </c>
      <c r="V28" s="13">
        <f>TRANSICAO!$V$28*CUSTOS!$T$3</f>
        <v>0</v>
      </c>
      <c r="W28" s="13">
        <f>TRANSICAO!$W$28*CUSTOS!$T$3</f>
        <v>0</v>
      </c>
      <c r="X28" s="13">
        <f>TRANSICAO!$X$28*CUSTOS!$T$3</f>
        <v>0</v>
      </c>
      <c r="Y28" s="13">
        <f>TRANSICAO!$Y$28*CUSTOS!$T$3</f>
        <v>103.8644</v>
      </c>
      <c r="Z28" s="13">
        <f>TRANSICAO!$Z$28*CUSTOS!$T$3</f>
        <v>0</v>
      </c>
      <c r="AA28" s="13">
        <f>TRANSICAO!$AA$28*CUSTOS!$T$3</f>
        <v>0</v>
      </c>
      <c r="AB28" s="13">
        <f>TRANSICAO!$AB$28*CUSTOS!$T$3</f>
        <v>0</v>
      </c>
      <c r="AC28" s="13">
        <f>TRANSICAO!$AC$28*CUSTOS!$T$3</f>
        <v>180.83189999999999</v>
      </c>
      <c r="AD28" s="13">
        <f>TRANSICAO!$AD$28*CUSTOS!$T$3</f>
        <v>0</v>
      </c>
      <c r="AE28" s="13">
        <v>0</v>
      </c>
      <c r="AF28" s="13">
        <v>0</v>
      </c>
      <c r="AG28" s="13"/>
      <c r="AH28" s="13">
        <f>(1 - CUSTOS!$M$26)*16.7582</f>
        <v>16.758199999999999</v>
      </c>
      <c r="AI28" s="13">
        <f>(1 - CUSTOS!$M$26)*16.7582</f>
        <v>16.758199999999999</v>
      </c>
      <c r="AJ28" s="13">
        <f ca="1">$N$64*(1-CUSTOS!$M$26)</f>
        <v>3.7210464945960515</v>
      </c>
      <c r="AK28" s="13">
        <f t="shared" ca="1" si="0"/>
        <v>3.7210464945960515</v>
      </c>
      <c r="AL28" s="13"/>
      <c r="AM28" s="13"/>
      <c r="AP28" s="13">
        <f>IF((1 - CUSTOS!$M$26)&lt;&gt;0,1/(1 - CUSTOS!$M$26),1)</f>
        <v>1</v>
      </c>
    </row>
    <row r="29" spans="1:42" ht="11.25" customHeight="1" x14ac:dyDescent="0.25">
      <c r="A29" s="142"/>
      <c r="B29" s="142"/>
      <c r="C29" s="142"/>
      <c r="D29" s="23" t="s">
        <v>31</v>
      </c>
      <c r="E29" s="23" t="s">
        <v>25</v>
      </c>
      <c r="F29" s="23" t="s">
        <v>25</v>
      </c>
      <c r="G29" s="24" t="s">
        <v>79</v>
      </c>
      <c r="H29" s="24" t="s">
        <v>75</v>
      </c>
      <c r="I29" s="24">
        <f>'MERCADO TUSD'!$U$26</f>
        <v>0</v>
      </c>
      <c r="J29" s="15"/>
      <c r="L29" s="13">
        <v>0</v>
      </c>
      <c r="M29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0.86406227275163194</v>
      </c>
      <c r="N29" s="13">
        <f ca="1">(+M29+O29+R29+U29+V29+W29+X29+Y29+Z29+AA29+AC29+AH29+AI29+AJ29+AK29)*CUSTOS!$M$5</f>
        <v>3.2751885526194373</v>
      </c>
      <c r="O29" s="13">
        <f>1 - CUSTOS!$M$27</f>
        <v>1</v>
      </c>
      <c r="P29" s="13">
        <v>0</v>
      </c>
      <c r="Q29" s="13">
        <v>0</v>
      </c>
      <c r="R29" s="13">
        <v>0</v>
      </c>
      <c r="S29" s="13">
        <f>1 - CUSTOS!$M$27</f>
        <v>1</v>
      </c>
      <c r="T29" s="13"/>
      <c r="U29" s="13">
        <f>TRANSICAO!$U$29*CUSTOS!$T$3</f>
        <v>0</v>
      </c>
      <c r="V29" s="13">
        <f>TRANSICAO!$V$29*CUSTOS!$T$3</f>
        <v>0</v>
      </c>
      <c r="W29" s="13">
        <f>TRANSICAO!$W$29*CUSTOS!$T$3</f>
        <v>0</v>
      </c>
      <c r="X29" s="13">
        <f>TRANSICAO!$X$29*CUSTOS!$T$3</f>
        <v>0</v>
      </c>
      <c r="Y29" s="13">
        <f>TRANSICAO!$Y$29*CUSTOS!$T$3</f>
        <v>103.8644</v>
      </c>
      <c r="Z29" s="13">
        <f>TRANSICAO!$Z$29*CUSTOS!$T$3</f>
        <v>0</v>
      </c>
      <c r="AA29" s="13">
        <f>TRANSICAO!$AA$29*CUSTOS!$T$3</f>
        <v>0</v>
      </c>
      <c r="AB29" s="13">
        <f>TRANSICAO!$AB$29*CUSTOS!$T$3</f>
        <v>0</v>
      </c>
      <c r="AC29" s="13">
        <f>TRANSICAO!$AC$29*CUSTOS!$T$3</f>
        <v>180.83189999999999</v>
      </c>
      <c r="AD29" s="13">
        <f>TRANSICAO!$AD$29*CUSTOS!$T$3</f>
        <v>0</v>
      </c>
      <c r="AE29" s="13">
        <v>0</v>
      </c>
      <c r="AF29" s="13">
        <v>0</v>
      </c>
      <c r="AG29" s="13"/>
      <c r="AH29" s="13">
        <f>(1 - CUSTOS!$M$27)*16.7582</f>
        <v>16.758199999999999</v>
      </c>
      <c r="AI29" s="13">
        <f>(1 - CUSTOS!$M$27)*16.7582</f>
        <v>16.758199999999999</v>
      </c>
      <c r="AJ29" s="13">
        <f ca="1">$N$64*(1-CUSTOS!$M$27)</f>
        <v>3.7210464945960515</v>
      </c>
      <c r="AK29" s="13">
        <f t="shared" ca="1" si="0"/>
        <v>3.7210464945960515</v>
      </c>
      <c r="AL29" s="13"/>
      <c r="AM29" s="13"/>
      <c r="AP29" s="13">
        <f>IF((1 - CUSTOS!$M$27)&lt;&gt;0,1/(1 - CUSTOS!$M$27),1)</f>
        <v>1</v>
      </c>
    </row>
    <row r="30" spans="1:42" ht="11.25" customHeight="1" x14ac:dyDescent="0.25">
      <c r="A30" s="142" t="s">
        <v>41</v>
      </c>
      <c r="B30" s="142" t="s">
        <v>32</v>
      </c>
      <c r="C30" s="142" t="s">
        <v>42</v>
      </c>
      <c r="D30" s="142" t="s">
        <v>25</v>
      </c>
      <c r="E30" s="142" t="s">
        <v>25</v>
      </c>
      <c r="F30" s="142" t="s">
        <v>25</v>
      </c>
      <c r="G30" s="24" t="s">
        <v>76</v>
      </c>
      <c r="H30" s="24" t="s">
        <v>75</v>
      </c>
      <c r="I30" s="24">
        <f>'MERCADO TUSD'!$U$27</f>
        <v>0</v>
      </c>
      <c r="J30" s="15"/>
      <c r="L30" s="13">
        <f>1*(1 - CUSTOS!$M$28)</f>
        <v>1</v>
      </c>
      <c r="M30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0.86406227275163194</v>
      </c>
      <c r="N30" s="13">
        <f ca="1">(+M30+O30+R30+U30+V30+W30+X30+Y30+Z30+AA30+AC30+AH30+AI30+AJ30+AK30)*CUSTOS!$M$5</f>
        <v>8.5520695526194377</v>
      </c>
      <c r="O30" s="13">
        <f>1 - CUSTOS!$M$28</f>
        <v>1</v>
      </c>
      <c r="P30" s="13">
        <f>1 - CUSTOS!$M$28</f>
        <v>1</v>
      </c>
      <c r="Q30" s="13">
        <f>1*(1 - CUSTOS!$M$28)</f>
        <v>1</v>
      </c>
      <c r="R30" s="13">
        <f>1 - CUSTOS!$M$28</f>
        <v>1</v>
      </c>
      <c r="S30" s="13">
        <f>1 - CUSTOS!$M$28</f>
        <v>1</v>
      </c>
      <c r="T30" s="13"/>
      <c r="U30" s="13">
        <f>TRANSICAO!$U$30*CUSTOS!$T$3</f>
        <v>0</v>
      </c>
      <c r="V30" s="13">
        <f>TRANSICAO!$V$30*CUSTOS!$T$3</f>
        <v>0</v>
      </c>
      <c r="W30" s="13">
        <f>TRANSICAO!$W$30*CUSTOS!$T$3</f>
        <v>0</v>
      </c>
      <c r="X30" s="13">
        <f>TRANSICAO!$X$30*CUSTOS!$T$3</f>
        <v>0</v>
      </c>
      <c r="Y30" s="13">
        <f>TRANSICAO!$Y$30*CUSTOS!$T$3</f>
        <v>296.0136</v>
      </c>
      <c r="Z30" s="13">
        <f>TRANSICAO!$Z$30*CUSTOS!$T$3</f>
        <v>0</v>
      </c>
      <c r="AA30" s="13">
        <f>TRANSICAO!$AA$30*CUSTOS!$T$3</f>
        <v>0</v>
      </c>
      <c r="AB30" s="13">
        <f>TRANSICAO!$AB$30*CUSTOS!$T$3</f>
        <v>0</v>
      </c>
      <c r="AC30" s="13">
        <f>TRANSICAO!$AC$30*CUSTOS!$T$3</f>
        <v>515.37080000000003</v>
      </c>
      <c r="AD30" s="13">
        <f>TRANSICAO!$AD$30*CUSTOS!$T$3</f>
        <v>0</v>
      </c>
      <c r="AE30" s="13">
        <v>0</v>
      </c>
      <c r="AF30" s="13">
        <v>0</v>
      </c>
      <c r="AG30" s="13"/>
      <c r="AH30" s="13">
        <f>(1 - CUSTOS!$M$28)*16.7582</f>
        <v>16.758199999999999</v>
      </c>
      <c r="AI30" s="13">
        <f>(1 - CUSTOS!$M$28)*16.7582</f>
        <v>16.758199999999999</v>
      </c>
      <c r="AJ30" s="13">
        <f ca="1">$N$64*(1-CUSTOS!$M$28)</f>
        <v>3.7210464945960515</v>
      </c>
      <c r="AK30" s="13">
        <f t="shared" ca="1" si="0"/>
        <v>3.7210464945960515</v>
      </c>
      <c r="AL30" s="13"/>
      <c r="AM30" s="13"/>
      <c r="AP30" s="13">
        <f>IF((1 - CUSTOS!$M$28)&lt;&gt;0,1/(1 - CUSTOS!$M$28),1)</f>
        <v>1</v>
      </c>
    </row>
    <row r="31" spans="1:42" ht="11.25" customHeight="1" x14ac:dyDescent="0.25">
      <c r="A31" s="142"/>
      <c r="B31" s="142"/>
      <c r="C31" s="142"/>
      <c r="D31" s="142"/>
      <c r="E31" s="142"/>
      <c r="F31" s="142"/>
      <c r="G31" s="24" t="s">
        <v>88</v>
      </c>
      <c r="H31" s="24" t="s">
        <v>75</v>
      </c>
      <c r="I31" s="24">
        <f>'MERCADO TUSD'!$U$28</f>
        <v>0</v>
      </c>
      <c r="J31" s="15"/>
      <c r="L31" s="13">
        <f>1*(1 - CUSTOS!$M$28)</f>
        <v>1</v>
      </c>
      <c r="M31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0.86406227275163194</v>
      </c>
      <c r="N31" s="13">
        <f ca="1">(+M31+O31+R31+U31+V31+W31+X31+Y31+Z31+AA31+AC31+AH31+AI31+AJ31+AK31)*CUSTOS!$M$5</f>
        <v>5.3065315526194379</v>
      </c>
      <c r="O31" s="13">
        <f>1 - CUSTOS!$M$28</f>
        <v>1</v>
      </c>
      <c r="P31" s="13">
        <f>1 - CUSTOS!$M$28</f>
        <v>1</v>
      </c>
      <c r="Q31" s="13">
        <f>1*(1 - CUSTOS!$M$28)</f>
        <v>1</v>
      </c>
      <c r="R31" s="13">
        <f>1 - CUSTOS!$M$28</f>
        <v>1</v>
      </c>
      <c r="S31" s="13">
        <f>1 - CUSTOS!$M$28</f>
        <v>1</v>
      </c>
      <c r="T31" s="13"/>
      <c r="U31" s="13">
        <f>TRANSICAO!$U$31*CUSTOS!$T$3</f>
        <v>0</v>
      </c>
      <c r="V31" s="13">
        <f>TRANSICAO!$V$31*CUSTOS!$T$3</f>
        <v>0</v>
      </c>
      <c r="W31" s="13">
        <f>TRANSICAO!$W$31*CUSTOS!$T$3</f>
        <v>0</v>
      </c>
      <c r="X31" s="13">
        <f>TRANSICAO!$X$31*CUSTOS!$T$3</f>
        <v>0</v>
      </c>
      <c r="Y31" s="13">
        <f>TRANSICAO!$Y$31*CUSTOS!$T$3</f>
        <v>177.60810000000001</v>
      </c>
      <c r="Z31" s="13">
        <f>TRANSICAO!$Z$31*CUSTOS!$T$3</f>
        <v>0</v>
      </c>
      <c r="AA31" s="13">
        <f>TRANSICAO!$AA$31*CUSTOS!$T$3</f>
        <v>0</v>
      </c>
      <c r="AB31" s="13">
        <f>TRANSICAO!$AB$31*CUSTOS!$T$3</f>
        <v>0</v>
      </c>
      <c r="AC31" s="13">
        <f>TRANSICAO!$AC$31*CUSTOS!$T$3</f>
        <v>309.22250000000003</v>
      </c>
      <c r="AD31" s="13">
        <f>TRANSICAO!$AD$31*CUSTOS!$T$3</f>
        <v>0</v>
      </c>
      <c r="AE31" s="13">
        <v>0</v>
      </c>
      <c r="AF31" s="13">
        <v>0</v>
      </c>
      <c r="AG31" s="13"/>
      <c r="AH31" s="13">
        <f>(1 - CUSTOS!$M$28)*16.7582</f>
        <v>16.758199999999999</v>
      </c>
      <c r="AI31" s="13">
        <f>(1 - CUSTOS!$M$28)*16.7582</f>
        <v>16.758199999999999</v>
      </c>
      <c r="AJ31" s="13">
        <f ca="1">$N$64*(1-CUSTOS!$M$28)</f>
        <v>3.7210464945960515</v>
      </c>
      <c r="AK31" s="13">
        <f t="shared" ca="1" si="0"/>
        <v>3.7210464945960515</v>
      </c>
      <c r="AL31" s="13"/>
      <c r="AM31" s="13"/>
      <c r="AP31" s="13">
        <f>IF((1 - CUSTOS!$M$28)&lt;&gt;0,1/(1 - CUSTOS!$M$28),1)</f>
        <v>1</v>
      </c>
    </row>
    <row r="32" spans="1:42" ht="11.25" customHeight="1" x14ac:dyDescent="0.25">
      <c r="A32" s="142"/>
      <c r="B32" s="142"/>
      <c r="C32" s="142"/>
      <c r="D32" s="142"/>
      <c r="E32" s="142"/>
      <c r="F32" s="142"/>
      <c r="G32" s="24" t="s">
        <v>77</v>
      </c>
      <c r="H32" s="24" t="s">
        <v>75</v>
      </c>
      <c r="I32" s="24">
        <f>'MERCADO TUSD'!$U$29</f>
        <v>0</v>
      </c>
      <c r="J32" s="15"/>
      <c r="L32" s="13">
        <f>1*(1 - CUSTOS!$M$28)</f>
        <v>1</v>
      </c>
      <c r="M32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0.86406227275163194</v>
      </c>
      <c r="N32" s="13">
        <f ca="1">(+M32+O32+R32+U32+V32+W32+X32+Y32+Z32+AA32+AC32+AH32+AI32+AJ32+AK32)*CUSTOS!$M$5</f>
        <v>2.0609945526194369</v>
      </c>
      <c r="O32" s="13">
        <f>1 - CUSTOS!$M$28</f>
        <v>1</v>
      </c>
      <c r="P32" s="13">
        <f>1 - CUSTOS!$M$28</f>
        <v>1</v>
      </c>
      <c r="Q32" s="13">
        <f>1*(1 - CUSTOS!$M$28)</f>
        <v>1</v>
      </c>
      <c r="R32" s="13">
        <f>1 - CUSTOS!$M$28</f>
        <v>1</v>
      </c>
      <c r="S32" s="13">
        <f>1 - CUSTOS!$M$28</f>
        <v>1</v>
      </c>
      <c r="T32" s="13"/>
      <c r="U32" s="13">
        <f>TRANSICAO!$U$32*CUSTOS!$T$3</f>
        <v>0</v>
      </c>
      <c r="V32" s="13">
        <f>TRANSICAO!$V$32*CUSTOS!$T$3</f>
        <v>0</v>
      </c>
      <c r="W32" s="13">
        <f>TRANSICAO!$W$32*CUSTOS!$T$3</f>
        <v>0</v>
      </c>
      <c r="X32" s="13">
        <f>TRANSICAO!$X$32*CUSTOS!$T$3</f>
        <v>0</v>
      </c>
      <c r="Y32" s="13">
        <f>TRANSICAO!$Y$32*CUSTOS!$T$3</f>
        <v>59.2027</v>
      </c>
      <c r="Z32" s="13">
        <f>TRANSICAO!$Z$32*CUSTOS!$T$3</f>
        <v>0</v>
      </c>
      <c r="AA32" s="13">
        <f>TRANSICAO!$AA$32*CUSTOS!$T$3</f>
        <v>0</v>
      </c>
      <c r="AB32" s="13">
        <f>TRANSICAO!$AB$32*CUSTOS!$T$3</f>
        <v>0</v>
      </c>
      <c r="AC32" s="13">
        <f>TRANSICAO!$AC$32*CUSTOS!$T$3</f>
        <v>103.0742</v>
      </c>
      <c r="AD32" s="13">
        <f>TRANSICAO!$AD$32*CUSTOS!$T$3</f>
        <v>0</v>
      </c>
      <c r="AE32" s="13">
        <v>0</v>
      </c>
      <c r="AF32" s="13">
        <v>0</v>
      </c>
      <c r="AG32" s="13"/>
      <c r="AH32" s="13">
        <f>(1 - CUSTOS!$M$28)*16.7582</f>
        <v>16.758199999999999</v>
      </c>
      <c r="AI32" s="13">
        <f>(1 - CUSTOS!$M$28)*16.7582</f>
        <v>16.758199999999999</v>
      </c>
      <c r="AJ32" s="13">
        <f ca="1">$N$64*(1-CUSTOS!$M$28)</f>
        <v>3.7210464945960515</v>
      </c>
      <c r="AK32" s="13">
        <f t="shared" ca="1" si="0"/>
        <v>3.7210464945960515</v>
      </c>
      <c r="AL32" s="13"/>
      <c r="AM32" s="13"/>
      <c r="AP32" s="13">
        <f>IF((1 - CUSTOS!$M$28)&lt;&gt;0,1/(1 - CUSTOS!$M$28),1)</f>
        <v>1</v>
      </c>
    </row>
    <row r="33" spans="1:42" ht="11.25" customHeight="1" x14ac:dyDescent="0.25">
      <c r="A33" s="142"/>
      <c r="B33" s="23" t="s">
        <v>23</v>
      </c>
      <c r="C33" s="23" t="s">
        <v>42</v>
      </c>
      <c r="D33" s="23" t="s">
        <v>25</v>
      </c>
      <c r="E33" s="23" t="s">
        <v>25</v>
      </c>
      <c r="F33" s="23" t="s">
        <v>25</v>
      </c>
      <c r="G33" s="24" t="s">
        <v>79</v>
      </c>
      <c r="H33" s="24" t="s">
        <v>75</v>
      </c>
      <c r="I33" s="24">
        <f>'MERCADO TUSD'!$U$30</f>
        <v>3335.7969999999996</v>
      </c>
      <c r="J33" s="15"/>
      <c r="L33" s="13">
        <f>1*(1 - CUSTOS!$M$28)</f>
        <v>1</v>
      </c>
      <c r="M33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0.86406227275163194</v>
      </c>
      <c r="N33" s="13">
        <f ca="1">(+M33+O33+R33+U33+V33+W33+X33+Y33+Z33+AA33+AC33+AH33+AI33+AJ33+AK33)*CUSTOS!$M$5</f>
        <v>3.2851885526194371</v>
      </c>
      <c r="O33" s="13">
        <f>1 - CUSTOS!$M$28</f>
        <v>1</v>
      </c>
      <c r="P33" s="13">
        <f>1 - CUSTOS!$M$28</f>
        <v>1</v>
      </c>
      <c r="Q33" s="13">
        <f>1*(1 - CUSTOS!$M$28)</f>
        <v>1</v>
      </c>
      <c r="R33" s="13">
        <f>1 - CUSTOS!$M$28</f>
        <v>1</v>
      </c>
      <c r="S33" s="13">
        <f>1 - CUSTOS!$M$28</f>
        <v>1</v>
      </c>
      <c r="T33" s="13"/>
      <c r="U33" s="13">
        <f>TRANSICAO!$U$33*CUSTOS!$T$3</f>
        <v>0</v>
      </c>
      <c r="V33" s="13">
        <f>TRANSICAO!$V$33*CUSTOS!$T$3</f>
        <v>0</v>
      </c>
      <c r="W33" s="13">
        <f>TRANSICAO!$W$33*CUSTOS!$T$3</f>
        <v>0</v>
      </c>
      <c r="X33" s="13">
        <f>TRANSICAO!$X$33*CUSTOS!$T$3</f>
        <v>0</v>
      </c>
      <c r="Y33" s="13">
        <f>TRANSICAO!$Y$33*CUSTOS!$T$3</f>
        <v>103.8644</v>
      </c>
      <c r="Z33" s="13">
        <f>TRANSICAO!$Z$33*CUSTOS!$T$3</f>
        <v>0</v>
      </c>
      <c r="AA33" s="13">
        <f>TRANSICAO!$AA$33*CUSTOS!$T$3</f>
        <v>0</v>
      </c>
      <c r="AB33" s="13">
        <f>TRANSICAO!$AB$33*CUSTOS!$T$3</f>
        <v>0</v>
      </c>
      <c r="AC33" s="13">
        <f>TRANSICAO!$AC$33*CUSTOS!$T$3</f>
        <v>180.83189999999999</v>
      </c>
      <c r="AD33" s="13">
        <f>TRANSICAO!$AD$33*CUSTOS!$T$3</f>
        <v>0</v>
      </c>
      <c r="AE33" s="13">
        <v>0</v>
      </c>
      <c r="AF33" s="13">
        <v>0</v>
      </c>
      <c r="AG33" s="13"/>
      <c r="AH33" s="13">
        <f>(1 - CUSTOS!$M$28)*16.7582</f>
        <v>16.758199999999999</v>
      </c>
      <c r="AI33" s="13">
        <f>(1 - CUSTOS!$M$28)*16.7582</f>
        <v>16.758199999999999</v>
      </c>
      <c r="AJ33" s="13">
        <f ca="1">$N$64*(1-CUSTOS!$M$28)</f>
        <v>3.7210464945960515</v>
      </c>
      <c r="AK33" s="13">
        <f t="shared" ca="1" si="0"/>
        <v>3.7210464945960515</v>
      </c>
      <c r="AL33" s="13"/>
      <c r="AM33" s="13"/>
      <c r="AP33" s="13">
        <f>IF((1 - CUSTOS!$M$28)&lt;&gt;0,1/(1 - CUSTOS!$M$28),1)</f>
        <v>1</v>
      </c>
    </row>
    <row r="34" spans="1:42" ht="11.25" customHeight="1" x14ac:dyDescent="0.25">
      <c r="A34" s="142"/>
      <c r="B34" s="142" t="s">
        <v>32</v>
      </c>
      <c r="C34" s="142" t="s">
        <v>42</v>
      </c>
      <c r="D34" s="142" t="s">
        <v>91</v>
      </c>
      <c r="E34" s="142" t="s">
        <v>25</v>
      </c>
      <c r="F34" s="142" t="s">
        <v>25</v>
      </c>
      <c r="G34" s="24" t="s">
        <v>76</v>
      </c>
      <c r="H34" s="24" t="s">
        <v>75</v>
      </c>
      <c r="I34" s="24">
        <f>'MERCADO TUSD'!$U$31</f>
        <v>0</v>
      </c>
      <c r="J34" s="15"/>
      <c r="L34" s="13">
        <f>1*(1 - CUSTOS!$M$29)</f>
        <v>1</v>
      </c>
      <c r="M34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0.86406227275163194</v>
      </c>
      <c r="N34" s="13">
        <f ca="1">(+M34+O34+R34+U34+V34+W34+X34+Y34+Z34+AA34+AC34+AH34+AI34+AJ34+AK34)*CUSTOS!$M$5</f>
        <v>8.5520695526194377</v>
      </c>
      <c r="O34" s="13">
        <f>1 - CUSTOS!$M$29</f>
        <v>1</v>
      </c>
      <c r="P34" s="13">
        <f>1 - CUSTOS!$M$29</f>
        <v>1</v>
      </c>
      <c r="Q34" s="13">
        <f>1*(1 - CUSTOS!$M$29)</f>
        <v>1</v>
      </c>
      <c r="R34" s="13">
        <f>1 - CUSTOS!$M$29</f>
        <v>1</v>
      </c>
      <c r="S34" s="13">
        <f>1 - CUSTOS!$M$29</f>
        <v>1</v>
      </c>
      <c r="T34" s="13"/>
      <c r="U34" s="13">
        <f>TRANSICAO!$U$34*CUSTOS!$T$3</f>
        <v>0</v>
      </c>
      <c r="V34" s="13">
        <f>TRANSICAO!$V$34*CUSTOS!$T$3</f>
        <v>0</v>
      </c>
      <c r="W34" s="13">
        <f>TRANSICAO!$W$34*CUSTOS!$T$3</f>
        <v>0</v>
      </c>
      <c r="X34" s="13">
        <f>TRANSICAO!$X$34*CUSTOS!$T$3</f>
        <v>0</v>
      </c>
      <c r="Y34" s="13">
        <f>TRANSICAO!$Y$34*CUSTOS!$T$3</f>
        <v>296.0136</v>
      </c>
      <c r="Z34" s="13">
        <f>TRANSICAO!$Z$34*CUSTOS!$T$3</f>
        <v>0</v>
      </c>
      <c r="AA34" s="13">
        <f>TRANSICAO!$AA$34*CUSTOS!$T$3</f>
        <v>0</v>
      </c>
      <c r="AB34" s="13">
        <f>TRANSICAO!$AB$34*CUSTOS!$T$3</f>
        <v>0</v>
      </c>
      <c r="AC34" s="13">
        <f>TRANSICAO!$AC$34*CUSTOS!$T$3</f>
        <v>515.37080000000003</v>
      </c>
      <c r="AD34" s="13">
        <f>TRANSICAO!$AD$34*CUSTOS!$T$3</f>
        <v>0</v>
      </c>
      <c r="AE34" s="13">
        <v>0</v>
      </c>
      <c r="AF34" s="13">
        <v>0</v>
      </c>
      <c r="AG34" s="13"/>
      <c r="AH34" s="13">
        <f>(1 - CUSTOS!$M$29)*16.7582</f>
        <v>16.758199999999999</v>
      </c>
      <c r="AI34" s="13">
        <f>(1 - CUSTOS!$M$29)*16.7582</f>
        <v>16.758199999999999</v>
      </c>
      <c r="AJ34" s="13">
        <f ca="1">$N$64*(1-CUSTOS!$M$29)</f>
        <v>3.7210464945960515</v>
      </c>
      <c r="AK34" s="13">
        <f t="shared" ca="1" si="0"/>
        <v>3.7210464945960515</v>
      </c>
      <c r="AL34" s="13"/>
      <c r="AM34" s="13"/>
      <c r="AP34" s="13">
        <f>IF((1 - CUSTOS!$M$29)&lt;&gt;0,1/(1 - CUSTOS!$M$29),1)</f>
        <v>1</v>
      </c>
    </row>
    <row r="35" spans="1:42" ht="11.25" customHeight="1" x14ac:dyDescent="0.25">
      <c r="A35" s="142"/>
      <c r="B35" s="142"/>
      <c r="C35" s="142"/>
      <c r="D35" s="142"/>
      <c r="E35" s="142"/>
      <c r="F35" s="142"/>
      <c r="G35" s="24" t="s">
        <v>88</v>
      </c>
      <c r="H35" s="24" t="s">
        <v>75</v>
      </c>
      <c r="I35" s="24">
        <f>'MERCADO TUSD'!$U$32</f>
        <v>0</v>
      </c>
      <c r="J35" s="15"/>
      <c r="L35" s="13">
        <f>1*(1 - CUSTOS!$M$29)</f>
        <v>1</v>
      </c>
      <c r="M35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0.86406227275163194</v>
      </c>
      <c r="N35" s="13">
        <f ca="1">(+M35+O35+R35+U35+V35+W35+X35+Y35+Z35+AA35+AC35+AH35+AI35+AJ35+AK35)*CUSTOS!$M$5</f>
        <v>5.3065315526194379</v>
      </c>
      <c r="O35" s="13">
        <f>1 - CUSTOS!$M$29</f>
        <v>1</v>
      </c>
      <c r="P35" s="13">
        <f>1 - CUSTOS!$M$29</f>
        <v>1</v>
      </c>
      <c r="Q35" s="13">
        <f>1*(1 - CUSTOS!$M$29)</f>
        <v>1</v>
      </c>
      <c r="R35" s="13">
        <f>1 - CUSTOS!$M$29</f>
        <v>1</v>
      </c>
      <c r="S35" s="13">
        <f>1 - CUSTOS!$M$29</f>
        <v>1</v>
      </c>
      <c r="T35" s="13"/>
      <c r="U35" s="13">
        <f>TRANSICAO!$U$35*CUSTOS!$T$3</f>
        <v>0</v>
      </c>
      <c r="V35" s="13">
        <f>TRANSICAO!$V$35*CUSTOS!$T$3</f>
        <v>0</v>
      </c>
      <c r="W35" s="13">
        <f>TRANSICAO!$W$35*CUSTOS!$T$3</f>
        <v>0</v>
      </c>
      <c r="X35" s="13">
        <f>TRANSICAO!$X$35*CUSTOS!$T$3</f>
        <v>0</v>
      </c>
      <c r="Y35" s="13">
        <f>TRANSICAO!$Y$35*CUSTOS!$T$3</f>
        <v>177.60810000000001</v>
      </c>
      <c r="Z35" s="13">
        <f>TRANSICAO!$Z$35*CUSTOS!$T$3</f>
        <v>0</v>
      </c>
      <c r="AA35" s="13">
        <f>TRANSICAO!$AA$35*CUSTOS!$T$3</f>
        <v>0</v>
      </c>
      <c r="AB35" s="13">
        <f>TRANSICAO!$AB$35*CUSTOS!$T$3</f>
        <v>0</v>
      </c>
      <c r="AC35" s="13">
        <f>TRANSICAO!$AC$35*CUSTOS!$T$3</f>
        <v>309.22250000000003</v>
      </c>
      <c r="AD35" s="13">
        <f>TRANSICAO!$AD$35*CUSTOS!$T$3</f>
        <v>0</v>
      </c>
      <c r="AE35" s="13">
        <v>0</v>
      </c>
      <c r="AF35" s="13">
        <v>0</v>
      </c>
      <c r="AG35" s="13"/>
      <c r="AH35" s="13">
        <f>(1 - CUSTOS!$M$29)*16.7582</f>
        <v>16.758199999999999</v>
      </c>
      <c r="AI35" s="13">
        <f>(1 - CUSTOS!$M$29)*16.7582</f>
        <v>16.758199999999999</v>
      </c>
      <c r="AJ35" s="13">
        <f ca="1">$N$64*(1-CUSTOS!$M$29)</f>
        <v>3.7210464945960515</v>
      </c>
      <c r="AK35" s="13">
        <f t="shared" ca="1" si="0"/>
        <v>3.7210464945960515</v>
      </c>
      <c r="AL35" s="13"/>
      <c r="AM35" s="13"/>
      <c r="AP35" s="13">
        <f>IF((1 - CUSTOS!$M$29)&lt;&gt;0,1/(1 - CUSTOS!$M$29),1)</f>
        <v>1</v>
      </c>
    </row>
    <row r="36" spans="1:42" ht="11.25" customHeight="1" x14ac:dyDescent="0.25">
      <c r="A36" s="142"/>
      <c r="B36" s="142"/>
      <c r="C36" s="142"/>
      <c r="D36" s="142"/>
      <c r="E36" s="142"/>
      <c r="F36" s="142"/>
      <c r="G36" s="24" t="s">
        <v>77</v>
      </c>
      <c r="H36" s="24" t="s">
        <v>75</v>
      </c>
      <c r="I36" s="24">
        <f>'MERCADO TUSD'!$U$33</f>
        <v>0</v>
      </c>
      <c r="J36" s="15"/>
      <c r="L36" s="13">
        <f>1*(1 - CUSTOS!$M$29)</f>
        <v>1</v>
      </c>
      <c r="M36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0.86406227275163194</v>
      </c>
      <c r="N36" s="13">
        <f ca="1">(+M36+O36+R36+U36+V36+W36+X36+Y36+Z36+AA36+AC36+AH36+AI36+AJ36+AK36)*CUSTOS!$M$5</f>
        <v>2.0609945526194369</v>
      </c>
      <c r="O36" s="13">
        <f>1 - CUSTOS!$M$29</f>
        <v>1</v>
      </c>
      <c r="P36" s="13">
        <f>1 - CUSTOS!$M$29</f>
        <v>1</v>
      </c>
      <c r="Q36" s="13">
        <f>1*(1 - CUSTOS!$M$29)</f>
        <v>1</v>
      </c>
      <c r="R36" s="13">
        <f>1 - CUSTOS!$M$29</f>
        <v>1</v>
      </c>
      <c r="S36" s="13">
        <f>1 - CUSTOS!$M$29</f>
        <v>1</v>
      </c>
      <c r="T36" s="13"/>
      <c r="U36" s="13">
        <f>TRANSICAO!$U$36*CUSTOS!$T$3</f>
        <v>0</v>
      </c>
      <c r="V36" s="13">
        <f>TRANSICAO!$V$36*CUSTOS!$T$3</f>
        <v>0</v>
      </c>
      <c r="W36" s="13">
        <f>TRANSICAO!$W$36*CUSTOS!$T$3</f>
        <v>0</v>
      </c>
      <c r="X36" s="13">
        <f>TRANSICAO!$X$36*CUSTOS!$T$3</f>
        <v>0</v>
      </c>
      <c r="Y36" s="13">
        <f>TRANSICAO!$Y$36*CUSTOS!$T$3</f>
        <v>59.2027</v>
      </c>
      <c r="Z36" s="13">
        <f>TRANSICAO!$Z$36*CUSTOS!$T$3</f>
        <v>0</v>
      </c>
      <c r="AA36" s="13">
        <f>TRANSICAO!$AA$36*CUSTOS!$T$3</f>
        <v>0</v>
      </c>
      <c r="AB36" s="13">
        <f>TRANSICAO!$AB$36*CUSTOS!$T$3</f>
        <v>0</v>
      </c>
      <c r="AC36" s="13">
        <f>TRANSICAO!$AC$36*CUSTOS!$T$3</f>
        <v>103.0742</v>
      </c>
      <c r="AD36" s="13">
        <f>TRANSICAO!$AD$36*CUSTOS!$T$3</f>
        <v>0</v>
      </c>
      <c r="AE36" s="13">
        <v>0</v>
      </c>
      <c r="AF36" s="13">
        <v>0</v>
      </c>
      <c r="AG36" s="13"/>
      <c r="AH36" s="13">
        <f>(1 - CUSTOS!$M$29)*16.7582</f>
        <v>16.758199999999999</v>
      </c>
      <c r="AI36" s="13">
        <f>(1 - CUSTOS!$M$29)*16.7582</f>
        <v>16.758199999999999</v>
      </c>
      <c r="AJ36" s="13">
        <f ca="1">$N$64*(1-CUSTOS!$M$29)</f>
        <v>3.7210464945960515</v>
      </c>
      <c r="AK36" s="13">
        <f t="shared" ca="1" si="0"/>
        <v>3.7210464945960515</v>
      </c>
      <c r="AL36" s="13"/>
      <c r="AM36" s="13"/>
      <c r="AP36" s="13">
        <f>IF((1 - CUSTOS!$M$29)&lt;&gt;0,1/(1 - CUSTOS!$M$29),1)</f>
        <v>1</v>
      </c>
    </row>
    <row r="37" spans="1:42" ht="11.25" customHeight="1" x14ac:dyDescent="0.25">
      <c r="A37" s="142"/>
      <c r="B37" s="23" t="s">
        <v>23</v>
      </c>
      <c r="C37" s="23" t="s">
        <v>42</v>
      </c>
      <c r="D37" s="23" t="s">
        <v>91</v>
      </c>
      <c r="E37" s="23" t="s">
        <v>25</v>
      </c>
      <c r="F37" s="23" t="s">
        <v>25</v>
      </c>
      <c r="G37" s="24" t="s">
        <v>79</v>
      </c>
      <c r="H37" s="24" t="s">
        <v>75</v>
      </c>
      <c r="I37" s="24">
        <f>'MERCADO TUSD'!$U$34</f>
        <v>0</v>
      </c>
      <c r="J37" s="15"/>
      <c r="L37" s="13">
        <f>1*(1 - CUSTOS!$M$29)</f>
        <v>1</v>
      </c>
      <c r="M37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0.86406227275163194</v>
      </c>
      <c r="N37" s="13">
        <f ca="1">(+M37+O37+R37+U37+V37+W37+X37+Y37+Z37+AA37+AC37+AH37+AI37+AJ37+AK37)*CUSTOS!$M$5</f>
        <v>3.2851885526194371</v>
      </c>
      <c r="O37" s="13">
        <f>1 - CUSTOS!$M$29</f>
        <v>1</v>
      </c>
      <c r="P37" s="13">
        <f>1 - CUSTOS!$M$29</f>
        <v>1</v>
      </c>
      <c r="Q37" s="13">
        <f>1*(1 - CUSTOS!$M$29)</f>
        <v>1</v>
      </c>
      <c r="R37" s="13">
        <f>1 - CUSTOS!$M$29</f>
        <v>1</v>
      </c>
      <c r="S37" s="13">
        <f>1 - CUSTOS!$M$29</f>
        <v>1</v>
      </c>
      <c r="T37" s="13"/>
      <c r="U37" s="13">
        <f>TRANSICAO!$U$37*CUSTOS!$T$3</f>
        <v>0</v>
      </c>
      <c r="V37" s="13">
        <f>TRANSICAO!$V$37*CUSTOS!$T$3</f>
        <v>0</v>
      </c>
      <c r="W37" s="13">
        <f>TRANSICAO!$W$37*CUSTOS!$T$3</f>
        <v>0</v>
      </c>
      <c r="X37" s="13">
        <f>TRANSICAO!$X$37*CUSTOS!$T$3</f>
        <v>0</v>
      </c>
      <c r="Y37" s="13">
        <f>TRANSICAO!$Y$37*CUSTOS!$T$3</f>
        <v>103.8644</v>
      </c>
      <c r="Z37" s="13">
        <f>TRANSICAO!$Z$37*CUSTOS!$T$3</f>
        <v>0</v>
      </c>
      <c r="AA37" s="13">
        <f>TRANSICAO!$AA$37*CUSTOS!$T$3</f>
        <v>0</v>
      </c>
      <c r="AB37" s="13">
        <f>TRANSICAO!$AB$37*CUSTOS!$T$3</f>
        <v>0</v>
      </c>
      <c r="AC37" s="13">
        <f>TRANSICAO!$AC$37*CUSTOS!$T$3</f>
        <v>180.83189999999999</v>
      </c>
      <c r="AD37" s="13">
        <f>TRANSICAO!$AD$37*CUSTOS!$T$3</f>
        <v>0</v>
      </c>
      <c r="AE37" s="13">
        <v>0</v>
      </c>
      <c r="AF37" s="13">
        <v>0</v>
      </c>
      <c r="AG37" s="13"/>
      <c r="AH37" s="13">
        <f>(1 - CUSTOS!$M$29)*16.7582</f>
        <v>16.758199999999999</v>
      </c>
      <c r="AI37" s="13">
        <f>(1 - CUSTOS!$M$29)*16.7582</f>
        <v>16.758199999999999</v>
      </c>
      <c r="AJ37" s="13">
        <f ca="1">$N$64*(1-CUSTOS!$M$29)</f>
        <v>3.7210464945960515</v>
      </c>
      <c r="AK37" s="13">
        <f t="shared" ca="1" si="0"/>
        <v>3.7210464945960515</v>
      </c>
      <c r="AL37" s="13"/>
      <c r="AM37" s="13"/>
      <c r="AP37" s="13">
        <f>IF((1 - CUSTOS!$M$29)&lt;&gt;0,1/(1 - CUSTOS!$M$29),1)</f>
        <v>1</v>
      </c>
    </row>
    <row r="38" spans="1:42" ht="11.25" customHeight="1" x14ac:dyDescent="0.25">
      <c r="A38" s="142"/>
      <c r="B38" s="142" t="s">
        <v>32</v>
      </c>
      <c r="C38" s="142" t="s">
        <v>42</v>
      </c>
      <c r="D38" s="142" t="s">
        <v>92</v>
      </c>
      <c r="E38" s="142" t="s">
        <v>25</v>
      </c>
      <c r="F38" s="142" t="s">
        <v>25</v>
      </c>
      <c r="G38" s="24" t="s">
        <v>76</v>
      </c>
      <c r="H38" s="24" t="s">
        <v>75</v>
      </c>
      <c r="I38" s="24">
        <f>'MERCADO TUSD'!$U$35</f>
        <v>0</v>
      </c>
      <c r="J38" s="15"/>
      <c r="L38" s="13">
        <f>1*(1 - CUSTOS!$M$30)</f>
        <v>1</v>
      </c>
      <c r="M38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0.86406227275163194</v>
      </c>
      <c r="N38" s="13">
        <f ca="1">(+M38+O38+R38+U38+V38+W38+X38+Y38+Z38+AA38+AC38+AH38+AI38+AJ38+AK38)*CUSTOS!$M$5</f>
        <v>8.5520695526194377</v>
      </c>
      <c r="O38" s="13">
        <f>1 - CUSTOS!$M$30</f>
        <v>1</v>
      </c>
      <c r="P38" s="13">
        <f>1 - CUSTOS!$M$30</f>
        <v>1</v>
      </c>
      <c r="Q38" s="13">
        <f>1*(1 - CUSTOS!$M$30)</f>
        <v>1</v>
      </c>
      <c r="R38" s="13">
        <f>1 - CUSTOS!$M$30</f>
        <v>1</v>
      </c>
      <c r="S38" s="13">
        <f>1 - CUSTOS!$M$30</f>
        <v>1</v>
      </c>
      <c r="T38" s="13"/>
      <c r="U38" s="13">
        <f>TRANSICAO!$U$38*CUSTOS!$T$3</f>
        <v>0</v>
      </c>
      <c r="V38" s="13">
        <f>TRANSICAO!$V$38*CUSTOS!$T$3</f>
        <v>0</v>
      </c>
      <c r="W38" s="13">
        <f>TRANSICAO!$W$38*CUSTOS!$T$3</f>
        <v>0</v>
      </c>
      <c r="X38" s="13">
        <f>TRANSICAO!$X$38*CUSTOS!$T$3</f>
        <v>0</v>
      </c>
      <c r="Y38" s="13">
        <f>TRANSICAO!$Y$38*CUSTOS!$T$3</f>
        <v>296.0136</v>
      </c>
      <c r="Z38" s="13">
        <f>TRANSICAO!$Z$38*CUSTOS!$T$3</f>
        <v>0</v>
      </c>
      <c r="AA38" s="13">
        <f>TRANSICAO!$AA$38*CUSTOS!$T$3</f>
        <v>0</v>
      </c>
      <c r="AB38" s="13">
        <f>TRANSICAO!$AB$38*CUSTOS!$T$3</f>
        <v>0</v>
      </c>
      <c r="AC38" s="13">
        <f>TRANSICAO!$AC$38*CUSTOS!$T$3</f>
        <v>515.37080000000003</v>
      </c>
      <c r="AD38" s="13">
        <f>TRANSICAO!$AD$38*CUSTOS!$T$3</f>
        <v>0</v>
      </c>
      <c r="AE38" s="13">
        <v>0</v>
      </c>
      <c r="AF38" s="13">
        <v>0</v>
      </c>
      <c r="AG38" s="13"/>
      <c r="AH38" s="13">
        <f>(1 - CUSTOS!$M$30)*16.7582</f>
        <v>16.758199999999999</v>
      </c>
      <c r="AI38" s="13">
        <f>(1 - CUSTOS!$M$30)*16.7582</f>
        <v>16.758199999999999</v>
      </c>
      <c r="AJ38" s="13">
        <f ca="1">$N$64*(1-CUSTOS!$M$30)</f>
        <v>3.7210464945960515</v>
      </c>
      <c r="AK38" s="13">
        <f t="shared" ca="1" si="0"/>
        <v>3.7210464945960515</v>
      </c>
      <c r="AL38" s="13"/>
      <c r="AM38" s="13"/>
      <c r="AP38" s="13">
        <f>IF((1 - CUSTOS!$M$30)&lt;&gt;0,1/(1 - CUSTOS!$M$30),1)</f>
        <v>1</v>
      </c>
    </row>
    <row r="39" spans="1:42" ht="11.25" customHeight="1" x14ac:dyDescent="0.25">
      <c r="A39" s="142"/>
      <c r="B39" s="142"/>
      <c r="C39" s="142"/>
      <c r="D39" s="142"/>
      <c r="E39" s="142"/>
      <c r="F39" s="142"/>
      <c r="G39" s="24" t="s">
        <v>88</v>
      </c>
      <c r="H39" s="24" t="s">
        <v>75</v>
      </c>
      <c r="I39" s="24">
        <f>'MERCADO TUSD'!$U$36</f>
        <v>0</v>
      </c>
      <c r="J39" s="15"/>
      <c r="L39" s="13">
        <f>1*(1 - CUSTOS!$M$30)</f>
        <v>1</v>
      </c>
      <c r="M39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0.86406227275163194</v>
      </c>
      <c r="N39" s="13">
        <f ca="1">(+M39+O39+R39+U39+V39+W39+X39+Y39+Z39+AA39+AC39+AH39+AI39+AJ39+AK39)*CUSTOS!$M$5</f>
        <v>5.3065315526194379</v>
      </c>
      <c r="O39" s="13">
        <f>1 - CUSTOS!$M$30</f>
        <v>1</v>
      </c>
      <c r="P39" s="13">
        <f>1 - CUSTOS!$M$30</f>
        <v>1</v>
      </c>
      <c r="Q39" s="13">
        <f>1*(1 - CUSTOS!$M$30)</f>
        <v>1</v>
      </c>
      <c r="R39" s="13">
        <f>1 - CUSTOS!$M$30</f>
        <v>1</v>
      </c>
      <c r="S39" s="13">
        <f>1 - CUSTOS!$M$30</f>
        <v>1</v>
      </c>
      <c r="T39" s="13"/>
      <c r="U39" s="13">
        <f>TRANSICAO!$U$39*CUSTOS!$T$3</f>
        <v>0</v>
      </c>
      <c r="V39" s="13">
        <f>TRANSICAO!$V$39*CUSTOS!$T$3</f>
        <v>0</v>
      </c>
      <c r="W39" s="13">
        <f>TRANSICAO!$W$39*CUSTOS!$T$3</f>
        <v>0</v>
      </c>
      <c r="X39" s="13">
        <f>TRANSICAO!$X$39*CUSTOS!$T$3</f>
        <v>0</v>
      </c>
      <c r="Y39" s="13">
        <f>TRANSICAO!$Y$39*CUSTOS!$T$3</f>
        <v>177.60810000000001</v>
      </c>
      <c r="Z39" s="13">
        <f>TRANSICAO!$Z$39*CUSTOS!$T$3</f>
        <v>0</v>
      </c>
      <c r="AA39" s="13">
        <f>TRANSICAO!$AA$39*CUSTOS!$T$3</f>
        <v>0</v>
      </c>
      <c r="AB39" s="13">
        <f>TRANSICAO!$AB$39*CUSTOS!$T$3</f>
        <v>0</v>
      </c>
      <c r="AC39" s="13">
        <f>TRANSICAO!$AC$39*CUSTOS!$T$3</f>
        <v>309.22250000000003</v>
      </c>
      <c r="AD39" s="13">
        <f>TRANSICAO!$AD$39*CUSTOS!$T$3</f>
        <v>0</v>
      </c>
      <c r="AE39" s="13">
        <v>0</v>
      </c>
      <c r="AF39" s="13">
        <v>0</v>
      </c>
      <c r="AG39" s="13"/>
      <c r="AH39" s="13">
        <f>(1 - CUSTOS!$M$30)*16.7582</f>
        <v>16.758199999999999</v>
      </c>
      <c r="AI39" s="13">
        <f>(1 - CUSTOS!$M$30)*16.7582</f>
        <v>16.758199999999999</v>
      </c>
      <c r="AJ39" s="13">
        <f ca="1">$N$64*(1-CUSTOS!$M$30)</f>
        <v>3.7210464945960515</v>
      </c>
      <c r="AK39" s="13">
        <f t="shared" ca="1" si="0"/>
        <v>3.7210464945960515</v>
      </c>
      <c r="AL39" s="13"/>
      <c r="AM39" s="13"/>
      <c r="AP39" s="13">
        <f>IF((1 - CUSTOS!$M$30)&lt;&gt;0,1/(1 - CUSTOS!$M$30),1)</f>
        <v>1</v>
      </c>
    </row>
    <row r="40" spans="1:42" ht="11.25" customHeight="1" x14ac:dyDescent="0.25">
      <c r="A40" s="142"/>
      <c r="B40" s="142"/>
      <c r="C40" s="142"/>
      <c r="D40" s="142"/>
      <c r="E40" s="142"/>
      <c r="F40" s="142"/>
      <c r="G40" s="24" t="s">
        <v>77</v>
      </c>
      <c r="H40" s="24" t="s">
        <v>75</v>
      </c>
      <c r="I40" s="24">
        <f>'MERCADO TUSD'!$U$37</f>
        <v>0</v>
      </c>
      <c r="J40" s="15"/>
      <c r="L40" s="13">
        <f>1*(1 - CUSTOS!$M$30)</f>
        <v>1</v>
      </c>
      <c r="M40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0.86406227275163194</v>
      </c>
      <c r="N40" s="13">
        <f ca="1">(+M40+O40+R40+U40+V40+W40+X40+Y40+Z40+AA40+AC40+AH40+AI40+AJ40+AK40)*CUSTOS!$M$5</f>
        <v>2.0609945526194369</v>
      </c>
      <c r="O40" s="13">
        <f>1 - CUSTOS!$M$30</f>
        <v>1</v>
      </c>
      <c r="P40" s="13">
        <f>1 - CUSTOS!$M$30</f>
        <v>1</v>
      </c>
      <c r="Q40" s="13">
        <f>1*(1 - CUSTOS!$M$30)</f>
        <v>1</v>
      </c>
      <c r="R40" s="13">
        <f>1 - CUSTOS!$M$30</f>
        <v>1</v>
      </c>
      <c r="S40" s="13">
        <f>1 - CUSTOS!$M$30</f>
        <v>1</v>
      </c>
      <c r="T40" s="13"/>
      <c r="U40" s="13">
        <f>TRANSICAO!$U$40*CUSTOS!$T$3</f>
        <v>0</v>
      </c>
      <c r="V40" s="13">
        <f>TRANSICAO!$V$40*CUSTOS!$T$3</f>
        <v>0</v>
      </c>
      <c r="W40" s="13">
        <f>TRANSICAO!$W$40*CUSTOS!$T$3</f>
        <v>0</v>
      </c>
      <c r="X40" s="13">
        <f>TRANSICAO!$X$40*CUSTOS!$T$3</f>
        <v>0</v>
      </c>
      <c r="Y40" s="13">
        <f>TRANSICAO!$Y$40*CUSTOS!$T$3</f>
        <v>59.2027</v>
      </c>
      <c r="Z40" s="13">
        <f>TRANSICAO!$Z$40*CUSTOS!$T$3</f>
        <v>0</v>
      </c>
      <c r="AA40" s="13">
        <f>TRANSICAO!$AA$40*CUSTOS!$T$3</f>
        <v>0</v>
      </c>
      <c r="AB40" s="13">
        <f>TRANSICAO!$AB$40*CUSTOS!$T$3</f>
        <v>0</v>
      </c>
      <c r="AC40" s="13">
        <f>TRANSICAO!$AC$40*CUSTOS!$T$3</f>
        <v>103.0742</v>
      </c>
      <c r="AD40" s="13">
        <f>TRANSICAO!$AD$40*CUSTOS!$T$3</f>
        <v>0</v>
      </c>
      <c r="AE40" s="13">
        <v>0</v>
      </c>
      <c r="AF40" s="13">
        <v>0</v>
      </c>
      <c r="AG40" s="13"/>
      <c r="AH40" s="13">
        <f>(1 - CUSTOS!$M$30)*16.7582</f>
        <v>16.758199999999999</v>
      </c>
      <c r="AI40" s="13">
        <f>(1 - CUSTOS!$M$30)*16.7582</f>
        <v>16.758199999999999</v>
      </c>
      <c r="AJ40" s="13">
        <f ca="1">$N$64*(1-CUSTOS!$M$30)</f>
        <v>3.7210464945960515</v>
      </c>
      <c r="AK40" s="13">
        <f t="shared" ca="1" si="0"/>
        <v>3.7210464945960515</v>
      </c>
      <c r="AL40" s="13"/>
      <c r="AM40" s="13"/>
      <c r="AP40" s="13">
        <f>IF((1 - CUSTOS!$M$30)&lt;&gt;0,1/(1 - CUSTOS!$M$30),1)</f>
        <v>1</v>
      </c>
    </row>
    <row r="41" spans="1:42" ht="11.25" customHeight="1" x14ac:dyDescent="0.25">
      <c r="A41" s="142"/>
      <c r="B41" s="23" t="s">
        <v>23</v>
      </c>
      <c r="C41" s="23" t="s">
        <v>42</v>
      </c>
      <c r="D41" s="23" t="s">
        <v>92</v>
      </c>
      <c r="E41" s="23" t="s">
        <v>25</v>
      </c>
      <c r="F41" s="23" t="s">
        <v>25</v>
      </c>
      <c r="G41" s="24" t="s">
        <v>79</v>
      </c>
      <c r="H41" s="24" t="s">
        <v>75</v>
      </c>
      <c r="I41" s="24">
        <f>'MERCADO TUSD'!$U$38</f>
        <v>0</v>
      </c>
      <c r="J41" s="15"/>
      <c r="L41" s="13">
        <f>1*(1 - CUSTOS!$M$30)</f>
        <v>1</v>
      </c>
      <c r="M41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0.86406227275163194</v>
      </c>
      <c r="N41" s="13">
        <f ca="1">(+M41+O41+R41+U41+V41+W41+X41+Y41+Z41+AA41+AC41+AH41+AI41+AJ41+AK41)*CUSTOS!$M$5</f>
        <v>3.2851885526194371</v>
      </c>
      <c r="O41" s="13">
        <f>1 - CUSTOS!$M$30</f>
        <v>1</v>
      </c>
      <c r="P41" s="13">
        <f>1 - CUSTOS!$M$30</f>
        <v>1</v>
      </c>
      <c r="Q41" s="13">
        <f>1*(1 - CUSTOS!$M$30)</f>
        <v>1</v>
      </c>
      <c r="R41" s="13">
        <f>1 - CUSTOS!$M$30</f>
        <v>1</v>
      </c>
      <c r="S41" s="13">
        <f>1 - CUSTOS!$M$30</f>
        <v>1</v>
      </c>
      <c r="T41" s="13"/>
      <c r="U41" s="13">
        <f>TRANSICAO!$U$41*CUSTOS!$T$3</f>
        <v>0</v>
      </c>
      <c r="V41" s="13">
        <f>TRANSICAO!$V$41*CUSTOS!$T$3</f>
        <v>0</v>
      </c>
      <c r="W41" s="13">
        <f>TRANSICAO!$W$41*CUSTOS!$T$3</f>
        <v>0</v>
      </c>
      <c r="X41" s="13">
        <f>TRANSICAO!$X$41*CUSTOS!$T$3</f>
        <v>0</v>
      </c>
      <c r="Y41" s="13">
        <f>TRANSICAO!$Y$41*CUSTOS!$T$3</f>
        <v>103.8644</v>
      </c>
      <c r="Z41" s="13">
        <f>TRANSICAO!$Z$41*CUSTOS!$T$3</f>
        <v>0</v>
      </c>
      <c r="AA41" s="13">
        <f>TRANSICAO!$AA$41*CUSTOS!$T$3</f>
        <v>0</v>
      </c>
      <c r="AB41" s="13">
        <f>TRANSICAO!$AB$41*CUSTOS!$T$3</f>
        <v>0</v>
      </c>
      <c r="AC41" s="13">
        <f>TRANSICAO!$AC$41*CUSTOS!$T$3</f>
        <v>180.83189999999999</v>
      </c>
      <c r="AD41" s="13">
        <f>TRANSICAO!$AD$41*CUSTOS!$T$3</f>
        <v>0</v>
      </c>
      <c r="AE41" s="13">
        <v>0</v>
      </c>
      <c r="AF41" s="13">
        <v>0</v>
      </c>
      <c r="AG41" s="13"/>
      <c r="AH41" s="13">
        <f>(1 - CUSTOS!$M$30)*16.7582</f>
        <v>16.758199999999999</v>
      </c>
      <c r="AI41" s="13">
        <f>(1 - CUSTOS!$M$30)*16.7582</f>
        <v>16.758199999999999</v>
      </c>
      <c r="AJ41" s="13">
        <f ca="1">$N$64*(1-CUSTOS!$M$30)</f>
        <v>3.7210464945960515</v>
      </c>
      <c r="AK41" s="13">
        <f t="shared" ca="1" si="0"/>
        <v>3.7210464945960515</v>
      </c>
      <c r="AL41" s="13"/>
      <c r="AM41" s="13"/>
      <c r="AP41" s="13">
        <f>IF((1 - CUSTOS!$M$30)&lt;&gt;0,1/(1 - CUSTOS!$M$30),1)</f>
        <v>1</v>
      </c>
    </row>
    <row r="42" spans="1:42" ht="11.25" customHeight="1" x14ac:dyDescent="0.25">
      <c r="A42" s="142"/>
      <c r="B42" s="142" t="s">
        <v>90</v>
      </c>
      <c r="C42" s="142" t="s">
        <v>42</v>
      </c>
      <c r="D42" s="23" t="s">
        <v>25</v>
      </c>
      <c r="E42" s="23" t="s">
        <v>25</v>
      </c>
      <c r="F42" s="23" t="s">
        <v>25</v>
      </c>
      <c r="G42" s="24" t="s">
        <v>79</v>
      </c>
      <c r="H42" s="24" t="s">
        <v>75</v>
      </c>
      <c r="I42" s="24">
        <f>'MERCADO TUSD'!$U$39</f>
        <v>0</v>
      </c>
      <c r="J42" s="15"/>
      <c r="L42" s="13">
        <f>1*(1 - CUSTOS!$M$28)</f>
        <v>1</v>
      </c>
      <c r="M42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0.86406227275163194</v>
      </c>
      <c r="N42" s="13">
        <f ca="1">(+M42+O42+R42+U42+V42+W42+X42+Y42+Z42+AA42+AC42+AH42+AI42+AJ42+AK42)*CUSTOS!$M$5</f>
        <v>3.2851885526194371</v>
      </c>
      <c r="O42" s="13">
        <f>1 - CUSTOS!$M$28</f>
        <v>1</v>
      </c>
      <c r="P42" s="13">
        <f>1 - CUSTOS!$M$28</f>
        <v>1</v>
      </c>
      <c r="Q42" s="13">
        <f>1*(1 - CUSTOS!$M$28)</f>
        <v>1</v>
      </c>
      <c r="R42" s="13">
        <f>1 - CUSTOS!$M$28</f>
        <v>1</v>
      </c>
      <c r="S42" s="13">
        <f>1 - CUSTOS!$M$28</f>
        <v>1</v>
      </c>
      <c r="T42" s="13"/>
      <c r="U42" s="13">
        <f>TRANSICAO!$U$42*CUSTOS!$T$3</f>
        <v>0</v>
      </c>
      <c r="V42" s="13">
        <f>TRANSICAO!$V$42*CUSTOS!$T$3</f>
        <v>0</v>
      </c>
      <c r="W42" s="13">
        <f>TRANSICAO!$W$42*CUSTOS!$T$3</f>
        <v>0</v>
      </c>
      <c r="X42" s="13">
        <f>TRANSICAO!$X$42*CUSTOS!$T$3</f>
        <v>0</v>
      </c>
      <c r="Y42" s="13">
        <f>TRANSICAO!$Y$42*CUSTOS!$T$3</f>
        <v>103.8644</v>
      </c>
      <c r="Z42" s="13">
        <f>TRANSICAO!$Z$42*CUSTOS!$T$3</f>
        <v>0</v>
      </c>
      <c r="AA42" s="13">
        <f>TRANSICAO!$AA$42*CUSTOS!$T$3</f>
        <v>0</v>
      </c>
      <c r="AB42" s="13">
        <f>TRANSICAO!$AB$42*CUSTOS!$T$3</f>
        <v>0</v>
      </c>
      <c r="AC42" s="13">
        <f>TRANSICAO!$AC$42*CUSTOS!$T$3</f>
        <v>180.83189999999999</v>
      </c>
      <c r="AD42" s="13">
        <f>TRANSICAO!$AD$42*CUSTOS!$T$3</f>
        <v>0</v>
      </c>
      <c r="AE42" s="13">
        <v>0</v>
      </c>
      <c r="AF42" s="13">
        <v>0</v>
      </c>
      <c r="AG42" s="13"/>
      <c r="AH42" s="13">
        <f>(1 - CUSTOS!$M$28)*16.7582</f>
        <v>16.758199999999999</v>
      </c>
      <c r="AI42" s="13">
        <f>(1 - CUSTOS!$M$28)*16.7582</f>
        <v>16.758199999999999</v>
      </c>
      <c r="AJ42" s="13">
        <f ca="1">$N$64*(1-CUSTOS!$M$28)</f>
        <v>3.7210464945960515</v>
      </c>
      <c r="AK42" s="13">
        <f t="shared" ca="1" si="0"/>
        <v>3.7210464945960515</v>
      </c>
      <c r="AL42" s="13"/>
      <c r="AM42" s="13"/>
      <c r="AP42" s="13">
        <f>IF((1 - CUSTOS!$M$28)&lt;&gt;0,1/(1 - CUSTOS!$M$28),1)</f>
        <v>1</v>
      </c>
    </row>
    <row r="43" spans="1:42" ht="11.25" customHeight="1" x14ac:dyDescent="0.25">
      <c r="A43" s="142"/>
      <c r="B43" s="142"/>
      <c r="C43" s="142"/>
      <c r="D43" s="23" t="s">
        <v>91</v>
      </c>
      <c r="E43" s="23" t="s">
        <v>25</v>
      </c>
      <c r="F43" s="23" t="s">
        <v>25</v>
      </c>
      <c r="G43" s="24" t="s">
        <v>79</v>
      </c>
      <c r="H43" s="24" t="s">
        <v>75</v>
      </c>
      <c r="I43" s="24">
        <f>'MERCADO TUSD'!$U$40</f>
        <v>0</v>
      </c>
      <c r="J43" s="15"/>
      <c r="L43" s="13">
        <f>1*(1 - CUSTOS!$M$29)</f>
        <v>1</v>
      </c>
      <c r="M43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0.86406227275163194</v>
      </c>
      <c r="N43" s="13">
        <f ca="1">(+M43+O43+R43+U43+V43+W43+X43+Y43+Z43+AA43+AC43+AH43+AI43+AJ43+AK43)*CUSTOS!$M$5</f>
        <v>3.2851885526194371</v>
      </c>
      <c r="O43" s="13">
        <f>1 - CUSTOS!$M$29</f>
        <v>1</v>
      </c>
      <c r="P43" s="13">
        <f>1 - CUSTOS!$M$29</f>
        <v>1</v>
      </c>
      <c r="Q43" s="13">
        <f>1*(1 - CUSTOS!$M$29)</f>
        <v>1</v>
      </c>
      <c r="R43" s="13">
        <f>1 - CUSTOS!$M$29</f>
        <v>1</v>
      </c>
      <c r="S43" s="13">
        <f>1 - CUSTOS!$M$29</f>
        <v>1</v>
      </c>
      <c r="T43" s="13"/>
      <c r="U43" s="13">
        <f>TRANSICAO!$U$43*CUSTOS!$T$3</f>
        <v>0</v>
      </c>
      <c r="V43" s="13">
        <f>TRANSICAO!$V$43*CUSTOS!$T$3</f>
        <v>0</v>
      </c>
      <c r="W43" s="13">
        <f>TRANSICAO!$W$43*CUSTOS!$T$3</f>
        <v>0</v>
      </c>
      <c r="X43" s="13">
        <f>TRANSICAO!$X$43*CUSTOS!$T$3</f>
        <v>0</v>
      </c>
      <c r="Y43" s="13">
        <f>TRANSICAO!$Y$43*CUSTOS!$T$3</f>
        <v>103.8644</v>
      </c>
      <c r="Z43" s="13">
        <f>TRANSICAO!$Z$43*CUSTOS!$T$3</f>
        <v>0</v>
      </c>
      <c r="AA43" s="13">
        <f>TRANSICAO!$AA$43*CUSTOS!$T$3</f>
        <v>0</v>
      </c>
      <c r="AB43" s="13">
        <f>TRANSICAO!$AB$43*CUSTOS!$T$3</f>
        <v>0</v>
      </c>
      <c r="AC43" s="13">
        <f>TRANSICAO!$AC$43*CUSTOS!$T$3</f>
        <v>180.83189999999999</v>
      </c>
      <c r="AD43" s="13">
        <f>TRANSICAO!$AD$43*CUSTOS!$T$3</f>
        <v>0</v>
      </c>
      <c r="AE43" s="13">
        <v>0</v>
      </c>
      <c r="AF43" s="13">
        <v>0</v>
      </c>
      <c r="AG43" s="13"/>
      <c r="AH43" s="13">
        <f>(1 - CUSTOS!$M$29)*16.7582</f>
        <v>16.758199999999999</v>
      </c>
      <c r="AI43" s="13">
        <f>(1 - CUSTOS!$M$29)*16.7582</f>
        <v>16.758199999999999</v>
      </c>
      <c r="AJ43" s="13">
        <f ca="1">$N$64*(1-CUSTOS!$M$29)</f>
        <v>3.7210464945960515</v>
      </c>
      <c r="AK43" s="13">
        <f t="shared" ca="1" si="0"/>
        <v>3.7210464945960515</v>
      </c>
      <c r="AL43" s="13"/>
      <c r="AM43" s="13"/>
      <c r="AP43" s="13">
        <f>IF((1 - CUSTOS!$M$29)&lt;&gt;0,1/(1 - CUSTOS!$M$29),1)</f>
        <v>1</v>
      </c>
    </row>
    <row r="44" spans="1:42" ht="11.25" customHeight="1" x14ac:dyDescent="0.25">
      <c r="A44" s="142"/>
      <c r="B44" s="142"/>
      <c r="C44" s="142"/>
      <c r="D44" s="23" t="s">
        <v>92</v>
      </c>
      <c r="E44" s="23" t="s">
        <v>25</v>
      </c>
      <c r="F44" s="23" t="s">
        <v>25</v>
      </c>
      <c r="G44" s="24" t="s">
        <v>79</v>
      </c>
      <c r="H44" s="24" t="s">
        <v>75</v>
      </c>
      <c r="I44" s="24">
        <f>'MERCADO TUSD'!$U$41</f>
        <v>0</v>
      </c>
      <c r="J44" s="15"/>
      <c r="L44" s="13">
        <f>1*(1 - CUSTOS!$M$30)</f>
        <v>1</v>
      </c>
      <c r="M44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0.86406227275163194</v>
      </c>
      <c r="N44" s="13">
        <f ca="1">(+M44+O44+R44+U44+V44+W44+X44+Y44+Z44+AA44+AC44+AH44+AI44+AJ44+AK44)*CUSTOS!$M$5</f>
        <v>3.2851885526194371</v>
      </c>
      <c r="O44" s="13">
        <f>1 - CUSTOS!$M$30</f>
        <v>1</v>
      </c>
      <c r="P44" s="13">
        <f>1 - CUSTOS!$M$30</f>
        <v>1</v>
      </c>
      <c r="Q44" s="13">
        <f>1*(1 - CUSTOS!$M$30)</f>
        <v>1</v>
      </c>
      <c r="R44" s="13">
        <f>1 - CUSTOS!$M$30</f>
        <v>1</v>
      </c>
      <c r="S44" s="13">
        <f>1 - CUSTOS!$M$30</f>
        <v>1</v>
      </c>
      <c r="T44" s="13"/>
      <c r="U44" s="13">
        <f>TRANSICAO!$U$44*CUSTOS!$T$3</f>
        <v>0</v>
      </c>
      <c r="V44" s="13">
        <f>TRANSICAO!$V$44*CUSTOS!$T$3</f>
        <v>0</v>
      </c>
      <c r="W44" s="13">
        <f>TRANSICAO!$W$44*CUSTOS!$T$3</f>
        <v>0</v>
      </c>
      <c r="X44" s="13">
        <f>TRANSICAO!$X$44*CUSTOS!$T$3</f>
        <v>0</v>
      </c>
      <c r="Y44" s="13">
        <f>TRANSICAO!$Y$44*CUSTOS!$T$3</f>
        <v>103.8644</v>
      </c>
      <c r="Z44" s="13">
        <f>TRANSICAO!$Z$44*CUSTOS!$T$3</f>
        <v>0</v>
      </c>
      <c r="AA44" s="13">
        <f>TRANSICAO!$AA$44*CUSTOS!$T$3</f>
        <v>0</v>
      </c>
      <c r="AB44" s="13">
        <f>TRANSICAO!$AB$44*CUSTOS!$T$3</f>
        <v>0</v>
      </c>
      <c r="AC44" s="13">
        <f>TRANSICAO!$AC$44*CUSTOS!$T$3</f>
        <v>180.83189999999999</v>
      </c>
      <c r="AD44" s="13">
        <f>TRANSICAO!$AD$44*CUSTOS!$T$3</f>
        <v>0</v>
      </c>
      <c r="AE44" s="13">
        <v>0</v>
      </c>
      <c r="AF44" s="13">
        <v>0</v>
      </c>
      <c r="AG44" s="13"/>
      <c r="AH44" s="13">
        <f>(1 - CUSTOS!$M$30)*16.7582</f>
        <v>16.758199999999999</v>
      </c>
      <c r="AI44" s="13">
        <f>(1 - CUSTOS!$M$30)*16.7582</f>
        <v>16.758199999999999</v>
      </c>
      <c r="AJ44" s="13">
        <f ca="1">$N$64*(1-CUSTOS!$M$30)</f>
        <v>3.7210464945960515</v>
      </c>
      <c r="AK44" s="13">
        <f t="shared" ca="1" si="0"/>
        <v>3.7210464945960515</v>
      </c>
      <c r="AL44" s="13"/>
      <c r="AM44" s="13"/>
      <c r="AP44" s="13">
        <f>IF((1 - CUSTOS!$M$30)&lt;&gt;0,1/(1 - CUSTOS!$M$30),1)</f>
        <v>1</v>
      </c>
    </row>
    <row r="45" spans="1:42" ht="11.25" customHeight="1" x14ac:dyDescent="0.25">
      <c r="A45" s="142" t="s">
        <v>36</v>
      </c>
      <c r="B45" s="142" t="s">
        <v>32</v>
      </c>
      <c r="C45" s="142" t="s">
        <v>25</v>
      </c>
      <c r="D45" s="142" t="s">
        <v>25</v>
      </c>
      <c r="E45" s="142" t="s">
        <v>25</v>
      </c>
      <c r="F45" s="142" t="s">
        <v>25</v>
      </c>
      <c r="G45" s="24" t="s">
        <v>76</v>
      </c>
      <c r="H45" s="24" t="s">
        <v>75</v>
      </c>
      <c r="I45" s="24">
        <f>'MERCADO TUSD'!$U$42</f>
        <v>0.33600000000000008</v>
      </c>
      <c r="J45" s="15"/>
      <c r="L45" s="13">
        <f>1*(1 - CUSTOS!$M$31)</f>
        <v>1</v>
      </c>
      <c r="M45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0.86406227275163194</v>
      </c>
      <c r="N45" s="13">
        <f ca="1">(+M45+O45+R45+U45+V45+W45+X45+Y45+Z45+AA45+AC45+AH45+AI45+AJ45+AK45)*CUSTOS!$M$5</f>
        <v>9.8332035526194357</v>
      </c>
      <c r="O45" s="13">
        <f>1 - CUSTOS!$M$31</f>
        <v>1</v>
      </c>
      <c r="P45" s="13">
        <f>1 - CUSTOS!$M$31</f>
        <v>1</v>
      </c>
      <c r="Q45" s="13">
        <f>1*(1 - CUSTOS!$M$31)</f>
        <v>1</v>
      </c>
      <c r="R45" s="13">
        <f>1 - CUSTOS!$M$31</f>
        <v>1</v>
      </c>
      <c r="S45" s="13">
        <f>1 - CUSTOS!$M$31</f>
        <v>1</v>
      </c>
      <c r="T45" s="13"/>
      <c r="U45" s="13">
        <f>TRANSICAO!$U$45*CUSTOS!$T$3</f>
        <v>0</v>
      </c>
      <c r="V45" s="13">
        <f>TRANSICAO!$V$45*CUSTOS!$T$3</f>
        <v>0</v>
      </c>
      <c r="W45" s="13">
        <f>TRANSICAO!$W$45*CUSTOS!$T$3</f>
        <v>0</v>
      </c>
      <c r="X45" s="13">
        <f>TRANSICAO!$X$45*CUSTOS!$T$3</f>
        <v>0</v>
      </c>
      <c r="Y45" s="13">
        <f>TRANSICAO!$Y$45*CUSTOS!$T$3</f>
        <v>342.75259999999997</v>
      </c>
      <c r="Z45" s="13">
        <f>TRANSICAO!$Z$45*CUSTOS!$T$3</f>
        <v>0</v>
      </c>
      <c r="AA45" s="13">
        <f>TRANSICAO!$AA$45*CUSTOS!$T$3</f>
        <v>0</v>
      </c>
      <c r="AB45" s="13">
        <f>TRANSICAO!$AB$45*CUSTOS!$T$3</f>
        <v>0</v>
      </c>
      <c r="AC45" s="13">
        <f>TRANSICAO!$AC$45*CUSTOS!$T$3</f>
        <v>596.74519999999995</v>
      </c>
      <c r="AD45" s="13">
        <f>TRANSICAO!$AD$45*CUSTOS!$T$3</f>
        <v>0</v>
      </c>
      <c r="AE45" s="13">
        <v>0</v>
      </c>
      <c r="AF45" s="13">
        <v>0</v>
      </c>
      <c r="AG45" s="13"/>
      <c r="AH45" s="13">
        <f>(1 - CUSTOS!$M$31)*16.7582</f>
        <v>16.758199999999999</v>
      </c>
      <c r="AI45" s="13">
        <f>(1 - CUSTOS!$M$31)*16.7582</f>
        <v>16.758199999999999</v>
      </c>
      <c r="AJ45" s="13">
        <f ca="1">$N$64*(1-CUSTOS!$M$31)</f>
        <v>3.7210464945960515</v>
      </c>
      <c r="AK45" s="13">
        <f t="shared" ca="1" si="0"/>
        <v>3.7210464945960515</v>
      </c>
      <c r="AL45" s="13"/>
      <c r="AM45" s="13"/>
      <c r="AP45" s="13">
        <f>IF((1 - CUSTOS!$M$31)&lt;&gt;0,1/(1 - CUSTOS!$M$31),1)</f>
        <v>1</v>
      </c>
    </row>
    <row r="46" spans="1:42" ht="11.25" customHeight="1" x14ac:dyDescent="0.25">
      <c r="A46" s="142"/>
      <c r="B46" s="142"/>
      <c r="C46" s="142"/>
      <c r="D46" s="142"/>
      <c r="E46" s="142"/>
      <c r="F46" s="142"/>
      <c r="G46" s="24" t="s">
        <v>88</v>
      </c>
      <c r="H46" s="24" t="s">
        <v>75</v>
      </c>
      <c r="I46" s="24">
        <f>'MERCADO TUSD'!$U$43</f>
        <v>0.45900000000000007</v>
      </c>
      <c r="J46" s="15"/>
      <c r="L46" s="13">
        <f>1*(1 - CUSTOS!$M$31)</f>
        <v>1</v>
      </c>
      <c r="M46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0.86406227275163194</v>
      </c>
      <c r="N46" s="13">
        <f ca="1">(+M46+O46+R46+U46+V46+W46+X46+Y46+Z46+AA46+AC46+AH46+AI46+AJ46+AK46)*CUSTOS!$M$5</f>
        <v>6.0752115526194368</v>
      </c>
      <c r="O46" s="13">
        <f>1 - CUSTOS!$M$31</f>
        <v>1</v>
      </c>
      <c r="P46" s="13">
        <f>1 - CUSTOS!$M$31</f>
        <v>1</v>
      </c>
      <c r="Q46" s="13">
        <f>1*(1 - CUSTOS!$M$31)</f>
        <v>1</v>
      </c>
      <c r="R46" s="13">
        <f>1 - CUSTOS!$M$31</f>
        <v>1</v>
      </c>
      <c r="S46" s="13">
        <f>1 - CUSTOS!$M$31</f>
        <v>1</v>
      </c>
      <c r="T46" s="13"/>
      <c r="U46" s="13">
        <f>TRANSICAO!$U$46*CUSTOS!$T$3</f>
        <v>0</v>
      </c>
      <c r="V46" s="13">
        <f>TRANSICAO!$V$46*CUSTOS!$T$3</f>
        <v>0</v>
      </c>
      <c r="W46" s="13">
        <f>TRANSICAO!$W$46*CUSTOS!$T$3</f>
        <v>0</v>
      </c>
      <c r="X46" s="13">
        <f>TRANSICAO!$X$46*CUSTOS!$T$3</f>
        <v>0</v>
      </c>
      <c r="Y46" s="13">
        <f>TRANSICAO!$Y$46*CUSTOS!$T$3</f>
        <v>205.6515</v>
      </c>
      <c r="Z46" s="13">
        <f>TRANSICAO!$Z$46*CUSTOS!$T$3</f>
        <v>0</v>
      </c>
      <c r="AA46" s="13">
        <f>TRANSICAO!$AA$46*CUSTOS!$T$3</f>
        <v>0</v>
      </c>
      <c r="AB46" s="13">
        <f>TRANSICAO!$AB$46*CUSTOS!$T$3</f>
        <v>0</v>
      </c>
      <c r="AC46" s="13">
        <f>TRANSICAO!$AC$46*CUSTOS!$T$3</f>
        <v>358.0471</v>
      </c>
      <c r="AD46" s="13">
        <f>TRANSICAO!$AD$46*CUSTOS!$T$3</f>
        <v>0</v>
      </c>
      <c r="AE46" s="13">
        <v>0</v>
      </c>
      <c r="AF46" s="13">
        <v>0</v>
      </c>
      <c r="AG46" s="13"/>
      <c r="AH46" s="13">
        <f>(1 - CUSTOS!$M$31)*16.7582</f>
        <v>16.758199999999999</v>
      </c>
      <c r="AI46" s="13">
        <f>(1 - CUSTOS!$M$31)*16.7582</f>
        <v>16.758199999999999</v>
      </c>
      <c r="AJ46" s="13">
        <f ca="1">$N$64*(1-CUSTOS!$M$31)</f>
        <v>3.7210464945960515</v>
      </c>
      <c r="AK46" s="13">
        <f t="shared" ca="1" si="0"/>
        <v>3.7210464945960515</v>
      </c>
      <c r="AL46" s="13"/>
      <c r="AM46" s="13"/>
      <c r="AP46" s="13">
        <f>IF((1 - CUSTOS!$M$31)&lt;&gt;0,1/(1 - CUSTOS!$M$31),1)</f>
        <v>1</v>
      </c>
    </row>
    <row r="47" spans="1:42" ht="11.25" customHeight="1" x14ac:dyDescent="0.25">
      <c r="A47" s="142"/>
      <c r="B47" s="142"/>
      <c r="C47" s="142"/>
      <c r="D47" s="142"/>
      <c r="E47" s="142"/>
      <c r="F47" s="142"/>
      <c r="G47" s="24" t="s">
        <v>77</v>
      </c>
      <c r="H47" s="24" t="s">
        <v>75</v>
      </c>
      <c r="I47" s="24">
        <f>'MERCADO TUSD'!$U$44</f>
        <v>10.576000000000001</v>
      </c>
      <c r="J47" s="15"/>
      <c r="L47" s="13">
        <f>1*(1 - CUSTOS!$M$31)</f>
        <v>1</v>
      </c>
      <c r="M47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0.86406227275163194</v>
      </c>
      <c r="N47" s="13">
        <f ca="1">(+M47+O47+R47+U47+V47+W47+X47+Y47+Z47+AA47+AC47+AH47+AI47+AJ47+AK47)*CUSTOS!$M$5</f>
        <v>2.3172205526194372</v>
      </c>
      <c r="O47" s="13">
        <f>1 - CUSTOS!$M$31</f>
        <v>1</v>
      </c>
      <c r="P47" s="13">
        <f>1 - CUSTOS!$M$31</f>
        <v>1</v>
      </c>
      <c r="Q47" s="13">
        <f>1*(1 - CUSTOS!$M$31)</f>
        <v>1</v>
      </c>
      <c r="R47" s="13">
        <f>1 - CUSTOS!$M$31</f>
        <v>1</v>
      </c>
      <c r="S47" s="13">
        <f>1 - CUSTOS!$M$31</f>
        <v>1</v>
      </c>
      <c r="T47" s="13"/>
      <c r="U47" s="13">
        <f>TRANSICAO!$U$47*CUSTOS!$T$3</f>
        <v>0</v>
      </c>
      <c r="V47" s="13">
        <f>TRANSICAO!$V$47*CUSTOS!$T$3</f>
        <v>0</v>
      </c>
      <c r="W47" s="13">
        <f>TRANSICAO!$W$47*CUSTOS!$T$3</f>
        <v>0</v>
      </c>
      <c r="X47" s="13">
        <f>TRANSICAO!$X$47*CUSTOS!$T$3</f>
        <v>0</v>
      </c>
      <c r="Y47" s="13">
        <f>TRANSICAO!$Y$47*CUSTOS!$T$3</f>
        <v>68.5505</v>
      </c>
      <c r="Z47" s="13">
        <f>TRANSICAO!$Z$47*CUSTOS!$T$3</f>
        <v>0</v>
      </c>
      <c r="AA47" s="13">
        <f>TRANSICAO!$AA$47*CUSTOS!$T$3</f>
        <v>0</v>
      </c>
      <c r="AB47" s="13">
        <f>TRANSICAO!$AB$47*CUSTOS!$T$3</f>
        <v>0</v>
      </c>
      <c r="AC47" s="13">
        <f>TRANSICAO!$AC$47*CUSTOS!$T$3</f>
        <v>119.349</v>
      </c>
      <c r="AD47" s="13">
        <f>TRANSICAO!$AD$47*CUSTOS!$T$3</f>
        <v>0</v>
      </c>
      <c r="AE47" s="13">
        <v>0</v>
      </c>
      <c r="AF47" s="13">
        <v>0</v>
      </c>
      <c r="AG47" s="13"/>
      <c r="AH47" s="13">
        <f>(1 - CUSTOS!$M$31)*16.7582</f>
        <v>16.758199999999999</v>
      </c>
      <c r="AI47" s="13">
        <f>(1 - CUSTOS!$M$31)*16.7582</f>
        <v>16.758199999999999</v>
      </c>
      <c r="AJ47" s="13">
        <f ca="1">$N$64*(1-CUSTOS!$M$31)</f>
        <v>3.7210464945960515</v>
      </c>
      <c r="AK47" s="13">
        <f t="shared" ca="1" si="0"/>
        <v>3.7210464945960515</v>
      </c>
      <c r="AL47" s="13"/>
      <c r="AM47" s="13"/>
      <c r="AP47" s="13">
        <f>IF((1 - CUSTOS!$M$31)&lt;&gt;0,1/(1 - CUSTOS!$M$31),1)</f>
        <v>1</v>
      </c>
    </row>
    <row r="48" spans="1:42" ht="11.25" customHeight="1" x14ac:dyDescent="0.25">
      <c r="A48" s="142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79</v>
      </c>
      <c r="H48" s="24" t="s">
        <v>75</v>
      </c>
      <c r="I48" s="24">
        <f>'MERCADO TUSD'!$U$45</f>
        <v>6532.424</v>
      </c>
      <c r="J48" s="15"/>
      <c r="L48" s="13">
        <f>1*(1 - CUSTOS!$M$31)</f>
        <v>1</v>
      </c>
      <c r="M48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0.86406227275163194</v>
      </c>
      <c r="N48" s="13">
        <f ca="1">(+M48+O48+R48+U48+V48+W48+X48+Y48+Z48+AA48+AC48+AH48+AI48+AJ48+AK48)*CUSTOS!$M$5</f>
        <v>3.2851885526194371</v>
      </c>
      <c r="O48" s="13">
        <f>1 - CUSTOS!$M$31</f>
        <v>1</v>
      </c>
      <c r="P48" s="13">
        <f>1 - CUSTOS!$M$31</f>
        <v>1</v>
      </c>
      <c r="Q48" s="13">
        <f>1*(1 - CUSTOS!$M$31)</f>
        <v>1</v>
      </c>
      <c r="R48" s="13">
        <f>1 - CUSTOS!$M$31</f>
        <v>1</v>
      </c>
      <c r="S48" s="13">
        <f>1 - CUSTOS!$M$31</f>
        <v>1</v>
      </c>
      <c r="T48" s="13"/>
      <c r="U48" s="13">
        <f>TRANSICAO!$U$48*CUSTOS!$T$3</f>
        <v>0</v>
      </c>
      <c r="V48" s="13">
        <f>TRANSICAO!$V$48*CUSTOS!$T$3</f>
        <v>0</v>
      </c>
      <c r="W48" s="13">
        <f>TRANSICAO!$W$48*CUSTOS!$T$3</f>
        <v>0</v>
      </c>
      <c r="X48" s="13">
        <f>TRANSICAO!$X$48*CUSTOS!$T$3</f>
        <v>0</v>
      </c>
      <c r="Y48" s="13">
        <f>TRANSICAO!$Y$48*CUSTOS!$T$3</f>
        <v>103.8644</v>
      </c>
      <c r="Z48" s="13">
        <f>TRANSICAO!$Z$48*CUSTOS!$T$3</f>
        <v>0</v>
      </c>
      <c r="AA48" s="13">
        <f>TRANSICAO!$AA$48*CUSTOS!$T$3</f>
        <v>0</v>
      </c>
      <c r="AB48" s="13">
        <f>TRANSICAO!$AB$48*CUSTOS!$T$3</f>
        <v>0</v>
      </c>
      <c r="AC48" s="13">
        <f>TRANSICAO!$AC$48*CUSTOS!$T$3</f>
        <v>180.83189999999999</v>
      </c>
      <c r="AD48" s="13">
        <f>TRANSICAO!$AD$48*CUSTOS!$T$3</f>
        <v>0</v>
      </c>
      <c r="AE48" s="13">
        <v>0</v>
      </c>
      <c r="AF48" s="13">
        <v>0</v>
      </c>
      <c r="AG48" s="13"/>
      <c r="AH48" s="13">
        <f>(1 - CUSTOS!$M$31)*16.7582</f>
        <v>16.758199999999999</v>
      </c>
      <c r="AI48" s="13">
        <f>(1 - CUSTOS!$M$31)*16.7582</f>
        <v>16.758199999999999</v>
      </c>
      <c r="AJ48" s="13">
        <f ca="1">$N$64*(1-CUSTOS!$M$31)</f>
        <v>3.7210464945960515</v>
      </c>
      <c r="AK48" s="13">
        <f t="shared" ca="1" si="0"/>
        <v>3.7210464945960515</v>
      </c>
      <c r="AL48" s="13"/>
      <c r="AM48" s="13"/>
      <c r="AP48" s="13">
        <f>IF((1 - CUSTOS!$M$31)&lt;&gt;0,1/(1 - CUSTOS!$M$31),1)</f>
        <v>1</v>
      </c>
    </row>
    <row r="49" spans="1:42" ht="11.25" customHeight="1" x14ac:dyDescent="0.25">
      <c r="A49" s="142"/>
      <c r="B49" s="23" t="s">
        <v>90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79</v>
      </c>
      <c r="H49" s="24" t="s">
        <v>75</v>
      </c>
      <c r="I49" s="24">
        <f>'MERCADO TUSD'!$U$46</f>
        <v>0</v>
      </c>
      <c r="J49" s="15"/>
      <c r="L49" s="13">
        <f>1*(1 - CUSTOS!$M$31)</f>
        <v>1</v>
      </c>
      <c r="M49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0.86406227275163194</v>
      </c>
      <c r="N49" s="13">
        <f ca="1">(+M49+O49+R49+U49+V49+W49+X49+Y49+Z49+AA49+AC49+AH49+AI49+AJ49+AK49)*CUSTOS!$M$5</f>
        <v>3.2851885526194371</v>
      </c>
      <c r="O49" s="13">
        <f>1 - CUSTOS!$M$31</f>
        <v>1</v>
      </c>
      <c r="P49" s="13">
        <f>1 - CUSTOS!$M$31</f>
        <v>1</v>
      </c>
      <c r="Q49" s="13">
        <f>1*(1 - CUSTOS!$M$31)</f>
        <v>1</v>
      </c>
      <c r="R49" s="13">
        <f>1 - CUSTOS!$M$31</f>
        <v>1</v>
      </c>
      <c r="S49" s="13">
        <f>1 - CUSTOS!$M$31</f>
        <v>1</v>
      </c>
      <c r="T49" s="13"/>
      <c r="U49" s="13">
        <f>TRANSICAO!$U$49*CUSTOS!$T$3</f>
        <v>0</v>
      </c>
      <c r="V49" s="13">
        <f>TRANSICAO!$V$49*CUSTOS!$T$3</f>
        <v>0</v>
      </c>
      <c r="W49" s="13">
        <f>TRANSICAO!$W$49*CUSTOS!$T$3</f>
        <v>0</v>
      </c>
      <c r="X49" s="13">
        <f>TRANSICAO!$X$49*CUSTOS!$T$3</f>
        <v>0</v>
      </c>
      <c r="Y49" s="13">
        <f>TRANSICAO!$Y$49*CUSTOS!$T$3</f>
        <v>103.8644</v>
      </c>
      <c r="Z49" s="13">
        <f>TRANSICAO!$Z$49*CUSTOS!$T$3</f>
        <v>0</v>
      </c>
      <c r="AA49" s="13">
        <f>TRANSICAO!$AA$49*CUSTOS!$T$3</f>
        <v>0</v>
      </c>
      <c r="AB49" s="13">
        <f>TRANSICAO!$AB$49*CUSTOS!$T$3</f>
        <v>0</v>
      </c>
      <c r="AC49" s="13">
        <f>TRANSICAO!$AC$49*CUSTOS!$T$3</f>
        <v>180.83189999999999</v>
      </c>
      <c r="AD49" s="13">
        <f>TRANSICAO!$AD$49*CUSTOS!$T$3</f>
        <v>0</v>
      </c>
      <c r="AE49" s="13">
        <v>0</v>
      </c>
      <c r="AF49" s="13">
        <v>0</v>
      </c>
      <c r="AG49" s="13"/>
      <c r="AH49" s="13">
        <f>(1 - CUSTOS!$M$31)*16.7582</f>
        <v>16.758199999999999</v>
      </c>
      <c r="AI49" s="13">
        <f>(1 - CUSTOS!$M$31)*16.7582</f>
        <v>16.758199999999999</v>
      </c>
      <c r="AJ49" s="13">
        <f ca="1">$N$64*(1-CUSTOS!$M$31)</f>
        <v>3.7210464945960515</v>
      </c>
      <c r="AK49" s="13">
        <f t="shared" ca="1" si="0"/>
        <v>3.7210464945960515</v>
      </c>
      <c r="AL49" s="13"/>
      <c r="AM49" s="13"/>
      <c r="AP49" s="13">
        <f>IF((1 - CUSTOS!$M$31)&lt;&gt;0,1/(1 - CUSTOS!$M$31),1)</f>
        <v>1</v>
      </c>
    </row>
    <row r="50" spans="1:42" ht="11.25" customHeight="1" x14ac:dyDescent="0.25">
      <c r="A50" s="142" t="s">
        <v>44</v>
      </c>
      <c r="B50" s="142" t="s">
        <v>23</v>
      </c>
      <c r="C50" s="142" t="s">
        <v>45</v>
      </c>
      <c r="D50" s="23" t="s">
        <v>93</v>
      </c>
      <c r="E50" s="23" t="s">
        <v>25</v>
      </c>
      <c r="F50" s="23" t="s">
        <v>25</v>
      </c>
      <c r="G50" s="24" t="s">
        <v>79</v>
      </c>
      <c r="H50" s="24" t="s">
        <v>75</v>
      </c>
      <c r="I50" s="24">
        <f>'MERCADO TUSD'!$U$47</f>
        <v>0</v>
      </c>
      <c r="J50" s="15"/>
      <c r="L50" s="13">
        <f>1*(1 - CUSTOS!$M$32)</f>
        <v>0.55000000000000004</v>
      </c>
      <c r="M50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0.47523425001339759</v>
      </c>
      <c r="N50" s="13">
        <f ca="1">(+M50+O50+R50+U50+V50+W50+X50+Y50+Z50+AA50+AC50+AH50+AI50+AJ50+AK50)*CUSTOS!$M$5</f>
        <v>1.8068537039406902</v>
      </c>
      <c r="O50" s="13">
        <f>1 - CUSTOS!$M$32</f>
        <v>0.55000000000000004</v>
      </c>
      <c r="P50" s="13">
        <f>1 - CUSTOS!$M$32</f>
        <v>0.55000000000000004</v>
      </c>
      <c r="Q50" s="13">
        <f>1*(1 - CUSTOS!$M$32)</f>
        <v>0.55000000000000004</v>
      </c>
      <c r="R50" s="13">
        <f>1 - CUSTOS!$M$32</f>
        <v>0.55000000000000004</v>
      </c>
      <c r="S50" s="13">
        <f>1 - CUSTOS!$M$32</f>
        <v>0.55000000000000004</v>
      </c>
      <c r="T50" s="13"/>
      <c r="U50" s="13">
        <f>TRANSICAO!$U$50*CUSTOS!$T$3</f>
        <v>0</v>
      </c>
      <c r="V50" s="13">
        <f>TRANSICAO!$V$50*CUSTOS!$T$3</f>
        <v>0</v>
      </c>
      <c r="W50" s="13">
        <f>TRANSICAO!$W$50*CUSTOS!$T$3</f>
        <v>0</v>
      </c>
      <c r="X50" s="13">
        <f>TRANSICAO!$X$50*CUSTOS!$T$3</f>
        <v>0</v>
      </c>
      <c r="Y50" s="13">
        <f>TRANSICAO!$Y$50*CUSTOS!$T$3</f>
        <v>57.125420000000005</v>
      </c>
      <c r="Z50" s="13">
        <f>TRANSICAO!$Z$50*CUSTOS!$T$3</f>
        <v>0</v>
      </c>
      <c r="AA50" s="13">
        <f>TRANSICAO!$AA$50*CUSTOS!$T$3</f>
        <v>0</v>
      </c>
      <c r="AB50" s="13">
        <f>TRANSICAO!$AB$50*CUSTOS!$T$3</f>
        <v>0</v>
      </c>
      <c r="AC50" s="13">
        <f>TRANSICAO!$AC$50*CUSTOS!$T$3</f>
        <v>99.457544999999996</v>
      </c>
      <c r="AD50" s="13">
        <f>TRANSICAO!$AD$50*CUSTOS!$T$3</f>
        <v>0</v>
      </c>
      <c r="AE50" s="13">
        <v>0</v>
      </c>
      <c r="AF50" s="13">
        <v>0</v>
      </c>
      <c r="AG50" s="13"/>
      <c r="AH50" s="13">
        <f>(1 - CUSTOS!$M$32)*16.7582</f>
        <v>9.2170100000000001</v>
      </c>
      <c r="AI50" s="13">
        <f>(1 - CUSTOS!$M$32)*16.7582</f>
        <v>9.2170100000000001</v>
      </c>
      <c r="AJ50" s="13">
        <f ca="1">$N$64*(1-CUSTOS!$M$32)</f>
        <v>2.0465755720278285</v>
      </c>
      <c r="AK50" s="13">
        <f t="shared" ca="1" si="0"/>
        <v>2.0465755720278285</v>
      </c>
      <c r="AL50" s="13"/>
      <c r="AM50" s="13"/>
      <c r="AP50" s="13">
        <f>IF((1 - CUSTOS!$M$32)&lt;&gt;0,1/(1 - CUSTOS!$M$32),1)</f>
        <v>1.8181818181818181</v>
      </c>
    </row>
    <row r="51" spans="1:42" ht="11.25" customHeight="1" x14ac:dyDescent="0.25">
      <c r="A51" s="142"/>
      <c r="B51" s="142"/>
      <c r="C51" s="142"/>
      <c r="D51" s="24" t="s">
        <v>46</v>
      </c>
      <c r="E51" s="24" t="s">
        <v>25</v>
      </c>
      <c r="F51" s="24" t="s">
        <v>25</v>
      </c>
      <c r="G51" s="24" t="s">
        <v>79</v>
      </c>
      <c r="H51" s="24" t="s">
        <v>75</v>
      </c>
      <c r="I51" s="24">
        <f>'MERCADO TUSD'!$U$48</f>
        <v>1655.8650000000002</v>
      </c>
      <c r="J51" s="15"/>
      <c r="L51" s="13">
        <f>1*(1 - CUSTOS!$M$33)</f>
        <v>0.6</v>
      </c>
      <c r="M51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0.51843736365097914</v>
      </c>
      <c r="N51" s="13">
        <f ca="1">(+M51+O51+R51+U51+V51+W51+X51+Y51+Z51+AA51+AC51+AH51+AI51+AJ51+AK51)*CUSTOS!$M$5</f>
        <v>1.9711131315716626</v>
      </c>
      <c r="O51" s="13">
        <f>1 - CUSTOS!$M$33</f>
        <v>0.6</v>
      </c>
      <c r="P51" s="13">
        <f>1 - CUSTOS!$M$33</f>
        <v>0.6</v>
      </c>
      <c r="Q51" s="13">
        <f>1*(1 - CUSTOS!$M$33)</f>
        <v>0.6</v>
      </c>
      <c r="R51" s="13">
        <f>1 - CUSTOS!$M$33</f>
        <v>0.6</v>
      </c>
      <c r="S51" s="13">
        <f>1 - CUSTOS!$M$33</f>
        <v>0.6</v>
      </c>
      <c r="T51" s="13"/>
      <c r="U51" s="13">
        <f>TRANSICAO!$U$51*CUSTOS!$T$3</f>
        <v>0</v>
      </c>
      <c r="V51" s="13">
        <f>TRANSICAO!$V$51*CUSTOS!$T$3</f>
        <v>0</v>
      </c>
      <c r="W51" s="13">
        <f>TRANSICAO!$W$51*CUSTOS!$T$3</f>
        <v>0</v>
      </c>
      <c r="X51" s="13">
        <f>TRANSICAO!$X$51*CUSTOS!$T$3</f>
        <v>0</v>
      </c>
      <c r="Y51" s="13">
        <f>TRANSICAO!$Y$51*CUSTOS!$T$3</f>
        <v>62.318640000000002</v>
      </c>
      <c r="Z51" s="13">
        <f>TRANSICAO!$Z$51*CUSTOS!$T$3</f>
        <v>0</v>
      </c>
      <c r="AA51" s="13">
        <f>TRANSICAO!$AA$51*CUSTOS!$T$3</f>
        <v>0</v>
      </c>
      <c r="AB51" s="13">
        <f>TRANSICAO!$AB$51*CUSTOS!$T$3</f>
        <v>0</v>
      </c>
      <c r="AC51" s="13">
        <f>TRANSICAO!$AC$51*CUSTOS!$T$3</f>
        <v>108.49914</v>
      </c>
      <c r="AD51" s="13">
        <f>TRANSICAO!$AD$51*CUSTOS!$T$3</f>
        <v>0</v>
      </c>
      <c r="AE51" s="13">
        <v>0</v>
      </c>
      <c r="AF51" s="13">
        <v>0</v>
      </c>
      <c r="AG51" s="13"/>
      <c r="AH51" s="13">
        <f>(1 - CUSTOS!$M$33)*16.7582</f>
        <v>10.054919999999999</v>
      </c>
      <c r="AI51" s="13">
        <f>(1 - CUSTOS!$M$33)*16.7582</f>
        <v>10.054919999999999</v>
      </c>
      <c r="AJ51" s="13">
        <f ca="1">$N$64*(1-CUSTOS!$M$33)</f>
        <v>2.2326278967576307</v>
      </c>
      <c r="AK51" s="13">
        <f t="shared" ca="1" si="0"/>
        <v>2.2326278967576307</v>
      </c>
      <c r="AL51" s="13"/>
      <c r="AM51" s="13"/>
      <c r="AP51" s="13">
        <f>IF((1 - CUSTOS!$M$33)&lt;&gt;0,1/(1 - CUSTOS!$M$33),1)</f>
        <v>1.6666666666666667</v>
      </c>
    </row>
    <row r="53" spans="1:42" ht="11.25" customHeight="1" x14ac:dyDescent="0.25">
      <c r="K53" s="16" t="s">
        <v>637</v>
      </c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</row>
    <row r="54" spans="1:42" ht="11.25" customHeight="1" x14ac:dyDescent="0.25">
      <c r="K54" s="16" t="s">
        <v>638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</row>
    <row r="55" spans="1:42" ht="11.25" customHeight="1" x14ac:dyDescent="0.25">
      <c r="K55" s="16" t="s">
        <v>639</v>
      </c>
      <c r="L55" s="13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62103.594359999996</v>
      </c>
      <c r="M55" s="13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26793.689670446711</v>
      </c>
      <c r="N55" s="13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80826.716653577358</v>
      </c>
      <c r="O55" s="13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70612.252000000008</v>
      </c>
      <c r="P55" s="13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69846.975000000006</v>
      </c>
      <c r="Q55" s="13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62103.594359999996</v>
      </c>
      <c r="R55" s="13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69846.975000000006</v>
      </c>
      <c r="S55" s="13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70612.252000000008</v>
      </c>
      <c r="T55" s="13"/>
      <c r="U55" s="13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0</v>
      </c>
      <c r="V55" s="13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0</v>
      </c>
      <c r="W55" s="13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0</v>
      </c>
      <c r="X55" s="13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3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4886777.6269011004</v>
      </c>
      <c r="Z55" s="13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3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3"/>
      <c r="AC55" s="13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5606647.0990722887</v>
      </c>
      <c r="AD55" s="13"/>
      <c r="AE55" s="13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3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3"/>
      <c r="AH55" s="13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474848.79019670008</v>
      </c>
      <c r="AI55" s="13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474848.79019670008</v>
      </c>
      <c r="AJ55" s="13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162740.70366028955</v>
      </c>
      <c r="AK55" s="13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162740.70366028955</v>
      </c>
      <c r="AL55" s="13"/>
      <c r="AM55" s="13"/>
    </row>
    <row r="56" spans="1:42" ht="11.25" customHeight="1" x14ac:dyDescent="0.25">
      <c r="K56" s="16" t="s">
        <v>575</v>
      </c>
      <c r="L56" s="13">
        <f>CUSTOS!$D$2</f>
        <v>0</v>
      </c>
      <c r="M56" s="13">
        <f>CUSTOS!$D$3</f>
        <v>27365.997860554216</v>
      </c>
      <c r="N56" s="13">
        <f>CUSTOS!$D$4</f>
        <v>83815.458027374334</v>
      </c>
      <c r="O56" s="13">
        <f>CUSTOS!$D$5</f>
        <v>0</v>
      </c>
      <c r="P56" s="13">
        <f>CUSTOS!$D$6</f>
        <v>0</v>
      </c>
      <c r="Q56" s="13">
        <f>CUSTOS!$D$7</f>
        <v>5512588.8119572811</v>
      </c>
      <c r="R56" s="13">
        <f>CUSTOS!$D$8</f>
        <v>1008889.0274199464</v>
      </c>
      <c r="S56" s="13">
        <f>CUSTOS!$D$9</f>
        <v>0</v>
      </c>
      <c r="T56" s="13">
        <f>CUSTOS!$D$10</f>
        <v>6632659.2952651558</v>
      </c>
      <c r="U56" s="13">
        <f>CUSTOS!$D$11</f>
        <v>0</v>
      </c>
      <c r="V56" s="13">
        <f>IF(SUM(V53:V55)&lt;&gt;0,CUSTOS!$D$12+CUSTOS!$D$16+CUSTOS!$D$17-'TR TUSD'!$Z$54-'TR TUSD'!$AA$54,0)</f>
        <v>0</v>
      </c>
      <c r="W56" s="13">
        <f>CUSTOS!$D$13</f>
        <v>0</v>
      </c>
      <c r="X56" s="13">
        <f>CUSTOS!$D$14</f>
        <v>0</v>
      </c>
      <c r="Y56" s="13">
        <f>IF(SUM(V53:V55)=0,CUSTOS!$D$15+CUSTOS!$D$16+CUSTOS!$D$17-'TR TUSD'!$Z$54-'TR TUSD'!$AA$54,CUSTOS!$D$15)</f>
        <v>6012295.3953999998</v>
      </c>
      <c r="Z56" s="13">
        <f>Z54</f>
        <v>0</v>
      </c>
      <c r="AA56" s="13">
        <f>AA54</f>
        <v>0</v>
      </c>
      <c r="AB56" s="13">
        <f>CUSTOS!$D$18</f>
        <v>6012295.3953999998</v>
      </c>
      <c r="AC56" s="13">
        <f>CUSTOS!$D$19</f>
        <v>6040700.2605260396</v>
      </c>
      <c r="AD56" s="13">
        <f>CUSTOS!$D$20</f>
        <v>6040700.2605260396</v>
      </c>
      <c r="AE56" s="13">
        <f>CUSTOS!$D$21</f>
        <v>0</v>
      </c>
      <c r="AF56" s="13">
        <f>CUSTOS!$D$22</f>
        <v>0</v>
      </c>
      <c r="AG56" s="13">
        <f>CUSTOS!$D$23</f>
        <v>0</v>
      </c>
      <c r="AH56" s="13">
        <f>CUSTOS!$D$24</f>
        <v>551804.93985913182</v>
      </c>
      <c r="AI56" s="13">
        <f>CUSTOS!$D$25</f>
        <v>18931.537038273214</v>
      </c>
      <c r="AJ56" s="13">
        <f>CUSTOS!$D$26</f>
        <v>165205.32392179928</v>
      </c>
      <c r="AK56" s="13">
        <f>CUSTOS!$D$27</f>
        <v>10183.199417314685</v>
      </c>
      <c r="AL56" s="13">
        <f>CUSTOS!$D$28</f>
        <v>746125.00023651903</v>
      </c>
      <c r="AM56" s="13">
        <f>CUSTOS!$D$29</f>
        <v>19431779.951427713</v>
      </c>
    </row>
    <row r="57" spans="1:42" ht="11.25" customHeight="1" x14ac:dyDescent="0.25">
      <c r="K57" s="16" t="s">
        <v>576</v>
      </c>
      <c r="L57" s="13">
        <f>CUSTOS!$E$2</f>
        <v>0</v>
      </c>
      <c r="M57" s="13">
        <f>CUSTOS!$E$3</f>
        <v>-457.71495656638444</v>
      </c>
      <c r="N57" s="13">
        <f>CUSTOS!$E$4</f>
        <v>8.5761777002605968E-2</v>
      </c>
      <c r="O57" s="13">
        <f>CUSTOS!$E$5</f>
        <v>0</v>
      </c>
      <c r="P57" s="13">
        <f>CUSTOS!$E$6</f>
        <v>0</v>
      </c>
      <c r="Q57" s="13">
        <f>CUSTOS!$E$7</f>
        <v>-105958.4652364559</v>
      </c>
      <c r="R57" s="13">
        <f>CUSTOS!$E$8</f>
        <v>-17941.336094698403</v>
      </c>
      <c r="S57" s="13">
        <f>CUSTOS!$E$9</f>
        <v>0</v>
      </c>
      <c r="T57" s="13">
        <f>CUSTOS!$E$10</f>
        <v>-124357.43052594368</v>
      </c>
      <c r="U57" s="13">
        <f>CUSTOS!$E$11</f>
        <v>0</v>
      </c>
      <c r="V57" s="13">
        <f>CUSTOS!$E$12</f>
        <v>0</v>
      </c>
      <c r="W57" s="13">
        <f>CUSTOS!$E$13</f>
        <v>0</v>
      </c>
      <c r="X57" s="13">
        <f>CUSTOS!$E$14</f>
        <v>0</v>
      </c>
      <c r="Y57" s="13">
        <f>CUSTOS!$E$15</f>
        <v>42588.727591660594</v>
      </c>
      <c r="Z57" s="13">
        <f>CUSTOS!$E$16</f>
        <v>0</v>
      </c>
      <c r="AA57" s="13">
        <f>CUSTOS!$E$17</f>
        <v>0</v>
      </c>
      <c r="AB57" s="13">
        <f>CUSTOS!$E$18</f>
        <v>42588.727591660594</v>
      </c>
      <c r="AC57" s="13">
        <f>CUSTOS!$E$19</f>
        <v>0</v>
      </c>
      <c r="AD57" s="13">
        <f>CUSTOS!$E$20</f>
        <v>0</v>
      </c>
      <c r="AE57" s="13">
        <f>CUSTOS!$E$21</f>
        <v>-5364684.1037082169</v>
      </c>
      <c r="AF57" s="13">
        <f>CUSTOS!$E$22</f>
        <v>0</v>
      </c>
      <c r="AG57" s="13">
        <f>CUSTOS!$E$23</f>
        <v>-5364684.1037082169</v>
      </c>
      <c r="AH57" s="13">
        <f>CUSTOS!$E$24</f>
        <v>-8045.6987564560177</v>
      </c>
      <c r="AI57" s="13">
        <f>CUSTOS!$E$25</f>
        <v>-276.03494098026817</v>
      </c>
      <c r="AJ57" s="13">
        <f>CUSTOS!$E$26</f>
        <v>-2408.8082096127278</v>
      </c>
      <c r="AK57" s="13">
        <f>CUSTOS!$E$27</f>
        <v>366.44006796318683</v>
      </c>
      <c r="AL57" s="13">
        <f>CUSTOS!$E$28</f>
        <v>-10364.101839085826</v>
      </c>
      <c r="AM57" s="13">
        <f>CUSTOS!$E$29</f>
        <v>-5456816.9084815858</v>
      </c>
    </row>
    <row r="58" spans="1:42" ht="11.25" customHeight="1" x14ac:dyDescent="0.25">
      <c r="K58" s="16" t="s">
        <v>577</v>
      </c>
      <c r="L58" s="13">
        <f>CUSTOS!$F$2</f>
        <v>0</v>
      </c>
      <c r="M58" s="13">
        <f>CUSTOS!$F$3</f>
        <v>0</v>
      </c>
      <c r="N58" s="13">
        <f>CUSTOS!$F$4</f>
        <v>0</v>
      </c>
      <c r="O58" s="13">
        <f>CUSTOS!$F$5</f>
        <v>0</v>
      </c>
      <c r="P58" s="13">
        <f>CUSTOS!$F$6</f>
        <v>0</v>
      </c>
      <c r="Q58" s="13">
        <f>CUSTOS!$F$7</f>
        <v>938744.41830000002</v>
      </c>
      <c r="R58" s="13">
        <f>CUSTOS!$F$8</f>
        <v>270128.0294</v>
      </c>
      <c r="S58" s="13">
        <f>CUSTOS!$F$9</f>
        <v>0</v>
      </c>
      <c r="T58" s="13">
        <f>CUSTOS!$F$10</f>
        <v>1208872.4476999999</v>
      </c>
      <c r="U58" s="13">
        <f>CUSTOS!$F$11</f>
        <v>0</v>
      </c>
      <c r="V58" s="13">
        <f>CUSTOS!$F$12</f>
        <v>0</v>
      </c>
      <c r="W58" s="13">
        <f>CUSTOS!$F$13</f>
        <v>0</v>
      </c>
      <c r="X58" s="13">
        <f>CUSTOS!$F$14</f>
        <v>0</v>
      </c>
      <c r="Y58" s="13">
        <f>CUSTOS!$F$15</f>
        <v>0</v>
      </c>
      <c r="Z58" s="13">
        <f>CUSTOS!$F$16</f>
        <v>0</v>
      </c>
      <c r="AA58" s="13">
        <f>CUSTOS!$F$17</f>
        <v>0</v>
      </c>
      <c r="AB58" s="13">
        <f>CUSTOS!$F$18</f>
        <v>0</v>
      </c>
      <c r="AC58" s="13">
        <f>CUSTOS!$F$19</f>
        <v>0</v>
      </c>
      <c r="AD58" s="13">
        <f>CUSTOS!$F$20</f>
        <v>0</v>
      </c>
      <c r="AE58" s="13">
        <f>CUSTOS!$F$21</f>
        <v>0</v>
      </c>
      <c r="AF58" s="13">
        <f>CUSTOS!$F$22</f>
        <v>0</v>
      </c>
      <c r="AG58" s="13">
        <f>CUSTOS!$F$23</f>
        <v>0</v>
      </c>
      <c r="AH58" s="13">
        <f>CUSTOS!$F$24</f>
        <v>91958.538671496077</v>
      </c>
      <c r="AI58" s="13">
        <f>CUSTOS!$F$25</f>
        <v>3154.9490682148294</v>
      </c>
      <c r="AJ58" s="13">
        <f>CUSTOS!$F$26</f>
        <v>27531.540715235598</v>
      </c>
      <c r="AK58" s="13">
        <f>CUSTOS!$F$27</f>
        <v>0</v>
      </c>
      <c r="AL58" s="13">
        <f>CUSTOS!$F$28</f>
        <v>122645.0284549465</v>
      </c>
      <c r="AM58" s="13">
        <f>CUSTOS!$F$29</f>
        <v>1331517.4761549465</v>
      </c>
    </row>
    <row r="59" spans="1:42" ht="11.25" customHeight="1" x14ac:dyDescent="0.25">
      <c r="K59" s="16" t="s">
        <v>640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/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/>
      <c r="AC59" s="13">
        <v>0</v>
      </c>
      <c r="AD59" s="13"/>
      <c r="AE59" s="13">
        <v>0</v>
      </c>
      <c r="AF59" s="13">
        <v>0</v>
      </c>
      <c r="AG59" s="13"/>
      <c r="AH59" s="13">
        <v>0</v>
      </c>
      <c r="AI59" s="13">
        <v>0</v>
      </c>
      <c r="AJ59" s="13">
        <v>0</v>
      </c>
      <c r="AK59" s="13">
        <v>0</v>
      </c>
      <c r="AL59" s="13"/>
      <c r="AM59" s="13"/>
    </row>
    <row r="60" spans="1:42" ht="11.25" customHeight="1" x14ac:dyDescent="0.25">
      <c r="K60" s="16" t="s">
        <v>641</v>
      </c>
      <c r="L60" s="13">
        <f t="shared" ref="L60:S60" si="1">IF((L55+L53)&lt;&gt;0,(L56-L54-L59)/(L55+L53),0)</f>
        <v>0</v>
      </c>
      <c r="M60" s="13">
        <f t="shared" si="1"/>
        <v>1.0213598125956784</v>
      </c>
      <c r="N60" s="13">
        <f t="shared" ca="1" si="1"/>
        <v>1.0369771468833344</v>
      </c>
      <c r="O60" s="13">
        <f t="shared" si="1"/>
        <v>0</v>
      </c>
      <c r="P60" s="13">
        <f t="shared" si="1"/>
        <v>0</v>
      </c>
      <c r="Q60" s="13">
        <f t="shared" si="1"/>
        <v>88.764408385158745</v>
      </c>
      <c r="R60" s="13">
        <f t="shared" si="1"/>
        <v>14.44427661212166</v>
      </c>
      <c r="S60" s="13">
        <f t="shared" si="1"/>
        <v>0</v>
      </c>
      <c r="T60" s="13"/>
      <c r="U60" s="13">
        <f>IF(U55&lt;&gt;0,(U56-U54-U53-U59)/U55,0)</f>
        <v>0</v>
      </c>
      <c r="V60" s="13">
        <f>IF(V55&lt;&gt;0,(V56-V54-V53-V59)/V55,0)</f>
        <v>0</v>
      </c>
      <c r="W60" s="13">
        <f>IF(W55&lt;&gt;0,(W56-W54-W53-W59)/W55,0)</f>
        <v>0</v>
      </c>
      <c r="X60" s="13">
        <f>IF(X55&lt;&gt;0,(X56-X54-X53-X59)/X55,0)</f>
        <v>0</v>
      </c>
      <c r="Y60" s="13">
        <f>IF(Y55&lt;&gt;0,(Y56-Y54-Y53-Y59)/Y55,0)</f>
        <v>1.2303190065991676</v>
      </c>
      <c r="Z60" s="13"/>
      <c r="AA60" s="13"/>
      <c r="AB60" s="13"/>
      <c r="AC60" s="13">
        <f>IF(AC55&lt;&gt;0,(AC56-AC54-AC53-AC59)/AC55,0)</f>
        <v>1.077417599821036</v>
      </c>
      <c r="AD60" s="13"/>
      <c r="AE60" s="13">
        <f>IF((AE55+AE53)&lt;&gt;0,(AE56-AE54-AE59)/(AE55+AE53),0)</f>
        <v>0</v>
      </c>
      <c r="AF60" s="13">
        <f>IF((AF55+AF53)&lt;&gt;0,(AF56-AF54-AF59)/(AF55+AF53),0)</f>
        <v>0</v>
      </c>
      <c r="AG60" s="13"/>
      <c r="AH60" s="13">
        <f>IF(AH55&lt;&gt;0,(AH56-AH54-AH53-AH59)/AH55,0)</f>
        <v>1.162064537703789</v>
      </c>
      <c r="AI60" s="13">
        <f>IF(AI55&lt;&gt;0,(AI56-AI54-AI53-AI59)/AI55,0)</f>
        <v>3.9868559063678075E-2</v>
      </c>
      <c r="AJ60" s="13">
        <f ca="1">IF((AJ55+AJ53)&lt;&gt;0,(AJ56-AJ54-AJ59)/(AJ55+AJ53),0)</f>
        <v>1.015144461134041</v>
      </c>
      <c r="AK60" s="13">
        <f ca="1">IF((AK55+AK53)&lt;&gt;0,(AK56-AK54-AK59)/(AK55+AK53),0)</f>
        <v>6.25731558748292E-2</v>
      </c>
      <c r="AL60" s="13"/>
      <c r="AM60" s="13"/>
    </row>
    <row r="62" spans="1:42" ht="11.25" customHeight="1" x14ac:dyDescent="0.25">
      <c r="K62" s="25" t="s">
        <v>645</v>
      </c>
      <c r="L62" s="25" t="s">
        <v>646</v>
      </c>
      <c r="M62" s="25" t="s">
        <v>647</v>
      </c>
      <c r="N62" s="25" t="s">
        <v>648</v>
      </c>
      <c r="O62" s="25" t="s">
        <v>649</v>
      </c>
      <c r="P62" s="25" t="s">
        <v>650</v>
      </c>
    </row>
    <row r="63" spans="1:42" ht="11.25" customHeight="1" x14ac:dyDescent="0.25">
      <c r="K63" s="24" t="s">
        <v>38</v>
      </c>
      <c r="L63" s="24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9333393.0192648862</v>
      </c>
      <c r="M63" s="24">
        <f>+'TUSD BE'!$I$7+'TUSD BE'!$I$8+'TUSD BE'!$I$11+'TUSD BE'!$I$12+'TUSD BE'!$I$13+'TUSD BE'!$I$14</f>
        <v>48396.129000000001</v>
      </c>
      <c r="N63" s="24">
        <f ca="1">IF(AND($L$70&lt;&gt;0,M63&lt;&gt;0),(L63/$L$70*$AJ$56)/M63,0)</f>
        <v>1.6545430120583577</v>
      </c>
      <c r="O63" s="24"/>
      <c r="P63" s="24"/>
    </row>
    <row r="64" spans="1:42" ht="11.25" customHeight="1" x14ac:dyDescent="0.25">
      <c r="K64" s="24" t="s">
        <v>85</v>
      </c>
      <c r="L64" s="24">
        <f ca="1">+$L$65+$L$66+$L$67+$L$68+$L$69</f>
        <v>9922998.4088235088</v>
      </c>
      <c r="M64" s="24">
        <f>+$M$65+$M$66+$M$67+$M$68+$M$69</f>
        <v>22878.469000000008</v>
      </c>
      <c r="N64" s="24">
        <f ca="1">IF(AND($L$70&lt;&gt;0,M64&lt;&gt;0),(L64/$L$70*$AJ$56)/M64,0)</f>
        <v>3.7210464945960515</v>
      </c>
      <c r="O64" s="24"/>
      <c r="P64" s="24"/>
    </row>
    <row r="65" spans="11:16" ht="11.25" customHeight="1" x14ac:dyDescent="0.25">
      <c r="K65" s="24" t="s">
        <v>85</v>
      </c>
      <c r="L65" s="24"/>
      <c r="M65" s="24"/>
      <c r="N65" s="24">
        <f ca="1">IF(AND($L$70&lt;&gt;0,M65&lt;&gt;0),(L65/$L$70*$AJ$56)/M65,0)</f>
        <v>0</v>
      </c>
      <c r="O65" s="24"/>
      <c r="P65" s="24"/>
    </row>
    <row r="66" spans="11:16" ht="11.25" customHeight="1" x14ac:dyDescent="0.25">
      <c r="K66" s="24" t="s">
        <v>22</v>
      </c>
      <c r="L66" s="24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5028066.7024977598</v>
      </c>
      <c r="M66" s="24">
        <f>+'TUSD BE'!$I$17+'TUSD BE'!$I$18+'TUSD BE'!$I$19+'TUSD BE'!$I$20+'TUSD BE'!$I$21+'TUSD BE'!$I$22+'TUSD BE'!$I$23+'TUSD BE'!$I$24+'TUSD BE'!$I$25+'TUSD BE'!$I$26+'TUSD BE'!$I$27+'TUSD BE'!$I$28+'TUSD BE'!$I$29</f>
        <v>11343.012000000004</v>
      </c>
      <c r="N66" s="24"/>
      <c r="O66" s="24"/>
      <c r="P66" s="24"/>
    </row>
    <row r="67" spans="11:16" ht="11.25" customHeight="1" x14ac:dyDescent="0.25">
      <c r="K67" s="24" t="s">
        <v>41</v>
      </c>
      <c r="L67" s="24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1501969.0229348643</v>
      </c>
      <c r="M67" s="24">
        <f>+'TUSD BE'!$I$30+'TUSD BE'!$I$31+'TUSD BE'!$I$32+'TUSD BE'!$I$33+'TUSD BE'!$I$34+'TUSD BE'!$I$35+'TUSD BE'!$I$36+'TUSD BE'!$I$37+'TUSD BE'!$I$38+'TUSD BE'!$I$39+'TUSD BE'!$I$40+'TUSD BE'!$I$41+'TUSD BE'!$I$42+'TUSD BE'!$I$43+'TUSD BE'!$I$44</f>
        <v>3335.7969999999996</v>
      </c>
      <c r="N67" s="24"/>
      <c r="O67" s="24"/>
      <c r="P67" s="24"/>
    </row>
    <row r="68" spans="11:16" ht="11.25" customHeight="1" x14ac:dyDescent="0.25">
      <c r="K68" s="24" t="s">
        <v>36</v>
      </c>
      <c r="L68" s="24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2945622.8837276483</v>
      </c>
      <c r="M68" s="24">
        <f>+'TUSD BE'!$I$45+'TUSD BE'!$I$46+'TUSD BE'!$I$47+'TUSD BE'!$I$48+'TUSD BE'!$I$49</f>
        <v>6543.7950000000001</v>
      </c>
      <c r="N68" s="24"/>
      <c r="O68" s="24"/>
      <c r="P68" s="24"/>
    </row>
    <row r="69" spans="11:16" ht="11.25" customHeight="1" x14ac:dyDescent="0.25">
      <c r="K69" s="24" t="s">
        <v>44</v>
      </c>
      <c r="L69" s="24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447339.79966323602</v>
      </c>
      <c r="M69" s="24">
        <f>+'TUSD BE'!$I$50+'TUSD BE'!$I$51</f>
        <v>1655.8650000000002</v>
      </c>
      <c r="N69" s="24"/>
      <c r="O69" s="24"/>
      <c r="P69" s="24"/>
    </row>
    <row r="70" spans="11:16" ht="11.25" customHeight="1" x14ac:dyDescent="0.25">
      <c r="K70" s="24"/>
      <c r="L70" s="24">
        <f ca="1">SUM($L$63:$L$69,-$L$64)</f>
        <v>19256391.428088393</v>
      </c>
      <c r="M70" s="24">
        <f>SUM($M$63:$M$69,-$M$64)</f>
        <v>71274.598000000013</v>
      </c>
      <c r="N70" s="24"/>
      <c r="O70" s="24"/>
      <c r="P70" s="24"/>
    </row>
  </sheetData>
  <mergeCells count="73"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E4DD1-E76C-4A55-913D-083C5FEB8E00}">
  <dimension ref="A1:AP58"/>
  <sheetViews>
    <sheetView showGridLines="0" topLeftCell="X40" workbookViewId="0">
      <selection activeCell="AM53" sqref="AM5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7.855468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9.28515625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8" t="s">
        <v>65</v>
      </c>
      <c r="B1" s="138" t="s">
        <v>66</v>
      </c>
      <c r="C1" s="138" t="s">
        <v>67</v>
      </c>
      <c r="D1" s="138" t="s">
        <v>68</v>
      </c>
      <c r="E1" s="138" t="s">
        <v>69</v>
      </c>
      <c r="F1" s="138" t="s">
        <v>15</v>
      </c>
      <c r="G1" s="138" t="s">
        <v>71</v>
      </c>
      <c r="H1" s="138" t="s">
        <v>72</v>
      </c>
      <c r="I1" s="138" t="s">
        <v>634</v>
      </c>
      <c r="J1" s="131"/>
      <c r="L1" s="139" t="s">
        <v>642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P1" s="139" t="s">
        <v>636</v>
      </c>
    </row>
    <row r="2" spans="1:42" ht="11.25" customHeight="1" x14ac:dyDescent="0.25">
      <c r="A2" s="138"/>
      <c r="B2" s="138"/>
      <c r="C2" s="138"/>
      <c r="D2" s="138"/>
      <c r="E2" s="138"/>
      <c r="F2" s="138"/>
      <c r="G2" s="138"/>
      <c r="H2" s="138"/>
      <c r="I2" s="138"/>
      <c r="J2" s="131"/>
      <c r="L2" s="139" t="s">
        <v>533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P2" s="140"/>
    </row>
    <row r="3" spans="1:42" ht="11.25" customHeight="1" x14ac:dyDescent="0.25">
      <c r="A3" s="138"/>
      <c r="B3" s="138"/>
      <c r="C3" s="138"/>
      <c r="D3" s="138"/>
      <c r="E3" s="138"/>
      <c r="F3" s="138"/>
      <c r="G3" s="138"/>
      <c r="H3" s="138"/>
      <c r="I3" s="138"/>
      <c r="J3" s="131"/>
      <c r="L3" s="139" t="s">
        <v>534</v>
      </c>
      <c r="M3" s="139"/>
      <c r="N3" s="139"/>
      <c r="O3" s="139"/>
      <c r="P3" s="139"/>
      <c r="Q3" s="139"/>
      <c r="R3" s="139"/>
      <c r="S3" s="139"/>
      <c r="T3" s="139"/>
      <c r="U3" s="139" t="s">
        <v>543</v>
      </c>
      <c r="V3" s="139"/>
      <c r="W3" s="139"/>
      <c r="X3" s="139"/>
      <c r="Y3" s="139"/>
      <c r="Z3" s="139"/>
      <c r="AA3" s="139"/>
      <c r="AB3" s="139"/>
      <c r="AC3" s="139" t="s">
        <v>551</v>
      </c>
      <c r="AD3" s="139"/>
      <c r="AE3" s="139" t="s">
        <v>553</v>
      </c>
      <c r="AF3" s="139"/>
      <c r="AG3" s="139"/>
      <c r="AH3" s="139" t="s">
        <v>556</v>
      </c>
      <c r="AI3" s="139"/>
      <c r="AJ3" s="139"/>
      <c r="AK3" s="139"/>
      <c r="AL3" s="139"/>
      <c r="AM3" s="139" t="s">
        <v>542</v>
      </c>
      <c r="AP3" s="140"/>
    </row>
    <row r="4" spans="1:42" ht="11.25" customHeight="1" x14ac:dyDescent="0.25">
      <c r="A4" s="138"/>
      <c r="B4" s="138"/>
      <c r="C4" s="138"/>
      <c r="D4" s="138"/>
      <c r="E4" s="138"/>
      <c r="F4" s="138"/>
      <c r="G4" s="138"/>
      <c r="H4" s="138"/>
      <c r="I4" s="138"/>
      <c r="J4" s="131"/>
      <c r="L4" s="10" t="s">
        <v>619</v>
      </c>
      <c r="M4" s="10" t="s">
        <v>535</v>
      </c>
      <c r="N4" s="10" t="s">
        <v>536</v>
      </c>
      <c r="O4" s="10" t="s">
        <v>537</v>
      </c>
      <c r="P4" s="10" t="s">
        <v>538</v>
      </c>
      <c r="Q4" s="10" t="s">
        <v>539</v>
      </c>
      <c r="R4" s="10" t="s">
        <v>540</v>
      </c>
      <c r="S4" s="10" t="s">
        <v>541</v>
      </c>
      <c r="T4" s="10" t="s">
        <v>542</v>
      </c>
      <c r="U4" s="10" t="s">
        <v>544</v>
      </c>
      <c r="V4" s="10" t="s">
        <v>545</v>
      </c>
      <c r="W4" s="10" t="s">
        <v>546</v>
      </c>
      <c r="X4" s="10" t="s">
        <v>547</v>
      </c>
      <c r="Y4" s="10" t="s">
        <v>548</v>
      </c>
      <c r="Z4" s="10" t="s">
        <v>549</v>
      </c>
      <c r="AA4" s="10" t="s">
        <v>550</v>
      </c>
      <c r="AB4" s="10" t="s">
        <v>542</v>
      </c>
      <c r="AC4" s="10" t="s">
        <v>552</v>
      </c>
      <c r="AD4" s="10" t="s">
        <v>542</v>
      </c>
      <c r="AE4" s="10" t="s">
        <v>554</v>
      </c>
      <c r="AF4" s="10" t="s">
        <v>555</v>
      </c>
      <c r="AG4" s="10" t="s">
        <v>542</v>
      </c>
      <c r="AH4" s="10" t="s">
        <v>557</v>
      </c>
      <c r="AI4" s="10" t="s">
        <v>558</v>
      </c>
      <c r="AJ4" s="10" t="s">
        <v>559</v>
      </c>
      <c r="AK4" s="10" t="s">
        <v>560</v>
      </c>
      <c r="AL4" s="10" t="s">
        <v>542</v>
      </c>
      <c r="AM4" s="141"/>
      <c r="AP4" s="140"/>
    </row>
    <row r="5" spans="1:42" ht="11.25" customHeight="1" x14ac:dyDescent="0.25">
      <c r="A5" s="142" t="s">
        <v>38</v>
      </c>
      <c r="B5" s="142" t="s">
        <v>56</v>
      </c>
      <c r="C5" s="142" t="s">
        <v>25</v>
      </c>
      <c r="D5" s="142" t="s">
        <v>25</v>
      </c>
      <c r="E5" s="142" t="s">
        <v>25</v>
      </c>
      <c r="F5" s="142" t="s">
        <v>25</v>
      </c>
      <c r="G5" s="24" t="s">
        <v>81</v>
      </c>
      <c r="H5" s="24" t="s">
        <v>80</v>
      </c>
      <c r="I5" s="24">
        <f>'MERCADO TUSD'!$U$2</f>
        <v>40015</v>
      </c>
      <c r="J5" s="15"/>
      <c r="L5" s="13">
        <f>'TR TUSD'!$L$5*'TR TUSD'!$L$60</f>
        <v>0</v>
      </c>
      <c r="M5" s="13">
        <f>'TR TUSD'!$M$5*'TR TUSD'!$M$60</f>
        <v>0</v>
      </c>
      <c r="N5" s="13">
        <f ca="1">'TR TUSD'!$N$5*'TR TUSD'!$N$60</f>
        <v>0</v>
      </c>
      <c r="O5" s="13">
        <f>'TR TUSD'!$O$5*'TR TUSD'!$O$60</f>
        <v>0</v>
      </c>
      <c r="P5" s="13">
        <f>'TR TUSD'!$P$5*'TR TUSD'!$P$60</f>
        <v>0</v>
      </c>
      <c r="Q5" s="13">
        <f>'TR TUSD'!$Q$5*'TR TUSD'!$Q$60</f>
        <v>0</v>
      </c>
      <c r="R5" s="13">
        <f>'TR TUSD'!$R$5*'TR TUSD'!$R$60</f>
        <v>0</v>
      </c>
      <c r="S5" s="13">
        <f>'TR TUSD'!$S$5*'TR TUSD'!$S$60</f>
        <v>0</v>
      </c>
      <c r="T5" s="13">
        <f ca="1">SUM($L$5:$S$5)</f>
        <v>0</v>
      </c>
      <c r="U5" s="13">
        <f>'TR TUSD'!$U$5*'TR TUSD'!$U$60</f>
        <v>0</v>
      </c>
      <c r="V5" s="13">
        <f>'TR TUSD'!$V$5*'TR TUSD'!$V$60</f>
        <v>0</v>
      </c>
      <c r="W5" s="13">
        <f>'TR TUSD'!$W$5*'TR TUSD'!$W$60</f>
        <v>0</v>
      </c>
      <c r="X5" s="13">
        <f>'TR TUSD'!$X$5*'TR TUSD'!$X$60</f>
        <v>0</v>
      </c>
      <c r="Y5" s="13">
        <f>'TR TUSD'!$Y$5*'TR TUSD'!$Y$60</f>
        <v>33.17985812946965</v>
      </c>
      <c r="Z5" s="13">
        <f>'TR TUSD'!$Z$5</f>
        <v>0</v>
      </c>
      <c r="AA5" s="13">
        <f>'TR TUSD'!$AA$5</f>
        <v>0</v>
      </c>
      <c r="AB5" s="13">
        <f>SUM($U$5:$AA$5)</f>
        <v>33.17985812946965</v>
      </c>
      <c r="AC5" s="13">
        <f>'TR TUSD'!$AC$5*'TR TUSD'!$AC$60</f>
        <v>21.45364698939645</v>
      </c>
      <c r="AD5" s="13">
        <f>SUM($AC$5:$AC$5)</f>
        <v>21.45364698939645</v>
      </c>
      <c r="AE5" s="13">
        <v>0</v>
      </c>
      <c r="AF5" s="13">
        <v>0</v>
      </c>
      <c r="AG5" s="13">
        <f>SUM($AE$5:$AF$5)</f>
        <v>0</v>
      </c>
      <c r="AH5" s="13">
        <f>'TR TUSD'!$AH$5*'TR TUSD'!$AH$60</f>
        <v>0</v>
      </c>
      <c r="AI5" s="13">
        <f>'TR TUSD'!$AI$5*'TR TUSD'!$AI$60</f>
        <v>0</v>
      </c>
      <c r="AJ5" s="13">
        <f ca="1">'TR TUSD'!$AJ$5*'TR TUSD'!$AJ$60</f>
        <v>0</v>
      </c>
      <c r="AK5" s="13">
        <f ca="1">'TR TUSD'!$AK$5*'TR TUSD'!$AK$60</f>
        <v>0</v>
      </c>
      <c r="AL5" s="13">
        <f ca="1">SUM($AH$5:$AK$5)</f>
        <v>0</v>
      </c>
      <c r="AM5" s="13">
        <f ca="1">SUMIF($L$4:$AL$4,"SUBTOTAL",$L$5:$AL$5)</f>
        <v>54.633505118866097</v>
      </c>
      <c r="AP5" s="13">
        <v>1</v>
      </c>
    </row>
    <row r="6" spans="1:42" ht="11.25" customHeight="1" x14ac:dyDescent="0.25">
      <c r="A6" s="142"/>
      <c r="B6" s="142"/>
      <c r="C6" s="142"/>
      <c r="D6" s="142"/>
      <c r="E6" s="142"/>
      <c r="F6" s="142"/>
      <c r="G6" s="24" t="s">
        <v>82</v>
      </c>
      <c r="H6" s="24" t="s">
        <v>80</v>
      </c>
      <c r="I6" s="24">
        <f>'MERCADO TUSD'!$U$3</f>
        <v>87299</v>
      </c>
      <c r="J6" s="15"/>
      <c r="L6" s="13">
        <f>'TR TUSD'!$L$6*'TR TUSD'!$L$60</f>
        <v>0</v>
      </c>
      <c r="M6" s="13">
        <f>'TR TUSD'!$M$6*'TR TUSD'!$M$60</f>
        <v>0</v>
      </c>
      <c r="N6" s="13">
        <f ca="1">'TR TUSD'!$N$6*'TR TUSD'!$N$60</f>
        <v>0</v>
      </c>
      <c r="O6" s="13">
        <f>'TR TUSD'!$O$6*'TR TUSD'!$O$60</f>
        <v>0</v>
      </c>
      <c r="P6" s="13">
        <f>'TR TUSD'!$P$6*'TR TUSD'!$P$60</f>
        <v>0</v>
      </c>
      <c r="Q6" s="13">
        <f>'TR TUSD'!$Q$6*'TR TUSD'!$Q$60</f>
        <v>0</v>
      </c>
      <c r="R6" s="13">
        <f>'TR TUSD'!$R$6*'TR TUSD'!$R$60</f>
        <v>0</v>
      </c>
      <c r="S6" s="13">
        <f>'TR TUSD'!$S$6*'TR TUSD'!$S$60</f>
        <v>0</v>
      </c>
      <c r="T6" s="13">
        <f ca="1">SUM($L$6:$S$6)</f>
        <v>0</v>
      </c>
      <c r="U6" s="13">
        <f>'TR TUSD'!$U$6*'TR TUSD'!$U$60</f>
        <v>0</v>
      </c>
      <c r="V6" s="13">
        <f>'TR TUSD'!$V$6*'TR TUSD'!$V$60</f>
        <v>0</v>
      </c>
      <c r="W6" s="13">
        <f>'TR TUSD'!$W$6*'TR TUSD'!$W$60</f>
        <v>0</v>
      </c>
      <c r="X6" s="13">
        <f>'TR TUSD'!$X$6*'TR TUSD'!$X$60</f>
        <v>0</v>
      </c>
      <c r="Y6" s="13">
        <f>'TR TUSD'!$Y$6*'TR TUSD'!$Y$60</f>
        <v>13.038428704335338</v>
      </c>
      <c r="Z6" s="13">
        <f>'TR TUSD'!$Z$6</f>
        <v>0</v>
      </c>
      <c r="AA6" s="13">
        <f>'TR TUSD'!$AA$6</f>
        <v>0</v>
      </c>
      <c r="AB6" s="13">
        <f>SUM($U$6:$AA$6)</f>
        <v>13.038428704335338</v>
      </c>
      <c r="AC6" s="13">
        <f>'TR TUSD'!$AC$6*'TR TUSD'!$AC$60</f>
        <v>5.7040642569725293</v>
      </c>
      <c r="AD6" s="13">
        <f>SUM($AC$6:$AC$6)</f>
        <v>5.7040642569725293</v>
      </c>
      <c r="AE6" s="13">
        <v>0</v>
      </c>
      <c r="AF6" s="13">
        <v>0</v>
      </c>
      <c r="AG6" s="13">
        <f>SUM($AE$6:$AF$6)</f>
        <v>0</v>
      </c>
      <c r="AH6" s="13">
        <f>'TR TUSD'!$AH$6*'TR TUSD'!$AH$60</f>
        <v>0</v>
      </c>
      <c r="AI6" s="13">
        <f>'TR TUSD'!$AI$6*'TR TUSD'!$AI$60</f>
        <v>0</v>
      </c>
      <c r="AJ6" s="13">
        <f ca="1">'TR TUSD'!$AJ$6*'TR TUSD'!$AJ$60</f>
        <v>0</v>
      </c>
      <c r="AK6" s="13">
        <f ca="1">'TR TUSD'!$AK$6*'TR TUSD'!$AK$60</f>
        <v>0</v>
      </c>
      <c r="AL6" s="13">
        <f ca="1">SUM($AH$6:$AK$6)</f>
        <v>0</v>
      </c>
      <c r="AM6" s="13">
        <f ca="1">SUMIF($L$4:$AL$4,"SUBTOTAL",$L$6:$AL$6)</f>
        <v>18.742492961307867</v>
      </c>
      <c r="AP6" s="13">
        <v>1</v>
      </c>
    </row>
    <row r="7" spans="1:42" ht="11.25" customHeight="1" x14ac:dyDescent="0.25">
      <c r="A7" s="142"/>
      <c r="B7" s="142"/>
      <c r="C7" s="142"/>
      <c r="D7" s="142"/>
      <c r="E7" s="142"/>
      <c r="F7" s="142"/>
      <c r="G7" s="24" t="s">
        <v>79</v>
      </c>
      <c r="H7" s="24" t="s">
        <v>75</v>
      </c>
      <c r="I7" s="24">
        <f>'MERCADO TUSD'!$U$4</f>
        <v>40556.964</v>
      </c>
      <c r="J7" s="15"/>
      <c r="L7" s="13">
        <f>'TR TUSD'!$L$7*'TR TUSD'!$L$60</f>
        <v>0</v>
      </c>
      <c r="M7" s="13">
        <f>'TR TUSD'!$M$7*'TR TUSD'!$M$60</f>
        <v>0.16034048379328283</v>
      </c>
      <c r="N7" s="13">
        <f ca="1">'TR TUSD'!$N$7*'TR TUSD'!$N$60</f>
        <v>0.10062694837302187</v>
      </c>
      <c r="O7" s="13">
        <f>'TR TUSD'!$O$7*'TR TUSD'!$O$60</f>
        <v>0</v>
      </c>
      <c r="P7" s="13">
        <f>'TR TUSD'!$P$7*'TR TUSD'!$P$60</f>
        <v>0</v>
      </c>
      <c r="Q7" s="13">
        <f>'TR TUSD'!$Q$7*'TR TUSD'!$Q$60</f>
        <v>74.562103043533341</v>
      </c>
      <c r="R7" s="13">
        <f>'TR TUSD'!$R$7*'TR TUSD'!$R$60</f>
        <v>14.44427661212166</v>
      </c>
      <c r="S7" s="13">
        <f>'TR TUSD'!$S$7*'TR TUSD'!$S$60</f>
        <v>0</v>
      </c>
      <c r="T7" s="13">
        <f ca="1">SUM($L$7:$S$7)</f>
        <v>89.267347087821307</v>
      </c>
      <c r="U7" s="13">
        <f>'TR TUSD'!$U$7*'TR TUSD'!$U$60</f>
        <v>0</v>
      </c>
      <c r="V7" s="13">
        <f>'TR TUSD'!$V$7*'TR TUSD'!$V$60</f>
        <v>0</v>
      </c>
      <c r="W7" s="13">
        <f>'TR TUSD'!$W$7*'TR TUSD'!$W$60</f>
        <v>0</v>
      </c>
      <c r="X7" s="13">
        <f>'TR TUSD'!$X$7*'TR TUSD'!$X$60</f>
        <v>0</v>
      </c>
      <c r="Y7" s="13">
        <f>'TR TUSD'!$Y$7*'TR TUSD'!$Y$60</f>
        <v>0</v>
      </c>
      <c r="Z7" s="13">
        <f>'TR TUSD'!$Z$7</f>
        <v>0</v>
      </c>
      <c r="AA7" s="13">
        <f>'TR TUSD'!$AA$7</f>
        <v>0</v>
      </c>
      <c r="AB7" s="13">
        <f>SUM($U$7:$AA$7)</f>
        <v>0</v>
      </c>
      <c r="AC7" s="13">
        <f>'TR TUSD'!$AC$7*'TR TUSD'!$AC$60</f>
        <v>0</v>
      </c>
      <c r="AD7" s="13">
        <f>SUM($AC$7:$AC$7)</f>
        <v>0</v>
      </c>
      <c r="AE7" s="13">
        <v>0</v>
      </c>
      <c r="AF7" s="13">
        <v>0</v>
      </c>
      <c r="AG7" s="13">
        <f>SUM($AE$7:$AF$7)</f>
        <v>0</v>
      </c>
      <c r="AH7" s="13">
        <f>'TR TUSD'!$AH$7*'TR TUSD'!$AH$60</f>
        <v>2.4622985489405584</v>
      </c>
      <c r="AI7" s="13">
        <f>'TR TUSD'!$AI$7*'TR TUSD'!$AI$60</f>
        <v>8.4477489800027478E-2</v>
      </c>
      <c r="AJ7" s="13">
        <f ca="1">'TR TUSD'!$AJ$7*'TR TUSD'!$AJ$60</f>
        <v>1.6796001743990747</v>
      </c>
      <c r="AK7" s="13">
        <f ca="1">'TR TUSD'!$AK$7*'TR TUSD'!$AK$60</f>
        <v>0.10352997779513703</v>
      </c>
      <c r="AL7" s="13">
        <f ca="1">SUM($AH$7:$AK$7)</f>
        <v>4.329906190934798</v>
      </c>
      <c r="AM7" s="13">
        <f ca="1">SUMIF($L$4:$AL$4,"SUBTOTAL",$L$7:$AL$7)</f>
        <v>93.597253278756099</v>
      </c>
      <c r="AP7" s="13">
        <v>1</v>
      </c>
    </row>
    <row r="8" spans="1:42" ht="11.25" customHeight="1" x14ac:dyDescent="0.25">
      <c r="A8" s="142"/>
      <c r="B8" s="142"/>
      <c r="C8" s="142"/>
      <c r="D8" s="142"/>
      <c r="E8" s="23" t="s">
        <v>83</v>
      </c>
      <c r="F8" s="23" t="s">
        <v>25</v>
      </c>
      <c r="G8" s="24" t="s">
        <v>79</v>
      </c>
      <c r="H8" s="24" t="s">
        <v>75</v>
      </c>
      <c r="I8" s="24">
        <f>'MERCADO TUSD'!$U$5</f>
        <v>0</v>
      </c>
      <c r="J8" s="15"/>
      <c r="L8" s="13">
        <f>'TR TUSD'!$L$8*'TR TUSD'!$L$60</f>
        <v>0</v>
      </c>
      <c r="M8" s="13">
        <f>'TR TUSD'!$M$8*'TR TUSD'!$M$60</f>
        <v>0.16034048379328283</v>
      </c>
      <c r="N8" s="13">
        <f ca="1">'TR TUSD'!$N$8*'TR TUSD'!$N$60</f>
        <v>9.0257176904188524E-2</v>
      </c>
      <c r="O8" s="13">
        <f>'TR TUSD'!$O$8*'TR TUSD'!$O$60</f>
        <v>0</v>
      </c>
      <c r="P8" s="13">
        <f>'TR TUSD'!$P$8*'TR TUSD'!$P$60</f>
        <v>0</v>
      </c>
      <c r="Q8" s="13">
        <f>'TR TUSD'!$Q$8*'TR TUSD'!$Q$60</f>
        <v>0</v>
      </c>
      <c r="R8" s="13">
        <f>'TR TUSD'!$R$8*'TR TUSD'!$R$60</f>
        <v>0</v>
      </c>
      <c r="S8" s="13">
        <f>'TR TUSD'!$S$8*'TR TUSD'!$S$60</f>
        <v>0</v>
      </c>
      <c r="T8" s="13">
        <f ca="1">SUM($L$8:$S$8)</f>
        <v>0.25059766069747136</v>
      </c>
      <c r="U8" s="13">
        <f>'TR TUSD'!$U$8*'TR TUSD'!$U$60</f>
        <v>0</v>
      </c>
      <c r="V8" s="13">
        <f>'TR TUSD'!$V$8*'TR TUSD'!$V$60</f>
        <v>0</v>
      </c>
      <c r="W8" s="13">
        <f>'TR TUSD'!$W$8*'TR TUSD'!$W$60</f>
        <v>0</v>
      </c>
      <c r="X8" s="13">
        <f>'TR TUSD'!$X$8*'TR TUSD'!$X$60</f>
        <v>0</v>
      </c>
      <c r="Y8" s="13">
        <f>'TR TUSD'!$Y$8*'TR TUSD'!$Y$60</f>
        <v>0</v>
      </c>
      <c r="Z8" s="13">
        <f>'TR TUSD'!$Z$8</f>
        <v>0</v>
      </c>
      <c r="AA8" s="13">
        <f>'TR TUSD'!$AA$8</f>
        <v>0</v>
      </c>
      <c r="AB8" s="13">
        <f>SUM($U$8:$AA$8)</f>
        <v>0</v>
      </c>
      <c r="AC8" s="13">
        <f>'TR TUSD'!$AC$8*'TR TUSD'!$AC$60</f>
        <v>0</v>
      </c>
      <c r="AD8" s="13">
        <f>SUM($AC$8:$AC$8)</f>
        <v>0</v>
      </c>
      <c r="AE8" s="13">
        <v>0</v>
      </c>
      <c r="AF8" s="13">
        <v>0</v>
      </c>
      <c r="AG8" s="13">
        <f>SUM($AE$8:$AF$8)</f>
        <v>0</v>
      </c>
      <c r="AH8" s="13">
        <f>'TR TUSD'!$AH$8*'TR TUSD'!$AH$60</f>
        <v>2.4622985489405584</v>
      </c>
      <c r="AI8" s="13">
        <f>'TR TUSD'!$AI$8*'TR TUSD'!$AI$60</f>
        <v>8.4477489800027478E-2</v>
      </c>
      <c r="AJ8" s="13">
        <f ca="1">'TR TUSD'!$AJ$8*'TR TUSD'!$AJ$60</f>
        <v>1.6796001743990747</v>
      </c>
      <c r="AK8" s="13">
        <f ca="1">'TR TUSD'!$AK$8*'TR TUSD'!$AK$60</f>
        <v>0.10352997779513703</v>
      </c>
      <c r="AL8" s="13">
        <f ca="1">SUM($AH$8:$AK$8)</f>
        <v>4.329906190934798</v>
      </c>
      <c r="AM8" s="13">
        <f ca="1">SUMIF($L$4:$AL$4,"SUBTOTAL",$L$8:$AL$8)</f>
        <v>4.5805038516322689</v>
      </c>
      <c r="AP8" s="13">
        <v>1</v>
      </c>
    </row>
    <row r="9" spans="1:42" ht="11.25" customHeight="1" x14ac:dyDescent="0.25">
      <c r="A9" s="142"/>
      <c r="B9" s="23" t="s">
        <v>84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80</v>
      </c>
      <c r="I9" s="24">
        <f>'MERCADO TUSD'!$U$6</f>
        <v>0</v>
      </c>
      <c r="J9" s="15"/>
      <c r="L9" s="13">
        <f>'TR TUSD'!$L$9*'TR TUSD'!$L$60</f>
        <v>0</v>
      </c>
      <c r="M9" s="13">
        <f>'TR TUSD'!$M$9*'TR TUSD'!$M$60</f>
        <v>2.7576714940083319E-2</v>
      </c>
      <c r="N9" s="13">
        <f ca="1">'TR TUSD'!$N$9*'TR TUSD'!$N$60</f>
        <v>7.0307050558690076E-2</v>
      </c>
      <c r="O9" s="13">
        <f>'TR TUSD'!$O$9*'TR TUSD'!$O$60</f>
        <v>0</v>
      </c>
      <c r="P9" s="13">
        <f>'TR TUSD'!$P$9*'TR TUSD'!$P$60</f>
        <v>0</v>
      </c>
      <c r="Q9" s="13">
        <f>'TR TUSD'!$Q$9*'TR TUSD'!$Q$60</f>
        <v>0</v>
      </c>
      <c r="R9" s="13">
        <f>'TR TUSD'!$R$9*'TR TUSD'!$R$60</f>
        <v>0</v>
      </c>
      <c r="S9" s="13">
        <f>'TR TUSD'!$S$9*'TR TUSD'!$S$60</f>
        <v>0</v>
      </c>
      <c r="T9" s="13">
        <f ca="1">SUM($L$9:$S$9)</f>
        <v>9.7883765498773395E-2</v>
      </c>
      <c r="U9" s="13">
        <f>'TR TUSD'!$U$9*'TR TUSD'!$U$60</f>
        <v>0</v>
      </c>
      <c r="V9" s="13">
        <f>'TR TUSD'!$V$9*'TR TUSD'!$V$60</f>
        <v>0</v>
      </c>
      <c r="W9" s="13">
        <f>'TR TUSD'!$W$9*'TR TUSD'!$W$60</f>
        <v>0</v>
      </c>
      <c r="X9" s="13">
        <f>'TR TUSD'!$X$9*'TR TUSD'!$X$60</f>
        <v>0</v>
      </c>
      <c r="Y9" s="13">
        <f>'TR TUSD'!$Y$9*'TR TUSD'!$Y$60</f>
        <v>0</v>
      </c>
      <c r="Z9" s="13">
        <f>'TR TUSD'!$Z$9*'TR TUSD'!$Z$60</f>
        <v>0</v>
      </c>
      <c r="AA9" s="13">
        <f>'TR TUSD'!$AA$9*'TR TUSD'!$AA$60</f>
        <v>0</v>
      </c>
      <c r="AB9" s="13">
        <f>SUM($U$9:$AA$9)</f>
        <v>0</v>
      </c>
      <c r="AC9" s="13">
        <f>'TR TUSD'!$AC$9*'TR TUSD'!$AC$60</f>
        <v>7.2791410461509019</v>
      </c>
      <c r="AD9" s="13">
        <f>SUM($AC$9:$AC$9)</f>
        <v>7.2791410461509019</v>
      </c>
      <c r="AE9" s="13">
        <v>0</v>
      </c>
      <c r="AF9" s="13">
        <v>0</v>
      </c>
      <c r="AG9" s="13">
        <f>SUM($AE$9:$AF$9)</f>
        <v>0</v>
      </c>
      <c r="AH9" s="13">
        <f>'TR TUSD'!$AH$9*'TR TUSD'!$AH$60</f>
        <v>0</v>
      </c>
      <c r="AI9" s="13">
        <f>'TR TUSD'!$AI$9*'TR TUSD'!$AI$60</f>
        <v>0</v>
      </c>
      <c r="AJ9" s="13">
        <f ca="1">'TR TUSD'!$AJ$9*'TR TUSD'!$AJ$60</f>
        <v>0</v>
      </c>
      <c r="AK9" s="13">
        <f ca="1">'TR TUSD'!$AK$9*'TR TUSD'!$AK$60</f>
        <v>0</v>
      </c>
      <c r="AL9" s="13">
        <f ca="1">SUM($AH$9:$AK$9)</f>
        <v>0</v>
      </c>
      <c r="AM9" s="13">
        <f ca="1">SUMIF($L$4:$AL$4,"SUBTOTAL",$L$9:$AL$9)</f>
        <v>7.3770248116496751</v>
      </c>
      <c r="AP9" s="13"/>
    </row>
    <row r="10" spans="1:42" ht="11.25" customHeight="1" x14ac:dyDescent="0.25">
      <c r="A10" s="142"/>
      <c r="B10" s="142" t="s">
        <v>39</v>
      </c>
      <c r="C10" s="142" t="s">
        <v>25</v>
      </c>
      <c r="D10" s="142" t="s">
        <v>25</v>
      </c>
      <c r="E10" s="142" t="s">
        <v>25</v>
      </c>
      <c r="F10" s="142" t="s">
        <v>25</v>
      </c>
      <c r="G10" s="24" t="s">
        <v>9</v>
      </c>
      <c r="H10" s="24" t="s">
        <v>80</v>
      </c>
      <c r="I10" s="24">
        <f>'MERCADO TUSD'!$U$7</f>
        <v>37121</v>
      </c>
      <c r="J10" s="15"/>
      <c r="L10" s="13">
        <f>'TR TUSD'!$L$10*'TR TUSD'!$L$60</f>
        <v>0</v>
      </c>
      <c r="M10" s="13">
        <f>'TR TUSD'!$M$10*'TR TUSD'!$M$60</f>
        <v>0</v>
      </c>
      <c r="N10" s="13">
        <f ca="1">'TR TUSD'!$N$10*'TR TUSD'!$N$60</f>
        <v>0</v>
      </c>
      <c r="O10" s="13">
        <f>'TR TUSD'!$O$10*'TR TUSD'!$O$60</f>
        <v>0</v>
      </c>
      <c r="P10" s="13">
        <f>'TR TUSD'!$P$10*'TR TUSD'!$P$60</f>
        <v>0</v>
      </c>
      <c r="Q10" s="13">
        <f>'TR TUSD'!$Q$10*'TR TUSD'!$Q$60</f>
        <v>0</v>
      </c>
      <c r="R10" s="13">
        <f>'TR TUSD'!$R$10*'TR TUSD'!$R$60</f>
        <v>0</v>
      </c>
      <c r="S10" s="13">
        <f>'TR TUSD'!$S$10*'TR TUSD'!$S$60</f>
        <v>0</v>
      </c>
      <c r="T10" s="13">
        <f ca="1">SUM($L$10:$S$10)</f>
        <v>0</v>
      </c>
      <c r="U10" s="13">
        <f>'TR TUSD'!$U$10*'TR TUSD'!$U$60</f>
        <v>0</v>
      </c>
      <c r="V10" s="13">
        <f>'TR TUSD'!$V$10*'TR TUSD'!$V$60</f>
        <v>0</v>
      </c>
      <c r="W10" s="13">
        <f>'TR TUSD'!$W$10*'TR TUSD'!$W$60</f>
        <v>0</v>
      </c>
      <c r="X10" s="13">
        <f>'TR TUSD'!$X$10*'TR TUSD'!$X$60</f>
        <v>0</v>
      </c>
      <c r="Y10" s="13">
        <f>'TR TUSD'!$Y$10*'TR TUSD'!$Y$60</f>
        <v>13.038428704335338</v>
      </c>
      <c r="Z10" s="13">
        <f>'TR TUSD'!$Z$10</f>
        <v>0</v>
      </c>
      <c r="AA10" s="13">
        <f>'TR TUSD'!$AA$10</f>
        <v>0</v>
      </c>
      <c r="AB10" s="13">
        <f>SUM($U$10:$AA$10)</f>
        <v>13.038428704335338</v>
      </c>
      <c r="AC10" s="13">
        <f>'TR TUSD'!$AC$10*'TR TUSD'!$AC$60</f>
        <v>5.7040642569725293</v>
      </c>
      <c r="AD10" s="13">
        <f>SUM($AC$10:$AC$10)</f>
        <v>5.7040642569725293</v>
      </c>
      <c r="AE10" s="13">
        <v>0</v>
      </c>
      <c r="AF10" s="13">
        <v>0</v>
      </c>
      <c r="AG10" s="13">
        <f>SUM($AE$10:$AF$10)</f>
        <v>0</v>
      </c>
      <c r="AH10" s="13">
        <f>'TR TUSD'!$AH$10*'TR TUSD'!$AH$60</f>
        <v>0</v>
      </c>
      <c r="AI10" s="13">
        <f>'TR TUSD'!$AI$10*'TR TUSD'!$AI$60</f>
        <v>0</v>
      </c>
      <c r="AJ10" s="13">
        <f ca="1">'TR TUSD'!$AJ$10*'TR TUSD'!$AJ$60</f>
        <v>0</v>
      </c>
      <c r="AK10" s="13">
        <f ca="1">'TR TUSD'!$AK$10*'TR TUSD'!$AK$60</f>
        <v>0</v>
      </c>
      <c r="AL10" s="13">
        <f ca="1">SUM($AH$10:$AK$10)</f>
        <v>0</v>
      </c>
      <c r="AM10" s="13">
        <f ca="1">SUMIF($L$4:$AL$4,"SUBTOTAL",$L$10:$AL$10)</f>
        <v>18.742492961307867</v>
      </c>
      <c r="AP10" s="13">
        <v>1</v>
      </c>
    </row>
    <row r="11" spans="1:42" ht="11.25" customHeight="1" x14ac:dyDescent="0.25">
      <c r="A11" s="142"/>
      <c r="B11" s="142"/>
      <c r="C11" s="142"/>
      <c r="D11" s="142"/>
      <c r="E11" s="142"/>
      <c r="F11" s="142"/>
      <c r="G11" s="24" t="s">
        <v>76</v>
      </c>
      <c r="H11" s="24" t="s">
        <v>75</v>
      </c>
      <c r="I11" s="24">
        <f>'MERCADO TUSD'!$U$8</f>
        <v>280.50399999999996</v>
      </c>
      <c r="J11" s="15"/>
      <c r="L11" s="13">
        <f>'TR TUSD'!$L$11*'TR TUSD'!$L$60</f>
        <v>0</v>
      </c>
      <c r="M11" s="13">
        <f>'TR TUSD'!$M$11*'TR TUSD'!$M$60</f>
        <v>0.16034048379328283</v>
      </c>
      <c r="N11" s="13">
        <f ca="1">'TR TUSD'!$N$11*'TR TUSD'!$N$60</f>
        <v>11.792331699167505</v>
      </c>
      <c r="O11" s="13">
        <f>'TR TUSD'!$O$11*'TR TUSD'!$O$60</f>
        <v>0</v>
      </c>
      <c r="P11" s="13">
        <f>'TR TUSD'!$P$11*'TR TUSD'!$P$60</f>
        <v>0</v>
      </c>
      <c r="Q11" s="13">
        <f>'TR TUSD'!$Q$11*'TR TUSD'!$Q$60</f>
        <v>74.562103043533341</v>
      </c>
      <c r="R11" s="13">
        <f>'TR TUSD'!$R$11*'TR TUSD'!$R$60</f>
        <v>14.44427661212166</v>
      </c>
      <c r="S11" s="13">
        <f>'TR TUSD'!$S$11*'TR TUSD'!$S$60</f>
        <v>0</v>
      </c>
      <c r="T11" s="13">
        <f ca="1">SUM($L$11:$S$11)</f>
        <v>100.95905183861578</v>
      </c>
      <c r="U11" s="13">
        <f>'TR TUSD'!$U$11*'TR TUSD'!$U$60</f>
        <v>0</v>
      </c>
      <c r="V11" s="13">
        <f>'TR TUSD'!$V$11*'TR TUSD'!$V$60</f>
        <v>0</v>
      </c>
      <c r="W11" s="13">
        <f>'TR TUSD'!$W$11*'TR TUSD'!$W$60</f>
        <v>0</v>
      </c>
      <c r="X11" s="13">
        <f>'TR TUSD'!$X$11*'TR TUSD'!$X$60</f>
        <v>0</v>
      </c>
      <c r="Y11" s="13">
        <f>'TR TUSD'!$Y$11*'TR TUSD'!$Y$60</f>
        <v>797.97703363857795</v>
      </c>
      <c r="Z11" s="13">
        <f>'TR TUSD'!$Z$11</f>
        <v>0</v>
      </c>
      <c r="AA11" s="13">
        <f>'TR TUSD'!$AA$11</f>
        <v>0</v>
      </c>
      <c r="AB11" s="13">
        <f>SUM($U$11:$AA$11)</f>
        <v>797.97703363857795</v>
      </c>
      <c r="AC11" s="13">
        <f>'TR TUSD'!$AC$11*'TR TUSD'!$AC$60</f>
        <v>515.96009696613669</v>
      </c>
      <c r="AD11" s="13">
        <f>SUM($AC$11:$AC$11)</f>
        <v>515.96009696613669</v>
      </c>
      <c r="AE11" s="13">
        <v>0</v>
      </c>
      <c r="AF11" s="13">
        <v>0</v>
      </c>
      <c r="AG11" s="13">
        <f>SUM($AE$11:$AF$11)</f>
        <v>0</v>
      </c>
      <c r="AH11" s="13">
        <f>'TR TUSD'!$AH$11*'TR TUSD'!$AH$60</f>
        <v>2.4622985489405584</v>
      </c>
      <c r="AI11" s="13">
        <f>'TR TUSD'!$AI$11*'TR TUSD'!$AI$60</f>
        <v>8.4477489800027478E-2</v>
      </c>
      <c r="AJ11" s="13">
        <f ca="1">'TR TUSD'!$AJ$11*'TR TUSD'!$AJ$60</f>
        <v>1.6796001743990747</v>
      </c>
      <c r="AK11" s="13">
        <f ca="1">'TR TUSD'!$AK$11*'TR TUSD'!$AK$60</f>
        <v>0.10352997779513703</v>
      </c>
      <c r="AL11" s="13">
        <f ca="1">SUM($AH$11:$AK$11)</f>
        <v>4.329906190934798</v>
      </c>
      <c r="AM11" s="13">
        <f ca="1">SUMIF($L$4:$AL$4,"SUBTOTAL",$L$11:$AL$11)</f>
        <v>1419.2260886342651</v>
      </c>
      <c r="AP11" s="13">
        <v>1</v>
      </c>
    </row>
    <row r="12" spans="1:42" ht="11.25" customHeight="1" x14ac:dyDescent="0.25">
      <c r="A12" s="142"/>
      <c r="B12" s="142"/>
      <c r="C12" s="142"/>
      <c r="D12" s="142"/>
      <c r="E12" s="142"/>
      <c r="F12" s="142"/>
      <c r="G12" s="24" t="s">
        <v>77</v>
      </c>
      <c r="H12" s="24" t="s">
        <v>75</v>
      </c>
      <c r="I12" s="24">
        <f>'MERCADO TUSD'!$U$9</f>
        <v>7558.6610000000001</v>
      </c>
      <c r="J12" s="15"/>
      <c r="L12" s="13">
        <f>'TR TUSD'!$L$12*'TR TUSD'!$L$60</f>
        <v>0</v>
      </c>
      <c r="M12" s="13">
        <f>'TR TUSD'!$M$12*'TR TUSD'!$M$60</f>
        <v>0.16034048379328283</v>
      </c>
      <c r="N12" s="13">
        <f ca="1">'TR TUSD'!$N$12*'TR TUSD'!$N$60</f>
        <v>0.10062694837302187</v>
      </c>
      <c r="O12" s="13">
        <f>'TR TUSD'!$O$12*'TR TUSD'!$O$60</f>
        <v>0</v>
      </c>
      <c r="P12" s="13">
        <f>'TR TUSD'!$P$12*'TR TUSD'!$P$60</f>
        <v>0</v>
      </c>
      <c r="Q12" s="13">
        <f>'TR TUSD'!$Q$12*'TR TUSD'!$Q$60</f>
        <v>74.562103043533341</v>
      </c>
      <c r="R12" s="13">
        <f>'TR TUSD'!$R$12*'TR TUSD'!$R$60</f>
        <v>14.44427661212166</v>
      </c>
      <c r="S12" s="13">
        <f>'TR TUSD'!$S$12*'TR TUSD'!$S$60</f>
        <v>0</v>
      </c>
      <c r="T12" s="13">
        <f ca="1">SUM($L$12:$S$12)</f>
        <v>89.267347087821307</v>
      </c>
      <c r="U12" s="13">
        <f>'TR TUSD'!$U$12*'TR TUSD'!$U$60</f>
        <v>0</v>
      </c>
      <c r="V12" s="13">
        <f>'TR TUSD'!$V$12*'TR TUSD'!$V$60</f>
        <v>0</v>
      </c>
      <c r="W12" s="13">
        <f>'TR TUSD'!$W$12*'TR TUSD'!$W$60</f>
        <v>0</v>
      </c>
      <c r="X12" s="13">
        <f>'TR TUSD'!$X$12*'TR TUSD'!$X$60</f>
        <v>0</v>
      </c>
      <c r="Y12" s="13">
        <f>'TR TUSD'!$Y$12*'TR TUSD'!$Y$60</f>
        <v>0</v>
      </c>
      <c r="Z12" s="13">
        <f>'TR TUSD'!$Z$12</f>
        <v>0</v>
      </c>
      <c r="AA12" s="13">
        <f>'TR TUSD'!$AA$12</f>
        <v>0</v>
      </c>
      <c r="AB12" s="13">
        <f>SUM($U$12:$AA$12)</f>
        <v>0</v>
      </c>
      <c r="AC12" s="13">
        <f>'TR TUSD'!$AC$12*'TR TUSD'!$AC$60</f>
        <v>0</v>
      </c>
      <c r="AD12" s="13">
        <f>SUM($AC$12:$AC$12)</f>
        <v>0</v>
      </c>
      <c r="AE12" s="13">
        <v>0</v>
      </c>
      <c r="AF12" s="13">
        <v>0</v>
      </c>
      <c r="AG12" s="13">
        <f>SUM($AE$12:$AF$12)</f>
        <v>0</v>
      </c>
      <c r="AH12" s="13">
        <f>'TR TUSD'!$AH$12*'TR TUSD'!$AH$60</f>
        <v>2.4622985489405584</v>
      </c>
      <c r="AI12" s="13">
        <f>'TR TUSD'!$AI$12*'TR TUSD'!$AI$60</f>
        <v>8.4477489800027478E-2</v>
      </c>
      <c r="AJ12" s="13">
        <f ca="1">'TR TUSD'!$AJ$12*'TR TUSD'!$AJ$60</f>
        <v>1.6796001743990747</v>
      </c>
      <c r="AK12" s="13">
        <f ca="1">'TR TUSD'!$AK$12*'TR TUSD'!$AK$60</f>
        <v>0.10352997779513703</v>
      </c>
      <c r="AL12" s="13">
        <f ca="1">SUM($AH$12:$AK$12)</f>
        <v>4.329906190934798</v>
      </c>
      <c r="AM12" s="13">
        <f ca="1">SUMIF($L$4:$AL$4,"SUBTOTAL",$L$12:$AL$12)</f>
        <v>93.597253278756099</v>
      </c>
      <c r="AP12" s="13">
        <v>1</v>
      </c>
    </row>
    <row r="13" spans="1:42" ht="11.25" customHeight="1" x14ac:dyDescent="0.25">
      <c r="A13" s="142"/>
      <c r="B13" s="142"/>
      <c r="C13" s="142"/>
      <c r="D13" s="142"/>
      <c r="E13" s="142" t="s">
        <v>83</v>
      </c>
      <c r="F13" s="142" t="s">
        <v>25</v>
      </c>
      <c r="G13" s="24" t="s">
        <v>76</v>
      </c>
      <c r="H13" s="24" t="s">
        <v>75</v>
      </c>
      <c r="I13" s="24">
        <f>'MERCADO TUSD'!$U$10</f>
        <v>0</v>
      </c>
      <c r="J13" s="15"/>
      <c r="L13" s="13">
        <f>'TR TUSD'!$L$13*'TR TUSD'!$L$60</f>
        <v>0</v>
      </c>
      <c r="M13" s="13">
        <f>'TR TUSD'!$M$13*'TR TUSD'!$M$60</f>
        <v>0.16034048379328283</v>
      </c>
      <c r="N13" s="13">
        <f ca="1">'TR TUSD'!$N$13*'TR TUSD'!$N$60</f>
        <v>11.781961927698671</v>
      </c>
      <c r="O13" s="13">
        <f>'TR TUSD'!$O$13*'TR TUSD'!$O$60</f>
        <v>0</v>
      </c>
      <c r="P13" s="13">
        <f>'TR TUSD'!$P$13*'TR TUSD'!$P$60</f>
        <v>0</v>
      </c>
      <c r="Q13" s="13">
        <f>'TR TUSD'!$Q$13*'TR TUSD'!$Q$60</f>
        <v>0</v>
      </c>
      <c r="R13" s="13">
        <f>'TR TUSD'!$R$13*'TR TUSD'!$R$60</f>
        <v>0</v>
      </c>
      <c r="S13" s="13">
        <f>'TR TUSD'!$S$13*'TR TUSD'!$S$60</f>
        <v>0</v>
      </c>
      <c r="T13" s="13">
        <f ca="1">SUM($L$13:$S$13)</f>
        <v>11.942302411491953</v>
      </c>
      <c r="U13" s="13">
        <f>'TR TUSD'!$U$13*'TR TUSD'!$U$60</f>
        <v>0</v>
      </c>
      <c r="V13" s="13">
        <f>'TR TUSD'!$V$13*'TR TUSD'!$V$60</f>
        <v>0</v>
      </c>
      <c r="W13" s="13">
        <f>'TR TUSD'!$W$13*'TR TUSD'!$W$60</f>
        <v>0</v>
      </c>
      <c r="X13" s="13">
        <f>'TR TUSD'!$X$13*'TR TUSD'!$X$60</f>
        <v>0</v>
      </c>
      <c r="Y13" s="13">
        <f>'TR TUSD'!$Y$13*'TR TUSD'!$Y$60</f>
        <v>797.97703363857795</v>
      </c>
      <c r="Z13" s="13">
        <f>'TR TUSD'!$Z$13</f>
        <v>0</v>
      </c>
      <c r="AA13" s="13">
        <f>'TR TUSD'!$AA$13</f>
        <v>0</v>
      </c>
      <c r="AB13" s="13">
        <f>SUM($U$13:$AA$13)</f>
        <v>797.97703363857795</v>
      </c>
      <c r="AC13" s="13">
        <f>'TR TUSD'!$AC$13*'TR TUSD'!$AC$60</f>
        <v>515.96009696613669</v>
      </c>
      <c r="AD13" s="13">
        <f>SUM($AC$13:$AC$13)</f>
        <v>515.96009696613669</v>
      </c>
      <c r="AE13" s="13">
        <v>0</v>
      </c>
      <c r="AF13" s="13">
        <v>0</v>
      </c>
      <c r="AG13" s="13">
        <f>SUM($AE$13:$AF$13)</f>
        <v>0</v>
      </c>
      <c r="AH13" s="13">
        <f>'TR TUSD'!$AH$13*'TR TUSD'!$AH$60</f>
        <v>2.4622985489405584</v>
      </c>
      <c r="AI13" s="13">
        <f>'TR TUSD'!$AI$13*'TR TUSD'!$AI$60</f>
        <v>8.4477489800027478E-2</v>
      </c>
      <c r="AJ13" s="13">
        <f ca="1">'TR TUSD'!$AJ$13*'TR TUSD'!$AJ$60</f>
        <v>1.6796001743990747</v>
      </c>
      <c r="AK13" s="13">
        <f ca="1">'TR TUSD'!$AK$13*'TR TUSD'!$AK$60</f>
        <v>0.10352997779513703</v>
      </c>
      <c r="AL13" s="13">
        <f ca="1">SUM($AH$13:$AK$13)</f>
        <v>4.329906190934798</v>
      </c>
      <c r="AM13" s="13">
        <f ca="1">SUMIF($L$4:$AL$4,"SUBTOTAL",$L$13:$AL$13)</f>
        <v>1330.2093392071413</v>
      </c>
      <c r="AP13" s="13">
        <v>1</v>
      </c>
    </row>
    <row r="14" spans="1:42" ht="11.25" customHeight="1" x14ac:dyDescent="0.25">
      <c r="A14" s="142"/>
      <c r="B14" s="142"/>
      <c r="C14" s="142"/>
      <c r="D14" s="142"/>
      <c r="E14" s="142"/>
      <c r="F14" s="142"/>
      <c r="G14" s="24" t="s">
        <v>77</v>
      </c>
      <c r="H14" s="24" t="s">
        <v>75</v>
      </c>
      <c r="I14" s="24">
        <f>'MERCADO TUSD'!$U$11</f>
        <v>0</v>
      </c>
      <c r="J14" s="15"/>
      <c r="L14" s="13">
        <f>'TR TUSD'!$L$14*'TR TUSD'!$L$60</f>
        <v>0</v>
      </c>
      <c r="M14" s="13">
        <f>'TR TUSD'!$M$14*'TR TUSD'!$M$60</f>
        <v>0.16034048379328283</v>
      </c>
      <c r="N14" s="13">
        <f ca="1">'TR TUSD'!$N$14*'TR TUSD'!$N$60</f>
        <v>9.0257176904188524E-2</v>
      </c>
      <c r="O14" s="13">
        <f>'TR TUSD'!$O$14*'TR TUSD'!$O$60</f>
        <v>0</v>
      </c>
      <c r="P14" s="13">
        <f>'TR TUSD'!$P$14*'TR TUSD'!$P$60</f>
        <v>0</v>
      </c>
      <c r="Q14" s="13">
        <f>'TR TUSD'!$Q$14*'TR TUSD'!$Q$60</f>
        <v>0</v>
      </c>
      <c r="R14" s="13">
        <f>'TR TUSD'!$R$14*'TR TUSD'!$R$60</f>
        <v>0</v>
      </c>
      <c r="S14" s="13">
        <f>'TR TUSD'!$S$14*'TR TUSD'!$S$60</f>
        <v>0</v>
      </c>
      <c r="T14" s="13">
        <f ca="1">SUM($L$14:$S$14)</f>
        <v>0.25059766069747136</v>
      </c>
      <c r="U14" s="13">
        <f>'TR TUSD'!$U$14*'TR TUSD'!$U$60</f>
        <v>0</v>
      </c>
      <c r="V14" s="13">
        <f>'TR TUSD'!$V$14*'TR TUSD'!$V$60</f>
        <v>0</v>
      </c>
      <c r="W14" s="13">
        <f>'TR TUSD'!$W$14*'TR TUSD'!$W$60</f>
        <v>0</v>
      </c>
      <c r="X14" s="13">
        <f>'TR TUSD'!$X$14*'TR TUSD'!$X$60</f>
        <v>0</v>
      </c>
      <c r="Y14" s="13">
        <f>'TR TUSD'!$Y$14*'TR TUSD'!$Y$60</f>
        <v>0</v>
      </c>
      <c r="Z14" s="13">
        <f>'TR TUSD'!$Z$14</f>
        <v>0</v>
      </c>
      <c r="AA14" s="13">
        <f>'TR TUSD'!$AA$14</f>
        <v>0</v>
      </c>
      <c r="AB14" s="13">
        <f>SUM($U$14:$AA$14)</f>
        <v>0</v>
      </c>
      <c r="AC14" s="13">
        <f>'TR TUSD'!$AC$14*'TR TUSD'!$AC$60</f>
        <v>0</v>
      </c>
      <c r="AD14" s="13">
        <f>SUM($AC$14:$AC$14)</f>
        <v>0</v>
      </c>
      <c r="AE14" s="13">
        <v>0</v>
      </c>
      <c r="AF14" s="13">
        <v>0</v>
      </c>
      <c r="AG14" s="13">
        <f>SUM($AE$14:$AF$14)</f>
        <v>0</v>
      </c>
      <c r="AH14" s="13">
        <f>'TR TUSD'!$AH$14*'TR TUSD'!$AH$60</f>
        <v>2.4622985489405584</v>
      </c>
      <c r="AI14" s="13">
        <f>'TR TUSD'!$AI$14*'TR TUSD'!$AI$60</f>
        <v>8.4477489800027478E-2</v>
      </c>
      <c r="AJ14" s="13">
        <f ca="1">'TR TUSD'!$AJ$14*'TR TUSD'!$AJ$60</f>
        <v>1.6796001743990747</v>
      </c>
      <c r="AK14" s="13">
        <f ca="1">'TR TUSD'!$AK$14*'TR TUSD'!$AK$60</f>
        <v>0.10352997779513703</v>
      </c>
      <c r="AL14" s="13">
        <f ca="1">SUM($AH$14:$AK$14)</f>
        <v>4.329906190934798</v>
      </c>
      <c r="AM14" s="13">
        <f ca="1">SUMIF($L$4:$AL$4,"SUBTOTAL",$L$14:$AL$14)</f>
        <v>4.5805038516322689</v>
      </c>
      <c r="AP14" s="13">
        <v>1</v>
      </c>
    </row>
    <row r="15" spans="1:42" ht="11.25" customHeight="1" x14ac:dyDescent="0.25">
      <c r="A15" s="142" t="s">
        <v>85</v>
      </c>
      <c r="B15" s="142" t="s">
        <v>84</v>
      </c>
      <c r="C15" s="142" t="s">
        <v>25</v>
      </c>
      <c r="D15" s="142" t="s">
        <v>25</v>
      </c>
      <c r="E15" s="23" t="s">
        <v>86</v>
      </c>
      <c r="F15" s="23" t="s">
        <v>25</v>
      </c>
      <c r="G15" s="24" t="s">
        <v>9</v>
      </c>
      <c r="H15" s="24" t="s">
        <v>80</v>
      </c>
      <c r="I15" s="24">
        <f>'MERCADO TUSD'!$U$12+0.00000001</f>
        <v>1E-8</v>
      </c>
      <c r="J15" s="15"/>
      <c r="L15" s="13">
        <f>'TR TUSD'!$L$15*'TR TUSD'!$L$60</f>
        <v>0</v>
      </c>
      <c r="M15" s="13">
        <f>'TR TUSD'!$M$15*'TR TUSD'!$M$60</f>
        <v>2.2572051858364493E-2</v>
      </c>
      <c r="N15" s="13">
        <f ca="1">'TR TUSD'!$N$15*'TR TUSD'!$N$60</f>
        <v>5.7344836222648396E-2</v>
      </c>
      <c r="O15" s="13">
        <f>'TR TUSD'!$O$15*'TR TUSD'!$O$60</f>
        <v>0</v>
      </c>
      <c r="P15" s="13">
        <f>'TR TUSD'!$P$15*'TR TUSD'!$P$60</f>
        <v>0</v>
      </c>
      <c r="Q15" s="13">
        <f>'TR TUSD'!$Q$15*'TR TUSD'!$Q$60</f>
        <v>0</v>
      </c>
      <c r="R15" s="13">
        <f>'TR TUSD'!$R$15*'TR TUSD'!$R$60</f>
        <v>0</v>
      </c>
      <c r="S15" s="13">
        <f>'TR TUSD'!$S$15*'TR TUSD'!$S$60</f>
        <v>0</v>
      </c>
      <c r="T15" s="13">
        <f ca="1">SUM($L$15:$S$15)</f>
        <v>7.9916888081012882E-2</v>
      </c>
      <c r="U15" s="13">
        <f>'TR TUSD'!$U$15*'TR TUSD'!$U$60</f>
        <v>0</v>
      </c>
      <c r="V15" s="13">
        <f>'TR TUSD'!$V$15*'TR TUSD'!$V$60</f>
        <v>0</v>
      </c>
      <c r="W15" s="13">
        <f>'TR TUSD'!$W$15*'TR TUSD'!$W$60</f>
        <v>0</v>
      </c>
      <c r="X15" s="13">
        <f>'TR TUSD'!$X$15*'TR TUSD'!$X$60</f>
        <v>0</v>
      </c>
      <c r="Y15" s="13">
        <f>'TR TUSD'!$Y$15*'TR TUSD'!$Y$60</f>
        <v>0</v>
      </c>
      <c r="Z15" s="13">
        <f>'TR TUSD'!$Z$15*'TR TUSD'!$Z$60</f>
        <v>0</v>
      </c>
      <c r="AA15" s="13">
        <f>'TR TUSD'!$AA$15*'TR TUSD'!$AA$60</f>
        <v>0</v>
      </c>
      <c r="AB15" s="13">
        <f>SUM($U$15:$AA$15)</f>
        <v>0</v>
      </c>
      <c r="AC15" s="13">
        <f>'TR TUSD'!$AC$15*'TR TUSD'!$AC$60</f>
        <v>5.9395877442934077</v>
      </c>
      <c r="AD15" s="13">
        <f>SUM($AC$15:$AC$15)</f>
        <v>5.9395877442934077</v>
      </c>
      <c r="AE15" s="13">
        <v>0</v>
      </c>
      <c r="AF15" s="13">
        <v>0</v>
      </c>
      <c r="AG15" s="13">
        <f>SUM($AE$15:$AF$15)</f>
        <v>0</v>
      </c>
      <c r="AH15" s="13">
        <f>'TR TUSD'!$AH$15*'TR TUSD'!$AH$60</f>
        <v>0</v>
      </c>
      <c r="AI15" s="13">
        <f>'TR TUSD'!$AI$15*'TR TUSD'!$AI$60</f>
        <v>0</v>
      </c>
      <c r="AJ15" s="13">
        <f ca="1">'TR TUSD'!$AJ$15*'TR TUSD'!$AJ$60</f>
        <v>0</v>
      </c>
      <c r="AK15" s="13">
        <f ca="1">'TR TUSD'!$AK$15*'TR TUSD'!$AK$60</f>
        <v>0</v>
      </c>
      <c r="AL15" s="13">
        <f ca="1">SUM($AH$15:$AK$15)</f>
        <v>0</v>
      </c>
      <c r="AM15" s="13">
        <f ca="1">SUMIF($L$4:$AL$4,"SUBTOTAL",$L$15:$AL$15)</f>
        <v>6.0195046323744208</v>
      </c>
      <c r="AP15" s="13"/>
    </row>
    <row r="16" spans="1:42" ht="11.25" customHeight="1" x14ac:dyDescent="0.25">
      <c r="A16" s="142"/>
      <c r="B16" s="142"/>
      <c r="C16" s="142"/>
      <c r="D16" s="142"/>
      <c r="E16" s="23" t="s">
        <v>87</v>
      </c>
      <c r="F16" s="23" t="s">
        <v>25</v>
      </c>
      <c r="G16" s="24" t="s">
        <v>9</v>
      </c>
      <c r="H16" s="24" t="s">
        <v>80</v>
      </c>
      <c r="I16" s="24">
        <f>'MERCADO TUSD'!$U$13+0.00000001</f>
        <v>1E-8</v>
      </c>
      <c r="J16" s="15"/>
      <c r="L16" s="13">
        <f>'TR TUSD'!$L$16*'TR TUSD'!$L$60</f>
        <v>0</v>
      </c>
      <c r="M16" s="13">
        <f>'TR TUSD'!$M$16*'TR TUSD'!$M$60</f>
        <v>2.2572051858364493E-2</v>
      </c>
      <c r="N16" s="13">
        <f ca="1">'TR TUSD'!$N$16*'TR TUSD'!$N$60</f>
        <v>5.7344836222648396E-2</v>
      </c>
      <c r="O16" s="13">
        <f>'TR TUSD'!$O$16*'TR TUSD'!$O$60</f>
        <v>0</v>
      </c>
      <c r="P16" s="13">
        <f>'TR TUSD'!$P$16*'TR TUSD'!$P$60</f>
        <v>0</v>
      </c>
      <c r="Q16" s="13">
        <f>'TR TUSD'!$Q$16*'TR TUSD'!$Q$60</f>
        <v>0</v>
      </c>
      <c r="R16" s="13">
        <f>'TR TUSD'!$R$16*'TR TUSD'!$R$60</f>
        <v>0</v>
      </c>
      <c r="S16" s="13">
        <f>'TR TUSD'!$S$16*'TR TUSD'!$S$60</f>
        <v>0</v>
      </c>
      <c r="T16" s="13">
        <f ca="1">SUM($L$16:$S$16)</f>
        <v>7.9916888081012882E-2</v>
      </c>
      <c r="U16" s="13">
        <f>'TR TUSD'!$U$16*'TR TUSD'!$U$60</f>
        <v>0</v>
      </c>
      <c r="V16" s="13">
        <f>'TR TUSD'!$V$16*'TR TUSD'!$V$60</f>
        <v>0</v>
      </c>
      <c r="W16" s="13">
        <f>'TR TUSD'!$W$16*'TR TUSD'!$W$60</f>
        <v>0</v>
      </c>
      <c r="X16" s="13">
        <f>'TR TUSD'!$X$16*'TR TUSD'!$X$60</f>
        <v>0</v>
      </c>
      <c r="Y16" s="13">
        <f>'TR TUSD'!$Y$16*'TR TUSD'!$Y$60</f>
        <v>0</v>
      </c>
      <c r="Z16" s="13">
        <f>'TR TUSD'!$Z$16*'TR TUSD'!$Z$60</f>
        <v>0</v>
      </c>
      <c r="AA16" s="13">
        <f>'TR TUSD'!$AA$16*'TR TUSD'!$AA$60</f>
        <v>0</v>
      </c>
      <c r="AB16" s="13">
        <f>SUM($U$16:$AA$16)</f>
        <v>0</v>
      </c>
      <c r="AC16" s="13">
        <f>'TR TUSD'!$AC$16*'TR TUSD'!$AC$60</f>
        <v>14.318772159861586</v>
      </c>
      <c r="AD16" s="13">
        <f>SUM($AC$16:$AC$16)</f>
        <v>14.318772159861586</v>
      </c>
      <c r="AE16" s="13">
        <v>0</v>
      </c>
      <c r="AF16" s="13">
        <v>0</v>
      </c>
      <c r="AG16" s="13">
        <f>SUM($AE$16:$AF$16)</f>
        <v>0</v>
      </c>
      <c r="AH16" s="13">
        <f>'TR TUSD'!$AH$16*'TR TUSD'!$AH$60</f>
        <v>0</v>
      </c>
      <c r="AI16" s="13">
        <f>'TR TUSD'!$AI$16*'TR TUSD'!$AI$60</f>
        <v>0</v>
      </c>
      <c r="AJ16" s="13">
        <f ca="1">'TR TUSD'!$AJ$16*'TR TUSD'!$AJ$60</f>
        <v>0</v>
      </c>
      <c r="AK16" s="13">
        <f ca="1">'TR TUSD'!$AK$16*'TR TUSD'!$AK$60</f>
        <v>0</v>
      </c>
      <c r="AL16" s="13">
        <f ca="1">SUM($AH$16:$AK$16)</f>
        <v>0</v>
      </c>
      <c r="AM16" s="13">
        <f ca="1">SUMIF($L$4:$AL$4,"SUBTOTAL",$L$16:$AL$16)</f>
        <v>14.398689047942598</v>
      </c>
      <c r="AP16" s="13"/>
    </row>
    <row r="17" spans="1:42" ht="11.25" customHeight="1" x14ac:dyDescent="0.25">
      <c r="A17" s="142" t="s">
        <v>22</v>
      </c>
      <c r="B17" s="142" t="s">
        <v>32</v>
      </c>
      <c r="C17" s="142" t="s">
        <v>24</v>
      </c>
      <c r="D17" s="142" t="s">
        <v>24</v>
      </c>
      <c r="E17" s="142" t="s">
        <v>25</v>
      </c>
      <c r="F17" s="142" t="s">
        <v>25</v>
      </c>
      <c r="G17" s="24" t="s">
        <v>76</v>
      </c>
      <c r="H17" s="24" t="s">
        <v>75</v>
      </c>
      <c r="I17" s="24">
        <f>'MERCADO TUSD'!$U$14</f>
        <v>0.17000000000000004</v>
      </c>
      <c r="J17" s="15"/>
      <c r="L17" s="13">
        <f>'TR TUSD'!$L$17*'TR TUSD'!$L$60</f>
        <v>0</v>
      </c>
      <c r="M17" s="13">
        <f>'TR TUSD'!$M$17*'TR TUSD'!$M$60</f>
        <v>0.88251848096860275</v>
      </c>
      <c r="N17" s="13">
        <f ca="1">'TR TUSD'!$N$17*'TR TUSD'!$N$60</f>
        <v>8.7206890617185895</v>
      </c>
      <c r="O17" s="13">
        <f>'TR TUSD'!$O$17*'TR TUSD'!$O$60</f>
        <v>0</v>
      </c>
      <c r="P17" s="13">
        <f>'TR TUSD'!$P$17*'TR TUSD'!$P$60</f>
        <v>0</v>
      </c>
      <c r="Q17" s="13">
        <f>'TR TUSD'!$Q$17*'TR TUSD'!$Q$60</f>
        <v>88.764408385158745</v>
      </c>
      <c r="R17" s="13">
        <f>'TR TUSD'!$R$17*'TR TUSD'!$R$60</f>
        <v>14.44427661212166</v>
      </c>
      <c r="S17" s="13">
        <f>'TR TUSD'!$S$17*'TR TUSD'!$S$60</f>
        <v>0</v>
      </c>
      <c r="T17" s="13">
        <f ca="1">SUM($L$17:$S$17)</f>
        <v>112.81189253996759</v>
      </c>
      <c r="U17" s="13">
        <f>'TR TUSD'!$U$17*'TR TUSD'!$U$60</f>
        <v>0</v>
      </c>
      <c r="V17" s="13">
        <f>'TR TUSD'!$V$17*'TR TUSD'!$V$60</f>
        <v>0</v>
      </c>
      <c r="W17" s="13">
        <f>'TR TUSD'!$W$17*'TR TUSD'!$W$60</f>
        <v>0</v>
      </c>
      <c r="X17" s="13">
        <f>'TR TUSD'!$X$17*'TR TUSD'!$X$60</f>
        <v>0</v>
      </c>
      <c r="Y17" s="13">
        <f>'TR TUSD'!$Y$17*'TR TUSD'!$Y$60</f>
        <v>357.80186562677255</v>
      </c>
      <c r="Z17" s="13">
        <f>'TR TUSD'!$Z$17</f>
        <v>0</v>
      </c>
      <c r="AA17" s="13">
        <f>'TR TUSD'!$AA$17</f>
        <v>0</v>
      </c>
      <c r="AB17" s="13">
        <f>SUM($U$17:$AA$17)</f>
        <v>357.80186562677255</v>
      </c>
      <c r="AC17" s="13">
        <f>'TR TUSD'!$AC$17*'TR TUSD'!$AC$60</f>
        <v>545.52799138330533</v>
      </c>
      <c r="AD17" s="13">
        <f>SUM($AC$17:$AC$17)</f>
        <v>545.52799138330533</v>
      </c>
      <c r="AE17" s="13">
        <v>0</v>
      </c>
      <c r="AF17" s="13">
        <v>0</v>
      </c>
      <c r="AG17" s="13">
        <f>SUM($AE$17:$AF$17)</f>
        <v>0</v>
      </c>
      <c r="AH17" s="13">
        <f>'TR TUSD'!$AH$17*'TR TUSD'!$AH$60</f>
        <v>19.474109935747634</v>
      </c>
      <c r="AI17" s="13">
        <f>'TR TUSD'!$AI$17*'TR TUSD'!$AI$60</f>
        <v>0.66812528650092984</v>
      </c>
      <c r="AJ17" s="13">
        <f ca="1">'TR TUSD'!$AJ$17*'TR TUSD'!$AJ$60</f>
        <v>3.7773997386114209</v>
      </c>
      <c r="AK17" s="13">
        <f ca="1">'TR TUSD'!$AK$17*'TR TUSD'!$AK$60</f>
        <v>0.23283762232384553</v>
      </c>
      <c r="AL17" s="13">
        <f ca="1">SUM($AH$17:$AK$17)</f>
        <v>24.152472583183833</v>
      </c>
      <c r="AM17" s="13">
        <f ca="1">SUMIF($L$4:$AL$4,"SUBTOTAL",$L$17:$AL$17)</f>
        <v>1040.2942221332294</v>
      </c>
      <c r="AP17" s="13">
        <v>1</v>
      </c>
    </row>
    <row r="18" spans="1:42" ht="11.25" customHeight="1" x14ac:dyDescent="0.25">
      <c r="A18" s="142"/>
      <c r="B18" s="142"/>
      <c r="C18" s="142"/>
      <c r="D18" s="142"/>
      <c r="E18" s="142"/>
      <c r="F18" s="142"/>
      <c r="G18" s="24" t="s">
        <v>88</v>
      </c>
      <c r="H18" s="24" t="s">
        <v>75</v>
      </c>
      <c r="I18" s="24">
        <f>'MERCADO TUSD'!$U$15</f>
        <v>0.13000000000000003</v>
      </c>
      <c r="J18" s="15"/>
      <c r="L18" s="13">
        <f>'TR TUSD'!$L$18*'TR TUSD'!$L$60</f>
        <v>0</v>
      </c>
      <c r="M18" s="13">
        <f>'TR TUSD'!$M$18*'TR TUSD'!$M$60</f>
        <v>0.88251848096860275</v>
      </c>
      <c r="N18" s="13">
        <f ca="1">'TR TUSD'!$N$18*'TR TUSD'!$N$60</f>
        <v>5.4141847681435378</v>
      </c>
      <c r="O18" s="13">
        <f>'TR TUSD'!$O$18*'TR TUSD'!$O$60</f>
        <v>0</v>
      </c>
      <c r="P18" s="13">
        <f>'TR TUSD'!$P$18*'TR TUSD'!$P$60</f>
        <v>0</v>
      </c>
      <c r="Q18" s="13">
        <f>'TR TUSD'!$Q$18*'TR TUSD'!$Q$60</f>
        <v>88.764408385158745</v>
      </c>
      <c r="R18" s="13">
        <f>'TR TUSD'!$R$18*'TR TUSD'!$R$60</f>
        <v>14.44427661212166</v>
      </c>
      <c r="S18" s="13">
        <f>'TR TUSD'!$S$18*'TR TUSD'!$S$60</f>
        <v>0</v>
      </c>
      <c r="T18" s="13">
        <f ca="1">SUM($L$18:$S$18)</f>
        <v>109.50538824639254</v>
      </c>
      <c r="U18" s="13">
        <f>'TR TUSD'!$U$18*'TR TUSD'!$U$60</f>
        <v>0</v>
      </c>
      <c r="V18" s="13">
        <f>'TR TUSD'!$V$18*'TR TUSD'!$V$60</f>
        <v>0</v>
      </c>
      <c r="W18" s="13">
        <f>'TR TUSD'!$W$18*'TR TUSD'!$W$60</f>
        <v>0</v>
      </c>
      <c r="X18" s="13">
        <f>'TR TUSD'!$X$18*'TR TUSD'!$X$60</f>
        <v>0</v>
      </c>
      <c r="Y18" s="13">
        <f>'TR TUSD'!$Y$18*'TR TUSD'!$Y$60</f>
        <v>214.68107016330327</v>
      </c>
      <c r="Z18" s="13">
        <f>'TR TUSD'!$Z$18</f>
        <v>0</v>
      </c>
      <c r="AA18" s="13">
        <f>'TR TUSD'!$AA$18</f>
        <v>0</v>
      </c>
      <c r="AB18" s="13">
        <f>SUM($U$18:$AA$18)</f>
        <v>214.68107016330327</v>
      </c>
      <c r="AC18" s="13">
        <f>'TR TUSD'!$AC$18*'TR TUSD'!$AC$60</f>
        <v>327.31677328163119</v>
      </c>
      <c r="AD18" s="13">
        <f>SUM($AC$18:$AC$18)</f>
        <v>327.31677328163119</v>
      </c>
      <c r="AE18" s="13">
        <v>0</v>
      </c>
      <c r="AF18" s="13">
        <v>0</v>
      </c>
      <c r="AG18" s="13">
        <f>SUM($AE$18:$AF$18)</f>
        <v>0</v>
      </c>
      <c r="AH18" s="13">
        <f>'TR TUSD'!$AH$18*'TR TUSD'!$AH$60</f>
        <v>19.474109935747634</v>
      </c>
      <c r="AI18" s="13">
        <f>'TR TUSD'!$AI$18*'TR TUSD'!$AI$60</f>
        <v>0.66812528650092984</v>
      </c>
      <c r="AJ18" s="13">
        <f ca="1">'TR TUSD'!$AJ$18*'TR TUSD'!$AJ$60</f>
        <v>3.7773997386114209</v>
      </c>
      <c r="AK18" s="13">
        <f ca="1">'TR TUSD'!$AK$18*'TR TUSD'!$AK$60</f>
        <v>0.23283762232384553</v>
      </c>
      <c r="AL18" s="13">
        <f ca="1">SUM($AH$18:$AK$18)</f>
        <v>24.152472583183833</v>
      </c>
      <c r="AM18" s="13">
        <f ca="1">SUMIF($L$4:$AL$4,"SUBTOTAL",$L$18:$AL$18)</f>
        <v>675.65570427451087</v>
      </c>
      <c r="AP18" s="13">
        <v>1</v>
      </c>
    </row>
    <row r="19" spans="1:42" ht="11.25" customHeight="1" x14ac:dyDescent="0.25">
      <c r="A19" s="142"/>
      <c r="B19" s="142"/>
      <c r="C19" s="142"/>
      <c r="D19" s="142"/>
      <c r="E19" s="142"/>
      <c r="F19" s="142"/>
      <c r="G19" s="24" t="s">
        <v>77</v>
      </c>
      <c r="H19" s="24" t="s">
        <v>75</v>
      </c>
      <c r="I19" s="24">
        <f>'MERCADO TUSD'!$U$16</f>
        <v>2.4539999999999997</v>
      </c>
      <c r="J19" s="15"/>
      <c r="L19" s="13">
        <f>'TR TUSD'!$L$19*'TR TUSD'!$L$60</f>
        <v>0</v>
      </c>
      <c r="M19" s="13">
        <f>'TR TUSD'!$M$19*'TR TUSD'!$M$60</f>
        <v>0.88251848096860275</v>
      </c>
      <c r="N19" s="13">
        <f ca="1">'TR TUSD'!$N$19*'TR TUSD'!$N$60</f>
        <v>2.1076815115456293</v>
      </c>
      <c r="O19" s="13">
        <f>'TR TUSD'!$O$19*'TR TUSD'!$O$60</f>
        <v>0</v>
      </c>
      <c r="P19" s="13">
        <f>'TR TUSD'!$P$19*'TR TUSD'!$P$60</f>
        <v>0</v>
      </c>
      <c r="Q19" s="13">
        <f>'TR TUSD'!$Q$19*'TR TUSD'!$Q$60</f>
        <v>88.764408385158745</v>
      </c>
      <c r="R19" s="13">
        <f>'TR TUSD'!$R$19*'TR TUSD'!$R$60</f>
        <v>14.44427661212166</v>
      </c>
      <c r="S19" s="13">
        <f>'TR TUSD'!$S$19*'TR TUSD'!$S$60</f>
        <v>0</v>
      </c>
      <c r="T19" s="13">
        <f ca="1">SUM($L$19:$S$19)</f>
        <v>106.19888498979464</v>
      </c>
      <c r="U19" s="13">
        <f>'TR TUSD'!$U$19*'TR TUSD'!$U$60</f>
        <v>0</v>
      </c>
      <c r="V19" s="13">
        <f>'TR TUSD'!$V$19*'TR TUSD'!$V$60</f>
        <v>0</v>
      </c>
      <c r="W19" s="13">
        <f>'TR TUSD'!$W$19*'TR TUSD'!$W$60</f>
        <v>0</v>
      </c>
      <c r="X19" s="13">
        <f>'TR TUSD'!$X$19*'TR TUSD'!$X$60</f>
        <v>0</v>
      </c>
      <c r="Y19" s="13">
        <f>'TR TUSD'!$Y$19*'TR TUSD'!$Y$60</f>
        <v>71.560397731734639</v>
      </c>
      <c r="Z19" s="13">
        <f>'TR TUSD'!$Z$19</f>
        <v>0</v>
      </c>
      <c r="AA19" s="13">
        <f>'TR TUSD'!$AA$19</f>
        <v>0</v>
      </c>
      <c r="AB19" s="13">
        <f>SUM($U$19:$AA$19)</f>
        <v>71.560397731734639</v>
      </c>
      <c r="AC19" s="13">
        <f>'TR TUSD'!$AC$19*'TR TUSD'!$AC$60</f>
        <v>109.10555517995707</v>
      </c>
      <c r="AD19" s="13">
        <f>SUM($AC$19:$AC$19)</f>
        <v>109.10555517995707</v>
      </c>
      <c r="AE19" s="13">
        <v>0</v>
      </c>
      <c r="AF19" s="13">
        <v>0</v>
      </c>
      <c r="AG19" s="13">
        <f>SUM($AE$19:$AF$19)</f>
        <v>0</v>
      </c>
      <c r="AH19" s="13">
        <f>'TR TUSD'!$AH$19*'TR TUSD'!$AH$60</f>
        <v>19.474109935747634</v>
      </c>
      <c r="AI19" s="13">
        <f>'TR TUSD'!$AI$19*'TR TUSD'!$AI$60</f>
        <v>0.66812528650092984</v>
      </c>
      <c r="AJ19" s="13">
        <f ca="1">'TR TUSD'!$AJ$19*'TR TUSD'!$AJ$60</f>
        <v>3.7773997386114209</v>
      </c>
      <c r="AK19" s="13">
        <f ca="1">'TR TUSD'!$AK$19*'TR TUSD'!$AK$60</f>
        <v>0.23283762232384553</v>
      </c>
      <c r="AL19" s="13">
        <f ca="1">SUM($AH$19:$AK$19)</f>
        <v>24.152472583183833</v>
      </c>
      <c r="AM19" s="13">
        <f ca="1">SUMIF($L$4:$AL$4,"SUBTOTAL",$L$19:$AL$19)</f>
        <v>311.01731048467019</v>
      </c>
      <c r="AP19" s="13">
        <v>1</v>
      </c>
    </row>
    <row r="20" spans="1:42" ht="11.25" customHeight="1" x14ac:dyDescent="0.25">
      <c r="A20" s="142"/>
      <c r="B20" s="142" t="s">
        <v>23</v>
      </c>
      <c r="C20" s="142" t="s">
        <v>24</v>
      </c>
      <c r="D20" s="23" t="s">
        <v>24</v>
      </c>
      <c r="E20" s="23" t="s">
        <v>25</v>
      </c>
      <c r="F20" s="23" t="s">
        <v>25</v>
      </c>
      <c r="G20" s="24" t="s">
        <v>79</v>
      </c>
      <c r="H20" s="24" t="s">
        <v>75</v>
      </c>
      <c r="I20" s="24">
        <f>'MERCADO TUSD'!$U$17</f>
        <v>10574.981000000002</v>
      </c>
      <c r="J20" s="15"/>
      <c r="L20" s="13">
        <f>'TR TUSD'!$L$20*'TR TUSD'!$L$60</f>
        <v>0</v>
      </c>
      <c r="M20" s="13">
        <f>'TR TUSD'!$M$20*'TR TUSD'!$M$60</f>
        <v>0.88251848096860275</v>
      </c>
      <c r="N20" s="13">
        <f ca="1">'TR TUSD'!$N$20*'TR TUSD'!$N$60</f>
        <v>3.4066654522690949</v>
      </c>
      <c r="O20" s="13">
        <f>'TR TUSD'!$O$20*'TR TUSD'!$O$60</f>
        <v>0</v>
      </c>
      <c r="P20" s="13">
        <f>'TR TUSD'!$P$20*'TR TUSD'!$P$60</f>
        <v>0</v>
      </c>
      <c r="Q20" s="13">
        <f>'TR TUSD'!$Q$20*'TR TUSD'!$Q$60</f>
        <v>88.764408385158745</v>
      </c>
      <c r="R20" s="13">
        <f>'TR TUSD'!$R$20*'TR TUSD'!$R$60</f>
        <v>14.44427661212166</v>
      </c>
      <c r="S20" s="13">
        <f>'TR TUSD'!$S$20*'TR TUSD'!$S$60</f>
        <v>0</v>
      </c>
      <c r="T20" s="13">
        <f ca="1">SUM($L$20:$S$20)</f>
        <v>107.49786893051809</v>
      </c>
      <c r="U20" s="13">
        <f>'TR TUSD'!$U$20*'TR TUSD'!$U$60</f>
        <v>0</v>
      </c>
      <c r="V20" s="13">
        <f>'TR TUSD'!$V$20*'TR TUSD'!$V$60</f>
        <v>0</v>
      </c>
      <c r="W20" s="13">
        <f>'TR TUSD'!$W$20*'TR TUSD'!$W$60</f>
        <v>0</v>
      </c>
      <c r="X20" s="13">
        <f>'TR TUSD'!$X$20*'TR TUSD'!$X$60</f>
        <v>0</v>
      </c>
      <c r="Y20" s="13">
        <f>'TR TUSD'!$Y$20*'TR TUSD'!$Y$60</f>
        <v>127.78634542901858</v>
      </c>
      <c r="Z20" s="13">
        <f>'TR TUSD'!$Z$20</f>
        <v>0</v>
      </c>
      <c r="AA20" s="13">
        <f>'TR TUSD'!$AA$20</f>
        <v>0</v>
      </c>
      <c r="AB20" s="13">
        <f>SUM($U$20:$AA$20)</f>
        <v>127.78634542901858</v>
      </c>
      <c r="AC20" s="13">
        <f>'TR TUSD'!$AC$20*'TR TUSD'!$AC$60</f>
        <v>194.83147166907759</v>
      </c>
      <c r="AD20" s="13">
        <f>SUM($AC$20:$AC$20)</f>
        <v>194.83147166907759</v>
      </c>
      <c r="AE20" s="13">
        <v>0</v>
      </c>
      <c r="AF20" s="13">
        <v>0</v>
      </c>
      <c r="AG20" s="13">
        <f>SUM($AE$20:$AF$20)</f>
        <v>0</v>
      </c>
      <c r="AH20" s="13">
        <f>'TR TUSD'!$AH$20*'TR TUSD'!$AH$60</f>
        <v>19.474109935747634</v>
      </c>
      <c r="AI20" s="13">
        <f>'TR TUSD'!$AI$20*'TR TUSD'!$AI$60</f>
        <v>0.66812528650092984</v>
      </c>
      <c r="AJ20" s="13">
        <f ca="1">'TR TUSD'!$AJ$20*'TR TUSD'!$AJ$60</f>
        <v>3.7773997386114209</v>
      </c>
      <c r="AK20" s="13">
        <f ca="1">'TR TUSD'!$AK$20*'TR TUSD'!$AK$60</f>
        <v>0.23283762232384553</v>
      </c>
      <c r="AL20" s="13">
        <f ca="1">SUM($AH$20:$AK$20)</f>
        <v>24.152472583183833</v>
      </c>
      <c r="AM20" s="13">
        <f ca="1">SUMIF($L$4:$AL$4,"SUBTOTAL",$L$20:$AL$20)</f>
        <v>454.26815861179813</v>
      </c>
      <c r="AP20" s="13">
        <v>1</v>
      </c>
    </row>
    <row r="21" spans="1:42" ht="11.25" customHeight="1" x14ac:dyDescent="0.25">
      <c r="A21" s="142"/>
      <c r="B21" s="142"/>
      <c r="C21" s="142"/>
      <c r="D21" s="23" t="s">
        <v>28</v>
      </c>
      <c r="E21" s="23" t="s">
        <v>25</v>
      </c>
      <c r="F21" s="23" t="s">
        <v>25</v>
      </c>
      <c r="G21" s="24" t="s">
        <v>79</v>
      </c>
      <c r="H21" s="24" t="s">
        <v>75</v>
      </c>
      <c r="I21" s="24">
        <f>'MERCADO TUSD'!$U$18</f>
        <v>204.62</v>
      </c>
      <c r="J21" s="15"/>
      <c r="L21" s="13">
        <f>'TR TUSD'!$L$21*'TR TUSD'!$L$60</f>
        <v>0</v>
      </c>
      <c r="M21" s="13">
        <f>'TR TUSD'!$M$21*'TR TUSD'!$M$60</f>
        <v>0.88251848096860275</v>
      </c>
      <c r="N21" s="13">
        <f ca="1">'TR TUSD'!$N$21*'TR TUSD'!$N$60</f>
        <v>3.3962956808002618</v>
      </c>
      <c r="O21" s="13">
        <f>'TR TUSD'!$O$21*'TR TUSD'!$O$60</f>
        <v>0</v>
      </c>
      <c r="P21" s="13">
        <f>'TR TUSD'!$P$21*'TR TUSD'!$P$60</f>
        <v>0</v>
      </c>
      <c r="Q21" s="13">
        <f>'TR TUSD'!$Q$21*'TR TUSD'!$Q$60</f>
        <v>0</v>
      </c>
      <c r="R21" s="13">
        <f>'TR TUSD'!$R$21*'TR TUSD'!$R$60</f>
        <v>0</v>
      </c>
      <c r="S21" s="13">
        <f>'TR TUSD'!$S$21*'TR TUSD'!$S$60</f>
        <v>0</v>
      </c>
      <c r="T21" s="13">
        <f ca="1">SUM($L$21:$S$21)</f>
        <v>4.2788141617688646</v>
      </c>
      <c r="U21" s="13">
        <f>'TR TUSD'!$U$21*'TR TUSD'!$U$60</f>
        <v>0</v>
      </c>
      <c r="V21" s="13">
        <f>'TR TUSD'!$V$21*'TR TUSD'!$V$60</f>
        <v>0</v>
      </c>
      <c r="W21" s="13">
        <f>'TR TUSD'!$W$21*'TR TUSD'!$W$60</f>
        <v>0</v>
      </c>
      <c r="X21" s="13">
        <f>'TR TUSD'!$X$21*'TR TUSD'!$X$60</f>
        <v>0</v>
      </c>
      <c r="Y21" s="13">
        <f>'TR TUSD'!$Y$21*'TR TUSD'!$Y$60</f>
        <v>127.78634542901858</v>
      </c>
      <c r="Z21" s="13">
        <f>'TR TUSD'!$Z$21</f>
        <v>0</v>
      </c>
      <c r="AA21" s="13">
        <f>'TR TUSD'!$AA$21</f>
        <v>0</v>
      </c>
      <c r="AB21" s="13">
        <f>SUM($U$21:$AA$21)</f>
        <v>127.78634542901858</v>
      </c>
      <c r="AC21" s="13">
        <f>'TR TUSD'!$AC$21*'TR TUSD'!$AC$60</f>
        <v>194.83147166907759</v>
      </c>
      <c r="AD21" s="13">
        <f>SUM($AC$21:$AC$21)</f>
        <v>194.83147166907759</v>
      </c>
      <c r="AE21" s="13">
        <v>0</v>
      </c>
      <c r="AF21" s="13">
        <v>0</v>
      </c>
      <c r="AG21" s="13">
        <f>SUM($AE$21:$AF$21)</f>
        <v>0</v>
      </c>
      <c r="AH21" s="13">
        <f>'TR TUSD'!$AH$21*'TR TUSD'!$AH$60</f>
        <v>19.474109935747634</v>
      </c>
      <c r="AI21" s="13">
        <f>'TR TUSD'!$AI$21*'TR TUSD'!$AI$60</f>
        <v>0.66812528650092984</v>
      </c>
      <c r="AJ21" s="13">
        <f ca="1">'TR TUSD'!$AJ$21*'TR TUSD'!$AJ$60</f>
        <v>3.7773997386114209</v>
      </c>
      <c r="AK21" s="13">
        <f ca="1">'TR TUSD'!$AK$21*'TR TUSD'!$AK$60</f>
        <v>0.23283762232384553</v>
      </c>
      <c r="AL21" s="13">
        <f ca="1">SUM($AH$21:$AK$21)</f>
        <v>24.152472583183833</v>
      </c>
      <c r="AM21" s="13">
        <f ca="1">SUMIF($L$4:$AL$4,"SUBTOTAL",$L$21:$AL$21)</f>
        <v>351.0491038430489</v>
      </c>
      <c r="AP21" s="13">
        <f>IF((1 - CUSTOS!$M$24)&lt;&gt;0,1/(1 - CUSTOS!$M$24),1)</f>
        <v>1</v>
      </c>
    </row>
    <row r="22" spans="1:42" ht="11.25" customHeight="1" x14ac:dyDescent="0.25">
      <c r="A22" s="142"/>
      <c r="B22" s="142"/>
      <c r="C22" s="142"/>
      <c r="D22" s="23" t="s">
        <v>29</v>
      </c>
      <c r="E22" s="23" t="s">
        <v>25</v>
      </c>
      <c r="F22" s="23" t="s">
        <v>25</v>
      </c>
      <c r="G22" s="24" t="s">
        <v>79</v>
      </c>
      <c r="H22" s="24" t="s">
        <v>75</v>
      </c>
      <c r="I22" s="24">
        <f>'MERCADO TUSD'!$U$19</f>
        <v>376.553</v>
      </c>
      <c r="J22" s="15"/>
      <c r="L22" s="13">
        <f>'TR TUSD'!$L$22*'TR TUSD'!$L$60</f>
        <v>0</v>
      </c>
      <c r="M22" s="13">
        <f>'TR TUSD'!$M$22*'TR TUSD'!$M$60</f>
        <v>0.88251848096860275</v>
      </c>
      <c r="N22" s="13">
        <f ca="1">'TR TUSD'!$N$22*'TR TUSD'!$N$60</f>
        <v>3.3962956808002618</v>
      </c>
      <c r="O22" s="13">
        <f>'TR TUSD'!$O$22*'TR TUSD'!$O$60</f>
        <v>0</v>
      </c>
      <c r="P22" s="13">
        <f>'TR TUSD'!$P$22*'TR TUSD'!$P$60</f>
        <v>0</v>
      </c>
      <c r="Q22" s="13">
        <f>'TR TUSD'!$Q$22*'TR TUSD'!$Q$60</f>
        <v>0</v>
      </c>
      <c r="R22" s="13">
        <f>'TR TUSD'!$R$22*'TR TUSD'!$R$60</f>
        <v>0</v>
      </c>
      <c r="S22" s="13">
        <f>'TR TUSD'!$S$22*'TR TUSD'!$S$60</f>
        <v>0</v>
      </c>
      <c r="T22" s="13">
        <f ca="1">SUM($L$22:$S$22)</f>
        <v>4.2788141617688646</v>
      </c>
      <c r="U22" s="13">
        <f>'TR TUSD'!$U$22*'TR TUSD'!$U$60</f>
        <v>0</v>
      </c>
      <c r="V22" s="13">
        <f>'TR TUSD'!$V$22*'TR TUSD'!$V$60</f>
        <v>0</v>
      </c>
      <c r="W22" s="13">
        <f>'TR TUSD'!$W$22*'TR TUSD'!$W$60</f>
        <v>0</v>
      </c>
      <c r="X22" s="13">
        <f>'TR TUSD'!$X$22*'TR TUSD'!$X$60</f>
        <v>0</v>
      </c>
      <c r="Y22" s="13">
        <f>'TR TUSD'!$Y$22*'TR TUSD'!$Y$60</f>
        <v>127.78634542901858</v>
      </c>
      <c r="Z22" s="13">
        <f>'TR TUSD'!$Z$22</f>
        <v>0</v>
      </c>
      <c r="AA22" s="13">
        <f>'TR TUSD'!$AA$22</f>
        <v>0</v>
      </c>
      <c r="AB22" s="13">
        <f>SUM($U$22:$AA$22)</f>
        <v>127.78634542901858</v>
      </c>
      <c r="AC22" s="13">
        <f>'TR TUSD'!$AC$22*'TR TUSD'!$AC$60</f>
        <v>194.83147166907759</v>
      </c>
      <c r="AD22" s="13">
        <f>SUM($AC$22:$AC$22)</f>
        <v>194.83147166907759</v>
      </c>
      <c r="AE22" s="13">
        <v>0</v>
      </c>
      <c r="AF22" s="13">
        <v>0</v>
      </c>
      <c r="AG22" s="13">
        <f>SUM($AE$22:$AF$22)</f>
        <v>0</v>
      </c>
      <c r="AH22" s="13">
        <f>'TR TUSD'!$AH$22*'TR TUSD'!$AH$60</f>
        <v>19.474109935747634</v>
      </c>
      <c r="AI22" s="13">
        <f>'TR TUSD'!$AI$22*'TR TUSD'!$AI$60</f>
        <v>0.66812528650092984</v>
      </c>
      <c r="AJ22" s="13">
        <f ca="1">'TR TUSD'!$AJ$22*'TR TUSD'!$AJ$60</f>
        <v>3.7773997386114209</v>
      </c>
      <c r="AK22" s="13">
        <f ca="1">'TR TUSD'!$AK$22*'TR TUSD'!$AK$60</f>
        <v>0.23283762232384553</v>
      </c>
      <c r="AL22" s="13">
        <f ca="1">SUM($AH$22:$AK$22)</f>
        <v>24.152472583183833</v>
      </c>
      <c r="AM22" s="13">
        <f ca="1">SUMIF($L$4:$AL$4,"SUBTOTAL",$L$22:$AL$22)</f>
        <v>351.0491038430489</v>
      </c>
      <c r="AP22" s="13">
        <f>IF((1 - CUSTOS!$M$25)&lt;&gt;0,1/(1 - CUSTOS!$M$25),1)</f>
        <v>1</v>
      </c>
    </row>
    <row r="23" spans="1:42" ht="11.25" customHeight="1" x14ac:dyDescent="0.25">
      <c r="A23" s="142"/>
      <c r="B23" s="142"/>
      <c r="C23" s="142"/>
      <c r="D23" s="23" t="s">
        <v>30</v>
      </c>
      <c r="E23" s="23" t="s">
        <v>25</v>
      </c>
      <c r="F23" s="23" t="s">
        <v>25</v>
      </c>
      <c r="G23" s="24" t="s">
        <v>79</v>
      </c>
      <c r="H23" s="24" t="s">
        <v>75</v>
      </c>
      <c r="I23" s="24">
        <f>'MERCADO TUSD'!$U$20</f>
        <v>166.29699999999997</v>
      </c>
      <c r="J23" s="15"/>
      <c r="L23" s="13">
        <f>'TR TUSD'!$L$23*'TR TUSD'!$L$60</f>
        <v>0</v>
      </c>
      <c r="M23" s="13">
        <f>'TR TUSD'!$M$23*'TR TUSD'!$M$60</f>
        <v>0.88251848096860275</v>
      </c>
      <c r="N23" s="13">
        <f ca="1">'TR TUSD'!$N$23*'TR TUSD'!$N$60</f>
        <v>3.3962956808002618</v>
      </c>
      <c r="O23" s="13">
        <f>'TR TUSD'!$O$23*'TR TUSD'!$O$60</f>
        <v>0</v>
      </c>
      <c r="P23" s="13">
        <f>'TR TUSD'!$P$23*'TR TUSD'!$P$60</f>
        <v>0</v>
      </c>
      <c r="Q23" s="13">
        <f>'TR TUSD'!$Q$23*'TR TUSD'!$Q$60</f>
        <v>0</v>
      </c>
      <c r="R23" s="13">
        <f>'TR TUSD'!$R$23*'TR TUSD'!$R$60</f>
        <v>0</v>
      </c>
      <c r="S23" s="13">
        <f>'TR TUSD'!$S$23*'TR TUSD'!$S$60</f>
        <v>0</v>
      </c>
      <c r="T23" s="13">
        <f ca="1">SUM($L$23:$S$23)</f>
        <v>4.2788141617688646</v>
      </c>
      <c r="U23" s="13">
        <f>'TR TUSD'!$U$23*'TR TUSD'!$U$60</f>
        <v>0</v>
      </c>
      <c r="V23" s="13">
        <f>'TR TUSD'!$V$23*'TR TUSD'!$V$60</f>
        <v>0</v>
      </c>
      <c r="W23" s="13">
        <f>'TR TUSD'!$W$23*'TR TUSD'!$W$60</f>
        <v>0</v>
      </c>
      <c r="X23" s="13">
        <f>'TR TUSD'!$X$23*'TR TUSD'!$X$60</f>
        <v>0</v>
      </c>
      <c r="Y23" s="13">
        <f>'TR TUSD'!$Y$23*'TR TUSD'!$Y$60</f>
        <v>127.78634542901858</v>
      </c>
      <c r="Z23" s="13">
        <f>'TR TUSD'!$Z$23</f>
        <v>0</v>
      </c>
      <c r="AA23" s="13">
        <f>'TR TUSD'!$AA$23</f>
        <v>0</v>
      </c>
      <c r="AB23" s="13">
        <f>SUM($U$23:$AA$23)</f>
        <v>127.78634542901858</v>
      </c>
      <c r="AC23" s="13">
        <f>'TR TUSD'!$AC$23*'TR TUSD'!$AC$60</f>
        <v>194.83147166907759</v>
      </c>
      <c r="AD23" s="13">
        <f>SUM($AC$23:$AC$23)</f>
        <v>194.83147166907759</v>
      </c>
      <c r="AE23" s="13">
        <v>0</v>
      </c>
      <c r="AF23" s="13">
        <v>0</v>
      </c>
      <c r="AG23" s="13">
        <f>SUM($AE$23:$AF$23)</f>
        <v>0</v>
      </c>
      <c r="AH23" s="13">
        <f>'TR TUSD'!$AH$23*'TR TUSD'!$AH$60</f>
        <v>19.474109935747634</v>
      </c>
      <c r="AI23" s="13">
        <f>'TR TUSD'!$AI$23*'TR TUSD'!$AI$60</f>
        <v>0.66812528650092984</v>
      </c>
      <c r="AJ23" s="13">
        <f ca="1">'TR TUSD'!$AJ$23*'TR TUSD'!$AJ$60</f>
        <v>3.7773997386114209</v>
      </c>
      <c r="AK23" s="13">
        <f ca="1">'TR TUSD'!$AK$23*'TR TUSD'!$AK$60</f>
        <v>0.23283762232384553</v>
      </c>
      <c r="AL23" s="13">
        <f ca="1">SUM($AH$23:$AK$23)</f>
        <v>24.152472583183833</v>
      </c>
      <c r="AM23" s="13">
        <f ca="1">SUMIF($L$4:$AL$4,"SUBTOTAL",$L$23:$AL$23)</f>
        <v>351.0491038430489</v>
      </c>
      <c r="AP23" s="13">
        <f>IF((1 - CUSTOS!$M$26)&lt;&gt;0,1/(1 - CUSTOS!$M$26),1)</f>
        <v>1</v>
      </c>
    </row>
    <row r="24" spans="1:42" ht="11.25" customHeight="1" x14ac:dyDescent="0.25">
      <c r="A24" s="142"/>
      <c r="B24" s="142"/>
      <c r="C24" s="142"/>
      <c r="D24" s="23" t="s">
        <v>31</v>
      </c>
      <c r="E24" s="23" t="s">
        <v>25</v>
      </c>
      <c r="F24" s="23" t="s">
        <v>25</v>
      </c>
      <c r="G24" s="24" t="s">
        <v>79</v>
      </c>
      <c r="H24" s="24" t="s">
        <v>75</v>
      </c>
      <c r="I24" s="24">
        <f>'MERCADO TUSD'!$U$21</f>
        <v>17.806999999999999</v>
      </c>
      <c r="J24" s="15"/>
      <c r="L24" s="13">
        <f>'TR TUSD'!$L$24*'TR TUSD'!$L$60</f>
        <v>0</v>
      </c>
      <c r="M24" s="13">
        <f>'TR TUSD'!$M$24*'TR TUSD'!$M$60</f>
        <v>0.88251848096860275</v>
      </c>
      <c r="N24" s="13">
        <f ca="1">'TR TUSD'!$N$24*'TR TUSD'!$N$60</f>
        <v>3.3962956808002618</v>
      </c>
      <c r="O24" s="13">
        <f>'TR TUSD'!$O$24*'TR TUSD'!$O$60</f>
        <v>0</v>
      </c>
      <c r="P24" s="13">
        <f>'TR TUSD'!$P$24*'TR TUSD'!$P$60</f>
        <v>0</v>
      </c>
      <c r="Q24" s="13">
        <f>'TR TUSD'!$Q$24*'TR TUSD'!$Q$60</f>
        <v>0</v>
      </c>
      <c r="R24" s="13">
        <f>'TR TUSD'!$R$24*'TR TUSD'!$R$60</f>
        <v>0</v>
      </c>
      <c r="S24" s="13">
        <f>'TR TUSD'!$S$24*'TR TUSD'!$S$60</f>
        <v>0</v>
      </c>
      <c r="T24" s="13">
        <f ca="1">SUM($L$24:$S$24)</f>
        <v>4.2788141617688646</v>
      </c>
      <c r="U24" s="13">
        <f>'TR TUSD'!$U$24*'TR TUSD'!$U$60</f>
        <v>0</v>
      </c>
      <c r="V24" s="13">
        <f>'TR TUSD'!$V$24*'TR TUSD'!$V$60</f>
        <v>0</v>
      </c>
      <c r="W24" s="13">
        <f>'TR TUSD'!$W$24*'TR TUSD'!$W$60</f>
        <v>0</v>
      </c>
      <c r="X24" s="13">
        <f>'TR TUSD'!$X$24*'TR TUSD'!$X$60</f>
        <v>0</v>
      </c>
      <c r="Y24" s="13">
        <f>'TR TUSD'!$Y$24*'TR TUSD'!$Y$60</f>
        <v>127.78634542901858</v>
      </c>
      <c r="Z24" s="13">
        <f>'TR TUSD'!$Z$24</f>
        <v>0</v>
      </c>
      <c r="AA24" s="13">
        <f>'TR TUSD'!$AA$24</f>
        <v>0</v>
      </c>
      <c r="AB24" s="13">
        <f>SUM($U$24:$AA$24)</f>
        <v>127.78634542901858</v>
      </c>
      <c r="AC24" s="13">
        <f>'TR TUSD'!$AC$24*'TR TUSD'!$AC$60</f>
        <v>194.83147166907759</v>
      </c>
      <c r="AD24" s="13">
        <f>SUM($AC$24:$AC$24)</f>
        <v>194.83147166907759</v>
      </c>
      <c r="AE24" s="13">
        <v>0</v>
      </c>
      <c r="AF24" s="13">
        <v>0</v>
      </c>
      <c r="AG24" s="13">
        <f>SUM($AE$24:$AF$24)</f>
        <v>0</v>
      </c>
      <c r="AH24" s="13">
        <f>'TR TUSD'!$AH$24*'TR TUSD'!$AH$60</f>
        <v>19.474109935747634</v>
      </c>
      <c r="AI24" s="13">
        <f>'TR TUSD'!$AI$24*'TR TUSD'!$AI$60</f>
        <v>0.66812528650092984</v>
      </c>
      <c r="AJ24" s="13">
        <f ca="1">'TR TUSD'!$AJ$24*'TR TUSD'!$AJ$60</f>
        <v>3.7773997386114209</v>
      </c>
      <c r="AK24" s="13">
        <f ca="1">'TR TUSD'!$AK$24*'TR TUSD'!$AK$60</f>
        <v>0.23283762232384553</v>
      </c>
      <c r="AL24" s="13">
        <f ca="1">SUM($AH$24:$AK$24)</f>
        <v>24.152472583183833</v>
      </c>
      <c r="AM24" s="13">
        <f ca="1">SUMIF($L$4:$AL$4,"SUBTOTAL",$L$24:$AL$24)</f>
        <v>351.0491038430489</v>
      </c>
      <c r="AP24" s="13">
        <f>IF((1 - CUSTOS!$M$27)&lt;&gt;0,1/(1 - CUSTOS!$M$27),1)</f>
        <v>1</v>
      </c>
    </row>
    <row r="25" spans="1:42" ht="11.25" customHeight="1" x14ac:dyDescent="0.25">
      <c r="A25" s="142"/>
      <c r="B25" s="142" t="s">
        <v>90</v>
      </c>
      <c r="C25" s="142" t="s">
        <v>24</v>
      </c>
      <c r="D25" s="23" t="s">
        <v>24</v>
      </c>
      <c r="E25" s="23" t="s">
        <v>25</v>
      </c>
      <c r="F25" s="23" t="s">
        <v>25</v>
      </c>
      <c r="G25" s="24" t="s">
        <v>79</v>
      </c>
      <c r="H25" s="24" t="s">
        <v>75</v>
      </c>
      <c r="I25" s="24">
        <f>'MERCADO TUSD'!$U$22</f>
        <v>0</v>
      </c>
      <c r="J25" s="15"/>
      <c r="L25" s="13">
        <f>'TR TUSD'!$L$25*'TR TUSD'!$L$60</f>
        <v>0</v>
      </c>
      <c r="M25" s="13">
        <f>'TR TUSD'!$M$25*'TR TUSD'!$M$60</f>
        <v>0.88251848096860275</v>
      </c>
      <c r="N25" s="13">
        <f ca="1">'TR TUSD'!$N$25*'TR TUSD'!$N$60</f>
        <v>3.4066654522690949</v>
      </c>
      <c r="O25" s="13">
        <f>'TR TUSD'!$O$25*'TR TUSD'!$O$60</f>
        <v>0</v>
      </c>
      <c r="P25" s="13">
        <f>'TR TUSD'!$P$25*'TR TUSD'!$P$60</f>
        <v>0</v>
      </c>
      <c r="Q25" s="13">
        <f>'TR TUSD'!$Q$25*'TR TUSD'!$Q$60</f>
        <v>88.764408385158745</v>
      </c>
      <c r="R25" s="13">
        <f>'TR TUSD'!$R$25*'TR TUSD'!$R$60</f>
        <v>14.44427661212166</v>
      </c>
      <c r="S25" s="13">
        <f>'TR TUSD'!$S$25*'TR TUSD'!$S$60</f>
        <v>0</v>
      </c>
      <c r="T25" s="13">
        <f ca="1">SUM($L$25:$S$25)</f>
        <v>107.49786893051809</v>
      </c>
      <c r="U25" s="13">
        <f>'TR TUSD'!$U$25*'TR TUSD'!$U$60</f>
        <v>0</v>
      </c>
      <c r="V25" s="13">
        <f>'TR TUSD'!$V$25*'TR TUSD'!$V$60</f>
        <v>0</v>
      </c>
      <c r="W25" s="13">
        <f>'TR TUSD'!$W$25*'TR TUSD'!$W$60</f>
        <v>0</v>
      </c>
      <c r="X25" s="13">
        <f>'TR TUSD'!$X$25*'TR TUSD'!$X$60</f>
        <v>0</v>
      </c>
      <c r="Y25" s="13">
        <f>'TR TUSD'!$Y$25*'TR TUSD'!$Y$60</f>
        <v>127.78634542901858</v>
      </c>
      <c r="Z25" s="13">
        <f>'TR TUSD'!$Z$25</f>
        <v>0</v>
      </c>
      <c r="AA25" s="13">
        <f>'TR TUSD'!$AA$25</f>
        <v>0</v>
      </c>
      <c r="AB25" s="13">
        <f>SUM($U$25:$AA$25)</f>
        <v>127.78634542901858</v>
      </c>
      <c r="AC25" s="13">
        <f>'TR TUSD'!$AC$25*'TR TUSD'!$AC$60</f>
        <v>194.83147166907759</v>
      </c>
      <c r="AD25" s="13">
        <f>SUM($AC$25:$AC$25)</f>
        <v>194.83147166907759</v>
      </c>
      <c r="AE25" s="13">
        <v>0</v>
      </c>
      <c r="AF25" s="13">
        <v>0</v>
      </c>
      <c r="AG25" s="13">
        <f>SUM($AE$25:$AF$25)</f>
        <v>0</v>
      </c>
      <c r="AH25" s="13">
        <f>'TR TUSD'!$AH$25*'TR TUSD'!$AH$60</f>
        <v>19.474109935747634</v>
      </c>
      <c r="AI25" s="13">
        <f>'TR TUSD'!$AI$25*'TR TUSD'!$AI$60</f>
        <v>0.66812528650092984</v>
      </c>
      <c r="AJ25" s="13">
        <f ca="1">'TR TUSD'!$AJ$25*'TR TUSD'!$AJ$60</f>
        <v>3.7773997386114209</v>
      </c>
      <c r="AK25" s="13">
        <f ca="1">'TR TUSD'!$AK$25*'TR TUSD'!$AK$60</f>
        <v>0.23283762232384553</v>
      </c>
      <c r="AL25" s="13">
        <f ca="1">SUM($AH$25:$AK$25)</f>
        <v>24.152472583183833</v>
      </c>
      <c r="AM25" s="13">
        <f ca="1">SUMIF($L$4:$AL$4,"SUBTOTAL",$L$25:$AL$25)</f>
        <v>454.26815861179813</v>
      </c>
      <c r="AP25" s="13">
        <v>1</v>
      </c>
    </row>
    <row r="26" spans="1:42" ht="11.25" customHeight="1" x14ac:dyDescent="0.25">
      <c r="A26" s="142"/>
      <c r="B26" s="142"/>
      <c r="C26" s="142"/>
      <c r="D26" s="23" t="s">
        <v>28</v>
      </c>
      <c r="E26" s="23" t="s">
        <v>25</v>
      </c>
      <c r="F26" s="23" t="s">
        <v>25</v>
      </c>
      <c r="G26" s="24" t="s">
        <v>79</v>
      </c>
      <c r="H26" s="24" t="s">
        <v>75</v>
      </c>
      <c r="I26" s="24">
        <f>'MERCADO TUSD'!$U$23</f>
        <v>0</v>
      </c>
      <c r="J26" s="15"/>
      <c r="L26" s="13">
        <f>'TR TUSD'!$L$26*'TR TUSD'!$L$60</f>
        <v>0</v>
      </c>
      <c r="M26" s="13">
        <f>'TR TUSD'!$M$26*'TR TUSD'!$M$60</f>
        <v>0.88251848096860275</v>
      </c>
      <c r="N26" s="13">
        <f ca="1">'TR TUSD'!$N$26*'TR TUSD'!$N$60</f>
        <v>3.3962956808002618</v>
      </c>
      <c r="O26" s="13">
        <f>'TR TUSD'!$O$26*'TR TUSD'!$O$60</f>
        <v>0</v>
      </c>
      <c r="P26" s="13">
        <f>'TR TUSD'!$P$26*'TR TUSD'!$P$60</f>
        <v>0</v>
      </c>
      <c r="Q26" s="13">
        <f>'TR TUSD'!$Q$26*'TR TUSD'!$Q$60</f>
        <v>0</v>
      </c>
      <c r="R26" s="13">
        <f>'TR TUSD'!$R$26*'TR TUSD'!$R$60</f>
        <v>0</v>
      </c>
      <c r="S26" s="13">
        <f>'TR TUSD'!$S$26*'TR TUSD'!$S$60</f>
        <v>0</v>
      </c>
      <c r="T26" s="13">
        <f ca="1">SUM($L$26:$S$26)</f>
        <v>4.2788141617688646</v>
      </c>
      <c r="U26" s="13">
        <f>'TR TUSD'!$U$26*'TR TUSD'!$U$60</f>
        <v>0</v>
      </c>
      <c r="V26" s="13">
        <f>'TR TUSD'!$V$26*'TR TUSD'!$V$60</f>
        <v>0</v>
      </c>
      <c r="W26" s="13">
        <f>'TR TUSD'!$W$26*'TR TUSD'!$W$60</f>
        <v>0</v>
      </c>
      <c r="X26" s="13">
        <f>'TR TUSD'!$X$26*'TR TUSD'!$X$60</f>
        <v>0</v>
      </c>
      <c r="Y26" s="13">
        <f>'TR TUSD'!$Y$26*'TR TUSD'!$Y$60</f>
        <v>127.78634542901858</v>
      </c>
      <c r="Z26" s="13">
        <f>'TR TUSD'!$Z$26</f>
        <v>0</v>
      </c>
      <c r="AA26" s="13">
        <f>'TR TUSD'!$AA$26</f>
        <v>0</v>
      </c>
      <c r="AB26" s="13">
        <f>SUM($U$26:$AA$26)</f>
        <v>127.78634542901858</v>
      </c>
      <c r="AC26" s="13">
        <f>'TR TUSD'!$AC$26*'TR TUSD'!$AC$60</f>
        <v>194.83147166907759</v>
      </c>
      <c r="AD26" s="13">
        <f>SUM($AC$26:$AC$26)</f>
        <v>194.83147166907759</v>
      </c>
      <c r="AE26" s="13">
        <v>0</v>
      </c>
      <c r="AF26" s="13">
        <v>0</v>
      </c>
      <c r="AG26" s="13">
        <f>SUM($AE$26:$AF$26)</f>
        <v>0</v>
      </c>
      <c r="AH26" s="13">
        <f>'TR TUSD'!$AH$26*'TR TUSD'!$AH$60</f>
        <v>19.474109935747634</v>
      </c>
      <c r="AI26" s="13">
        <f>'TR TUSD'!$AI$26*'TR TUSD'!$AI$60</f>
        <v>0.66812528650092984</v>
      </c>
      <c r="AJ26" s="13">
        <f ca="1">'TR TUSD'!$AJ$26*'TR TUSD'!$AJ$60</f>
        <v>3.7773997386114209</v>
      </c>
      <c r="AK26" s="13">
        <f ca="1">'TR TUSD'!$AK$26*'TR TUSD'!$AK$60</f>
        <v>0.23283762232384553</v>
      </c>
      <c r="AL26" s="13">
        <f ca="1">SUM($AH$26:$AK$26)</f>
        <v>24.152472583183833</v>
      </c>
      <c r="AM26" s="13">
        <f ca="1">SUMIF($L$4:$AL$4,"SUBTOTAL",$L$26:$AL$26)</f>
        <v>351.0491038430489</v>
      </c>
      <c r="AP26" s="13">
        <f>IF((1 - CUSTOS!$M$24)&lt;&gt;0,1/(1 - CUSTOS!$M$24),1)</f>
        <v>1</v>
      </c>
    </row>
    <row r="27" spans="1:42" ht="11.25" customHeight="1" x14ac:dyDescent="0.25">
      <c r="A27" s="142"/>
      <c r="B27" s="142"/>
      <c r="C27" s="142"/>
      <c r="D27" s="23" t="s">
        <v>29</v>
      </c>
      <c r="E27" s="23" t="s">
        <v>25</v>
      </c>
      <c r="F27" s="23" t="s">
        <v>25</v>
      </c>
      <c r="G27" s="24" t="s">
        <v>79</v>
      </c>
      <c r="H27" s="24" t="s">
        <v>75</v>
      </c>
      <c r="I27" s="24">
        <f>'MERCADO TUSD'!$U$24</f>
        <v>0</v>
      </c>
      <c r="J27" s="15"/>
      <c r="L27" s="13">
        <f>'TR TUSD'!$L$27*'TR TUSD'!$L$60</f>
        <v>0</v>
      </c>
      <c r="M27" s="13">
        <f>'TR TUSD'!$M$27*'TR TUSD'!$M$60</f>
        <v>0.88251848096860275</v>
      </c>
      <c r="N27" s="13">
        <f ca="1">'TR TUSD'!$N$27*'TR TUSD'!$N$60</f>
        <v>3.3962956808002618</v>
      </c>
      <c r="O27" s="13">
        <f>'TR TUSD'!$O$27*'TR TUSD'!$O$60</f>
        <v>0</v>
      </c>
      <c r="P27" s="13">
        <f>'TR TUSD'!$P$27*'TR TUSD'!$P$60</f>
        <v>0</v>
      </c>
      <c r="Q27" s="13">
        <f>'TR TUSD'!$Q$27*'TR TUSD'!$Q$60</f>
        <v>0</v>
      </c>
      <c r="R27" s="13">
        <f>'TR TUSD'!$R$27*'TR TUSD'!$R$60</f>
        <v>0</v>
      </c>
      <c r="S27" s="13">
        <f>'TR TUSD'!$S$27*'TR TUSD'!$S$60</f>
        <v>0</v>
      </c>
      <c r="T27" s="13">
        <f ca="1">SUM($L$27:$S$27)</f>
        <v>4.2788141617688646</v>
      </c>
      <c r="U27" s="13">
        <f>'TR TUSD'!$U$27*'TR TUSD'!$U$60</f>
        <v>0</v>
      </c>
      <c r="V27" s="13">
        <f>'TR TUSD'!$V$27*'TR TUSD'!$V$60</f>
        <v>0</v>
      </c>
      <c r="W27" s="13">
        <f>'TR TUSD'!$W$27*'TR TUSD'!$W$60</f>
        <v>0</v>
      </c>
      <c r="X27" s="13">
        <f>'TR TUSD'!$X$27*'TR TUSD'!$X$60</f>
        <v>0</v>
      </c>
      <c r="Y27" s="13">
        <f>'TR TUSD'!$Y$27*'TR TUSD'!$Y$60</f>
        <v>127.78634542901858</v>
      </c>
      <c r="Z27" s="13">
        <f>'TR TUSD'!$Z$27</f>
        <v>0</v>
      </c>
      <c r="AA27" s="13">
        <f>'TR TUSD'!$AA$27</f>
        <v>0</v>
      </c>
      <c r="AB27" s="13">
        <f>SUM($U$27:$AA$27)</f>
        <v>127.78634542901858</v>
      </c>
      <c r="AC27" s="13">
        <f>'TR TUSD'!$AC$27*'TR TUSD'!$AC$60</f>
        <v>194.83147166907759</v>
      </c>
      <c r="AD27" s="13">
        <f>SUM($AC$27:$AC$27)</f>
        <v>194.83147166907759</v>
      </c>
      <c r="AE27" s="13">
        <v>0</v>
      </c>
      <c r="AF27" s="13">
        <v>0</v>
      </c>
      <c r="AG27" s="13">
        <f>SUM($AE$27:$AF$27)</f>
        <v>0</v>
      </c>
      <c r="AH27" s="13">
        <f>'TR TUSD'!$AH$27*'TR TUSD'!$AH$60</f>
        <v>19.474109935747634</v>
      </c>
      <c r="AI27" s="13">
        <f>'TR TUSD'!$AI$27*'TR TUSD'!$AI$60</f>
        <v>0.66812528650092984</v>
      </c>
      <c r="AJ27" s="13">
        <f ca="1">'TR TUSD'!$AJ$27*'TR TUSD'!$AJ$60</f>
        <v>3.7773997386114209</v>
      </c>
      <c r="AK27" s="13">
        <f ca="1">'TR TUSD'!$AK$27*'TR TUSD'!$AK$60</f>
        <v>0.23283762232384553</v>
      </c>
      <c r="AL27" s="13">
        <f ca="1">SUM($AH$27:$AK$27)</f>
        <v>24.152472583183833</v>
      </c>
      <c r="AM27" s="13">
        <f ca="1">SUMIF($L$4:$AL$4,"SUBTOTAL",$L$27:$AL$27)</f>
        <v>351.0491038430489</v>
      </c>
      <c r="AP27" s="13">
        <f>IF((1 - CUSTOS!$M$25)&lt;&gt;0,1/(1 - CUSTOS!$M$25),1)</f>
        <v>1</v>
      </c>
    </row>
    <row r="28" spans="1:42" ht="11.25" customHeight="1" x14ac:dyDescent="0.25">
      <c r="A28" s="142"/>
      <c r="B28" s="142"/>
      <c r="C28" s="142"/>
      <c r="D28" s="23" t="s">
        <v>30</v>
      </c>
      <c r="E28" s="23" t="s">
        <v>25</v>
      </c>
      <c r="F28" s="23" t="s">
        <v>25</v>
      </c>
      <c r="G28" s="24" t="s">
        <v>79</v>
      </c>
      <c r="H28" s="24" t="s">
        <v>75</v>
      </c>
      <c r="I28" s="24">
        <f>'MERCADO TUSD'!$U$25</f>
        <v>0</v>
      </c>
      <c r="J28" s="15"/>
      <c r="L28" s="13">
        <f>'TR TUSD'!$L$28*'TR TUSD'!$L$60</f>
        <v>0</v>
      </c>
      <c r="M28" s="13">
        <f>'TR TUSD'!$M$28*'TR TUSD'!$M$60</f>
        <v>0.88251848096860275</v>
      </c>
      <c r="N28" s="13">
        <f ca="1">'TR TUSD'!$N$28*'TR TUSD'!$N$60</f>
        <v>3.3962956808002618</v>
      </c>
      <c r="O28" s="13">
        <f>'TR TUSD'!$O$28*'TR TUSD'!$O$60</f>
        <v>0</v>
      </c>
      <c r="P28" s="13">
        <f>'TR TUSD'!$P$28*'TR TUSD'!$P$60</f>
        <v>0</v>
      </c>
      <c r="Q28" s="13">
        <f>'TR TUSD'!$Q$28*'TR TUSD'!$Q$60</f>
        <v>0</v>
      </c>
      <c r="R28" s="13">
        <f>'TR TUSD'!$R$28*'TR TUSD'!$R$60</f>
        <v>0</v>
      </c>
      <c r="S28" s="13">
        <f>'TR TUSD'!$S$28*'TR TUSD'!$S$60</f>
        <v>0</v>
      </c>
      <c r="T28" s="13">
        <f ca="1">SUM($L$28:$S$28)</f>
        <v>4.2788141617688646</v>
      </c>
      <c r="U28" s="13">
        <f>'TR TUSD'!$U$28*'TR TUSD'!$U$60</f>
        <v>0</v>
      </c>
      <c r="V28" s="13">
        <f>'TR TUSD'!$V$28*'TR TUSD'!$V$60</f>
        <v>0</v>
      </c>
      <c r="W28" s="13">
        <f>'TR TUSD'!$W$28*'TR TUSD'!$W$60</f>
        <v>0</v>
      </c>
      <c r="X28" s="13">
        <f>'TR TUSD'!$X$28*'TR TUSD'!$X$60</f>
        <v>0</v>
      </c>
      <c r="Y28" s="13">
        <f>'TR TUSD'!$Y$28*'TR TUSD'!$Y$60</f>
        <v>127.78634542901858</v>
      </c>
      <c r="Z28" s="13">
        <f>'TR TUSD'!$Z$28</f>
        <v>0</v>
      </c>
      <c r="AA28" s="13">
        <f>'TR TUSD'!$AA$28</f>
        <v>0</v>
      </c>
      <c r="AB28" s="13">
        <f>SUM($U$28:$AA$28)</f>
        <v>127.78634542901858</v>
      </c>
      <c r="AC28" s="13">
        <f>'TR TUSD'!$AC$28*'TR TUSD'!$AC$60</f>
        <v>194.83147166907759</v>
      </c>
      <c r="AD28" s="13">
        <f>SUM($AC$28:$AC$28)</f>
        <v>194.83147166907759</v>
      </c>
      <c r="AE28" s="13">
        <v>0</v>
      </c>
      <c r="AF28" s="13">
        <v>0</v>
      </c>
      <c r="AG28" s="13">
        <f>SUM($AE$28:$AF$28)</f>
        <v>0</v>
      </c>
      <c r="AH28" s="13">
        <f>'TR TUSD'!$AH$28*'TR TUSD'!$AH$60</f>
        <v>19.474109935747634</v>
      </c>
      <c r="AI28" s="13">
        <f>'TR TUSD'!$AI$28*'TR TUSD'!$AI$60</f>
        <v>0.66812528650092984</v>
      </c>
      <c r="AJ28" s="13">
        <f ca="1">'TR TUSD'!$AJ$28*'TR TUSD'!$AJ$60</f>
        <v>3.7773997386114209</v>
      </c>
      <c r="AK28" s="13">
        <f ca="1">'TR TUSD'!$AK$28*'TR TUSD'!$AK$60</f>
        <v>0.23283762232384553</v>
      </c>
      <c r="AL28" s="13">
        <f ca="1">SUM($AH$28:$AK$28)</f>
        <v>24.152472583183833</v>
      </c>
      <c r="AM28" s="13">
        <f ca="1">SUMIF($L$4:$AL$4,"SUBTOTAL",$L$28:$AL$28)</f>
        <v>351.0491038430489</v>
      </c>
      <c r="AP28" s="13">
        <f>IF((1 - CUSTOS!$M$26)&lt;&gt;0,1/(1 - CUSTOS!$M$26),1)</f>
        <v>1</v>
      </c>
    </row>
    <row r="29" spans="1:42" ht="11.25" customHeight="1" x14ac:dyDescent="0.25">
      <c r="A29" s="142"/>
      <c r="B29" s="142"/>
      <c r="C29" s="142"/>
      <c r="D29" s="23" t="s">
        <v>31</v>
      </c>
      <c r="E29" s="23" t="s">
        <v>25</v>
      </c>
      <c r="F29" s="23" t="s">
        <v>25</v>
      </c>
      <c r="G29" s="24" t="s">
        <v>79</v>
      </c>
      <c r="H29" s="24" t="s">
        <v>75</v>
      </c>
      <c r="I29" s="24">
        <f>'MERCADO TUSD'!$U$26</f>
        <v>0</v>
      </c>
      <c r="J29" s="15"/>
      <c r="L29" s="13">
        <f>'TR TUSD'!$L$29*'TR TUSD'!$L$60</f>
        <v>0</v>
      </c>
      <c r="M29" s="13">
        <f>'TR TUSD'!$M$29*'TR TUSD'!$M$60</f>
        <v>0.88251848096860275</v>
      </c>
      <c r="N29" s="13">
        <f ca="1">'TR TUSD'!$N$29*'TR TUSD'!$N$60</f>
        <v>3.3962956808002618</v>
      </c>
      <c r="O29" s="13">
        <f>'TR TUSD'!$O$29*'TR TUSD'!$O$60</f>
        <v>0</v>
      </c>
      <c r="P29" s="13">
        <f>'TR TUSD'!$P$29*'TR TUSD'!$P$60</f>
        <v>0</v>
      </c>
      <c r="Q29" s="13">
        <f>'TR TUSD'!$Q$29*'TR TUSD'!$Q$60</f>
        <v>0</v>
      </c>
      <c r="R29" s="13">
        <f>'TR TUSD'!$R$29*'TR TUSD'!$R$60</f>
        <v>0</v>
      </c>
      <c r="S29" s="13">
        <f>'TR TUSD'!$S$29*'TR TUSD'!$S$60</f>
        <v>0</v>
      </c>
      <c r="T29" s="13">
        <f ca="1">SUM($L$29:$S$29)</f>
        <v>4.2788141617688646</v>
      </c>
      <c r="U29" s="13">
        <f>'TR TUSD'!$U$29*'TR TUSD'!$U$60</f>
        <v>0</v>
      </c>
      <c r="V29" s="13">
        <f>'TR TUSD'!$V$29*'TR TUSD'!$V$60</f>
        <v>0</v>
      </c>
      <c r="W29" s="13">
        <f>'TR TUSD'!$W$29*'TR TUSD'!$W$60</f>
        <v>0</v>
      </c>
      <c r="X29" s="13">
        <f>'TR TUSD'!$X$29*'TR TUSD'!$X$60</f>
        <v>0</v>
      </c>
      <c r="Y29" s="13">
        <f>'TR TUSD'!$Y$29*'TR TUSD'!$Y$60</f>
        <v>127.78634542901858</v>
      </c>
      <c r="Z29" s="13">
        <f>'TR TUSD'!$Z$29</f>
        <v>0</v>
      </c>
      <c r="AA29" s="13">
        <f>'TR TUSD'!$AA$29</f>
        <v>0</v>
      </c>
      <c r="AB29" s="13">
        <f>SUM($U$29:$AA$29)</f>
        <v>127.78634542901858</v>
      </c>
      <c r="AC29" s="13">
        <f>'TR TUSD'!$AC$29*'TR TUSD'!$AC$60</f>
        <v>194.83147166907759</v>
      </c>
      <c r="AD29" s="13">
        <f>SUM($AC$29:$AC$29)</f>
        <v>194.83147166907759</v>
      </c>
      <c r="AE29" s="13">
        <v>0</v>
      </c>
      <c r="AF29" s="13">
        <v>0</v>
      </c>
      <c r="AG29" s="13">
        <f>SUM($AE$29:$AF$29)</f>
        <v>0</v>
      </c>
      <c r="AH29" s="13">
        <f>'TR TUSD'!$AH$29*'TR TUSD'!$AH$60</f>
        <v>19.474109935747634</v>
      </c>
      <c r="AI29" s="13">
        <f>'TR TUSD'!$AI$29*'TR TUSD'!$AI$60</f>
        <v>0.66812528650092984</v>
      </c>
      <c r="AJ29" s="13">
        <f ca="1">'TR TUSD'!$AJ$29*'TR TUSD'!$AJ$60</f>
        <v>3.7773997386114209</v>
      </c>
      <c r="AK29" s="13">
        <f ca="1">'TR TUSD'!$AK$29*'TR TUSD'!$AK$60</f>
        <v>0.23283762232384553</v>
      </c>
      <c r="AL29" s="13">
        <f ca="1">SUM($AH$29:$AK$29)</f>
        <v>24.152472583183833</v>
      </c>
      <c r="AM29" s="13">
        <f ca="1">SUMIF($L$4:$AL$4,"SUBTOTAL",$L$29:$AL$29)</f>
        <v>351.0491038430489</v>
      </c>
      <c r="AP29" s="13">
        <f>IF((1 - CUSTOS!$M$27)&lt;&gt;0,1/(1 - CUSTOS!$M$27),1)</f>
        <v>1</v>
      </c>
    </row>
    <row r="30" spans="1:42" ht="11.25" customHeight="1" x14ac:dyDescent="0.25">
      <c r="A30" s="142" t="s">
        <v>41</v>
      </c>
      <c r="B30" s="142" t="s">
        <v>32</v>
      </c>
      <c r="C30" s="142" t="s">
        <v>42</v>
      </c>
      <c r="D30" s="142" t="s">
        <v>25</v>
      </c>
      <c r="E30" s="142" t="s">
        <v>25</v>
      </c>
      <c r="F30" s="142" t="s">
        <v>25</v>
      </c>
      <c r="G30" s="24" t="s">
        <v>76</v>
      </c>
      <c r="H30" s="24" t="s">
        <v>75</v>
      </c>
      <c r="I30" s="24">
        <f>'MERCADO TUSD'!$U$27</f>
        <v>0</v>
      </c>
      <c r="J30" s="15"/>
      <c r="L30" s="13">
        <f>'TR TUSD'!$L$30*'TR TUSD'!$L$60</f>
        <v>0</v>
      </c>
      <c r="M30" s="13">
        <f>'TR TUSD'!$M$30*'TR TUSD'!$M$60</f>
        <v>0.88251848096860275</v>
      </c>
      <c r="N30" s="13">
        <f ca="1">'TR TUSD'!$N$30*'TR TUSD'!$N$60</f>
        <v>8.8683006846231383</v>
      </c>
      <c r="O30" s="13">
        <f>'TR TUSD'!$O$30*'TR TUSD'!$O$60</f>
        <v>0</v>
      </c>
      <c r="P30" s="13">
        <f>'TR TUSD'!$P$30*'TR TUSD'!$P$60</f>
        <v>0</v>
      </c>
      <c r="Q30" s="13">
        <f>'TR TUSD'!$Q$30*'TR TUSD'!$Q$60</f>
        <v>88.764408385158745</v>
      </c>
      <c r="R30" s="13">
        <f>'TR TUSD'!$R$30*'TR TUSD'!$R$60</f>
        <v>14.44427661212166</v>
      </c>
      <c r="S30" s="13">
        <f>'TR TUSD'!$S$30*'TR TUSD'!$S$60</f>
        <v>0</v>
      </c>
      <c r="T30" s="13">
        <f ca="1">SUM($L$30:$S$30)</f>
        <v>112.95950416287214</v>
      </c>
      <c r="U30" s="13">
        <f>'TR TUSD'!$U$30*'TR TUSD'!$U$60</f>
        <v>0</v>
      </c>
      <c r="V30" s="13">
        <f>'TR TUSD'!$V$30*'TR TUSD'!$V$60</f>
        <v>0</v>
      </c>
      <c r="W30" s="13">
        <f>'TR TUSD'!$W$30*'TR TUSD'!$W$60</f>
        <v>0</v>
      </c>
      <c r="X30" s="13">
        <f>'TR TUSD'!$X$30*'TR TUSD'!$X$60</f>
        <v>0</v>
      </c>
      <c r="Y30" s="13">
        <f>'TR TUSD'!$Y$30*'TR TUSD'!$Y$60</f>
        <v>364.19115829184335</v>
      </c>
      <c r="Z30" s="13">
        <f>'TR TUSD'!$Z$30</f>
        <v>0</v>
      </c>
      <c r="AA30" s="13">
        <f>'TR TUSD'!$AA$30</f>
        <v>0</v>
      </c>
      <c r="AB30" s="13">
        <f>SUM($U$30:$AA$30)</f>
        <v>364.19115829184335</v>
      </c>
      <c r="AC30" s="13">
        <f>'TR TUSD'!$AC$30*'TR TUSD'!$AC$60</f>
        <v>555.26957035384726</v>
      </c>
      <c r="AD30" s="13">
        <f>SUM($AC$30:$AC$30)</f>
        <v>555.26957035384726</v>
      </c>
      <c r="AE30" s="13">
        <v>0</v>
      </c>
      <c r="AF30" s="13">
        <v>0</v>
      </c>
      <c r="AG30" s="13">
        <f>SUM($AE$30:$AF$30)</f>
        <v>0</v>
      </c>
      <c r="AH30" s="13">
        <f>'TR TUSD'!$AH$30*'TR TUSD'!$AH$60</f>
        <v>19.474109935747634</v>
      </c>
      <c r="AI30" s="13">
        <f>'TR TUSD'!$AI$30*'TR TUSD'!$AI$60</f>
        <v>0.66812528650092984</v>
      </c>
      <c r="AJ30" s="13">
        <f ca="1">'TR TUSD'!$AJ$30*'TR TUSD'!$AJ$60</f>
        <v>3.7773997386114209</v>
      </c>
      <c r="AK30" s="13">
        <f ca="1">'TR TUSD'!$AK$30*'TR TUSD'!$AK$60</f>
        <v>0.23283762232384553</v>
      </c>
      <c r="AL30" s="13">
        <f ca="1">SUM($AH$30:$AK$30)</f>
        <v>24.152472583183833</v>
      </c>
      <c r="AM30" s="13">
        <f ca="1">SUMIF($L$4:$AL$4,"SUBTOTAL",$L$30:$AL$30)</f>
        <v>1056.5727053917467</v>
      </c>
      <c r="AP30" s="13">
        <f>IF((1 - CUSTOS!$M$28)&lt;&gt;0,1/(1 - CUSTOS!$M$28),1)</f>
        <v>1</v>
      </c>
    </row>
    <row r="31" spans="1:42" ht="11.25" customHeight="1" x14ac:dyDescent="0.25">
      <c r="A31" s="142"/>
      <c r="B31" s="142"/>
      <c r="C31" s="142"/>
      <c r="D31" s="142"/>
      <c r="E31" s="142"/>
      <c r="F31" s="142"/>
      <c r="G31" s="24" t="s">
        <v>88</v>
      </c>
      <c r="H31" s="24" t="s">
        <v>75</v>
      </c>
      <c r="I31" s="24">
        <f>'MERCADO TUSD'!$U$28</f>
        <v>0</v>
      </c>
      <c r="J31" s="15"/>
      <c r="L31" s="13">
        <f>'TR TUSD'!$L$31*'TR TUSD'!$L$60</f>
        <v>0</v>
      </c>
      <c r="M31" s="13">
        <f>'TR TUSD'!$M$31*'TR TUSD'!$M$60</f>
        <v>0.88251848096860275</v>
      </c>
      <c r="N31" s="13">
        <f ca="1">'TR TUSD'!$N$31*'TR TUSD'!$N$60</f>
        <v>5.5027519492816959</v>
      </c>
      <c r="O31" s="13">
        <f>'TR TUSD'!$O$31*'TR TUSD'!$O$60</f>
        <v>0</v>
      </c>
      <c r="P31" s="13">
        <f>'TR TUSD'!$P$31*'TR TUSD'!$P$60</f>
        <v>0</v>
      </c>
      <c r="Q31" s="13">
        <f>'TR TUSD'!$Q$31*'TR TUSD'!$Q$60</f>
        <v>88.764408385158745</v>
      </c>
      <c r="R31" s="13">
        <f>'TR TUSD'!$R$31*'TR TUSD'!$R$60</f>
        <v>14.44427661212166</v>
      </c>
      <c r="S31" s="13">
        <f>'TR TUSD'!$S$31*'TR TUSD'!$S$60</f>
        <v>0</v>
      </c>
      <c r="T31" s="13">
        <f ca="1">SUM($L$31:$S$31)</f>
        <v>109.5939554275307</v>
      </c>
      <c r="U31" s="13">
        <f>'TR TUSD'!$U$31*'TR TUSD'!$U$60</f>
        <v>0</v>
      </c>
      <c r="V31" s="13">
        <f>'TR TUSD'!$V$31*'TR TUSD'!$V$60</f>
        <v>0</v>
      </c>
      <c r="W31" s="13">
        <f>'TR TUSD'!$W$31*'TR TUSD'!$W$60</f>
        <v>0</v>
      </c>
      <c r="X31" s="13">
        <f>'TR TUSD'!$X$31*'TR TUSD'!$X$60</f>
        <v>0</v>
      </c>
      <c r="Y31" s="13">
        <f>'TR TUSD'!$Y$31*'TR TUSD'!$Y$60</f>
        <v>218.51462115596561</v>
      </c>
      <c r="Z31" s="13">
        <f>'TR TUSD'!$Z$31</f>
        <v>0</v>
      </c>
      <c r="AA31" s="13">
        <f>'TR TUSD'!$AA$31</f>
        <v>0</v>
      </c>
      <c r="AB31" s="13">
        <f>SUM($U$31:$AA$31)</f>
        <v>218.51462115596561</v>
      </c>
      <c r="AC31" s="13">
        <f>'TR TUSD'!$AC$31*'TR TUSD'!$AC$60</f>
        <v>333.16176376066034</v>
      </c>
      <c r="AD31" s="13">
        <f>SUM($AC$31:$AC$31)</f>
        <v>333.16176376066034</v>
      </c>
      <c r="AE31" s="13">
        <v>0</v>
      </c>
      <c r="AF31" s="13">
        <v>0</v>
      </c>
      <c r="AG31" s="13">
        <f>SUM($AE$31:$AF$31)</f>
        <v>0</v>
      </c>
      <c r="AH31" s="13">
        <f>'TR TUSD'!$AH$31*'TR TUSD'!$AH$60</f>
        <v>19.474109935747634</v>
      </c>
      <c r="AI31" s="13">
        <f>'TR TUSD'!$AI$31*'TR TUSD'!$AI$60</f>
        <v>0.66812528650092984</v>
      </c>
      <c r="AJ31" s="13">
        <f ca="1">'TR TUSD'!$AJ$31*'TR TUSD'!$AJ$60</f>
        <v>3.7773997386114209</v>
      </c>
      <c r="AK31" s="13">
        <f ca="1">'TR TUSD'!$AK$31*'TR TUSD'!$AK$60</f>
        <v>0.23283762232384553</v>
      </c>
      <c r="AL31" s="13">
        <f ca="1">SUM($AH$31:$AK$31)</f>
        <v>24.152472583183833</v>
      </c>
      <c r="AM31" s="13">
        <f ca="1">SUMIF($L$4:$AL$4,"SUBTOTAL",$L$31:$AL$31)</f>
        <v>685.42281292734049</v>
      </c>
      <c r="AP31" s="13">
        <f>IF((1 - CUSTOS!$M$28)&lt;&gt;0,1/(1 - CUSTOS!$M$28),1)</f>
        <v>1</v>
      </c>
    </row>
    <row r="32" spans="1:42" ht="11.25" customHeight="1" x14ac:dyDescent="0.25">
      <c r="A32" s="142"/>
      <c r="B32" s="142"/>
      <c r="C32" s="142"/>
      <c r="D32" s="142"/>
      <c r="E32" s="142"/>
      <c r="F32" s="142"/>
      <c r="G32" s="24" t="s">
        <v>77</v>
      </c>
      <c r="H32" s="24" t="s">
        <v>75</v>
      </c>
      <c r="I32" s="24">
        <f>'MERCADO TUSD'!$U$29</f>
        <v>0</v>
      </c>
      <c r="J32" s="15"/>
      <c r="L32" s="13">
        <f>'TR TUSD'!$L$32*'TR TUSD'!$L$60</f>
        <v>0</v>
      </c>
      <c r="M32" s="13">
        <f>'TR TUSD'!$M$32*'TR TUSD'!$M$60</f>
        <v>0.88251848096860275</v>
      </c>
      <c r="N32" s="13">
        <f ca="1">'TR TUSD'!$N$32*'TR TUSD'!$N$60</f>
        <v>2.1372042509173981</v>
      </c>
      <c r="O32" s="13">
        <f>'TR TUSD'!$O$32*'TR TUSD'!$O$60</f>
        <v>0</v>
      </c>
      <c r="P32" s="13">
        <f>'TR TUSD'!$P$32*'TR TUSD'!$P$60</f>
        <v>0</v>
      </c>
      <c r="Q32" s="13">
        <f>'TR TUSD'!$Q$32*'TR TUSD'!$Q$60</f>
        <v>88.764408385158745</v>
      </c>
      <c r="R32" s="13">
        <f>'TR TUSD'!$R$32*'TR TUSD'!$R$60</f>
        <v>14.44427661212166</v>
      </c>
      <c r="S32" s="13">
        <f>'TR TUSD'!$S$32*'TR TUSD'!$S$60</f>
        <v>0</v>
      </c>
      <c r="T32" s="13">
        <f ca="1">SUM($L$32:$S$32)</f>
        <v>106.22840772916641</v>
      </c>
      <c r="U32" s="13">
        <f>'TR TUSD'!$U$32*'TR TUSD'!$U$60</f>
        <v>0</v>
      </c>
      <c r="V32" s="13">
        <f>'TR TUSD'!$V$32*'TR TUSD'!$V$60</f>
        <v>0</v>
      </c>
      <c r="W32" s="13">
        <f>'TR TUSD'!$W$32*'TR TUSD'!$W$60</f>
        <v>0</v>
      </c>
      <c r="X32" s="13">
        <f>'TR TUSD'!$X$32*'TR TUSD'!$X$60</f>
        <v>0</v>
      </c>
      <c r="Y32" s="13">
        <f>'TR TUSD'!$Y$32*'TR TUSD'!$Y$60</f>
        <v>72.838207051988533</v>
      </c>
      <c r="Z32" s="13">
        <f>'TR TUSD'!$Z$32</f>
        <v>0</v>
      </c>
      <c r="AA32" s="13">
        <f>'TR TUSD'!$AA$32</f>
        <v>0</v>
      </c>
      <c r="AB32" s="13">
        <f>SUM($U$32:$AA$32)</f>
        <v>72.838207051988533</v>
      </c>
      <c r="AC32" s="13">
        <f>'TR TUSD'!$AC$32*'TR TUSD'!$AC$60</f>
        <v>111.05395716747344</v>
      </c>
      <c r="AD32" s="13">
        <f>SUM($AC$32:$AC$32)</f>
        <v>111.05395716747344</v>
      </c>
      <c r="AE32" s="13">
        <v>0</v>
      </c>
      <c r="AF32" s="13">
        <v>0</v>
      </c>
      <c r="AG32" s="13">
        <f>SUM($AE$32:$AF$32)</f>
        <v>0</v>
      </c>
      <c r="AH32" s="13">
        <f>'TR TUSD'!$AH$32*'TR TUSD'!$AH$60</f>
        <v>19.474109935747634</v>
      </c>
      <c r="AI32" s="13">
        <f>'TR TUSD'!$AI$32*'TR TUSD'!$AI$60</f>
        <v>0.66812528650092984</v>
      </c>
      <c r="AJ32" s="13">
        <f ca="1">'TR TUSD'!$AJ$32*'TR TUSD'!$AJ$60</f>
        <v>3.7773997386114209</v>
      </c>
      <c r="AK32" s="13">
        <f ca="1">'TR TUSD'!$AK$32*'TR TUSD'!$AK$60</f>
        <v>0.23283762232384553</v>
      </c>
      <c r="AL32" s="13">
        <f ca="1">SUM($AH$32:$AK$32)</f>
        <v>24.152472583183833</v>
      </c>
      <c r="AM32" s="13">
        <f ca="1">SUMIF($L$4:$AL$4,"SUBTOTAL",$L$32:$AL$32)</f>
        <v>314.27304453181222</v>
      </c>
      <c r="AP32" s="13">
        <f>IF((1 - CUSTOS!$M$28)&lt;&gt;0,1/(1 - CUSTOS!$M$28),1)</f>
        <v>1</v>
      </c>
    </row>
    <row r="33" spans="1:42" ht="11.25" customHeight="1" x14ac:dyDescent="0.25">
      <c r="A33" s="142"/>
      <c r="B33" s="23" t="s">
        <v>23</v>
      </c>
      <c r="C33" s="23" t="s">
        <v>42</v>
      </c>
      <c r="D33" s="23" t="s">
        <v>25</v>
      </c>
      <c r="E33" s="23" t="s">
        <v>25</v>
      </c>
      <c r="F33" s="23" t="s">
        <v>25</v>
      </c>
      <c r="G33" s="24" t="s">
        <v>79</v>
      </c>
      <c r="H33" s="24" t="s">
        <v>75</v>
      </c>
      <c r="I33" s="24">
        <f>'MERCADO TUSD'!$U$30</f>
        <v>3335.7969999999996</v>
      </c>
      <c r="J33" s="15"/>
      <c r="L33" s="13">
        <f>'TR TUSD'!$L$33*'TR TUSD'!$L$60</f>
        <v>0</v>
      </c>
      <c r="M33" s="13">
        <f>'TR TUSD'!$M$33*'TR TUSD'!$M$60</f>
        <v>0.88251848096860275</v>
      </c>
      <c r="N33" s="13">
        <f ca="1">'TR TUSD'!$N$33*'TR TUSD'!$N$60</f>
        <v>3.4066654522690949</v>
      </c>
      <c r="O33" s="13">
        <f>'TR TUSD'!$O$33*'TR TUSD'!$O$60</f>
        <v>0</v>
      </c>
      <c r="P33" s="13">
        <f>'TR TUSD'!$P$33*'TR TUSD'!$P$60</f>
        <v>0</v>
      </c>
      <c r="Q33" s="13">
        <f>'TR TUSD'!$Q$33*'TR TUSD'!$Q$60</f>
        <v>88.764408385158745</v>
      </c>
      <c r="R33" s="13">
        <f>'TR TUSD'!$R$33*'TR TUSD'!$R$60</f>
        <v>14.44427661212166</v>
      </c>
      <c r="S33" s="13">
        <f>'TR TUSD'!$S$33*'TR TUSD'!$S$60</f>
        <v>0</v>
      </c>
      <c r="T33" s="13">
        <f ca="1">SUM($L$33:$S$33)</f>
        <v>107.49786893051809</v>
      </c>
      <c r="U33" s="13">
        <f>'TR TUSD'!$U$33*'TR TUSD'!$U$60</f>
        <v>0</v>
      </c>
      <c r="V33" s="13">
        <f>'TR TUSD'!$V$33*'TR TUSD'!$V$60</f>
        <v>0</v>
      </c>
      <c r="W33" s="13">
        <f>'TR TUSD'!$W$33*'TR TUSD'!$W$60</f>
        <v>0</v>
      </c>
      <c r="X33" s="13">
        <f>'TR TUSD'!$X$33*'TR TUSD'!$X$60</f>
        <v>0</v>
      </c>
      <c r="Y33" s="13">
        <f>'TR TUSD'!$Y$33*'TR TUSD'!$Y$60</f>
        <v>127.78634542901858</v>
      </c>
      <c r="Z33" s="13">
        <f>'TR TUSD'!$Z$33</f>
        <v>0</v>
      </c>
      <c r="AA33" s="13">
        <f>'TR TUSD'!$AA$33</f>
        <v>0</v>
      </c>
      <c r="AB33" s="13">
        <f>SUM($U$33:$AA$33)</f>
        <v>127.78634542901858</v>
      </c>
      <c r="AC33" s="13">
        <f>'TR TUSD'!$AC$33*'TR TUSD'!$AC$60</f>
        <v>194.83147166907759</v>
      </c>
      <c r="AD33" s="13">
        <f>SUM($AC$33:$AC$33)</f>
        <v>194.83147166907759</v>
      </c>
      <c r="AE33" s="13">
        <v>0</v>
      </c>
      <c r="AF33" s="13">
        <v>0</v>
      </c>
      <c r="AG33" s="13">
        <f>SUM($AE$33:$AF$33)</f>
        <v>0</v>
      </c>
      <c r="AH33" s="13">
        <f>'TR TUSD'!$AH$33*'TR TUSD'!$AH$60</f>
        <v>19.474109935747634</v>
      </c>
      <c r="AI33" s="13">
        <f>'TR TUSD'!$AI$33*'TR TUSD'!$AI$60</f>
        <v>0.66812528650092984</v>
      </c>
      <c r="AJ33" s="13">
        <f ca="1">'TR TUSD'!$AJ$33*'TR TUSD'!$AJ$60</f>
        <v>3.7773997386114209</v>
      </c>
      <c r="AK33" s="13">
        <f ca="1">'TR TUSD'!$AK$33*'TR TUSD'!$AK$60</f>
        <v>0.23283762232384553</v>
      </c>
      <c r="AL33" s="13">
        <f ca="1">SUM($AH$33:$AK$33)</f>
        <v>24.152472583183833</v>
      </c>
      <c r="AM33" s="13">
        <f ca="1">SUMIF($L$4:$AL$4,"SUBTOTAL",$L$33:$AL$33)</f>
        <v>454.26815861179813</v>
      </c>
      <c r="AP33" s="13">
        <f>IF((1 - CUSTOS!$M$28)&lt;&gt;0,1/(1 - CUSTOS!$M$28),1)</f>
        <v>1</v>
      </c>
    </row>
    <row r="34" spans="1:42" ht="11.25" customHeight="1" x14ac:dyDescent="0.25">
      <c r="A34" s="142"/>
      <c r="B34" s="142" t="s">
        <v>32</v>
      </c>
      <c r="C34" s="142" t="s">
        <v>42</v>
      </c>
      <c r="D34" s="142" t="s">
        <v>91</v>
      </c>
      <c r="E34" s="142" t="s">
        <v>25</v>
      </c>
      <c r="F34" s="142" t="s">
        <v>25</v>
      </c>
      <c r="G34" s="24" t="s">
        <v>76</v>
      </c>
      <c r="H34" s="24" t="s">
        <v>75</v>
      </c>
      <c r="I34" s="24">
        <f>'MERCADO TUSD'!$U$31</f>
        <v>0</v>
      </c>
      <c r="J34" s="15"/>
      <c r="L34" s="13">
        <f>'TR TUSD'!$L$34*'TR TUSD'!$L$60</f>
        <v>0</v>
      </c>
      <c r="M34" s="13">
        <f>'TR TUSD'!$M$34*'TR TUSD'!$M$60</f>
        <v>0.88251848096860275</v>
      </c>
      <c r="N34" s="13">
        <f ca="1">'TR TUSD'!$N$34*'TR TUSD'!$N$60</f>
        <v>8.8683006846231383</v>
      </c>
      <c r="O34" s="13">
        <f>'TR TUSD'!$O$34*'TR TUSD'!$O$60</f>
        <v>0</v>
      </c>
      <c r="P34" s="13">
        <f>'TR TUSD'!$P$34*'TR TUSD'!$P$60</f>
        <v>0</v>
      </c>
      <c r="Q34" s="13">
        <f>'TR TUSD'!$Q$34*'TR TUSD'!$Q$60</f>
        <v>88.764408385158745</v>
      </c>
      <c r="R34" s="13">
        <f>'TR TUSD'!$R$34*'TR TUSD'!$R$60</f>
        <v>14.44427661212166</v>
      </c>
      <c r="S34" s="13">
        <f>'TR TUSD'!$S$34*'TR TUSD'!$S$60</f>
        <v>0</v>
      </c>
      <c r="T34" s="13">
        <f ca="1">SUM($L$34:$S$34)</f>
        <v>112.95950416287214</v>
      </c>
      <c r="U34" s="13">
        <f>'TR TUSD'!$U$34*'TR TUSD'!$U$60</f>
        <v>0</v>
      </c>
      <c r="V34" s="13">
        <f>'TR TUSD'!$V$34*'TR TUSD'!$V$60</f>
        <v>0</v>
      </c>
      <c r="W34" s="13">
        <f>'TR TUSD'!$W$34*'TR TUSD'!$W$60</f>
        <v>0</v>
      </c>
      <c r="X34" s="13">
        <f>'TR TUSD'!$X$34*'TR TUSD'!$X$60</f>
        <v>0</v>
      </c>
      <c r="Y34" s="13">
        <f>'TR TUSD'!$Y$34*'TR TUSD'!$Y$60</f>
        <v>364.19115829184335</v>
      </c>
      <c r="Z34" s="13">
        <f>'TR TUSD'!$Z$34</f>
        <v>0</v>
      </c>
      <c r="AA34" s="13">
        <f>'TR TUSD'!$AA$34</f>
        <v>0</v>
      </c>
      <c r="AB34" s="13">
        <f>SUM($U$34:$AA$34)</f>
        <v>364.19115829184335</v>
      </c>
      <c r="AC34" s="13">
        <f>'TR TUSD'!$AC$34*'TR TUSD'!$AC$60</f>
        <v>555.26957035384726</v>
      </c>
      <c r="AD34" s="13">
        <f>SUM($AC$34:$AC$34)</f>
        <v>555.26957035384726</v>
      </c>
      <c r="AE34" s="13">
        <v>0</v>
      </c>
      <c r="AF34" s="13">
        <v>0</v>
      </c>
      <c r="AG34" s="13">
        <f>SUM($AE$34:$AF$34)</f>
        <v>0</v>
      </c>
      <c r="AH34" s="13">
        <f>'TR TUSD'!$AH$34*'TR TUSD'!$AH$60</f>
        <v>19.474109935747634</v>
      </c>
      <c r="AI34" s="13">
        <f>'TR TUSD'!$AI$34*'TR TUSD'!$AI$60</f>
        <v>0.66812528650092984</v>
      </c>
      <c r="AJ34" s="13">
        <f ca="1">'TR TUSD'!$AJ$34*'TR TUSD'!$AJ$60</f>
        <v>3.7773997386114209</v>
      </c>
      <c r="AK34" s="13">
        <f ca="1">'TR TUSD'!$AK$34*'TR TUSD'!$AK$60</f>
        <v>0.23283762232384553</v>
      </c>
      <c r="AL34" s="13">
        <f ca="1">SUM($AH$34:$AK$34)</f>
        <v>24.152472583183833</v>
      </c>
      <c r="AM34" s="13">
        <f ca="1">SUMIF($L$4:$AL$4,"SUBTOTAL",$L$34:$AL$34)</f>
        <v>1056.5727053917467</v>
      </c>
      <c r="AP34" s="13">
        <f>IF((1 - CUSTOS!$M$29)&lt;&gt;0,1/(1 - CUSTOS!$M$29),1)</f>
        <v>1</v>
      </c>
    </row>
    <row r="35" spans="1:42" ht="11.25" customHeight="1" x14ac:dyDescent="0.25">
      <c r="A35" s="142"/>
      <c r="B35" s="142"/>
      <c r="C35" s="142"/>
      <c r="D35" s="142"/>
      <c r="E35" s="142"/>
      <c r="F35" s="142"/>
      <c r="G35" s="24" t="s">
        <v>88</v>
      </c>
      <c r="H35" s="24" t="s">
        <v>75</v>
      </c>
      <c r="I35" s="24">
        <f>'MERCADO TUSD'!$U$32</f>
        <v>0</v>
      </c>
      <c r="J35" s="15"/>
      <c r="L35" s="13">
        <f>'TR TUSD'!$L$35*'TR TUSD'!$L$60</f>
        <v>0</v>
      </c>
      <c r="M35" s="13">
        <f>'TR TUSD'!$M$35*'TR TUSD'!$M$60</f>
        <v>0.88251848096860275</v>
      </c>
      <c r="N35" s="13">
        <f ca="1">'TR TUSD'!$N$35*'TR TUSD'!$N$60</f>
        <v>5.5027519492816959</v>
      </c>
      <c r="O35" s="13">
        <f>'TR TUSD'!$O$35*'TR TUSD'!$O$60</f>
        <v>0</v>
      </c>
      <c r="P35" s="13">
        <f>'TR TUSD'!$P$35*'TR TUSD'!$P$60</f>
        <v>0</v>
      </c>
      <c r="Q35" s="13">
        <f>'TR TUSD'!$Q$35*'TR TUSD'!$Q$60</f>
        <v>88.764408385158745</v>
      </c>
      <c r="R35" s="13">
        <f>'TR TUSD'!$R$35*'TR TUSD'!$R$60</f>
        <v>14.44427661212166</v>
      </c>
      <c r="S35" s="13">
        <f>'TR TUSD'!$S$35*'TR TUSD'!$S$60</f>
        <v>0</v>
      </c>
      <c r="T35" s="13">
        <f ca="1">SUM($L$35:$S$35)</f>
        <v>109.5939554275307</v>
      </c>
      <c r="U35" s="13">
        <f>'TR TUSD'!$U$35*'TR TUSD'!$U$60</f>
        <v>0</v>
      </c>
      <c r="V35" s="13">
        <f>'TR TUSD'!$V$35*'TR TUSD'!$V$60</f>
        <v>0</v>
      </c>
      <c r="W35" s="13">
        <f>'TR TUSD'!$W$35*'TR TUSD'!$W$60</f>
        <v>0</v>
      </c>
      <c r="X35" s="13">
        <f>'TR TUSD'!$X$35*'TR TUSD'!$X$60</f>
        <v>0</v>
      </c>
      <c r="Y35" s="13">
        <f>'TR TUSD'!$Y$35*'TR TUSD'!$Y$60</f>
        <v>218.51462115596561</v>
      </c>
      <c r="Z35" s="13">
        <f>'TR TUSD'!$Z$35</f>
        <v>0</v>
      </c>
      <c r="AA35" s="13">
        <f>'TR TUSD'!$AA$35</f>
        <v>0</v>
      </c>
      <c r="AB35" s="13">
        <f>SUM($U$35:$AA$35)</f>
        <v>218.51462115596561</v>
      </c>
      <c r="AC35" s="13">
        <f>'TR TUSD'!$AC$35*'TR TUSD'!$AC$60</f>
        <v>333.16176376066034</v>
      </c>
      <c r="AD35" s="13">
        <f>SUM($AC$35:$AC$35)</f>
        <v>333.16176376066034</v>
      </c>
      <c r="AE35" s="13">
        <v>0</v>
      </c>
      <c r="AF35" s="13">
        <v>0</v>
      </c>
      <c r="AG35" s="13">
        <f>SUM($AE$35:$AF$35)</f>
        <v>0</v>
      </c>
      <c r="AH35" s="13">
        <f>'TR TUSD'!$AH$35*'TR TUSD'!$AH$60</f>
        <v>19.474109935747634</v>
      </c>
      <c r="AI35" s="13">
        <f>'TR TUSD'!$AI$35*'TR TUSD'!$AI$60</f>
        <v>0.66812528650092984</v>
      </c>
      <c r="AJ35" s="13">
        <f ca="1">'TR TUSD'!$AJ$35*'TR TUSD'!$AJ$60</f>
        <v>3.7773997386114209</v>
      </c>
      <c r="AK35" s="13">
        <f ca="1">'TR TUSD'!$AK$35*'TR TUSD'!$AK$60</f>
        <v>0.23283762232384553</v>
      </c>
      <c r="AL35" s="13">
        <f ca="1">SUM($AH$35:$AK$35)</f>
        <v>24.152472583183833</v>
      </c>
      <c r="AM35" s="13">
        <f ca="1">SUMIF($L$4:$AL$4,"SUBTOTAL",$L$35:$AL$35)</f>
        <v>685.42281292734049</v>
      </c>
      <c r="AP35" s="13">
        <f>IF((1 - CUSTOS!$M$29)&lt;&gt;0,1/(1 - CUSTOS!$M$29),1)</f>
        <v>1</v>
      </c>
    </row>
    <row r="36" spans="1:42" ht="11.25" customHeight="1" x14ac:dyDescent="0.25">
      <c r="A36" s="142"/>
      <c r="B36" s="142"/>
      <c r="C36" s="142"/>
      <c r="D36" s="142"/>
      <c r="E36" s="142"/>
      <c r="F36" s="142"/>
      <c r="G36" s="24" t="s">
        <v>77</v>
      </c>
      <c r="H36" s="24" t="s">
        <v>75</v>
      </c>
      <c r="I36" s="24">
        <f>'MERCADO TUSD'!$U$33</f>
        <v>0</v>
      </c>
      <c r="J36" s="15"/>
      <c r="L36" s="13">
        <f>'TR TUSD'!$L$36*'TR TUSD'!$L$60</f>
        <v>0</v>
      </c>
      <c r="M36" s="13">
        <f>'TR TUSD'!$M$36*'TR TUSD'!$M$60</f>
        <v>0.88251848096860275</v>
      </c>
      <c r="N36" s="13">
        <f ca="1">'TR TUSD'!$N$36*'TR TUSD'!$N$60</f>
        <v>2.1372042509173981</v>
      </c>
      <c r="O36" s="13">
        <f>'TR TUSD'!$O$36*'TR TUSD'!$O$60</f>
        <v>0</v>
      </c>
      <c r="P36" s="13">
        <f>'TR TUSD'!$P$36*'TR TUSD'!$P$60</f>
        <v>0</v>
      </c>
      <c r="Q36" s="13">
        <f>'TR TUSD'!$Q$36*'TR TUSD'!$Q$60</f>
        <v>88.764408385158745</v>
      </c>
      <c r="R36" s="13">
        <f>'TR TUSD'!$R$36*'TR TUSD'!$R$60</f>
        <v>14.44427661212166</v>
      </c>
      <c r="S36" s="13">
        <f>'TR TUSD'!$S$36*'TR TUSD'!$S$60</f>
        <v>0</v>
      </c>
      <c r="T36" s="13">
        <f ca="1">SUM($L$36:$S$36)</f>
        <v>106.22840772916641</v>
      </c>
      <c r="U36" s="13">
        <f>'TR TUSD'!$U$36*'TR TUSD'!$U$60</f>
        <v>0</v>
      </c>
      <c r="V36" s="13">
        <f>'TR TUSD'!$V$36*'TR TUSD'!$V$60</f>
        <v>0</v>
      </c>
      <c r="W36" s="13">
        <f>'TR TUSD'!$W$36*'TR TUSD'!$W$60</f>
        <v>0</v>
      </c>
      <c r="X36" s="13">
        <f>'TR TUSD'!$X$36*'TR TUSD'!$X$60</f>
        <v>0</v>
      </c>
      <c r="Y36" s="13">
        <f>'TR TUSD'!$Y$36*'TR TUSD'!$Y$60</f>
        <v>72.838207051988533</v>
      </c>
      <c r="Z36" s="13">
        <f>'TR TUSD'!$Z$36</f>
        <v>0</v>
      </c>
      <c r="AA36" s="13">
        <f>'TR TUSD'!$AA$36</f>
        <v>0</v>
      </c>
      <c r="AB36" s="13">
        <f>SUM($U$36:$AA$36)</f>
        <v>72.838207051988533</v>
      </c>
      <c r="AC36" s="13">
        <f>'TR TUSD'!$AC$36*'TR TUSD'!$AC$60</f>
        <v>111.05395716747344</v>
      </c>
      <c r="AD36" s="13">
        <f>SUM($AC$36:$AC$36)</f>
        <v>111.05395716747344</v>
      </c>
      <c r="AE36" s="13">
        <v>0</v>
      </c>
      <c r="AF36" s="13">
        <v>0</v>
      </c>
      <c r="AG36" s="13">
        <f>SUM($AE$36:$AF$36)</f>
        <v>0</v>
      </c>
      <c r="AH36" s="13">
        <f>'TR TUSD'!$AH$36*'TR TUSD'!$AH$60</f>
        <v>19.474109935747634</v>
      </c>
      <c r="AI36" s="13">
        <f>'TR TUSD'!$AI$36*'TR TUSD'!$AI$60</f>
        <v>0.66812528650092984</v>
      </c>
      <c r="AJ36" s="13">
        <f ca="1">'TR TUSD'!$AJ$36*'TR TUSD'!$AJ$60</f>
        <v>3.7773997386114209</v>
      </c>
      <c r="AK36" s="13">
        <f ca="1">'TR TUSD'!$AK$36*'TR TUSD'!$AK$60</f>
        <v>0.23283762232384553</v>
      </c>
      <c r="AL36" s="13">
        <f ca="1">SUM($AH$36:$AK$36)</f>
        <v>24.152472583183833</v>
      </c>
      <c r="AM36" s="13">
        <f ca="1">SUMIF($L$4:$AL$4,"SUBTOTAL",$L$36:$AL$36)</f>
        <v>314.27304453181222</v>
      </c>
      <c r="AP36" s="13">
        <f>IF((1 - CUSTOS!$M$29)&lt;&gt;0,1/(1 - CUSTOS!$M$29),1)</f>
        <v>1</v>
      </c>
    </row>
    <row r="37" spans="1:42" ht="11.25" customHeight="1" x14ac:dyDescent="0.25">
      <c r="A37" s="142"/>
      <c r="B37" s="23" t="s">
        <v>23</v>
      </c>
      <c r="C37" s="23" t="s">
        <v>42</v>
      </c>
      <c r="D37" s="23" t="s">
        <v>91</v>
      </c>
      <c r="E37" s="23" t="s">
        <v>25</v>
      </c>
      <c r="F37" s="23" t="s">
        <v>25</v>
      </c>
      <c r="G37" s="24" t="s">
        <v>79</v>
      </c>
      <c r="H37" s="24" t="s">
        <v>75</v>
      </c>
      <c r="I37" s="24">
        <f>'MERCADO TUSD'!$U$34</f>
        <v>0</v>
      </c>
      <c r="J37" s="15"/>
      <c r="L37" s="13">
        <f>'TR TUSD'!$L$37*'TR TUSD'!$L$60</f>
        <v>0</v>
      </c>
      <c r="M37" s="13">
        <f>'TR TUSD'!$M$37*'TR TUSD'!$M$60</f>
        <v>0.88251848096860275</v>
      </c>
      <c r="N37" s="13">
        <f ca="1">'TR TUSD'!$N$37*'TR TUSD'!$N$60</f>
        <v>3.4066654522690949</v>
      </c>
      <c r="O37" s="13">
        <f>'TR TUSD'!$O$37*'TR TUSD'!$O$60</f>
        <v>0</v>
      </c>
      <c r="P37" s="13">
        <f>'TR TUSD'!$P$37*'TR TUSD'!$P$60</f>
        <v>0</v>
      </c>
      <c r="Q37" s="13">
        <f>'TR TUSD'!$Q$37*'TR TUSD'!$Q$60</f>
        <v>88.764408385158745</v>
      </c>
      <c r="R37" s="13">
        <f>'TR TUSD'!$R$37*'TR TUSD'!$R$60</f>
        <v>14.44427661212166</v>
      </c>
      <c r="S37" s="13">
        <f>'TR TUSD'!$S$37*'TR TUSD'!$S$60</f>
        <v>0</v>
      </c>
      <c r="T37" s="13">
        <f ca="1">SUM($L$37:$S$37)</f>
        <v>107.49786893051809</v>
      </c>
      <c r="U37" s="13">
        <f>'TR TUSD'!$U$37*'TR TUSD'!$U$60</f>
        <v>0</v>
      </c>
      <c r="V37" s="13">
        <f>'TR TUSD'!$V$37*'TR TUSD'!$V$60</f>
        <v>0</v>
      </c>
      <c r="W37" s="13">
        <f>'TR TUSD'!$W$37*'TR TUSD'!$W$60</f>
        <v>0</v>
      </c>
      <c r="X37" s="13">
        <f>'TR TUSD'!$X$37*'TR TUSD'!$X$60</f>
        <v>0</v>
      </c>
      <c r="Y37" s="13">
        <f>'TR TUSD'!$Y$37*'TR TUSD'!$Y$60</f>
        <v>127.78634542901858</v>
      </c>
      <c r="Z37" s="13">
        <f>'TR TUSD'!$Z$37</f>
        <v>0</v>
      </c>
      <c r="AA37" s="13">
        <f>'TR TUSD'!$AA$37</f>
        <v>0</v>
      </c>
      <c r="AB37" s="13">
        <f>SUM($U$37:$AA$37)</f>
        <v>127.78634542901858</v>
      </c>
      <c r="AC37" s="13">
        <f>'TR TUSD'!$AC$37*'TR TUSD'!$AC$60</f>
        <v>194.83147166907759</v>
      </c>
      <c r="AD37" s="13">
        <f>SUM($AC$37:$AC$37)</f>
        <v>194.83147166907759</v>
      </c>
      <c r="AE37" s="13">
        <v>0</v>
      </c>
      <c r="AF37" s="13">
        <v>0</v>
      </c>
      <c r="AG37" s="13">
        <f>SUM($AE$37:$AF$37)</f>
        <v>0</v>
      </c>
      <c r="AH37" s="13">
        <f>'TR TUSD'!$AH$37*'TR TUSD'!$AH$60</f>
        <v>19.474109935747634</v>
      </c>
      <c r="AI37" s="13">
        <f>'TR TUSD'!$AI$37*'TR TUSD'!$AI$60</f>
        <v>0.66812528650092984</v>
      </c>
      <c r="AJ37" s="13">
        <f ca="1">'TR TUSD'!$AJ$37*'TR TUSD'!$AJ$60</f>
        <v>3.7773997386114209</v>
      </c>
      <c r="AK37" s="13">
        <f ca="1">'TR TUSD'!$AK$37*'TR TUSD'!$AK$60</f>
        <v>0.23283762232384553</v>
      </c>
      <c r="AL37" s="13">
        <f ca="1">SUM($AH$37:$AK$37)</f>
        <v>24.152472583183833</v>
      </c>
      <c r="AM37" s="13">
        <f ca="1">SUMIF($L$4:$AL$4,"SUBTOTAL",$L$37:$AL$37)</f>
        <v>454.26815861179813</v>
      </c>
      <c r="AP37" s="13">
        <f>IF((1 - CUSTOS!$M$29)&lt;&gt;0,1/(1 - CUSTOS!$M$29),1)</f>
        <v>1</v>
      </c>
    </row>
    <row r="38" spans="1:42" ht="11.25" customHeight="1" x14ac:dyDescent="0.25">
      <c r="A38" s="142"/>
      <c r="B38" s="142" t="s">
        <v>32</v>
      </c>
      <c r="C38" s="142" t="s">
        <v>42</v>
      </c>
      <c r="D38" s="142" t="s">
        <v>92</v>
      </c>
      <c r="E38" s="142" t="s">
        <v>25</v>
      </c>
      <c r="F38" s="142" t="s">
        <v>25</v>
      </c>
      <c r="G38" s="24" t="s">
        <v>76</v>
      </c>
      <c r="H38" s="24" t="s">
        <v>75</v>
      </c>
      <c r="I38" s="24">
        <f>'MERCADO TUSD'!$U$35</f>
        <v>0</v>
      </c>
      <c r="J38" s="15"/>
      <c r="L38" s="13">
        <f>'TR TUSD'!$L$38*'TR TUSD'!$L$60</f>
        <v>0</v>
      </c>
      <c r="M38" s="13">
        <f>'TR TUSD'!$M$38*'TR TUSD'!$M$60</f>
        <v>0.88251848096860275</v>
      </c>
      <c r="N38" s="13">
        <f ca="1">'TR TUSD'!$N$38*'TR TUSD'!$N$60</f>
        <v>8.8683006846231383</v>
      </c>
      <c r="O38" s="13">
        <f>'TR TUSD'!$O$38*'TR TUSD'!$O$60</f>
        <v>0</v>
      </c>
      <c r="P38" s="13">
        <f>'TR TUSD'!$P$38*'TR TUSD'!$P$60</f>
        <v>0</v>
      </c>
      <c r="Q38" s="13">
        <f>'TR TUSD'!$Q$38*'TR TUSD'!$Q$60</f>
        <v>88.764408385158745</v>
      </c>
      <c r="R38" s="13">
        <f>'TR TUSD'!$R$38*'TR TUSD'!$R$60</f>
        <v>14.44427661212166</v>
      </c>
      <c r="S38" s="13">
        <f>'TR TUSD'!$S$38*'TR TUSD'!$S$60</f>
        <v>0</v>
      </c>
      <c r="T38" s="13">
        <f ca="1">SUM($L$38:$S$38)</f>
        <v>112.95950416287214</v>
      </c>
      <c r="U38" s="13">
        <f>'TR TUSD'!$U$38*'TR TUSD'!$U$60</f>
        <v>0</v>
      </c>
      <c r="V38" s="13">
        <f>'TR TUSD'!$V$38*'TR TUSD'!$V$60</f>
        <v>0</v>
      </c>
      <c r="W38" s="13">
        <f>'TR TUSD'!$W$38*'TR TUSD'!$W$60</f>
        <v>0</v>
      </c>
      <c r="X38" s="13">
        <f>'TR TUSD'!$X$38*'TR TUSD'!$X$60</f>
        <v>0</v>
      </c>
      <c r="Y38" s="13">
        <f>'TR TUSD'!$Y$38*'TR TUSD'!$Y$60</f>
        <v>364.19115829184335</v>
      </c>
      <c r="Z38" s="13">
        <f>'TR TUSD'!$Z$38</f>
        <v>0</v>
      </c>
      <c r="AA38" s="13">
        <f>'TR TUSD'!$AA$38</f>
        <v>0</v>
      </c>
      <c r="AB38" s="13">
        <f>SUM($U$38:$AA$38)</f>
        <v>364.19115829184335</v>
      </c>
      <c r="AC38" s="13">
        <f>'TR TUSD'!$AC$38*'TR TUSD'!$AC$60</f>
        <v>555.26957035384726</v>
      </c>
      <c r="AD38" s="13">
        <f>SUM($AC$38:$AC$38)</f>
        <v>555.26957035384726</v>
      </c>
      <c r="AE38" s="13">
        <v>0</v>
      </c>
      <c r="AF38" s="13">
        <v>0</v>
      </c>
      <c r="AG38" s="13">
        <f>SUM($AE$38:$AF$38)</f>
        <v>0</v>
      </c>
      <c r="AH38" s="13">
        <f>'TR TUSD'!$AH$38*'TR TUSD'!$AH$60</f>
        <v>19.474109935747634</v>
      </c>
      <c r="AI38" s="13">
        <f>'TR TUSD'!$AI$38*'TR TUSD'!$AI$60</f>
        <v>0.66812528650092984</v>
      </c>
      <c r="AJ38" s="13">
        <f ca="1">'TR TUSD'!$AJ$38*'TR TUSD'!$AJ$60</f>
        <v>3.7773997386114209</v>
      </c>
      <c r="AK38" s="13">
        <f ca="1">'TR TUSD'!$AK$38*'TR TUSD'!$AK$60</f>
        <v>0.23283762232384553</v>
      </c>
      <c r="AL38" s="13">
        <f ca="1">SUM($AH$38:$AK$38)</f>
        <v>24.152472583183833</v>
      </c>
      <c r="AM38" s="13">
        <f ca="1">SUMIF($L$4:$AL$4,"SUBTOTAL",$L$38:$AL$38)</f>
        <v>1056.5727053917467</v>
      </c>
      <c r="AP38" s="13">
        <f>IF((1 - CUSTOS!$M$30)&lt;&gt;0,1/(1 - CUSTOS!$M$30),1)</f>
        <v>1</v>
      </c>
    </row>
    <row r="39" spans="1:42" ht="11.25" customHeight="1" x14ac:dyDescent="0.25">
      <c r="A39" s="142"/>
      <c r="B39" s="142"/>
      <c r="C39" s="142"/>
      <c r="D39" s="142"/>
      <c r="E39" s="142"/>
      <c r="F39" s="142"/>
      <c r="G39" s="24" t="s">
        <v>88</v>
      </c>
      <c r="H39" s="24" t="s">
        <v>75</v>
      </c>
      <c r="I39" s="24">
        <f>'MERCADO TUSD'!$U$36</f>
        <v>0</v>
      </c>
      <c r="J39" s="15"/>
      <c r="L39" s="13">
        <f>'TR TUSD'!$L$39*'TR TUSD'!$L$60</f>
        <v>0</v>
      </c>
      <c r="M39" s="13">
        <f>'TR TUSD'!$M$39*'TR TUSD'!$M$60</f>
        <v>0.88251848096860275</v>
      </c>
      <c r="N39" s="13">
        <f ca="1">'TR TUSD'!$N$39*'TR TUSD'!$N$60</f>
        <v>5.5027519492816959</v>
      </c>
      <c r="O39" s="13">
        <f>'TR TUSD'!$O$39*'TR TUSD'!$O$60</f>
        <v>0</v>
      </c>
      <c r="P39" s="13">
        <f>'TR TUSD'!$P$39*'TR TUSD'!$P$60</f>
        <v>0</v>
      </c>
      <c r="Q39" s="13">
        <f>'TR TUSD'!$Q$39*'TR TUSD'!$Q$60</f>
        <v>88.764408385158745</v>
      </c>
      <c r="R39" s="13">
        <f>'TR TUSD'!$R$39*'TR TUSD'!$R$60</f>
        <v>14.44427661212166</v>
      </c>
      <c r="S39" s="13">
        <f>'TR TUSD'!$S$39*'TR TUSD'!$S$60</f>
        <v>0</v>
      </c>
      <c r="T39" s="13">
        <f ca="1">SUM($L$39:$S$39)</f>
        <v>109.5939554275307</v>
      </c>
      <c r="U39" s="13">
        <f>'TR TUSD'!$U$39*'TR TUSD'!$U$60</f>
        <v>0</v>
      </c>
      <c r="V39" s="13">
        <f>'TR TUSD'!$V$39*'TR TUSD'!$V$60</f>
        <v>0</v>
      </c>
      <c r="W39" s="13">
        <f>'TR TUSD'!$W$39*'TR TUSD'!$W$60</f>
        <v>0</v>
      </c>
      <c r="X39" s="13">
        <f>'TR TUSD'!$X$39*'TR TUSD'!$X$60</f>
        <v>0</v>
      </c>
      <c r="Y39" s="13">
        <f>'TR TUSD'!$Y$39*'TR TUSD'!$Y$60</f>
        <v>218.51462115596561</v>
      </c>
      <c r="Z39" s="13">
        <f>'TR TUSD'!$Z$39</f>
        <v>0</v>
      </c>
      <c r="AA39" s="13">
        <f>'TR TUSD'!$AA$39</f>
        <v>0</v>
      </c>
      <c r="AB39" s="13">
        <f>SUM($U$39:$AA$39)</f>
        <v>218.51462115596561</v>
      </c>
      <c r="AC39" s="13">
        <f>'TR TUSD'!$AC$39*'TR TUSD'!$AC$60</f>
        <v>333.16176376066034</v>
      </c>
      <c r="AD39" s="13">
        <f>SUM($AC$39:$AC$39)</f>
        <v>333.16176376066034</v>
      </c>
      <c r="AE39" s="13">
        <v>0</v>
      </c>
      <c r="AF39" s="13">
        <v>0</v>
      </c>
      <c r="AG39" s="13">
        <f>SUM($AE$39:$AF$39)</f>
        <v>0</v>
      </c>
      <c r="AH39" s="13">
        <f>'TR TUSD'!$AH$39*'TR TUSD'!$AH$60</f>
        <v>19.474109935747634</v>
      </c>
      <c r="AI39" s="13">
        <f>'TR TUSD'!$AI$39*'TR TUSD'!$AI$60</f>
        <v>0.66812528650092984</v>
      </c>
      <c r="AJ39" s="13">
        <f ca="1">'TR TUSD'!$AJ$39*'TR TUSD'!$AJ$60</f>
        <v>3.7773997386114209</v>
      </c>
      <c r="AK39" s="13">
        <f ca="1">'TR TUSD'!$AK$39*'TR TUSD'!$AK$60</f>
        <v>0.23283762232384553</v>
      </c>
      <c r="AL39" s="13">
        <f ca="1">SUM($AH$39:$AK$39)</f>
        <v>24.152472583183833</v>
      </c>
      <c r="AM39" s="13">
        <f ca="1">SUMIF($L$4:$AL$4,"SUBTOTAL",$L$39:$AL$39)</f>
        <v>685.42281292734049</v>
      </c>
      <c r="AP39" s="13">
        <f>IF((1 - CUSTOS!$M$30)&lt;&gt;0,1/(1 - CUSTOS!$M$30),1)</f>
        <v>1</v>
      </c>
    </row>
    <row r="40" spans="1:42" ht="11.25" customHeight="1" x14ac:dyDescent="0.25">
      <c r="A40" s="142"/>
      <c r="B40" s="142"/>
      <c r="C40" s="142"/>
      <c r="D40" s="142"/>
      <c r="E40" s="142"/>
      <c r="F40" s="142"/>
      <c r="G40" s="24" t="s">
        <v>77</v>
      </c>
      <c r="H40" s="24" t="s">
        <v>75</v>
      </c>
      <c r="I40" s="24">
        <f>'MERCADO TUSD'!$U$37</f>
        <v>0</v>
      </c>
      <c r="J40" s="15"/>
      <c r="L40" s="13">
        <f>'TR TUSD'!$L$40*'TR TUSD'!$L$60</f>
        <v>0</v>
      </c>
      <c r="M40" s="13">
        <f>'TR TUSD'!$M$40*'TR TUSD'!$M$60</f>
        <v>0.88251848096860275</v>
      </c>
      <c r="N40" s="13">
        <f ca="1">'TR TUSD'!$N$40*'TR TUSD'!$N$60</f>
        <v>2.1372042509173981</v>
      </c>
      <c r="O40" s="13">
        <f>'TR TUSD'!$O$40*'TR TUSD'!$O$60</f>
        <v>0</v>
      </c>
      <c r="P40" s="13">
        <f>'TR TUSD'!$P$40*'TR TUSD'!$P$60</f>
        <v>0</v>
      </c>
      <c r="Q40" s="13">
        <f>'TR TUSD'!$Q$40*'TR TUSD'!$Q$60</f>
        <v>88.764408385158745</v>
      </c>
      <c r="R40" s="13">
        <f>'TR TUSD'!$R$40*'TR TUSD'!$R$60</f>
        <v>14.44427661212166</v>
      </c>
      <c r="S40" s="13">
        <f>'TR TUSD'!$S$40*'TR TUSD'!$S$60</f>
        <v>0</v>
      </c>
      <c r="T40" s="13">
        <f ca="1">SUM($L$40:$S$40)</f>
        <v>106.22840772916641</v>
      </c>
      <c r="U40" s="13">
        <f>'TR TUSD'!$U$40*'TR TUSD'!$U$60</f>
        <v>0</v>
      </c>
      <c r="V40" s="13">
        <f>'TR TUSD'!$V$40*'TR TUSD'!$V$60</f>
        <v>0</v>
      </c>
      <c r="W40" s="13">
        <f>'TR TUSD'!$W$40*'TR TUSD'!$W$60</f>
        <v>0</v>
      </c>
      <c r="X40" s="13">
        <f>'TR TUSD'!$X$40*'TR TUSD'!$X$60</f>
        <v>0</v>
      </c>
      <c r="Y40" s="13">
        <f>'TR TUSD'!$Y$40*'TR TUSD'!$Y$60</f>
        <v>72.838207051988533</v>
      </c>
      <c r="Z40" s="13">
        <f>'TR TUSD'!$Z$40</f>
        <v>0</v>
      </c>
      <c r="AA40" s="13">
        <f>'TR TUSD'!$AA$40</f>
        <v>0</v>
      </c>
      <c r="AB40" s="13">
        <f>SUM($U$40:$AA$40)</f>
        <v>72.838207051988533</v>
      </c>
      <c r="AC40" s="13">
        <f>'TR TUSD'!$AC$40*'TR TUSD'!$AC$60</f>
        <v>111.05395716747344</v>
      </c>
      <c r="AD40" s="13">
        <f>SUM($AC$40:$AC$40)</f>
        <v>111.05395716747344</v>
      </c>
      <c r="AE40" s="13">
        <v>0</v>
      </c>
      <c r="AF40" s="13">
        <v>0</v>
      </c>
      <c r="AG40" s="13">
        <f>SUM($AE$40:$AF$40)</f>
        <v>0</v>
      </c>
      <c r="AH40" s="13">
        <f>'TR TUSD'!$AH$40*'TR TUSD'!$AH$60</f>
        <v>19.474109935747634</v>
      </c>
      <c r="AI40" s="13">
        <f>'TR TUSD'!$AI$40*'TR TUSD'!$AI$60</f>
        <v>0.66812528650092984</v>
      </c>
      <c r="AJ40" s="13">
        <f ca="1">'TR TUSD'!$AJ$40*'TR TUSD'!$AJ$60</f>
        <v>3.7773997386114209</v>
      </c>
      <c r="AK40" s="13">
        <f ca="1">'TR TUSD'!$AK$40*'TR TUSD'!$AK$60</f>
        <v>0.23283762232384553</v>
      </c>
      <c r="AL40" s="13">
        <f ca="1">SUM($AH$40:$AK$40)</f>
        <v>24.152472583183833</v>
      </c>
      <c r="AM40" s="13">
        <f ca="1">SUMIF($L$4:$AL$4,"SUBTOTAL",$L$40:$AL$40)</f>
        <v>314.27304453181222</v>
      </c>
      <c r="AP40" s="13">
        <f>IF((1 - CUSTOS!$M$30)&lt;&gt;0,1/(1 - CUSTOS!$M$30),1)</f>
        <v>1</v>
      </c>
    </row>
    <row r="41" spans="1:42" ht="11.25" customHeight="1" x14ac:dyDescent="0.25">
      <c r="A41" s="142"/>
      <c r="B41" s="23" t="s">
        <v>23</v>
      </c>
      <c r="C41" s="23" t="s">
        <v>42</v>
      </c>
      <c r="D41" s="23" t="s">
        <v>92</v>
      </c>
      <c r="E41" s="23" t="s">
        <v>25</v>
      </c>
      <c r="F41" s="23" t="s">
        <v>25</v>
      </c>
      <c r="G41" s="24" t="s">
        <v>79</v>
      </c>
      <c r="H41" s="24" t="s">
        <v>75</v>
      </c>
      <c r="I41" s="24">
        <f>'MERCADO TUSD'!$U$38</f>
        <v>0</v>
      </c>
      <c r="J41" s="15"/>
      <c r="L41" s="13">
        <f>'TR TUSD'!$L$41*'TR TUSD'!$L$60</f>
        <v>0</v>
      </c>
      <c r="M41" s="13">
        <f>'TR TUSD'!$M$41*'TR TUSD'!$M$60</f>
        <v>0.88251848096860275</v>
      </c>
      <c r="N41" s="13">
        <f ca="1">'TR TUSD'!$N$41*'TR TUSD'!$N$60</f>
        <v>3.4066654522690949</v>
      </c>
      <c r="O41" s="13">
        <f>'TR TUSD'!$O$41*'TR TUSD'!$O$60</f>
        <v>0</v>
      </c>
      <c r="P41" s="13">
        <f>'TR TUSD'!$P$41*'TR TUSD'!$P$60</f>
        <v>0</v>
      </c>
      <c r="Q41" s="13">
        <f>'TR TUSD'!$Q$41*'TR TUSD'!$Q$60</f>
        <v>88.764408385158745</v>
      </c>
      <c r="R41" s="13">
        <f>'TR TUSD'!$R$41*'TR TUSD'!$R$60</f>
        <v>14.44427661212166</v>
      </c>
      <c r="S41" s="13">
        <f>'TR TUSD'!$S$41*'TR TUSD'!$S$60</f>
        <v>0</v>
      </c>
      <c r="T41" s="13">
        <f ca="1">SUM($L$41:$S$41)</f>
        <v>107.49786893051809</v>
      </c>
      <c r="U41" s="13">
        <f>'TR TUSD'!$U$41*'TR TUSD'!$U$60</f>
        <v>0</v>
      </c>
      <c r="V41" s="13">
        <f>'TR TUSD'!$V$41*'TR TUSD'!$V$60</f>
        <v>0</v>
      </c>
      <c r="W41" s="13">
        <f>'TR TUSD'!$W$41*'TR TUSD'!$W$60</f>
        <v>0</v>
      </c>
      <c r="X41" s="13">
        <f>'TR TUSD'!$X$41*'TR TUSD'!$X$60</f>
        <v>0</v>
      </c>
      <c r="Y41" s="13">
        <f>'TR TUSD'!$Y$41*'TR TUSD'!$Y$60</f>
        <v>127.78634542901858</v>
      </c>
      <c r="Z41" s="13">
        <f>'TR TUSD'!$Z$41</f>
        <v>0</v>
      </c>
      <c r="AA41" s="13">
        <f>'TR TUSD'!$AA$41</f>
        <v>0</v>
      </c>
      <c r="AB41" s="13">
        <f>SUM($U$41:$AA$41)</f>
        <v>127.78634542901858</v>
      </c>
      <c r="AC41" s="13">
        <f>'TR TUSD'!$AC$41*'TR TUSD'!$AC$60</f>
        <v>194.83147166907759</v>
      </c>
      <c r="AD41" s="13">
        <f>SUM($AC$41:$AC$41)</f>
        <v>194.83147166907759</v>
      </c>
      <c r="AE41" s="13">
        <v>0</v>
      </c>
      <c r="AF41" s="13">
        <v>0</v>
      </c>
      <c r="AG41" s="13">
        <f>SUM($AE$41:$AF$41)</f>
        <v>0</v>
      </c>
      <c r="AH41" s="13">
        <f>'TR TUSD'!$AH$41*'TR TUSD'!$AH$60</f>
        <v>19.474109935747634</v>
      </c>
      <c r="AI41" s="13">
        <f>'TR TUSD'!$AI$41*'TR TUSD'!$AI$60</f>
        <v>0.66812528650092984</v>
      </c>
      <c r="AJ41" s="13">
        <f ca="1">'TR TUSD'!$AJ$41*'TR TUSD'!$AJ$60</f>
        <v>3.7773997386114209</v>
      </c>
      <c r="AK41" s="13">
        <f ca="1">'TR TUSD'!$AK$41*'TR TUSD'!$AK$60</f>
        <v>0.23283762232384553</v>
      </c>
      <c r="AL41" s="13">
        <f ca="1">SUM($AH$41:$AK$41)</f>
        <v>24.152472583183833</v>
      </c>
      <c r="AM41" s="13">
        <f ca="1">SUMIF($L$4:$AL$4,"SUBTOTAL",$L$41:$AL$41)</f>
        <v>454.26815861179813</v>
      </c>
      <c r="AP41" s="13">
        <f>IF((1 - CUSTOS!$M$30)&lt;&gt;0,1/(1 - CUSTOS!$M$30),1)</f>
        <v>1</v>
      </c>
    </row>
    <row r="42" spans="1:42" ht="11.25" customHeight="1" x14ac:dyDescent="0.25">
      <c r="A42" s="142"/>
      <c r="B42" s="142" t="s">
        <v>90</v>
      </c>
      <c r="C42" s="142" t="s">
        <v>42</v>
      </c>
      <c r="D42" s="23" t="s">
        <v>25</v>
      </c>
      <c r="E42" s="23" t="s">
        <v>25</v>
      </c>
      <c r="F42" s="23" t="s">
        <v>25</v>
      </c>
      <c r="G42" s="24" t="s">
        <v>79</v>
      </c>
      <c r="H42" s="24" t="s">
        <v>75</v>
      </c>
      <c r="I42" s="24">
        <f>'MERCADO TUSD'!$U$39</f>
        <v>0</v>
      </c>
      <c r="J42" s="15"/>
      <c r="L42" s="13">
        <f>'TR TUSD'!$L$42*'TR TUSD'!$L$60</f>
        <v>0</v>
      </c>
      <c r="M42" s="13">
        <f>'TR TUSD'!$M$42*'TR TUSD'!$M$60</f>
        <v>0.88251848096860275</v>
      </c>
      <c r="N42" s="13">
        <f ca="1">'TR TUSD'!$N$42*'TR TUSD'!$N$60</f>
        <v>3.4066654522690949</v>
      </c>
      <c r="O42" s="13">
        <f>'TR TUSD'!$O$42*'TR TUSD'!$O$60</f>
        <v>0</v>
      </c>
      <c r="P42" s="13">
        <f>'TR TUSD'!$P$42*'TR TUSD'!$P$60</f>
        <v>0</v>
      </c>
      <c r="Q42" s="13">
        <f>'TR TUSD'!$Q$42*'TR TUSD'!$Q$60</f>
        <v>88.764408385158745</v>
      </c>
      <c r="R42" s="13">
        <f>'TR TUSD'!$R$42*'TR TUSD'!$R$60</f>
        <v>14.44427661212166</v>
      </c>
      <c r="S42" s="13">
        <f>'TR TUSD'!$S$42*'TR TUSD'!$S$60</f>
        <v>0</v>
      </c>
      <c r="T42" s="13">
        <f ca="1">SUM($L$42:$S$42)</f>
        <v>107.49786893051809</v>
      </c>
      <c r="U42" s="13">
        <f>'TR TUSD'!$U$42*'TR TUSD'!$U$60</f>
        <v>0</v>
      </c>
      <c r="V42" s="13">
        <f>'TR TUSD'!$V$42*'TR TUSD'!$V$60</f>
        <v>0</v>
      </c>
      <c r="W42" s="13">
        <f>'TR TUSD'!$W$42*'TR TUSD'!$W$60</f>
        <v>0</v>
      </c>
      <c r="X42" s="13">
        <f>'TR TUSD'!$X$42*'TR TUSD'!$X$60</f>
        <v>0</v>
      </c>
      <c r="Y42" s="13">
        <f>'TR TUSD'!$Y$42*'TR TUSD'!$Y$60</f>
        <v>127.78634542901858</v>
      </c>
      <c r="Z42" s="13">
        <f>'TR TUSD'!$Z$42</f>
        <v>0</v>
      </c>
      <c r="AA42" s="13">
        <f>'TR TUSD'!$AA$42</f>
        <v>0</v>
      </c>
      <c r="AB42" s="13">
        <f>SUM($U$42:$AA$42)</f>
        <v>127.78634542901858</v>
      </c>
      <c r="AC42" s="13">
        <f>'TR TUSD'!$AC$42*'TR TUSD'!$AC$60</f>
        <v>194.83147166907759</v>
      </c>
      <c r="AD42" s="13">
        <f>SUM($AC$42:$AC$42)</f>
        <v>194.83147166907759</v>
      </c>
      <c r="AE42" s="13">
        <v>0</v>
      </c>
      <c r="AF42" s="13">
        <v>0</v>
      </c>
      <c r="AG42" s="13">
        <f>SUM($AE$42:$AF$42)</f>
        <v>0</v>
      </c>
      <c r="AH42" s="13">
        <f>'TR TUSD'!$AH$42*'TR TUSD'!$AH$60</f>
        <v>19.474109935747634</v>
      </c>
      <c r="AI42" s="13">
        <f>'TR TUSD'!$AI$42*'TR TUSD'!$AI$60</f>
        <v>0.66812528650092984</v>
      </c>
      <c r="AJ42" s="13">
        <f ca="1">'TR TUSD'!$AJ$42*'TR TUSD'!$AJ$60</f>
        <v>3.7773997386114209</v>
      </c>
      <c r="AK42" s="13">
        <f ca="1">'TR TUSD'!$AK$42*'TR TUSD'!$AK$60</f>
        <v>0.23283762232384553</v>
      </c>
      <c r="AL42" s="13">
        <f ca="1">SUM($AH$42:$AK$42)</f>
        <v>24.152472583183833</v>
      </c>
      <c r="AM42" s="13">
        <f ca="1">SUMIF($L$4:$AL$4,"SUBTOTAL",$L$42:$AL$42)</f>
        <v>454.26815861179813</v>
      </c>
      <c r="AP42" s="13">
        <f>IF((1 - CUSTOS!$M$28)&lt;&gt;0,1/(1 - CUSTOS!$M$28),1)</f>
        <v>1</v>
      </c>
    </row>
    <row r="43" spans="1:42" ht="11.25" customHeight="1" x14ac:dyDescent="0.25">
      <c r="A43" s="142"/>
      <c r="B43" s="142"/>
      <c r="C43" s="142"/>
      <c r="D43" s="23" t="s">
        <v>91</v>
      </c>
      <c r="E43" s="23" t="s">
        <v>25</v>
      </c>
      <c r="F43" s="23" t="s">
        <v>25</v>
      </c>
      <c r="G43" s="24" t="s">
        <v>79</v>
      </c>
      <c r="H43" s="24" t="s">
        <v>75</v>
      </c>
      <c r="I43" s="24">
        <f>'MERCADO TUSD'!$U$40</f>
        <v>0</v>
      </c>
      <c r="J43" s="15"/>
      <c r="L43" s="13">
        <f>'TR TUSD'!$L$43*'TR TUSD'!$L$60</f>
        <v>0</v>
      </c>
      <c r="M43" s="13">
        <f>'TR TUSD'!$M$43*'TR TUSD'!$M$60</f>
        <v>0.88251848096860275</v>
      </c>
      <c r="N43" s="13">
        <f ca="1">'TR TUSD'!$N$43*'TR TUSD'!$N$60</f>
        <v>3.4066654522690949</v>
      </c>
      <c r="O43" s="13">
        <f>'TR TUSD'!$O$43*'TR TUSD'!$O$60</f>
        <v>0</v>
      </c>
      <c r="P43" s="13">
        <f>'TR TUSD'!$P$43*'TR TUSD'!$P$60</f>
        <v>0</v>
      </c>
      <c r="Q43" s="13">
        <f>'TR TUSD'!$Q$43*'TR TUSD'!$Q$60</f>
        <v>88.764408385158745</v>
      </c>
      <c r="R43" s="13">
        <f>'TR TUSD'!$R$43*'TR TUSD'!$R$60</f>
        <v>14.44427661212166</v>
      </c>
      <c r="S43" s="13">
        <f>'TR TUSD'!$S$43*'TR TUSD'!$S$60</f>
        <v>0</v>
      </c>
      <c r="T43" s="13">
        <f ca="1">SUM($L$43:$S$43)</f>
        <v>107.49786893051809</v>
      </c>
      <c r="U43" s="13">
        <f>'TR TUSD'!$U$43*'TR TUSD'!$U$60</f>
        <v>0</v>
      </c>
      <c r="V43" s="13">
        <f>'TR TUSD'!$V$43*'TR TUSD'!$V$60</f>
        <v>0</v>
      </c>
      <c r="W43" s="13">
        <f>'TR TUSD'!$W$43*'TR TUSD'!$W$60</f>
        <v>0</v>
      </c>
      <c r="X43" s="13">
        <f>'TR TUSD'!$X$43*'TR TUSD'!$X$60</f>
        <v>0</v>
      </c>
      <c r="Y43" s="13">
        <f>'TR TUSD'!$Y$43*'TR TUSD'!$Y$60</f>
        <v>127.78634542901858</v>
      </c>
      <c r="Z43" s="13">
        <f>'TR TUSD'!$Z$43</f>
        <v>0</v>
      </c>
      <c r="AA43" s="13">
        <f>'TR TUSD'!$AA$43</f>
        <v>0</v>
      </c>
      <c r="AB43" s="13">
        <f>SUM($U$43:$AA$43)</f>
        <v>127.78634542901858</v>
      </c>
      <c r="AC43" s="13">
        <f>'TR TUSD'!$AC$43*'TR TUSD'!$AC$60</f>
        <v>194.83147166907759</v>
      </c>
      <c r="AD43" s="13">
        <f>SUM($AC$43:$AC$43)</f>
        <v>194.83147166907759</v>
      </c>
      <c r="AE43" s="13">
        <v>0</v>
      </c>
      <c r="AF43" s="13">
        <v>0</v>
      </c>
      <c r="AG43" s="13">
        <f>SUM($AE$43:$AF$43)</f>
        <v>0</v>
      </c>
      <c r="AH43" s="13">
        <f>'TR TUSD'!$AH$43*'TR TUSD'!$AH$60</f>
        <v>19.474109935747634</v>
      </c>
      <c r="AI43" s="13">
        <f>'TR TUSD'!$AI$43*'TR TUSD'!$AI$60</f>
        <v>0.66812528650092984</v>
      </c>
      <c r="AJ43" s="13">
        <f ca="1">'TR TUSD'!$AJ$43*'TR TUSD'!$AJ$60</f>
        <v>3.7773997386114209</v>
      </c>
      <c r="AK43" s="13">
        <f ca="1">'TR TUSD'!$AK$43*'TR TUSD'!$AK$60</f>
        <v>0.23283762232384553</v>
      </c>
      <c r="AL43" s="13">
        <f ca="1">SUM($AH$43:$AK$43)</f>
        <v>24.152472583183833</v>
      </c>
      <c r="AM43" s="13">
        <f ca="1">SUMIF($L$4:$AL$4,"SUBTOTAL",$L$43:$AL$43)</f>
        <v>454.26815861179813</v>
      </c>
      <c r="AP43" s="13">
        <f>IF((1 - CUSTOS!$M$29)&lt;&gt;0,1/(1 - CUSTOS!$M$29),1)</f>
        <v>1</v>
      </c>
    </row>
    <row r="44" spans="1:42" ht="11.25" customHeight="1" x14ac:dyDescent="0.25">
      <c r="A44" s="142"/>
      <c r="B44" s="142"/>
      <c r="C44" s="142"/>
      <c r="D44" s="23" t="s">
        <v>92</v>
      </c>
      <c r="E44" s="23" t="s">
        <v>25</v>
      </c>
      <c r="F44" s="23" t="s">
        <v>25</v>
      </c>
      <c r="G44" s="24" t="s">
        <v>79</v>
      </c>
      <c r="H44" s="24" t="s">
        <v>75</v>
      </c>
      <c r="I44" s="24">
        <f>'MERCADO TUSD'!$U$41</f>
        <v>0</v>
      </c>
      <c r="J44" s="15"/>
      <c r="L44" s="13">
        <f>'TR TUSD'!$L$44*'TR TUSD'!$L$60</f>
        <v>0</v>
      </c>
      <c r="M44" s="13">
        <f>'TR TUSD'!$M$44*'TR TUSD'!$M$60</f>
        <v>0.88251848096860275</v>
      </c>
      <c r="N44" s="13">
        <f ca="1">'TR TUSD'!$N$44*'TR TUSD'!$N$60</f>
        <v>3.4066654522690949</v>
      </c>
      <c r="O44" s="13">
        <f>'TR TUSD'!$O$44*'TR TUSD'!$O$60</f>
        <v>0</v>
      </c>
      <c r="P44" s="13">
        <f>'TR TUSD'!$P$44*'TR TUSD'!$P$60</f>
        <v>0</v>
      </c>
      <c r="Q44" s="13">
        <f>'TR TUSD'!$Q$44*'TR TUSD'!$Q$60</f>
        <v>88.764408385158745</v>
      </c>
      <c r="R44" s="13">
        <f>'TR TUSD'!$R$44*'TR TUSD'!$R$60</f>
        <v>14.44427661212166</v>
      </c>
      <c r="S44" s="13">
        <f>'TR TUSD'!$S$44*'TR TUSD'!$S$60</f>
        <v>0</v>
      </c>
      <c r="T44" s="13">
        <f ca="1">SUM($L$44:$S$44)</f>
        <v>107.49786893051809</v>
      </c>
      <c r="U44" s="13">
        <f>'TR TUSD'!$U$44*'TR TUSD'!$U$60</f>
        <v>0</v>
      </c>
      <c r="V44" s="13">
        <f>'TR TUSD'!$V$44*'TR TUSD'!$V$60</f>
        <v>0</v>
      </c>
      <c r="W44" s="13">
        <f>'TR TUSD'!$W$44*'TR TUSD'!$W$60</f>
        <v>0</v>
      </c>
      <c r="X44" s="13">
        <f>'TR TUSD'!$X$44*'TR TUSD'!$X$60</f>
        <v>0</v>
      </c>
      <c r="Y44" s="13">
        <f>'TR TUSD'!$Y$44*'TR TUSD'!$Y$60</f>
        <v>127.78634542901858</v>
      </c>
      <c r="Z44" s="13">
        <f>'TR TUSD'!$Z$44</f>
        <v>0</v>
      </c>
      <c r="AA44" s="13">
        <f>'TR TUSD'!$AA$44</f>
        <v>0</v>
      </c>
      <c r="AB44" s="13">
        <f>SUM($U$44:$AA$44)</f>
        <v>127.78634542901858</v>
      </c>
      <c r="AC44" s="13">
        <f>'TR TUSD'!$AC$44*'TR TUSD'!$AC$60</f>
        <v>194.83147166907759</v>
      </c>
      <c r="AD44" s="13">
        <f>SUM($AC$44:$AC$44)</f>
        <v>194.83147166907759</v>
      </c>
      <c r="AE44" s="13">
        <v>0</v>
      </c>
      <c r="AF44" s="13">
        <v>0</v>
      </c>
      <c r="AG44" s="13">
        <f>SUM($AE$44:$AF$44)</f>
        <v>0</v>
      </c>
      <c r="AH44" s="13">
        <f>'TR TUSD'!$AH$44*'TR TUSD'!$AH$60</f>
        <v>19.474109935747634</v>
      </c>
      <c r="AI44" s="13">
        <f>'TR TUSD'!$AI$44*'TR TUSD'!$AI$60</f>
        <v>0.66812528650092984</v>
      </c>
      <c r="AJ44" s="13">
        <f ca="1">'TR TUSD'!$AJ$44*'TR TUSD'!$AJ$60</f>
        <v>3.7773997386114209</v>
      </c>
      <c r="AK44" s="13">
        <f ca="1">'TR TUSD'!$AK$44*'TR TUSD'!$AK$60</f>
        <v>0.23283762232384553</v>
      </c>
      <c r="AL44" s="13">
        <f ca="1">SUM($AH$44:$AK$44)</f>
        <v>24.152472583183833</v>
      </c>
      <c r="AM44" s="13">
        <f ca="1">SUMIF($L$4:$AL$4,"SUBTOTAL",$L$44:$AL$44)</f>
        <v>454.26815861179813</v>
      </c>
      <c r="AP44" s="13">
        <f>IF((1 - CUSTOS!$M$30)&lt;&gt;0,1/(1 - CUSTOS!$M$30),1)</f>
        <v>1</v>
      </c>
    </row>
    <row r="45" spans="1:42" ht="11.25" customHeight="1" x14ac:dyDescent="0.25">
      <c r="A45" s="142" t="s">
        <v>36</v>
      </c>
      <c r="B45" s="142" t="s">
        <v>32</v>
      </c>
      <c r="C45" s="142" t="s">
        <v>25</v>
      </c>
      <c r="D45" s="142" t="s">
        <v>25</v>
      </c>
      <c r="E45" s="142" t="s">
        <v>25</v>
      </c>
      <c r="F45" s="142" t="s">
        <v>25</v>
      </c>
      <c r="G45" s="24" t="s">
        <v>76</v>
      </c>
      <c r="H45" s="24" t="s">
        <v>75</v>
      </c>
      <c r="I45" s="24">
        <f>'MERCADO TUSD'!$U$42</f>
        <v>0.33600000000000008</v>
      </c>
      <c r="J45" s="15"/>
      <c r="L45" s="13">
        <f>'TR TUSD'!$L$45*'TR TUSD'!$L$60</f>
        <v>0</v>
      </c>
      <c r="M45" s="13">
        <f>'TR TUSD'!$M$45*'TR TUSD'!$M$60</f>
        <v>0.88251848096860275</v>
      </c>
      <c r="N45" s="13">
        <f ca="1">'TR TUSD'!$N$45*'TR TUSD'!$N$60</f>
        <v>10.196807364718371</v>
      </c>
      <c r="O45" s="13">
        <f>'TR TUSD'!$O$45*'TR TUSD'!$O$60</f>
        <v>0</v>
      </c>
      <c r="P45" s="13">
        <f>'TR TUSD'!$P$45*'TR TUSD'!$P$60</f>
        <v>0</v>
      </c>
      <c r="Q45" s="13">
        <f>'TR TUSD'!$Q$45*'TR TUSD'!$Q$60</f>
        <v>88.764408385158745</v>
      </c>
      <c r="R45" s="13">
        <f>'TR TUSD'!$R$45*'TR TUSD'!$R$60</f>
        <v>14.44427661212166</v>
      </c>
      <c r="S45" s="13">
        <f>'TR TUSD'!$S$45*'TR TUSD'!$S$60</f>
        <v>0</v>
      </c>
      <c r="T45" s="13">
        <f ca="1">SUM($L$45:$S$45)</f>
        <v>114.28801084296737</v>
      </c>
      <c r="U45" s="13">
        <f>'TR TUSD'!$U$45*'TR TUSD'!$U$60</f>
        <v>0</v>
      </c>
      <c r="V45" s="13">
        <f>'TR TUSD'!$V$45*'TR TUSD'!$V$60</f>
        <v>0</v>
      </c>
      <c r="W45" s="13">
        <f>'TR TUSD'!$W$45*'TR TUSD'!$W$60</f>
        <v>0</v>
      </c>
      <c r="X45" s="13">
        <f>'TR TUSD'!$X$45*'TR TUSD'!$X$60</f>
        <v>0</v>
      </c>
      <c r="Y45" s="13">
        <f>'TR TUSD'!$Y$45*'TR TUSD'!$Y$60</f>
        <v>421.69503834128182</v>
      </c>
      <c r="Z45" s="13">
        <f>'TR TUSD'!$Z$45</f>
        <v>0</v>
      </c>
      <c r="AA45" s="13">
        <f>'TR TUSD'!$AA$45</f>
        <v>0</v>
      </c>
      <c r="AB45" s="13">
        <f>SUM($U$45:$AA$45)</f>
        <v>421.69503834128182</v>
      </c>
      <c r="AC45" s="13">
        <f>'TR TUSD'!$AC$45*'TR TUSD'!$AC$60</f>
        <v>642.94378108872411</v>
      </c>
      <c r="AD45" s="13">
        <f>SUM($AC$45:$AC$45)</f>
        <v>642.94378108872411</v>
      </c>
      <c r="AE45" s="13">
        <v>0</v>
      </c>
      <c r="AF45" s="13">
        <v>0</v>
      </c>
      <c r="AG45" s="13">
        <f>SUM($AE$45:$AF$45)</f>
        <v>0</v>
      </c>
      <c r="AH45" s="13">
        <f>'TR TUSD'!$AH$45*'TR TUSD'!$AH$60</f>
        <v>19.474109935747634</v>
      </c>
      <c r="AI45" s="13">
        <f>'TR TUSD'!$AI$45*'TR TUSD'!$AI$60</f>
        <v>0.66812528650092984</v>
      </c>
      <c r="AJ45" s="13">
        <f ca="1">'TR TUSD'!$AJ$45*'TR TUSD'!$AJ$60</f>
        <v>3.7773997386114209</v>
      </c>
      <c r="AK45" s="13">
        <f ca="1">'TR TUSD'!$AK$45*'TR TUSD'!$AK$60</f>
        <v>0.23283762232384553</v>
      </c>
      <c r="AL45" s="13">
        <f ca="1">SUM($AH$45:$AK$45)</f>
        <v>24.152472583183833</v>
      </c>
      <c r="AM45" s="13">
        <f ca="1">SUMIF($L$4:$AL$4,"SUBTOTAL",$L$45:$AL$45)</f>
        <v>1203.0793028561573</v>
      </c>
      <c r="AP45" s="13">
        <f>IF((1 - CUSTOS!$M$31)&lt;&gt;0,1/(1 - CUSTOS!$M$31),1)</f>
        <v>1</v>
      </c>
    </row>
    <row r="46" spans="1:42" ht="11.25" customHeight="1" x14ac:dyDescent="0.25">
      <c r="A46" s="142"/>
      <c r="B46" s="142"/>
      <c r="C46" s="142"/>
      <c r="D46" s="142"/>
      <c r="E46" s="142"/>
      <c r="F46" s="142"/>
      <c r="G46" s="24" t="s">
        <v>88</v>
      </c>
      <c r="H46" s="24" t="s">
        <v>75</v>
      </c>
      <c r="I46" s="24">
        <f>'MERCADO TUSD'!$U$43</f>
        <v>0.45900000000000007</v>
      </c>
      <c r="J46" s="15"/>
      <c r="L46" s="13">
        <f>'TR TUSD'!$L$46*'TR TUSD'!$L$60</f>
        <v>0</v>
      </c>
      <c r="M46" s="13">
        <f>'TR TUSD'!$M$46*'TR TUSD'!$M$60</f>
        <v>0.88251848096860275</v>
      </c>
      <c r="N46" s="13">
        <f ca="1">'TR TUSD'!$N$46*'TR TUSD'!$N$60</f>
        <v>6.2998555425479763</v>
      </c>
      <c r="O46" s="13">
        <f>'TR TUSD'!$O$46*'TR TUSD'!$O$60</f>
        <v>0</v>
      </c>
      <c r="P46" s="13">
        <f>'TR TUSD'!$P$46*'TR TUSD'!$P$60</f>
        <v>0</v>
      </c>
      <c r="Q46" s="13">
        <f>'TR TUSD'!$Q$46*'TR TUSD'!$Q$60</f>
        <v>88.764408385158745</v>
      </c>
      <c r="R46" s="13">
        <f>'TR TUSD'!$R$46*'TR TUSD'!$R$60</f>
        <v>14.44427661212166</v>
      </c>
      <c r="S46" s="13">
        <f>'TR TUSD'!$S$46*'TR TUSD'!$S$60</f>
        <v>0</v>
      </c>
      <c r="T46" s="13">
        <f ca="1">SUM($L$46:$S$46)</f>
        <v>110.39105902079697</v>
      </c>
      <c r="U46" s="13">
        <f>'TR TUSD'!$U$46*'TR TUSD'!$U$60</f>
        <v>0</v>
      </c>
      <c r="V46" s="13">
        <f>'TR TUSD'!$V$46*'TR TUSD'!$V$60</f>
        <v>0</v>
      </c>
      <c r="W46" s="13">
        <f>'TR TUSD'!$W$46*'TR TUSD'!$W$60</f>
        <v>0</v>
      </c>
      <c r="X46" s="13">
        <f>'TR TUSD'!$X$46*'TR TUSD'!$X$60</f>
        <v>0</v>
      </c>
      <c r="Y46" s="13">
        <f>'TR TUSD'!$Y$46*'TR TUSD'!$Y$60</f>
        <v>253.0169491856287</v>
      </c>
      <c r="Z46" s="13">
        <f>'TR TUSD'!$Z$46</f>
        <v>0</v>
      </c>
      <c r="AA46" s="13">
        <f>'TR TUSD'!$AA$46</f>
        <v>0</v>
      </c>
      <c r="AB46" s="13">
        <f>SUM($U$46:$AA$46)</f>
        <v>253.0169491856287</v>
      </c>
      <c r="AC46" s="13">
        <f>'TR TUSD'!$AC$46*'TR TUSD'!$AC$60</f>
        <v>385.76624710488244</v>
      </c>
      <c r="AD46" s="13">
        <f>SUM($AC$46:$AC$46)</f>
        <v>385.76624710488244</v>
      </c>
      <c r="AE46" s="13">
        <v>0</v>
      </c>
      <c r="AF46" s="13">
        <v>0</v>
      </c>
      <c r="AG46" s="13">
        <f>SUM($AE$46:$AF$46)</f>
        <v>0</v>
      </c>
      <c r="AH46" s="13">
        <f>'TR TUSD'!$AH$46*'TR TUSD'!$AH$60</f>
        <v>19.474109935747634</v>
      </c>
      <c r="AI46" s="13">
        <f>'TR TUSD'!$AI$46*'TR TUSD'!$AI$60</f>
        <v>0.66812528650092984</v>
      </c>
      <c r="AJ46" s="13">
        <f ca="1">'TR TUSD'!$AJ$46*'TR TUSD'!$AJ$60</f>
        <v>3.7773997386114209</v>
      </c>
      <c r="AK46" s="13">
        <f ca="1">'TR TUSD'!$AK$46*'TR TUSD'!$AK$60</f>
        <v>0.23283762232384553</v>
      </c>
      <c r="AL46" s="13">
        <f ca="1">SUM($AH$46:$AK$46)</f>
        <v>24.152472583183833</v>
      </c>
      <c r="AM46" s="13">
        <f ca="1">SUMIF($L$4:$AL$4,"SUBTOTAL",$L$46:$AL$46)</f>
        <v>773.32672789449191</v>
      </c>
      <c r="AP46" s="13">
        <f>IF((1 - CUSTOS!$M$31)&lt;&gt;0,1/(1 - CUSTOS!$M$31),1)</f>
        <v>1</v>
      </c>
    </row>
    <row r="47" spans="1:42" ht="11.25" customHeight="1" x14ac:dyDescent="0.25">
      <c r="A47" s="142"/>
      <c r="B47" s="142"/>
      <c r="C47" s="142"/>
      <c r="D47" s="142"/>
      <c r="E47" s="142"/>
      <c r="F47" s="142"/>
      <c r="G47" s="24" t="s">
        <v>77</v>
      </c>
      <c r="H47" s="24" t="s">
        <v>75</v>
      </c>
      <c r="I47" s="24">
        <f>'MERCADO TUSD'!$U$44</f>
        <v>10.576000000000001</v>
      </c>
      <c r="J47" s="15"/>
      <c r="L47" s="13">
        <f>'TR TUSD'!$L$47*'TR TUSD'!$L$60</f>
        <v>0</v>
      </c>
      <c r="M47" s="13">
        <f>'TR TUSD'!$M$47*'TR TUSD'!$M$60</f>
        <v>0.88251848096860275</v>
      </c>
      <c r="N47" s="13">
        <f ca="1">'TR TUSD'!$N$47*'TR TUSD'!$N$60</f>
        <v>2.4029047573547273</v>
      </c>
      <c r="O47" s="13">
        <f>'TR TUSD'!$O$47*'TR TUSD'!$O$60</f>
        <v>0</v>
      </c>
      <c r="P47" s="13">
        <f>'TR TUSD'!$P$47*'TR TUSD'!$P$60</f>
        <v>0</v>
      </c>
      <c r="Q47" s="13">
        <f>'TR TUSD'!$Q$47*'TR TUSD'!$Q$60</f>
        <v>88.764408385158745</v>
      </c>
      <c r="R47" s="13">
        <f>'TR TUSD'!$R$47*'TR TUSD'!$R$60</f>
        <v>14.44427661212166</v>
      </c>
      <c r="S47" s="13">
        <f>'TR TUSD'!$S$47*'TR TUSD'!$S$60</f>
        <v>0</v>
      </c>
      <c r="T47" s="13">
        <f ca="1">SUM($L$47:$S$47)</f>
        <v>106.49410823560373</v>
      </c>
      <c r="U47" s="13">
        <f>'TR TUSD'!$U$47*'TR TUSD'!$U$60</f>
        <v>0</v>
      </c>
      <c r="V47" s="13">
        <f>'TR TUSD'!$V$47*'TR TUSD'!$V$60</f>
        <v>0</v>
      </c>
      <c r="W47" s="13">
        <f>'TR TUSD'!$W$47*'TR TUSD'!$W$60</f>
        <v>0</v>
      </c>
      <c r="X47" s="13">
        <f>'TR TUSD'!$X$47*'TR TUSD'!$X$60</f>
        <v>0</v>
      </c>
      <c r="Y47" s="13">
        <f>'TR TUSD'!$Y$47*'TR TUSD'!$Y$60</f>
        <v>84.338983061876235</v>
      </c>
      <c r="Z47" s="13">
        <f>'TR TUSD'!$Z$47</f>
        <v>0</v>
      </c>
      <c r="AA47" s="13">
        <f>'TR TUSD'!$AA$47</f>
        <v>0</v>
      </c>
      <c r="AB47" s="13">
        <f>SUM($U$47:$AA$47)</f>
        <v>84.338983061876235</v>
      </c>
      <c r="AC47" s="13">
        <f>'TR TUSD'!$AC$47*'TR TUSD'!$AC$60</f>
        <v>128.58871312104083</v>
      </c>
      <c r="AD47" s="13">
        <f>SUM($AC$47:$AC$47)</f>
        <v>128.58871312104083</v>
      </c>
      <c r="AE47" s="13">
        <v>0</v>
      </c>
      <c r="AF47" s="13">
        <v>0</v>
      </c>
      <c r="AG47" s="13">
        <f>SUM($AE$47:$AF$47)</f>
        <v>0</v>
      </c>
      <c r="AH47" s="13">
        <f>'TR TUSD'!$AH$47*'TR TUSD'!$AH$60</f>
        <v>19.474109935747634</v>
      </c>
      <c r="AI47" s="13">
        <f>'TR TUSD'!$AI$47*'TR TUSD'!$AI$60</f>
        <v>0.66812528650092984</v>
      </c>
      <c r="AJ47" s="13">
        <f ca="1">'TR TUSD'!$AJ$47*'TR TUSD'!$AJ$60</f>
        <v>3.7773997386114209</v>
      </c>
      <c r="AK47" s="13">
        <f ca="1">'TR TUSD'!$AK$47*'TR TUSD'!$AK$60</f>
        <v>0.23283762232384553</v>
      </c>
      <c r="AL47" s="13">
        <f ca="1">SUM($AH$47:$AK$47)</f>
        <v>24.152472583183833</v>
      </c>
      <c r="AM47" s="13">
        <f ca="1">SUMIF($L$4:$AL$4,"SUBTOTAL",$L$47:$AL$47)</f>
        <v>343.57427700170462</v>
      </c>
      <c r="AP47" s="13">
        <f>IF((1 - CUSTOS!$M$31)&lt;&gt;0,1/(1 - CUSTOS!$M$31),1)</f>
        <v>1</v>
      </c>
    </row>
    <row r="48" spans="1:42" ht="11.25" customHeight="1" x14ac:dyDescent="0.25">
      <c r="A48" s="142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79</v>
      </c>
      <c r="H48" s="24" t="s">
        <v>75</v>
      </c>
      <c r="I48" s="24">
        <f>'MERCADO TUSD'!$U$45</f>
        <v>6532.424</v>
      </c>
      <c r="J48" s="15"/>
      <c r="L48" s="13">
        <f>'TR TUSD'!$L$48*'TR TUSD'!$L$60</f>
        <v>0</v>
      </c>
      <c r="M48" s="13">
        <f>'TR TUSD'!$M$48*'TR TUSD'!$M$60</f>
        <v>0.88251848096860275</v>
      </c>
      <c r="N48" s="13">
        <f ca="1">'TR TUSD'!$N$48*'TR TUSD'!$N$60</f>
        <v>3.4066654522690949</v>
      </c>
      <c r="O48" s="13">
        <f>'TR TUSD'!$O$48*'TR TUSD'!$O$60</f>
        <v>0</v>
      </c>
      <c r="P48" s="13">
        <f>'TR TUSD'!$P$48*'TR TUSD'!$P$60</f>
        <v>0</v>
      </c>
      <c r="Q48" s="13">
        <f>'TR TUSD'!$Q$48*'TR TUSD'!$Q$60</f>
        <v>88.764408385158745</v>
      </c>
      <c r="R48" s="13">
        <f>'TR TUSD'!$R$48*'TR TUSD'!$R$60</f>
        <v>14.44427661212166</v>
      </c>
      <c r="S48" s="13">
        <f>'TR TUSD'!$S$48*'TR TUSD'!$S$60</f>
        <v>0</v>
      </c>
      <c r="T48" s="13">
        <f ca="1">SUM($L$48:$S$48)</f>
        <v>107.49786893051809</v>
      </c>
      <c r="U48" s="13">
        <f>'TR TUSD'!$U$48*'TR TUSD'!$U$60</f>
        <v>0</v>
      </c>
      <c r="V48" s="13">
        <f>'TR TUSD'!$V$48*'TR TUSD'!$V$60</f>
        <v>0</v>
      </c>
      <c r="W48" s="13">
        <f>'TR TUSD'!$W$48*'TR TUSD'!$W$60</f>
        <v>0</v>
      </c>
      <c r="X48" s="13">
        <f>'TR TUSD'!$X$48*'TR TUSD'!$X$60</f>
        <v>0</v>
      </c>
      <c r="Y48" s="13">
        <f>'TR TUSD'!$Y$48*'TR TUSD'!$Y$60</f>
        <v>127.78634542901858</v>
      </c>
      <c r="Z48" s="13">
        <f>'TR TUSD'!$Z$48</f>
        <v>0</v>
      </c>
      <c r="AA48" s="13">
        <f>'TR TUSD'!$AA$48</f>
        <v>0</v>
      </c>
      <c r="AB48" s="13">
        <f>SUM($U$48:$AA$48)</f>
        <v>127.78634542901858</v>
      </c>
      <c r="AC48" s="13">
        <f>'TR TUSD'!$AC$48*'TR TUSD'!$AC$60</f>
        <v>194.83147166907759</v>
      </c>
      <c r="AD48" s="13">
        <f>SUM($AC$48:$AC$48)</f>
        <v>194.83147166907759</v>
      </c>
      <c r="AE48" s="13">
        <v>0</v>
      </c>
      <c r="AF48" s="13">
        <v>0</v>
      </c>
      <c r="AG48" s="13">
        <f>SUM($AE$48:$AF$48)</f>
        <v>0</v>
      </c>
      <c r="AH48" s="13">
        <f>'TR TUSD'!$AH$48*'TR TUSD'!$AH$60</f>
        <v>19.474109935747634</v>
      </c>
      <c r="AI48" s="13">
        <f>'TR TUSD'!$AI$48*'TR TUSD'!$AI$60</f>
        <v>0.66812528650092984</v>
      </c>
      <c r="AJ48" s="13">
        <f ca="1">'TR TUSD'!$AJ$48*'TR TUSD'!$AJ$60</f>
        <v>3.7773997386114209</v>
      </c>
      <c r="AK48" s="13">
        <f ca="1">'TR TUSD'!$AK$48*'TR TUSD'!$AK$60</f>
        <v>0.23283762232384553</v>
      </c>
      <c r="AL48" s="13">
        <f ca="1">SUM($AH$48:$AK$48)</f>
        <v>24.152472583183833</v>
      </c>
      <c r="AM48" s="13">
        <f ca="1">SUMIF($L$4:$AL$4,"SUBTOTAL",$L$48:$AL$48)</f>
        <v>454.26815861179813</v>
      </c>
      <c r="AP48" s="13">
        <f>IF((1 - CUSTOS!$M$31)&lt;&gt;0,1/(1 - CUSTOS!$M$31),1)</f>
        <v>1</v>
      </c>
    </row>
    <row r="49" spans="1:42" ht="11.25" customHeight="1" x14ac:dyDescent="0.25">
      <c r="A49" s="142"/>
      <c r="B49" s="23" t="s">
        <v>90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79</v>
      </c>
      <c r="H49" s="24" t="s">
        <v>75</v>
      </c>
      <c r="I49" s="24">
        <f>'MERCADO TUSD'!$U$46</f>
        <v>0</v>
      </c>
      <c r="J49" s="15"/>
      <c r="L49" s="13">
        <f>'TR TUSD'!$L$49*'TR TUSD'!$L$60</f>
        <v>0</v>
      </c>
      <c r="M49" s="13">
        <f>'TR TUSD'!$M$49*'TR TUSD'!$M$60</f>
        <v>0.88251848096860275</v>
      </c>
      <c r="N49" s="13">
        <f ca="1">'TR TUSD'!$N$49*'TR TUSD'!$N$60</f>
        <v>3.4066654522690949</v>
      </c>
      <c r="O49" s="13">
        <f>'TR TUSD'!$O$49*'TR TUSD'!$O$60</f>
        <v>0</v>
      </c>
      <c r="P49" s="13">
        <f>'TR TUSD'!$P$49*'TR TUSD'!$P$60</f>
        <v>0</v>
      </c>
      <c r="Q49" s="13">
        <f>'TR TUSD'!$Q$49*'TR TUSD'!$Q$60</f>
        <v>88.764408385158745</v>
      </c>
      <c r="R49" s="13">
        <f>'TR TUSD'!$R$49*'TR TUSD'!$R$60</f>
        <v>14.44427661212166</v>
      </c>
      <c r="S49" s="13">
        <f>'TR TUSD'!$S$49*'TR TUSD'!$S$60</f>
        <v>0</v>
      </c>
      <c r="T49" s="13">
        <f ca="1">SUM($L$49:$S$49)</f>
        <v>107.49786893051809</v>
      </c>
      <c r="U49" s="13">
        <f>'TR TUSD'!$U$49*'TR TUSD'!$U$60</f>
        <v>0</v>
      </c>
      <c r="V49" s="13">
        <f>'TR TUSD'!$V$49*'TR TUSD'!$V$60</f>
        <v>0</v>
      </c>
      <c r="W49" s="13">
        <f>'TR TUSD'!$W$49*'TR TUSD'!$W$60</f>
        <v>0</v>
      </c>
      <c r="X49" s="13">
        <f>'TR TUSD'!$X$49*'TR TUSD'!$X$60</f>
        <v>0</v>
      </c>
      <c r="Y49" s="13">
        <f>'TR TUSD'!$Y$49*'TR TUSD'!$Y$60</f>
        <v>127.78634542901858</v>
      </c>
      <c r="Z49" s="13">
        <f>'TR TUSD'!$Z$49</f>
        <v>0</v>
      </c>
      <c r="AA49" s="13">
        <f>'TR TUSD'!$AA$49</f>
        <v>0</v>
      </c>
      <c r="AB49" s="13">
        <f>SUM($U$49:$AA$49)</f>
        <v>127.78634542901858</v>
      </c>
      <c r="AC49" s="13">
        <f>'TR TUSD'!$AC$49*'TR TUSD'!$AC$60</f>
        <v>194.83147166907759</v>
      </c>
      <c r="AD49" s="13">
        <f>SUM($AC$49:$AC$49)</f>
        <v>194.83147166907759</v>
      </c>
      <c r="AE49" s="13">
        <v>0</v>
      </c>
      <c r="AF49" s="13">
        <v>0</v>
      </c>
      <c r="AG49" s="13">
        <f>SUM($AE$49:$AF$49)</f>
        <v>0</v>
      </c>
      <c r="AH49" s="13">
        <f>'TR TUSD'!$AH$49*'TR TUSD'!$AH$60</f>
        <v>19.474109935747634</v>
      </c>
      <c r="AI49" s="13">
        <f>'TR TUSD'!$AI$49*'TR TUSD'!$AI$60</f>
        <v>0.66812528650092984</v>
      </c>
      <c r="AJ49" s="13">
        <f ca="1">'TR TUSD'!$AJ$49*'TR TUSD'!$AJ$60</f>
        <v>3.7773997386114209</v>
      </c>
      <c r="AK49" s="13">
        <f ca="1">'TR TUSD'!$AK$49*'TR TUSD'!$AK$60</f>
        <v>0.23283762232384553</v>
      </c>
      <c r="AL49" s="13">
        <f ca="1">SUM($AH$49:$AK$49)</f>
        <v>24.152472583183833</v>
      </c>
      <c r="AM49" s="13">
        <f ca="1">SUMIF($L$4:$AL$4,"SUBTOTAL",$L$49:$AL$49)</f>
        <v>454.26815861179813</v>
      </c>
      <c r="AP49" s="13">
        <f>IF((1 - CUSTOS!$M$31)&lt;&gt;0,1/(1 - CUSTOS!$M$31),1)</f>
        <v>1</v>
      </c>
    </row>
    <row r="50" spans="1:42" ht="11.25" customHeight="1" x14ac:dyDescent="0.25">
      <c r="A50" s="142" t="s">
        <v>44</v>
      </c>
      <c r="B50" s="142" t="s">
        <v>23</v>
      </c>
      <c r="C50" s="142" t="s">
        <v>45</v>
      </c>
      <c r="D50" s="23" t="s">
        <v>93</v>
      </c>
      <c r="E50" s="23" t="s">
        <v>25</v>
      </c>
      <c r="F50" s="23" t="s">
        <v>25</v>
      </c>
      <c r="G50" s="24" t="s">
        <v>79</v>
      </c>
      <c r="H50" s="24" t="s">
        <v>75</v>
      </c>
      <c r="I50" s="24">
        <f>'MERCADO TUSD'!$U$47</f>
        <v>0</v>
      </c>
      <c r="J50" s="15"/>
      <c r="L50" s="13">
        <f>'TR TUSD'!$L$50*'TR TUSD'!$L$60</f>
        <v>0</v>
      </c>
      <c r="M50" s="13">
        <f>'TR TUSD'!$M$50*'TR TUSD'!$M$60</f>
        <v>0.48538516453273156</v>
      </c>
      <c r="N50" s="13">
        <f ca="1">'TR TUSD'!$N$50*'TR TUSD'!$N$60</f>
        <v>1.873665998748002</v>
      </c>
      <c r="O50" s="13">
        <f>'TR TUSD'!$O$50*'TR TUSD'!$O$60</f>
        <v>0</v>
      </c>
      <c r="P50" s="13">
        <f>'TR TUSD'!$P$50*'TR TUSD'!$P$60</f>
        <v>0</v>
      </c>
      <c r="Q50" s="13">
        <f>'TR TUSD'!$Q$50*'TR TUSD'!$Q$60</f>
        <v>48.820424611837311</v>
      </c>
      <c r="R50" s="13">
        <f>'TR TUSD'!$R$50*'TR TUSD'!$R$60</f>
        <v>7.9443521366669136</v>
      </c>
      <c r="S50" s="13">
        <f>'TR TUSD'!$S$50*'TR TUSD'!$S$60</f>
        <v>0</v>
      </c>
      <c r="T50" s="13">
        <f ca="1">SUM($L$50:$S$50)</f>
        <v>59.123827911784957</v>
      </c>
      <c r="U50" s="13">
        <f>'TR TUSD'!$U$50*'TR TUSD'!$U$60</f>
        <v>0</v>
      </c>
      <c r="V50" s="13">
        <f>'TR TUSD'!$V$50*'TR TUSD'!$V$60</f>
        <v>0</v>
      </c>
      <c r="W50" s="13">
        <f>'TR TUSD'!$W$50*'TR TUSD'!$W$60</f>
        <v>0</v>
      </c>
      <c r="X50" s="13">
        <f>'TR TUSD'!$X$50*'TR TUSD'!$X$60</f>
        <v>0</v>
      </c>
      <c r="Y50" s="13">
        <f>'TR TUSD'!$Y$50*'TR TUSD'!$Y$60</f>
        <v>70.282489985960225</v>
      </c>
      <c r="Z50" s="13">
        <f>'TR TUSD'!$Z$50</f>
        <v>0</v>
      </c>
      <c r="AA50" s="13">
        <f>'TR TUSD'!$AA$50</f>
        <v>0</v>
      </c>
      <c r="AB50" s="13">
        <f>SUM($U$50:$AA$50)</f>
        <v>70.282489985960225</v>
      </c>
      <c r="AC50" s="13">
        <f>'TR TUSD'!$AC$50*'TR TUSD'!$AC$60</f>
        <v>107.15730941799268</v>
      </c>
      <c r="AD50" s="13">
        <f>SUM($AC$50:$AC$50)</f>
        <v>107.15730941799268</v>
      </c>
      <c r="AE50" s="13">
        <v>0</v>
      </c>
      <c r="AF50" s="13">
        <v>0</v>
      </c>
      <c r="AG50" s="13">
        <f>SUM($AE$50:$AF$50)</f>
        <v>0</v>
      </c>
      <c r="AH50" s="13">
        <f>'TR TUSD'!$AH$50*'TR TUSD'!$AH$60</f>
        <v>10.710760464661201</v>
      </c>
      <c r="AI50" s="13">
        <f>'TR TUSD'!$AI$50*'TR TUSD'!$AI$60</f>
        <v>0.36746890757551148</v>
      </c>
      <c r="AJ50" s="13">
        <f ca="1">'TR TUSD'!$AJ$50*'TR TUSD'!$AJ$60</f>
        <v>2.0775698562362814</v>
      </c>
      <c r="AK50" s="13">
        <f ca="1">'TR TUSD'!$AK$50*'TR TUSD'!$AK$60</f>
        <v>0.12806069227811503</v>
      </c>
      <c r="AL50" s="13">
        <f ca="1">SUM($AH$50:$AK$50)</f>
        <v>13.283859920751109</v>
      </c>
      <c r="AM50" s="13">
        <f ca="1">SUMIF($L$4:$AL$4,"SUBTOTAL",$L$50:$AL$50)</f>
        <v>249.84748723648894</v>
      </c>
      <c r="AP50" s="13">
        <f>IF((1 - CUSTOS!$M$32)&lt;&gt;0,1/(1 - CUSTOS!$M$32),1)</f>
        <v>1.8181818181818181</v>
      </c>
    </row>
    <row r="51" spans="1:42" ht="11.25" customHeight="1" x14ac:dyDescent="0.25">
      <c r="A51" s="142"/>
      <c r="B51" s="142"/>
      <c r="C51" s="142"/>
      <c r="D51" s="24" t="s">
        <v>46</v>
      </c>
      <c r="E51" s="24" t="s">
        <v>25</v>
      </c>
      <c r="F51" s="24" t="s">
        <v>25</v>
      </c>
      <c r="G51" s="24" t="s">
        <v>79</v>
      </c>
      <c r="H51" s="24" t="s">
        <v>75</v>
      </c>
      <c r="I51" s="24">
        <f>'MERCADO TUSD'!$U$48</f>
        <v>1655.8650000000002</v>
      </c>
      <c r="J51" s="15"/>
      <c r="L51" s="13">
        <f>'TR TUSD'!$L$51*'TR TUSD'!$L$60</f>
        <v>0</v>
      </c>
      <c r="M51" s="13">
        <f>'TR TUSD'!$M$51*'TR TUSD'!$M$60</f>
        <v>0.52951108858116169</v>
      </c>
      <c r="N51" s="13">
        <f ca="1">'TR TUSD'!$N$51*'TR TUSD'!$N$60</f>
        <v>2.0439992713614572</v>
      </c>
      <c r="O51" s="13">
        <f>'TR TUSD'!$O$51*'TR TUSD'!$O$60</f>
        <v>0</v>
      </c>
      <c r="P51" s="13">
        <f>'TR TUSD'!$P$51*'TR TUSD'!$P$60</f>
        <v>0</v>
      </c>
      <c r="Q51" s="13">
        <f>'TR TUSD'!$Q$51*'TR TUSD'!$Q$60</f>
        <v>53.258645031095249</v>
      </c>
      <c r="R51" s="13">
        <f>'TR TUSD'!$R$51*'TR TUSD'!$R$60</f>
        <v>8.6665659672729962</v>
      </c>
      <c r="S51" s="13">
        <f>'TR TUSD'!$S$51*'TR TUSD'!$S$60</f>
        <v>0</v>
      </c>
      <c r="T51" s="13">
        <f ca="1">SUM($L$51:$S$51)</f>
        <v>64.49872135831086</v>
      </c>
      <c r="U51" s="13">
        <f>'TR TUSD'!$U$51*'TR TUSD'!$U$60</f>
        <v>0</v>
      </c>
      <c r="V51" s="13">
        <f>'TR TUSD'!$V$51*'TR TUSD'!$V$60</f>
        <v>0</v>
      </c>
      <c r="W51" s="13">
        <f>'TR TUSD'!$W$51*'TR TUSD'!$W$60</f>
        <v>0</v>
      </c>
      <c r="X51" s="13">
        <f>'TR TUSD'!$X$51*'TR TUSD'!$X$60</f>
        <v>0</v>
      </c>
      <c r="Y51" s="13">
        <f>'TR TUSD'!$Y$51*'TR TUSD'!$Y$60</f>
        <v>76.671807257411146</v>
      </c>
      <c r="Z51" s="13">
        <f>'TR TUSD'!$Z$51</f>
        <v>0</v>
      </c>
      <c r="AA51" s="13">
        <f>'TR TUSD'!$AA$51</f>
        <v>0</v>
      </c>
      <c r="AB51" s="13">
        <f>SUM($U$51:$AA$51)</f>
        <v>76.671807257411146</v>
      </c>
      <c r="AC51" s="13">
        <f>'TR TUSD'!$AC$51*'TR TUSD'!$AC$60</f>
        <v>116.89888300144656</v>
      </c>
      <c r="AD51" s="13">
        <f>SUM($AC$51:$AC$51)</f>
        <v>116.89888300144656</v>
      </c>
      <c r="AE51" s="13">
        <v>0</v>
      </c>
      <c r="AF51" s="13">
        <v>0</v>
      </c>
      <c r="AG51" s="13">
        <f>SUM($AE$51:$AF$51)</f>
        <v>0</v>
      </c>
      <c r="AH51" s="13">
        <f>'TR TUSD'!$AH$51*'TR TUSD'!$AH$60</f>
        <v>11.684465961448581</v>
      </c>
      <c r="AI51" s="13">
        <f>'TR TUSD'!$AI$51*'TR TUSD'!$AI$60</f>
        <v>0.40087517190055794</v>
      </c>
      <c r="AJ51" s="13">
        <f ca="1">'TR TUSD'!$AJ$51*'TR TUSD'!$AJ$60</f>
        <v>2.2664398431668524</v>
      </c>
      <c r="AK51" s="13">
        <f ca="1">'TR TUSD'!$AK$51*'TR TUSD'!$AK$60</f>
        <v>0.13970257339430731</v>
      </c>
      <c r="AL51" s="13">
        <f ca="1">SUM($AH$51:$AK$51)</f>
        <v>14.491483549910299</v>
      </c>
      <c r="AM51" s="13">
        <f ca="1">SUMIF($L$4:$AL$4,"SUBTOTAL",$L$51:$AL$51)</f>
        <v>272.56089516707885</v>
      </c>
      <c r="AP51" s="13">
        <f>IF((1 - CUSTOS!$M$33)&lt;&gt;0,1/(1 - CUSTOS!$M$33),1)</f>
        <v>1.6666666666666667</v>
      </c>
    </row>
    <row r="53" spans="1:42" ht="11.25" customHeight="1" x14ac:dyDescent="0.25">
      <c r="K53" s="16" t="s">
        <v>643</v>
      </c>
      <c r="L53" s="13">
        <f>SUMPRODUCT($I$5:$I51,$L$5:$L51)</f>
        <v>0</v>
      </c>
      <c r="M53" s="13">
        <f>SUMPRODUCT($I$5:$I51,$M$5:$M51)</f>
        <v>27365.997860554213</v>
      </c>
      <c r="N53" s="13">
        <f ca="1">SUMPRODUCT($I$5:$I51,$N$5:$N51)</f>
        <v>83815.458027374334</v>
      </c>
      <c r="O53" s="13">
        <f>SUMPRODUCT($I$5:$I51,$O$5:$O51)</f>
        <v>0</v>
      </c>
      <c r="P53" s="13">
        <f>SUMPRODUCT($I$5:$I51,$P$5:$P51)</f>
        <v>0</v>
      </c>
      <c r="Q53" s="13">
        <f>SUMPRODUCT($I$5:$I51,$Q$5:$Q51)</f>
        <v>5512588.8119572802</v>
      </c>
      <c r="R53" s="13">
        <f>SUMPRODUCT($I$5:$I51,$R$5:$R51)</f>
        <v>1008889.0274199463</v>
      </c>
      <c r="S53" s="13">
        <f>SUMPRODUCT($I$5:$I51,$S$5:$S51)</f>
        <v>0</v>
      </c>
      <c r="T53" s="13">
        <f ca="1">SUMPRODUCT($I$5:$I51,$T$5:$T51)</f>
        <v>6632659.2952651558</v>
      </c>
      <c r="U53" s="13">
        <f>SUMPRODUCT($I$5:$I51,$U$5:$U51)</f>
        <v>0</v>
      </c>
      <c r="V53" s="13">
        <f>SUMPRODUCT($I$5:$I51,$V$5:$V51)</f>
        <v>0</v>
      </c>
      <c r="W53" s="13">
        <f>SUMPRODUCT($I$5:$I51,$W$5:$W51)</f>
        <v>0</v>
      </c>
      <c r="X53" s="13">
        <f>SUMPRODUCT($I$5:$I51,$X$5:$X51)</f>
        <v>0</v>
      </c>
      <c r="Y53" s="13">
        <f>SUMPRODUCT($I$5:$I51,$Y$5:$Y51)</f>
        <v>6012295.395399997</v>
      </c>
      <c r="Z53" s="13">
        <f>SUMPRODUCT($I$5:$I51,$Z$5:$Z51)</f>
        <v>0</v>
      </c>
      <c r="AA53" s="13">
        <f>SUMPRODUCT($I$5:$I51,$AA$5:$AA51)</f>
        <v>0</v>
      </c>
      <c r="AB53" s="13">
        <f>SUMPRODUCT($I$5:$I51,$AB$5:$AB51)</f>
        <v>6012295.395399997</v>
      </c>
      <c r="AC53" s="13">
        <f>SUMPRODUCT($I$5:$I51,$AC$5:$AC51)</f>
        <v>6040700.2605260378</v>
      </c>
      <c r="AD53" s="13">
        <f>SUMPRODUCT($I$5:$I51,$AD$5:$AD51)</f>
        <v>6040700.2605260378</v>
      </c>
      <c r="AE53" s="13">
        <f>SUMPRODUCT($I$5:$I51,$AE$5:$AE51)</f>
        <v>0</v>
      </c>
      <c r="AF53" s="13">
        <f>SUMPRODUCT($I$5:$I51,$AF$5:$AF51)</f>
        <v>0</v>
      </c>
      <c r="AG53" s="13">
        <f>SUMPRODUCT($I$5:$I51,$AG$5:$AG51)</f>
        <v>0</v>
      </c>
      <c r="AH53" s="13">
        <f>SUMPRODUCT($I$5:$I51,$AH$5:$AH51)</f>
        <v>551804.93985913158</v>
      </c>
      <c r="AI53" s="13">
        <f>SUMPRODUCT($I$5:$I51,$AI$5:$AI51)</f>
        <v>18931.537038273211</v>
      </c>
      <c r="AJ53" s="13">
        <f ca="1">SUMPRODUCT($I$5:$I51,$AJ$5:$AJ51)</f>
        <v>165205.32392179931</v>
      </c>
      <c r="AK53" s="13">
        <f ca="1">SUMPRODUCT($I$5:$I51,$AK$5:$AK51)</f>
        <v>10183.199417314689</v>
      </c>
      <c r="AL53" s="13">
        <f ca="1">SUMPRODUCT($I$5:$I51,$AL$5:$AL51)</f>
        <v>746125.00023651891</v>
      </c>
      <c r="AM53" s="13">
        <f ca="1">SUMPRODUCT($I$5:$I51,$AM$5:$AM51)</f>
        <v>19431779.951427709</v>
      </c>
    </row>
    <row r="54" spans="1:42" ht="11.25" customHeight="1" x14ac:dyDescent="0.25">
      <c r="K54" s="16" t="s">
        <v>575</v>
      </c>
      <c r="L54" s="13">
        <f>'TR TUSD'!$L$56</f>
        <v>0</v>
      </c>
      <c r="M54" s="13">
        <f>'TR TUSD'!$M$56</f>
        <v>27365.997860554216</v>
      </c>
      <c r="N54" s="13">
        <f>'TR TUSD'!$N$56</f>
        <v>83815.458027374334</v>
      </c>
      <c r="O54" s="13">
        <f>'TR TUSD'!$O$56</f>
        <v>0</v>
      </c>
      <c r="P54" s="13">
        <f>'TR TUSD'!$P$56</f>
        <v>0</v>
      </c>
      <c r="Q54" s="13">
        <f>'TR TUSD'!$Q$56</f>
        <v>5512588.8119572811</v>
      </c>
      <c r="R54" s="13">
        <f>'TR TUSD'!$R$56</f>
        <v>1008889.0274199464</v>
      </c>
      <c r="S54" s="13">
        <f>'TR TUSD'!$S$56</f>
        <v>0</v>
      </c>
      <c r="T54" s="13">
        <f>'TR TUSD'!$T$56</f>
        <v>6632659.2952651558</v>
      </c>
      <c r="U54" s="13">
        <f>'TR TUSD'!$U$56</f>
        <v>0</v>
      </c>
      <c r="V54" s="13">
        <f>'TR TUSD'!$V$56</f>
        <v>0</v>
      </c>
      <c r="W54" s="13">
        <f>'TR TUSD'!$W$56</f>
        <v>0</v>
      </c>
      <c r="X54" s="13">
        <f>'TR TUSD'!$X$56</f>
        <v>0</v>
      </c>
      <c r="Y54" s="13">
        <f>'TR TUSD'!$Y$56</f>
        <v>6012295.3953999998</v>
      </c>
      <c r="Z54" s="13">
        <f>'TR TUSD'!$Z$56</f>
        <v>0</v>
      </c>
      <c r="AA54" s="13">
        <f>'TR TUSD'!$AA$56</f>
        <v>0</v>
      </c>
      <c r="AB54" s="13">
        <f>'TR TUSD'!$AB$56</f>
        <v>6012295.3953999998</v>
      </c>
      <c r="AC54" s="13">
        <f>'TR TUSD'!$AC$56</f>
        <v>6040700.2605260396</v>
      </c>
      <c r="AD54" s="13">
        <f>'TR TUSD'!$AD$56</f>
        <v>6040700.2605260396</v>
      </c>
      <c r="AE54" s="13">
        <f>'TR TUSD'!$AE$56</f>
        <v>0</v>
      </c>
      <c r="AF54" s="13">
        <f>'TR TUSD'!$AF$56</f>
        <v>0</v>
      </c>
      <c r="AG54" s="13">
        <f>'TR TUSD'!$AG$56</f>
        <v>0</v>
      </c>
      <c r="AH54" s="13">
        <f>'TR TUSD'!$AH$56</f>
        <v>551804.93985913182</v>
      </c>
      <c r="AI54" s="13">
        <f>'TR TUSD'!$AI$56</f>
        <v>18931.537038273214</v>
      </c>
      <c r="AJ54" s="13">
        <f>'TR TUSD'!$AJ$56</f>
        <v>165205.32392179928</v>
      </c>
      <c r="AK54" s="13">
        <f>'TR TUSD'!$AK$56</f>
        <v>10183.199417314685</v>
      </c>
      <c r="AL54" s="13">
        <f>'TR TUSD'!$AL$56</f>
        <v>746125.00023651903</v>
      </c>
      <c r="AM54" s="13">
        <f>CUSTOS!$D$29</f>
        <v>19431779.951427713</v>
      </c>
    </row>
    <row r="55" spans="1:42" ht="11.25" customHeight="1" x14ac:dyDescent="0.25">
      <c r="K55" s="16" t="s">
        <v>576</v>
      </c>
      <c r="L55" s="13">
        <f>CUSTOS!$E$2</f>
        <v>0</v>
      </c>
      <c r="M55" s="13">
        <f>CUSTOS!$E$3</f>
        <v>-457.71495656638444</v>
      </c>
      <c r="N55" s="13">
        <f>CUSTOS!$E$4</f>
        <v>8.5761777002605968E-2</v>
      </c>
      <c r="O55" s="13">
        <f>CUSTOS!$E$5</f>
        <v>0</v>
      </c>
      <c r="P55" s="13">
        <f>CUSTOS!$E$6</f>
        <v>0</v>
      </c>
      <c r="Q55" s="13">
        <f>CUSTOS!$E$7</f>
        <v>-105958.4652364559</v>
      </c>
      <c r="R55" s="13">
        <f>CUSTOS!$E$8</f>
        <v>-17941.336094698403</v>
      </c>
      <c r="S55" s="13">
        <f>CUSTOS!$E$9</f>
        <v>0</v>
      </c>
      <c r="T55" s="13">
        <f>CUSTOS!$E$10</f>
        <v>-124357.43052594368</v>
      </c>
      <c r="U55" s="13">
        <f>CUSTOS!$E$11</f>
        <v>0</v>
      </c>
      <c r="V55" s="13">
        <f>CUSTOS!$E$12</f>
        <v>0</v>
      </c>
      <c r="W55" s="13">
        <f>CUSTOS!$E$13</f>
        <v>0</v>
      </c>
      <c r="X55" s="13">
        <f>CUSTOS!$E$14</f>
        <v>0</v>
      </c>
      <c r="Y55" s="13">
        <f>CUSTOS!$E$15</f>
        <v>42588.727591660594</v>
      </c>
      <c r="Z55" s="13">
        <f>CUSTOS!$E$16</f>
        <v>0</v>
      </c>
      <c r="AA55" s="13">
        <f>CUSTOS!$E$17</f>
        <v>0</v>
      </c>
      <c r="AB55" s="13">
        <f>CUSTOS!$E$18</f>
        <v>42588.727591660594</v>
      </c>
      <c r="AC55" s="13">
        <f>CUSTOS!$E$19</f>
        <v>0</v>
      </c>
      <c r="AD55" s="13">
        <f>CUSTOS!$E$20</f>
        <v>0</v>
      </c>
      <c r="AE55" s="13">
        <f>CUSTOS!$E$21</f>
        <v>-5364684.1037082169</v>
      </c>
      <c r="AF55" s="13">
        <f>CUSTOS!$E$22</f>
        <v>0</v>
      </c>
      <c r="AG55" s="13">
        <f>CUSTOS!$E$23</f>
        <v>-5364684.1037082169</v>
      </c>
      <c r="AH55" s="13">
        <f>CUSTOS!$E$24</f>
        <v>-8045.6987564560177</v>
      </c>
      <c r="AI55" s="13">
        <f>CUSTOS!$E$25</f>
        <v>-276.03494098026817</v>
      </c>
      <c r="AJ55" s="13">
        <f>CUSTOS!$E$26</f>
        <v>-2408.8082096127278</v>
      </c>
      <c r="AK55" s="13">
        <f>CUSTOS!$E$27</f>
        <v>366.44006796318683</v>
      </c>
      <c r="AL55" s="13">
        <f>CUSTOS!$E$28</f>
        <v>-10364.101839085826</v>
      </c>
      <c r="AM55" s="13">
        <f>CUSTOS!$E$29</f>
        <v>-5456816.9084815858</v>
      </c>
    </row>
    <row r="56" spans="1:42" ht="11.25" customHeight="1" x14ac:dyDescent="0.25">
      <c r="K56" s="16" t="s">
        <v>577</v>
      </c>
      <c r="L56" s="13">
        <f>CUSTOS!$F$2</f>
        <v>0</v>
      </c>
      <c r="M56" s="13">
        <f>CUSTOS!$F$3</f>
        <v>0</v>
      </c>
      <c r="N56" s="13">
        <f>CUSTOS!$F$4</f>
        <v>0</v>
      </c>
      <c r="O56" s="13">
        <f>CUSTOS!$F$5</f>
        <v>0</v>
      </c>
      <c r="P56" s="13">
        <f>CUSTOS!$F$6</f>
        <v>0</v>
      </c>
      <c r="Q56" s="13">
        <f>CUSTOS!$F$7</f>
        <v>938744.41830000002</v>
      </c>
      <c r="R56" s="13">
        <f>CUSTOS!$F$8</f>
        <v>270128.0294</v>
      </c>
      <c r="S56" s="13">
        <f>CUSTOS!$F$9</f>
        <v>0</v>
      </c>
      <c r="T56" s="13">
        <f>CUSTOS!$F$10</f>
        <v>1208872.4476999999</v>
      </c>
      <c r="U56" s="13">
        <f>CUSTOS!$F$11</f>
        <v>0</v>
      </c>
      <c r="V56" s="13">
        <f>CUSTOS!$F$12</f>
        <v>0</v>
      </c>
      <c r="W56" s="13">
        <f>CUSTOS!$F$13</f>
        <v>0</v>
      </c>
      <c r="X56" s="13">
        <f>CUSTOS!$F$14</f>
        <v>0</v>
      </c>
      <c r="Y56" s="13">
        <f>CUSTOS!$F$15</f>
        <v>0</v>
      </c>
      <c r="Z56" s="13">
        <f>CUSTOS!$F$16</f>
        <v>0</v>
      </c>
      <c r="AA56" s="13">
        <f>CUSTOS!$F$17</f>
        <v>0</v>
      </c>
      <c r="AB56" s="13">
        <f>CUSTOS!$F$18</f>
        <v>0</v>
      </c>
      <c r="AC56" s="13">
        <f>CUSTOS!$F$19</f>
        <v>0</v>
      </c>
      <c r="AD56" s="13">
        <f>CUSTOS!$F$20</f>
        <v>0</v>
      </c>
      <c r="AE56" s="13">
        <f>CUSTOS!$F$21</f>
        <v>0</v>
      </c>
      <c r="AF56" s="13">
        <f>CUSTOS!$F$22</f>
        <v>0</v>
      </c>
      <c r="AG56" s="13">
        <f>CUSTOS!$F$23</f>
        <v>0</v>
      </c>
      <c r="AH56" s="13">
        <f>CUSTOS!$F$24</f>
        <v>91958.538671496077</v>
      </c>
      <c r="AI56" s="13">
        <f>CUSTOS!$F$25</f>
        <v>3154.9490682148294</v>
      </c>
      <c r="AJ56" s="13">
        <f>CUSTOS!$F$26</f>
        <v>27531.540715235598</v>
      </c>
      <c r="AK56" s="13">
        <f>CUSTOS!$F$27</f>
        <v>0</v>
      </c>
      <c r="AL56" s="13">
        <f>CUSTOS!$F$28</f>
        <v>122645.0284549465</v>
      </c>
      <c r="AM56" s="13">
        <f>CUSTOS!$F$29</f>
        <v>1331517.4761549465</v>
      </c>
    </row>
    <row r="57" spans="1:42" ht="11.25" customHeight="1" x14ac:dyDescent="0.25">
      <c r="K57" s="16" t="s">
        <v>640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f>SUM($L$57:$S$57)</f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f>SUM($U$57:$AA$57)</f>
        <v>0</v>
      </c>
      <c r="AC57" s="13">
        <v>0</v>
      </c>
      <c r="AD57" s="13">
        <f>SUM($AC$57:$AC$57)</f>
        <v>0</v>
      </c>
      <c r="AE57" s="13">
        <v>0</v>
      </c>
      <c r="AF57" s="13">
        <v>0</v>
      </c>
      <c r="AG57" s="13">
        <f>SUM($AE$57:$AF$57)</f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f>SUM($AH$57:$AK$57)</f>
        <v>0</v>
      </c>
      <c r="AM57" s="13">
        <f>SUMIF($L$4:$AL$4,"SUBTOTAL",$L$57:$AL$57)</f>
        <v>0</v>
      </c>
    </row>
    <row r="58" spans="1:42" ht="11.25" customHeight="1" x14ac:dyDescent="0.25">
      <c r="K58" s="16" t="s">
        <v>644</v>
      </c>
      <c r="L58" s="13">
        <f t="shared" ref="L58:R58" si="0">IF((L53-(0))&lt;&gt;0,(L55)/(L53-(0)),0)</f>
        <v>0</v>
      </c>
      <c r="M58" s="13">
        <f t="shared" si="0"/>
        <v>-1.6725681223053155E-2</v>
      </c>
      <c r="N58" s="13">
        <f t="shared" ca="1" si="0"/>
        <v>1.0232214799159834E-6</v>
      </c>
      <c r="O58" s="13">
        <f t="shared" si="0"/>
        <v>0</v>
      </c>
      <c r="P58" s="13">
        <f t="shared" si="0"/>
        <v>0</v>
      </c>
      <c r="Q58" s="13">
        <f t="shared" si="0"/>
        <v>-1.9221180619643327E-2</v>
      </c>
      <c r="R58" s="13">
        <f t="shared" si="0"/>
        <v>-1.7783260207101439E-2</v>
      </c>
      <c r="S58" s="13">
        <f>IF((R53-(0)&lt;&gt;0),(S55)/(R53-(0)),0)</f>
        <v>0</v>
      </c>
      <c r="T58" s="13"/>
      <c r="U58" s="13">
        <f t="shared" ref="U58:AA58" si="1">IF((U53-(0))&lt;&gt;0,(U55)/(U53-(0)),0)</f>
        <v>0</v>
      </c>
      <c r="V58" s="13">
        <f t="shared" si="1"/>
        <v>0</v>
      </c>
      <c r="W58" s="13">
        <f t="shared" si="1"/>
        <v>0</v>
      </c>
      <c r="X58" s="13">
        <f t="shared" si="1"/>
        <v>0</v>
      </c>
      <c r="Y58" s="13">
        <f t="shared" si="1"/>
        <v>7.0836053105849056E-3</v>
      </c>
      <c r="Z58" s="13">
        <f t="shared" si="1"/>
        <v>0</v>
      </c>
      <c r="AA58" s="13">
        <f t="shared" si="1"/>
        <v>0</v>
      </c>
      <c r="AB58" s="13"/>
      <c r="AC58" s="13">
        <f>IF((AC53-(0))&lt;&gt;0,(AC55)/(AC53-(0)),0)</f>
        <v>0</v>
      </c>
      <c r="AD58" s="13"/>
      <c r="AE58" s="13">
        <f ca="1">IF(($AM53-(0))&lt;&gt;0,(AE55)/($AM53-(0)),0)</f>
        <v>-0.27607785375904581</v>
      </c>
      <c r="AF58" s="13">
        <f ca="1">IF(($AM53-(0))&lt;&gt;0,(AF55)/($AM53-(0)),0)</f>
        <v>0</v>
      </c>
      <c r="AG58" s="13"/>
      <c r="AH58" s="13">
        <f>IF((AH53-(0))&lt;&gt;0,(AH55)/(AH53-(0)),0)</f>
        <v>-1.458069360254364E-2</v>
      </c>
      <c r="AI58" s="13">
        <f>IF((AI53-(0))&lt;&gt;0,(AI55)/(AI53-(0)),0)</f>
        <v>-1.458069360254364E-2</v>
      </c>
      <c r="AJ58" s="13">
        <f ca="1">IF((AJ53-(0))&lt;&gt;0,(AJ55)/(AJ53-(0)),0)</f>
        <v>-1.4580693602543632E-2</v>
      </c>
      <c r="AK58" s="13">
        <f ca="1">IF((AK53-(0))&lt;&gt;0,(AK55)/(AK53-(0)),0)</f>
        <v>3.5984767944357621E-2</v>
      </c>
      <c r="AL58" s="13"/>
      <c r="AM58" s="13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73" priority="55" operator="notEqual">
      <formula>$L$54-$L$57</formula>
    </cfRule>
    <cfRule type="cellIs" dxfId="1072" priority="56" operator="equal">
      <formula>$L$54-$L$57</formula>
    </cfRule>
  </conditionalFormatting>
  <conditionalFormatting sqref="M53">
    <cfRule type="cellIs" dxfId="1071" priority="53" operator="notEqual">
      <formula>$M$54-$M$57</formula>
    </cfRule>
    <cfRule type="cellIs" dxfId="1070" priority="54" operator="equal">
      <formula>$M$54-$M$57</formula>
    </cfRule>
  </conditionalFormatting>
  <conditionalFormatting sqref="N53">
    <cfRule type="cellIs" dxfId="1069" priority="51" operator="notEqual">
      <formula>$N$54-$N$57</formula>
    </cfRule>
    <cfRule type="cellIs" dxfId="1068" priority="52" operator="equal">
      <formula>$N$54-$N$57</formula>
    </cfRule>
  </conditionalFormatting>
  <conditionalFormatting sqref="O53">
    <cfRule type="cellIs" dxfId="1067" priority="49" operator="notEqual">
      <formula>$O$54-$O$57</formula>
    </cfRule>
    <cfRule type="cellIs" dxfId="1066" priority="50" operator="equal">
      <formula>$O$54-$O$57</formula>
    </cfRule>
  </conditionalFormatting>
  <conditionalFormatting sqref="P53">
    <cfRule type="cellIs" dxfId="1065" priority="47" operator="notEqual">
      <formula>$P$54-$P$57</formula>
    </cfRule>
    <cfRule type="cellIs" dxfId="1064" priority="48" operator="equal">
      <formula>$P$54-$P$57</formula>
    </cfRule>
  </conditionalFormatting>
  <conditionalFormatting sqref="Q53">
    <cfRule type="cellIs" dxfId="1063" priority="45" operator="notEqual">
      <formula>$Q$54-$Q$57</formula>
    </cfRule>
    <cfRule type="cellIs" dxfId="1062" priority="46" operator="equal">
      <formula>$Q$54-$Q$57</formula>
    </cfRule>
  </conditionalFormatting>
  <conditionalFormatting sqref="R53">
    <cfRule type="cellIs" dxfId="1061" priority="43" operator="notEqual">
      <formula>$R$54-$R$57</formula>
    </cfRule>
    <cfRule type="cellIs" dxfId="1060" priority="44" operator="equal">
      <formula>$R$54-$R$57</formula>
    </cfRule>
  </conditionalFormatting>
  <conditionalFormatting sqref="S53">
    <cfRule type="cellIs" dxfId="1059" priority="41" operator="notEqual">
      <formula>$S$54-$S$57</formula>
    </cfRule>
    <cfRule type="cellIs" dxfId="1058" priority="42" operator="equal">
      <formula>$S$54-$S$57</formula>
    </cfRule>
  </conditionalFormatting>
  <conditionalFormatting sqref="T53">
    <cfRule type="cellIs" dxfId="1057" priority="39" operator="notEqual">
      <formula>$T$54-$T$57</formula>
    </cfRule>
    <cfRule type="cellIs" dxfId="1056" priority="40" operator="equal">
      <formula>$T$54-$T$57</formula>
    </cfRule>
  </conditionalFormatting>
  <conditionalFormatting sqref="U53">
    <cfRule type="cellIs" dxfId="1055" priority="37" operator="notEqual">
      <formula>$U$54-$U$57</formula>
    </cfRule>
    <cfRule type="cellIs" dxfId="1054" priority="38" operator="equal">
      <formula>$U$54-$U$57</formula>
    </cfRule>
  </conditionalFormatting>
  <conditionalFormatting sqref="V53">
    <cfRule type="cellIs" dxfId="1053" priority="35" operator="notEqual">
      <formula>$V$54-$V$57</formula>
    </cfRule>
    <cfRule type="cellIs" dxfId="1052" priority="36" operator="equal">
      <formula>$V$54-$V$57</formula>
    </cfRule>
  </conditionalFormatting>
  <conditionalFormatting sqref="W53">
    <cfRule type="cellIs" dxfId="1051" priority="33" operator="notEqual">
      <formula>$W$54-$W$57</formula>
    </cfRule>
    <cfRule type="cellIs" dxfId="1050" priority="34" operator="equal">
      <formula>$W$54-$W$57</formula>
    </cfRule>
  </conditionalFormatting>
  <conditionalFormatting sqref="X53">
    <cfRule type="cellIs" dxfId="1049" priority="31" operator="notEqual">
      <formula>$X$54-$X$57</formula>
    </cfRule>
    <cfRule type="cellIs" dxfId="1048" priority="32" operator="equal">
      <formula>$X$54-$X$57</formula>
    </cfRule>
  </conditionalFormatting>
  <conditionalFormatting sqref="Y53">
    <cfRule type="cellIs" dxfId="1047" priority="29" operator="notEqual">
      <formula>$Y$54-$Y$57</formula>
    </cfRule>
    <cfRule type="cellIs" dxfId="1046" priority="30" operator="equal">
      <formula>$Y$54-$Y$57</formula>
    </cfRule>
  </conditionalFormatting>
  <conditionalFormatting sqref="Z53">
    <cfRule type="cellIs" dxfId="1045" priority="27" operator="notEqual">
      <formula>$Z$54-$Z$57</formula>
    </cfRule>
    <cfRule type="cellIs" dxfId="1044" priority="28" operator="equal">
      <formula>$Z$54-$Z$57</formula>
    </cfRule>
  </conditionalFormatting>
  <conditionalFormatting sqref="AA53">
    <cfRule type="cellIs" dxfId="1043" priority="25" operator="notEqual">
      <formula>$AA$54-$AA$57</formula>
    </cfRule>
    <cfRule type="cellIs" dxfId="1042" priority="26" operator="equal">
      <formula>$AA$54-$AA$57</formula>
    </cfRule>
  </conditionalFormatting>
  <conditionalFormatting sqref="AB53">
    <cfRule type="cellIs" dxfId="1041" priority="23" operator="notEqual">
      <formula>$AB$54-$AB$57</formula>
    </cfRule>
    <cfRule type="cellIs" dxfId="1040" priority="24" operator="equal">
      <formula>$AB$54-$AB$57</formula>
    </cfRule>
  </conditionalFormatting>
  <conditionalFormatting sqref="AC53">
    <cfRule type="cellIs" dxfId="1039" priority="21" operator="notEqual">
      <formula>$AC$54-$AC$57</formula>
    </cfRule>
    <cfRule type="cellIs" dxfId="1038" priority="22" operator="equal">
      <formula>$AC$54-$AC$57</formula>
    </cfRule>
  </conditionalFormatting>
  <conditionalFormatting sqref="AD53">
    <cfRule type="cellIs" dxfId="1037" priority="19" operator="notEqual">
      <formula>$AD$54-$AD$57</formula>
    </cfRule>
    <cfRule type="cellIs" dxfId="1036" priority="20" operator="equal">
      <formula>$AD$54-$AD$57</formula>
    </cfRule>
  </conditionalFormatting>
  <conditionalFormatting sqref="AE53">
    <cfRule type="cellIs" dxfId="1035" priority="17" operator="notEqual">
      <formula>$AE$54-$AE$57</formula>
    </cfRule>
    <cfRule type="cellIs" dxfId="1034" priority="18" operator="equal">
      <formula>$AE$54-$AE$57</formula>
    </cfRule>
  </conditionalFormatting>
  <conditionalFormatting sqref="AF53">
    <cfRule type="cellIs" dxfId="1033" priority="16" operator="equal">
      <formula>$AF$54-$AF$57</formula>
    </cfRule>
  </conditionalFormatting>
  <conditionalFormatting sqref="AF53">
    <cfRule type="cellIs" dxfId="1032" priority="15" operator="notEqual">
      <formula>$AF$54-$AF$57</formula>
    </cfRule>
  </conditionalFormatting>
  <conditionalFormatting sqref="AG53">
    <cfRule type="cellIs" dxfId="1031" priority="14" operator="equal">
      <formula>$AG$54-$AG$57</formula>
    </cfRule>
  </conditionalFormatting>
  <conditionalFormatting sqref="AG53">
    <cfRule type="cellIs" dxfId="1030" priority="13" operator="notEqual">
      <formula>$AG$54-$AG$57</formula>
    </cfRule>
  </conditionalFormatting>
  <conditionalFormatting sqref="AH53">
    <cfRule type="cellIs" dxfId="1029" priority="12" operator="equal">
      <formula>$AH$54-$AH$57</formula>
    </cfRule>
  </conditionalFormatting>
  <conditionalFormatting sqref="AH53">
    <cfRule type="cellIs" dxfId="1028" priority="11" operator="notEqual">
      <formula>$AH$54-$AH$57</formula>
    </cfRule>
  </conditionalFormatting>
  <conditionalFormatting sqref="AI53">
    <cfRule type="cellIs" dxfId="1027" priority="10" operator="equal">
      <formula>$AI$54-$AI$57</formula>
    </cfRule>
  </conditionalFormatting>
  <conditionalFormatting sqref="AI53">
    <cfRule type="cellIs" dxfId="1026" priority="9" operator="notEqual">
      <formula>$AI$54-$AI$57</formula>
    </cfRule>
  </conditionalFormatting>
  <conditionalFormatting sqref="AJ53">
    <cfRule type="cellIs" dxfId="1025" priority="8" operator="equal">
      <formula>$AJ$54-$AJ$57</formula>
    </cfRule>
  </conditionalFormatting>
  <conditionalFormatting sqref="AJ53">
    <cfRule type="cellIs" dxfId="1024" priority="7" operator="notEqual">
      <formula>$AJ$54-$AJ$57</formula>
    </cfRule>
  </conditionalFormatting>
  <conditionalFormatting sqref="AK53">
    <cfRule type="cellIs" dxfId="1023" priority="6" operator="equal">
      <formula>$AK$54-$AK$57</formula>
    </cfRule>
  </conditionalFormatting>
  <conditionalFormatting sqref="AK53">
    <cfRule type="cellIs" dxfId="1022" priority="5" operator="notEqual">
      <formula>$AK$54-$AK$57</formula>
    </cfRule>
  </conditionalFormatting>
  <conditionalFormatting sqref="AL53">
    <cfRule type="cellIs" dxfId="1021" priority="4" operator="equal">
      <formula>$AL$54-$AL$57</formula>
    </cfRule>
  </conditionalFormatting>
  <conditionalFormatting sqref="AL53">
    <cfRule type="cellIs" dxfId="1020" priority="3" operator="notEqual">
      <formula>$AL$54-$AL$57</formula>
    </cfRule>
  </conditionalFormatting>
  <conditionalFormatting sqref="AM53">
    <cfRule type="cellIs" dxfId="1019" priority="2" operator="equal">
      <formula>$AM$54-$AM$57</formula>
    </cfRule>
  </conditionalFormatting>
  <conditionalFormatting sqref="AM53">
    <cfRule type="cellIs" dxfId="1018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379A8-D039-4628-BB51-A1335C661C43}">
  <dimension ref="A1:AP58"/>
  <sheetViews>
    <sheetView showGridLines="0" topLeftCell="AH40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7.855468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9.28515625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38" t="s">
        <v>65</v>
      </c>
      <c r="B1" s="138" t="s">
        <v>66</v>
      </c>
      <c r="C1" s="138" t="s">
        <v>67</v>
      </c>
      <c r="D1" s="138" t="s">
        <v>68</v>
      </c>
      <c r="E1" s="138" t="s">
        <v>69</v>
      </c>
      <c r="F1" s="138" t="s">
        <v>15</v>
      </c>
      <c r="G1" s="138" t="s">
        <v>71</v>
      </c>
      <c r="H1" s="138" t="s">
        <v>72</v>
      </c>
      <c r="I1" s="138" t="s">
        <v>634</v>
      </c>
      <c r="J1" s="131"/>
      <c r="L1" s="139" t="s">
        <v>651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O1" s="26"/>
      <c r="AP1" s="143" t="s">
        <v>636</v>
      </c>
    </row>
    <row r="2" spans="1:42" ht="11.25" customHeight="1" x14ac:dyDescent="0.25">
      <c r="A2" s="138"/>
      <c r="B2" s="138"/>
      <c r="C2" s="138"/>
      <c r="D2" s="138"/>
      <c r="E2" s="138"/>
      <c r="F2" s="138"/>
      <c r="G2" s="138"/>
      <c r="H2" s="138"/>
      <c r="I2" s="138"/>
      <c r="J2" s="131"/>
      <c r="L2" s="139" t="s">
        <v>533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O2" s="26"/>
      <c r="AP2" s="144"/>
    </row>
    <row r="3" spans="1:42" ht="11.25" customHeight="1" x14ac:dyDescent="0.25">
      <c r="A3" s="138"/>
      <c r="B3" s="138"/>
      <c r="C3" s="138"/>
      <c r="D3" s="138"/>
      <c r="E3" s="138"/>
      <c r="F3" s="138"/>
      <c r="G3" s="138"/>
      <c r="H3" s="138"/>
      <c r="I3" s="138"/>
      <c r="J3" s="131"/>
      <c r="L3" s="139" t="s">
        <v>534</v>
      </c>
      <c r="M3" s="139"/>
      <c r="N3" s="139"/>
      <c r="O3" s="139"/>
      <c r="P3" s="139"/>
      <c r="Q3" s="139"/>
      <c r="R3" s="139"/>
      <c r="S3" s="139"/>
      <c r="T3" s="139"/>
      <c r="U3" s="139" t="s">
        <v>543</v>
      </c>
      <c r="V3" s="139"/>
      <c r="W3" s="139"/>
      <c r="X3" s="139"/>
      <c r="Y3" s="139"/>
      <c r="Z3" s="139"/>
      <c r="AA3" s="139"/>
      <c r="AB3" s="139"/>
      <c r="AC3" s="139" t="s">
        <v>551</v>
      </c>
      <c r="AD3" s="139"/>
      <c r="AE3" s="139" t="s">
        <v>553</v>
      </c>
      <c r="AF3" s="139"/>
      <c r="AG3" s="139"/>
      <c r="AH3" s="139" t="s">
        <v>556</v>
      </c>
      <c r="AI3" s="139"/>
      <c r="AJ3" s="139"/>
      <c r="AK3" s="139"/>
      <c r="AL3" s="139"/>
      <c r="AM3" s="139" t="s">
        <v>542</v>
      </c>
      <c r="AO3" s="26"/>
      <c r="AP3" s="144"/>
    </row>
    <row r="4" spans="1:42" ht="11.25" customHeight="1" x14ac:dyDescent="0.25">
      <c r="A4" s="138"/>
      <c r="B4" s="138"/>
      <c r="C4" s="138"/>
      <c r="D4" s="138"/>
      <c r="E4" s="138"/>
      <c r="F4" s="138"/>
      <c r="G4" s="138"/>
      <c r="H4" s="138"/>
      <c r="I4" s="138"/>
      <c r="J4" s="131"/>
      <c r="L4" s="10" t="s">
        <v>619</v>
      </c>
      <c r="M4" s="10" t="s">
        <v>535</v>
      </c>
      <c r="N4" s="10" t="s">
        <v>536</v>
      </c>
      <c r="O4" s="10" t="s">
        <v>537</v>
      </c>
      <c r="P4" s="10" t="s">
        <v>538</v>
      </c>
      <c r="Q4" s="10" t="s">
        <v>539</v>
      </c>
      <c r="R4" s="10" t="s">
        <v>540</v>
      </c>
      <c r="S4" s="10" t="s">
        <v>541</v>
      </c>
      <c r="T4" s="10" t="s">
        <v>542</v>
      </c>
      <c r="U4" s="10" t="s">
        <v>544</v>
      </c>
      <c r="V4" s="10" t="s">
        <v>545</v>
      </c>
      <c r="W4" s="10" t="s">
        <v>546</v>
      </c>
      <c r="X4" s="10" t="s">
        <v>547</v>
      </c>
      <c r="Y4" s="10" t="s">
        <v>548</v>
      </c>
      <c r="Z4" s="10" t="s">
        <v>549</v>
      </c>
      <c r="AA4" s="10" t="s">
        <v>550</v>
      </c>
      <c r="AB4" s="10" t="s">
        <v>542</v>
      </c>
      <c r="AC4" s="10" t="s">
        <v>552</v>
      </c>
      <c r="AD4" s="10" t="s">
        <v>542</v>
      </c>
      <c r="AE4" s="10" t="s">
        <v>554</v>
      </c>
      <c r="AF4" s="10" t="s">
        <v>555</v>
      </c>
      <c r="AG4" s="10" t="s">
        <v>542</v>
      </c>
      <c r="AH4" s="10" t="s">
        <v>557</v>
      </c>
      <c r="AI4" s="10" t="s">
        <v>558</v>
      </c>
      <c r="AJ4" s="10" t="s">
        <v>559</v>
      </c>
      <c r="AK4" s="10" t="s">
        <v>560</v>
      </c>
      <c r="AL4" s="10" t="s">
        <v>542</v>
      </c>
      <c r="AM4" s="141"/>
      <c r="AO4" s="27" t="s">
        <v>653</v>
      </c>
      <c r="AP4" s="145"/>
    </row>
    <row r="5" spans="1:42" ht="11.25" customHeight="1" x14ac:dyDescent="0.25">
      <c r="A5" s="142" t="s">
        <v>38</v>
      </c>
      <c r="B5" s="142" t="s">
        <v>56</v>
      </c>
      <c r="C5" s="142" t="s">
        <v>25</v>
      </c>
      <c r="D5" s="142" t="s">
        <v>25</v>
      </c>
      <c r="E5" s="142" t="s">
        <v>25</v>
      </c>
      <c r="F5" s="142" t="s">
        <v>25</v>
      </c>
      <c r="G5" s="24" t="s">
        <v>81</v>
      </c>
      <c r="H5" s="24" t="s">
        <v>80</v>
      </c>
      <c r="I5" s="24">
        <f>'MERCADO TUSD'!$U$2</f>
        <v>40015</v>
      </c>
      <c r="J5" s="15"/>
      <c r="L5" s="13">
        <f>'TUSD BE'!$L$5*'TUSD BE'!$L$58</f>
        <v>0</v>
      </c>
      <c r="M5" s="13">
        <f>'TUSD BE'!$M$5*'TUSD BE'!$M$58</f>
        <v>0</v>
      </c>
      <c r="N5" s="13">
        <f ca="1">'TUSD BE'!$N$5*'TUSD BE'!$N$58</f>
        <v>0</v>
      </c>
      <c r="O5" s="13">
        <f>'TUSD BE'!$O$5*'TUSD BE'!$O$58</f>
        <v>0</v>
      </c>
      <c r="P5" s="13">
        <f>'TUSD BE'!$P$5*'TUSD BE'!$P$58</f>
        <v>0</v>
      </c>
      <c r="Q5" s="13">
        <f>'TUSD BE'!$Q$5*'TUSD BE'!$Q$58</f>
        <v>0</v>
      </c>
      <c r="R5" s="13">
        <f>'TUSD BE'!$R$5*'TUSD BE'!$R$58</f>
        <v>0</v>
      </c>
      <c r="S5" s="13">
        <f>'TUSD BE'!$R$5*'TUSD BE'!$S$58</f>
        <v>0</v>
      </c>
      <c r="T5" s="13">
        <f ca="1">SUM($L$5:$S$5)</f>
        <v>0</v>
      </c>
      <c r="U5" s="13">
        <f>'TUSD BE'!$U$5*'TUSD BE'!$U$58</f>
        <v>0</v>
      </c>
      <c r="V5" s="13">
        <f>'TUSD BE'!$V$5*'TUSD BE'!$V$58</f>
        <v>0</v>
      </c>
      <c r="W5" s="13">
        <f>'TUSD BE'!$W$5*'TUSD BE'!$W$58</f>
        <v>0</v>
      </c>
      <c r="X5" s="13">
        <f>'TUSD BE'!$X$5*'TUSD BE'!$X$58</f>
        <v>0</v>
      </c>
      <c r="Y5" s="13">
        <f>'TUSD BE'!$Y$5*'TUSD BE'!$Y$58</f>
        <v>0.23503301925036496</v>
      </c>
      <c r="Z5" s="13">
        <f>'TUSD BE'!$Z$5*'TUSD BE'!$Z$58</f>
        <v>0</v>
      </c>
      <c r="AA5" s="13">
        <f>'TUSD BE'!$AA$5*'TUSD BE'!$AA$58</f>
        <v>0</v>
      </c>
      <c r="AB5" s="13">
        <f>SUM($U$5:$AA$5)</f>
        <v>0.23503301925036496</v>
      </c>
      <c r="AC5" s="13">
        <f>'TUSD BE'!$AC$5*'TUSD BE'!$AC$58</f>
        <v>0</v>
      </c>
      <c r="AD5" s="13">
        <f>SUM($AC$5:$AC$5)</f>
        <v>0</v>
      </c>
      <c r="AE5" s="13">
        <f ca="1">$AO$5*$AO$55</f>
        <v>-15.083100836550395</v>
      </c>
      <c r="AF5" s="13">
        <f ca="1">$AP$5*$AP$55</f>
        <v>0</v>
      </c>
      <c r="AG5" s="13">
        <f ca="1">SUM($AE$5:$AF$5)</f>
        <v>-15.083100836550395</v>
      </c>
      <c r="AH5" s="13">
        <f>'TUSD BE'!$AH$5*'TUSD BE'!$AH$58</f>
        <v>0</v>
      </c>
      <c r="AI5" s="13">
        <f>'TUSD BE'!$AI$5*'TUSD BE'!$AI$58</f>
        <v>0</v>
      </c>
      <c r="AJ5" s="13">
        <f ca="1">'TUSD BE'!$AJ$5*'TUSD BE'!$AJ$58</f>
        <v>0</v>
      </c>
      <c r="AK5" s="13">
        <f ca="1">'TUSD BE'!$AK$5*'TUSD BE'!$AK$58</f>
        <v>0</v>
      </c>
      <c r="AL5" s="13">
        <f ca="1">SUM($AH$5:$AK$5)</f>
        <v>0</v>
      </c>
      <c r="AM5" s="13">
        <f ca="1">SUMIF($L$4:$AL$4,"SUBTOTAL",$L$5:$AL$5)</f>
        <v>-14.848067817300031</v>
      </c>
      <c r="AO5" s="26">
        <f ca="1">+'TUSD BE'!$T$5+'TUSD BE'!$AB$5+'TUSD BE'!$AD$5+'TUSD BE'!$AL$5</f>
        <v>54.633505118866097</v>
      </c>
      <c r="AP5" s="26">
        <f ca="1">+'TUSD BE'!$T$5+'TUSD BE'!$AB$5+'TUSD BE'!$AD$5+'TUSD BE'!$AL$5</f>
        <v>54.633505118866097</v>
      </c>
    </row>
    <row r="6" spans="1:42" ht="11.25" customHeight="1" x14ac:dyDescent="0.25">
      <c r="A6" s="142"/>
      <c r="B6" s="142"/>
      <c r="C6" s="142"/>
      <c r="D6" s="142"/>
      <c r="E6" s="142"/>
      <c r="F6" s="142"/>
      <c r="G6" s="24" t="s">
        <v>82</v>
      </c>
      <c r="H6" s="24" t="s">
        <v>80</v>
      </c>
      <c r="I6" s="24">
        <f>'MERCADO TUSD'!$U$3</f>
        <v>87299</v>
      </c>
      <c r="J6" s="15"/>
      <c r="L6" s="13">
        <f>'TUSD BE'!$L$6*'TUSD BE'!$L$58</f>
        <v>0</v>
      </c>
      <c r="M6" s="13">
        <f>'TUSD BE'!$M$6*'TUSD BE'!$M$58</f>
        <v>0</v>
      </c>
      <c r="N6" s="13">
        <f ca="1">'TUSD BE'!$N$6*'TUSD BE'!$N$58</f>
        <v>0</v>
      </c>
      <c r="O6" s="13">
        <f>'TUSD BE'!$O$6*'TUSD BE'!$O$58</f>
        <v>0</v>
      </c>
      <c r="P6" s="13">
        <f>'TUSD BE'!$P$6*'TUSD BE'!$P$58</f>
        <v>0</v>
      </c>
      <c r="Q6" s="13">
        <f>'TUSD BE'!$Q$6*'TUSD BE'!$Q$58</f>
        <v>0</v>
      </c>
      <c r="R6" s="13">
        <f>'TUSD BE'!$R$6*'TUSD BE'!$R$58</f>
        <v>0</v>
      </c>
      <c r="S6" s="13">
        <f>'TUSD BE'!$R$6*'TUSD BE'!$S$58</f>
        <v>0</v>
      </c>
      <c r="T6" s="13">
        <f ca="1">SUM($L$6:$S$6)</f>
        <v>0</v>
      </c>
      <c r="U6" s="13">
        <f>'TUSD BE'!$U$6*'TUSD BE'!$U$58</f>
        <v>0</v>
      </c>
      <c r="V6" s="13">
        <f>'TUSD BE'!$V$6*'TUSD BE'!$V$58</f>
        <v>0</v>
      </c>
      <c r="W6" s="13">
        <f>'TUSD BE'!$W$6*'TUSD BE'!$W$58</f>
        <v>0</v>
      </c>
      <c r="X6" s="13">
        <f>'TUSD BE'!$X$6*'TUSD BE'!$X$58</f>
        <v>0</v>
      </c>
      <c r="Y6" s="13">
        <f>'TUSD BE'!$Y$6*'TUSD BE'!$Y$58</f>
        <v>9.235908281171247E-2</v>
      </c>
      <c r="Z6" s="13">
        <f>'TUSD BE'!$Z$6*'TUSD BE'!$Z$58</f>
        <v>0</v>
      </c>
      <c r="AA6" s="13">
        <f>'TUSD BE'!$AA$6*'TUSD BE'!$AA$58</f>
        <v>0</v>
      </c>
      <c r="AB6" s="13">
        <f>SUM($U$6:$AA$6)</f>
        <v>9.235908281171247E-2</v>
      </c>
      <c r="AC6" s="13">
        <f>'TUSD BE'!$AC$6*'TUSD BE'!$AC$58</f>
        <v>0</v>
      </c>
      <c r="AD6" s="13">
        <f>SUM($AC$6:$AC$6)</f>
        <v>0</v>
      </c>
      <c r="AE6" s="13">
        <f ca="1">$AO$6*$AO$55</f>
        <v>-5.1743872308518988</v>
      </c>
      <c r="AF6" s="13">
        <f ca="1">$AP$6*$AP$55</f>
        <v>0</v>
      </c>
      <c r="AG6" s="13">
        <f ca="1">SUM($AE$6:$AF$6)</f>
        <v>-5.1743872308518988</v>
      </c>
      <c r="AH6" s="13">
        <f>'TUSD BE'!$AH$6*'TUSD BE'!$AH$58</f>
        <v>0</v>
      </c>
      <c r="AI6" s="13">
        <f>'TUSD BE'!$AI$6*'TUSD BE'!$AI$58</f>
        <v>0</v>
      </c>
      <c r="AJ6" s="13">
        <f ca="1">'TUSD BE'!$AJ$6*'TUSD BE'!$AJ$58</f>
        <v>0</v>
      </c>
      <c r="AK6" s="13">
        <f ca="1">'TUSD BE'!$AK$6*'TUSD BE'!$AK$58</f>
        <v>0</v>
      </c>
      <c r="AL6" s="13">
        <f ca="1">SUM($AH$6:$AK$6)</f>
        <v>0</v>
      </c>
      <c r="AM6" s="13">
        <f ca="1">SUMIF($L$4:$AL$4,"SUBTOTAL",$L$6:$AL$6)</f>
        <v>-5.0820281480401865</v>
      </c>
      <c r="AO6" s="26">
        <f ca="1">+'TUSD BE'!$T$6+'TUSD BE'!$AB$6+'TUSD BE'!$AD$6+'TUSD BE'!$AL$6</f>
        <v>18.742492961307867</v>
      </c>
      <c r="AP6" s="26">
        <f ca="1">+'TUSD BE'!$T$6+'TUSD BE'!$AB$6+'TUSD BE'!$AD$6+'TUSD BE'!$AL$6</f>
        <v>18.742492961307867</v>
      </c>
    </row>
    <row r="7" spans="1:42" ht="11.25" customHeight="1" x14ac:dyDescent="0.25">
      <c r="A7" s="142"/>
      <c r="B7" s="142"/>
      <c r="C7" s="142"/>
      <c r="D7" s="142"/>
      <c r="E7" s="142"/>
      <c r="F7" s="142"/>
      <c r="G7" s="24" t="s">
        <v>79</v>
      </c>
      <c r="H7" s="24" t="s">
        <v>75</v>
      </c>
      <c r="I7" s="24">
        <f>'MERCADO TUSD'!$U$4</f>
        <v>40556.964</v>
      </c>
      <c r="J7" s="15"/>
      <c r="L7" s="13">
        <f>'TUSD BE'!$L$7*'TUSD BE'!$L$58</f>
        <v>0</v>
      </c>
      <c r="M7" s="13">
        <f>'TUSD BE'!$M$7*'TUSD BE'!$M$58</f>
        <v>-2.6818038190765696E-3</v>
      </c>
      <c r="N7" s="13">
        <f ca="1">'TUSD BE'!$N$7*'TUSD BE'!$N$58</f>
        <v>1.029636550336727E-7</v>
      </c>
      <c r="O7" s="13">
        <f>'TUSD BE'!$O$7*'TUSD BE'!$O$58</f>
        <v>0</v>
      </c>
      <c r="P7" s="13">
        <f>'TUSD BE'!$P$7*'TUSD BE'!$P$58</f>
        <v>0</v>
      </c>
      <c r="Q7" s="13">
        <f>'TUSD BE'!$Q$7*'TUSD BE'!$Q$58</f>
        <v>-1.4331716499802118</v>
      </c>
      <c r="R7" s="13">
        <f>'TUSD BE'!$R$7*'TUSD BE'!$R$58</f>
        <v>-0.25686632949670912</v>
      </c>
      <c r="S7" s="13">
        <f>'TUSD BE'!$R$7*'TUSD BE'!$S$58</f>
        <v>0</v>
      </c>
      <c r="T7" s="13">
        <f ca="1">SUM($L$7:$S$7)</f>
        <v>-1.6927196803323425</v>
      </c>
      <c r="U7" s="13">
        <f>'TUSD BE'!$U$7*'TUSD BE'!$U$58</f>
        <v>0</v>
      </c>
      <c r="V7" s="13">
        <f>'TUSD BE'!$V$7*'TUSD BE'!$V$58</f>
        <v>0</v>
      </c>
      <c r="W7" s="13">
        <f>'TUSD BE'!$W$7*'TUSD BE'!$W$58</f>
        <v>0</v>
      </c>
      <c r="X7" s="13">
        <f>'TUSD BE'!$X$7*'TUSD BE'!$X$58</f>
        <v>0</v>
      </c>
      <c r="Y7" s="13">
        <f>'TUSD BE'!$Y$7*'TUSD BE'!$Y$58</f>
        <v>0</v>
      </c>
      <c r="Z7" s="13">
        <f>'TUSD BE'!$Z$7*'TUSD BE'!$Z$58</f>
        <v>0</v>
      </c>
      <c r="AA7" s="13">
        <f>'TUSD BE'!$AA$7*'TUSD BE'!$AA$58</f>
        <v>0</v>
      </c>
      <c r="AB7" s="13">
        <f>SUM($U$7:$AA$7)</f>
        <v>0</v>
      </c>
      <c r="AC7" s="13">
        <f>'TUSD BE'!$AC$7*'TUSD BE'!$AC$58</f>
        <v>0</v>
      </c>
      <c r="AD7" s="13">
        <f>SUM($AC$7:$AC$7)</f>
        <v>0</v>
      </c>
      <c r="AE7" s="13">
        <f ca="1">$AO$7*$AO$55</f>
        <v>-25.840128802940797</v>
      </c>
      <c r="AF7" s="13">
        <f ca="1">$AP$7*$AP$55</f>
        <v>0</v>
      </c>
      <c r="AG7" s="13">
        <f ca="1">SUM($AE$7:$AF$7)</f>
        <v>-25.840128802940797</v>
      </c>
      <c r="AH7" s="13">
        <f>'TUSD BE'!$AH$7*'TUSD BE'!$AH$58</f>
        <v>-3.590202070009009E-2</v>
      </c>
      <c r="AI7" s="13">
        <f>'TUSD BE'!$AI$7*'TUSD BE'!$AI$58</f>
        <v>-1.2317403950862062E-3</v>
      </c>
      <c r="AJ7" s="13">
        <f ca="1">'TUSD BE'!$AJ$7*'TUSD BE'!$AJ$58</f>
        <v>-2.4489735517691756E-2</v>
      </c>
      <c r="AK7" s="13">
        <f ca="1">'TUSD BE'!$AK$7*'TUSD BE'!$AK$58</f>
        <v>3.7255022262425034E-3</v>
      </c>
      <c r="AL7" s="13">
        <f ca="1">SUM($AH$7:$AK$7)</f>
        <v>-5.7897994386625552E-2</v>
      </c>
      <c r="AM7" s="13">
        <f ca="1">SUMIF($L$4:$AL$4,"SUBTOTAL",$L$7:$AL$7)</f>
        <v>-27.590746477659764</v>
      </c>
      <c r="AO7" s="26">
        <f ca="1">+'TUSD BE'!$T$7+'TUSD BE'!$AB$7+'TUSD BE'!$AD$7+'TUSD BE'!$AL$7</f>
        <v>93.597253278756099</v>
      </c>
      <c r="AP7" s="26">
        <f ca="1">+'TUSD BE'!$T$7+'TUSD BE'!$AB$7+'TUSD BE'!$AD$7+'TUSD BE'!$AL$7</f>
        <v>93.597253278756099</v>
      </c>
    </row>
    <row r="8" spans="1:42" ht="11.25" customHeight="1" x14ac:dyDescent="0.25">
      <c r="A8" s="142"/>
      <c r="B8" s="142"/>
      <c r="C8" s="142"/>
      <c r="D8" s="142"/>
      <c r="E8" s="23" t="s">
        <v>83</v>
      </c>
      <c r="F8" s="23" t="s">
        <v>25</v>
      </c>
      <c r="G8" s="24" t="s">
        <v>79</v>
      </c>
      <c r="H8" s="24" t="s">
        <v>75</v>
      </c>
      <c r="I8" s="24">
        <f>'MERCADO TUSD'!$U$5</f>
        <v>0</v>
      </c>
      <c r="J8" s="15"/>
      <c r="L8" s="13">
        <f>'TUSD BE'!$L$8*'TUSD BE'!$L$58</f>
        <v>0</v>
      </c>
      <c r="M8" s="13">
        <f>'TUSD BE'!$M$8*'TUSD BE'!$M$58</f>
        <v>-2.6818038190765696E-3</v>
      </c>
      <c r="N8" s="13">
        <f ca="1">'TUSD BE'!$N$8*'TUSD BE'!$N$58</f>
        <v>9.2353082124942508E-8</v>
      </c>
      <c r="O8" s="13">
        <f>'TUSD BE'!$O$8*'TUSD BE'!$O$58</f>
        <v>0</v>
      </c>
      <c r="P8" s="13">
        <f>'TUSD BE'!$P$8*'TUSD BE'!$P$58</f>
        <v>0</v>
      </c>
      <c r="Q8" s="13">
        <f>'TUSD BE'!$Q$8*'TUSD BE'!$Q$58</f>
        <v>0</v>
      </c>
      <c r="R8" s="13">
        <f>'TUSD BE'!$R$8*'TUSD BE'!$R$58</f>
        <v>0</v>
      </c>
      <c r="S8" s="13">
        <f>'TUSD BE'!$R$8*'TUSD BE'!$S$58</f>
        <v>0</v>
      </c>
      <c r="T8" s="13">
        <f ca="1">SUM($L$8:$S$8)</f>
        <v>-2.6817114659944447E-3</v>
      </c>
      <c r="U8" s="13">
        <f>'TUSD BE'!$U$8*'TUSD BE'!$U$58</f>
        <v>0</v>
      </c>
      <c r="V8" s="13">
        <f>'TUSD BE'!$V$8*'TUSD BE'!$V$58</f>
        <v>0</v>
      </c>
      <c r="W8" s="13">
        <f>'TUSD BE'!$W$8*'TUSD BE'!$W$58</f>
        <v>0</v>
      </c>
      <c r="X8" s="13">
        <f>'TUSD BE'!$X$8*'TUSD BE'!$X$58</f>
        <v>0</v>
      </c>
      <c r="Y8" s="13">
        <f>'TUSD BE'!$Y$8*'TUSD BE'!$Y$58</f>
        <v>0</v>
      </c>
      <c r="Z8" s="13">
        <f>'TUSD BE'!$Z$8*'TUSD BE'!$Z$58</f>
        <v>0</v>
      </c>
      <c r="AA8" s="13">
        <f>'TUSD BE'!$AA$8*'TUSD BE'!$AA$58</f>
        <v>0</v>
      </c>
      <c r="AB8" s="13">
        <f>SUM($U$8:$AA$8)</f>
        <v>0</v>
      </c>
      <c r="AC8" s="13">
        <f>'TUSD BE'!$AC$8*'TUSD BE'!$AC$58</f>
        <v>0</v>
      </c>
      <c r="AD8" s="13">
        <f>SUM($AC$8:$AC$8)</f>
        <v>0</v>
      </c>
      <c r="AE8" s="13">
        <f ca="1">$AO$8*$AO$55</f>
        <v>-1.2645756724936796</v>
      </c>
      <c r="AF8" s="13">
        <f ca="1">$AP$8*$AP$55</f>
        <v>0</v>
      </c>
      <c r="AG8" s="13">
        <f ca="1">SUM($AE$8:$AF$8)</f>
        <v>-1.2645756724936796</v>
      </c>
      <c r="AH8" s="13">
        <f>'TUSD BE'!$AH$8*'TUSD BE'!$AH$58</f>
        <v>-3.590202070009009E-2</v>
      </c>
      <c r="AI8" s="13">
        <f>'TUSD BE'!$AI$8*'TUSD BE'!$AI$58</f>
        <v>-1.2317403950862062E-3</v>
      </c>
      <c r="AJ8" s="13">
        <f ca="1">'TUSD BE'!$AJ$8*'TUSD BE'!$AJ$58</f>
        <v>-2.4489735517691756E-2</v>
      </c>
      <c r="AK8" s="13">
        <f ca="1">'TUSD BE'!$AK$8*'TUSD BE'!$AK$58</f>
        <v>3.7255022262425034E-3</v>
      </c>
      <c r="AL8" s="13">
        <f ca="1">SUM($AH$8:$AK$8)</f>
        <v>-5.7897994386625552E-2</v>
      </c>
      <c r="AM8" s="13">
        <f ca="1">SUMIF($L$4:$AL$4,"SUBTOTAL",$L$8:$AL$8)</f>
        <v>-1.3251553783462997</v>
      </c>
      <c r="AO8" s="26">
        <f ca="1">+'TUSD BE'!$T$8+'TUSD BE'!$AB$8+'TUSD BE'!$AD$8+'TUSD BE'!$AL$8</f>
        <v>4.5805038516322689</v>
      </c>
      <c r="AP8" s="26">
        <f ca="1">+'TUSD BE'!$T$8+'TUSD BE'!$AB$8+'TUSD BE'!$AD$8+'TUSD BE'!$AL$8</f>
        <v>4.5805038516322689</v>
      </c>
    </row>
    <row r="9" spans="1:42" ht="11.25" customHeight="1" x14ac:dyDescent="0.25">
      <c r="A9" s="142"/>
      <c r="B9" s="23" t="s">
        <v>84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80</v>
      </c>
      <c r="I9" s="24">
        <f>'MERCADO TUSD'!$U$6</f>
        <v>0</v>
      </c>
      <c r="J9" s="15"/>
      <c r="L9" s="13">
        <f>'TUSD BE'!$L$9*'TUSD BE'!$L$58</f>
        <v>0</v>
      </c>
      <c r="M9" s="13">
        <f>'TUSD BE'!$M$9*'TUSD BE'!$M$58</f>
        <v>-4.6123934326684096E-4</v>
      </c>
      <c r="N9" s="13">
        <f ca="1">'TUSD BE'!$N$9*'TUSD BE'!$N$58</f>
        <v>7.1939684321190724E-8</v>
      </c>
      <c r="O9" s="13">
        <f>'TUSD BE'!$O$9*'TUSD BE'!$O$58</f>
        <v>0</v>
      </c>
      <c r="P9" s="13">
        <f>'TUSD BE'!$P$9*'TUSD BE'!$P$58</f>
        <v>0</v>
      </c>
      <c r="Q9" s="13">
        <f>'TUSD BE'!$Q$9*'TUSD BE'!$Q$58</f>
        <v>0</v>
      </c>
      <c r="R9" s="13">
        <f>'TUSD BE'!$R$9*'TUSD BE'!$R$58</f>
        <v>0</v>
      </c>
      <c r="S9" s="13">
        <f>'TUSD BE'!$R$9*'TUSD BE'!$S$58</f>
        <v>0</v>
      </c>
      <c r="T9" s="13">
        <f ca="1">SUM($L$9:$S$9)</f>
        <v>-4.6116740358251979E-4</v>
      </c>
      <c r="U9" s="13">
        <f>'TUSD BE'!$U$9*'TUSD BE'!$U$58</f>
        <v>0</v>
      </c>
      <c r="V9" s="13">
        <f>'TUSD BE'!$V$9*'TUSD BE'!$V$58</f>
        <v>0</v>
      </c>
      <c r="W9" s="13">
        <f>'TUSD BE'!$W$9*'TUSD BE'!$W$58</f>
        <v>0</v>
      </c>
      <c r="X9" s="13">
        <f>'TUSD BE'!$X$9*'TUSD BE'!$X$58</f>
        <v>0</v>
      </c>
      <c r="Y9" s="13">
        <f>'TUSD BE'!$Y$9*'TUSD BE'!$Y$58</f>
        <v>0</v>
      </c>
      <c r="Z9" s="13">
        <f>'TUSD BE'!$Z$9*'TUSD BE'!$Z$58</f>
        <v>0</v>
      </c>
      <c r="AA9" s="13">
        <f>'TUSD BE'!$AA$9*'TUSD BE'!$AA$58</f>
        <v>0</v>
      </c>
      <c r="AB9" s="13">
        <f>SUM($U$9:$AA$9)</f>
        <v>0</v>
      </c>
      <c r="AC9" s="13">
        <f>'TUSD BE'!$AC$9*'TUSD BE'!$AC$58</f>
        <v>0</v>
      </c>
      <c r="AD9" s="13">
        <f>SUM($AC$9:$AC$9)</f>
        <v>0</v>
      </c>
      <c r="AE9" s="13">
        <f ca="1">$AO$9*$AO$55</f>
        <v>-2.0366331771274715</v>
      </c>
      <c r="AF9" s="13">
        <f ca="1">$AP$9*$AP$55</f>
        <v>0</v>
      </c>
      <c r="AG9" s="13">
        <f ca="1">SUM($AE$9:$AF$9)</f>
        <v>-2.0366331771274715</v>
      </c>
      <c r="AH9" s="13">
        <f>'TUSD BE'!$AH$9*'TUSD BE'!$AH$58</f>
        <v>0</v>
      </c>
      <c r="AI9" s="13">
        <f>'TUSD BE'!$AI$9*'TUSD BE'!$AI$58</f>
        <v>0</v>
      </c>
      <c r="AJ9" s="13">
        <f ca="1">'TUSD BE'!$AJ$9*'TUSD BE'!$AJ$58</f>
        <v>0</v>
      </c>
      <c r="AK9" s="13">
        <f ca="1">'TUSD BE'!$AK$9*'TUSD BE'!$AK$58</f>
        <v>0</v>
      </c>
      <c r="AL9" s="13">
        <f ca="1">SUM($AH$9:$AK$9)</f>
        <v>0</v>
      </c>
      <c r="AM9" s="13">
        <f ca="1">SUMIF($L$4:$AL$4,"SUBTOTAL",$L$9:$AL$9)</f>
        <v>-2.0370943445310541</v>
      </c>
      <c r="AO9" s="26">
        <f ca="1">+'TUSD BE'!$T$9+'TUSD BE'!$AB$9+'TUSD BE'!$AD$9+'TUSD BE'!$AL$9</f>
        <v>7.3770248116496751</v>
      </c>
      <c r="AP9" s="26">
        <f ca="1">+'TUSD BE'!$T$9+'TUSD BE'!$AB$9+'TUSD BE'!$AD$9+'TUSD BE'!$AL$9</f>
        <v>7.3770248116496751</v>
      </c>
    </row>
    <row r="10" spans="1:42" ht="11.25" customHeight="1" x14ac:dyDescent="0.25">
      <c r="A10" s="142"/>
      <c r="B10" s="142" t="s">
        <v>39</v>
      </c>
      <c r="C10" s="142" t="s">
        <v>25</v>
      </c>
      <c r="D10" s="142" t="s">
        <v>25</v>
      </c>
      <c r="E10" s="142" t="s">
        <v>25</v>
      </c>
      <c r="F10" s="142" t="s">
        <v>25</v>
      </c>
      <c r="G10" s="24" t="s">
        <v>9</v>
      </c>
      <c r="H10" s="24" t="s">
        <v>80</v>
      </c>
      <c r="I10" s="24">
        <f>'MERCADO TUSD'!$U$7</f>
        <v>37121</v>
      </c>
      <c r="J10" s="15"/>
      <c r="L10" s="13">
        <f>'TUSD BE'!$L$10*'TUSD BE'!$L$58</f>
        <v>0</v>
      </c>
      <c r="M10" s="13">
        <f>'TUSD BE'!$M$10*'TUSD BE'!$M$58</f>
        <v>0</v>
      </c>
      <c r="N10" s="13">
        <f ca="1">'TUSD BE'!$N$10*'TUSD BE'!$N$58</f>
        <v>0</v>
      </c>
      <c r="O10" s="13">
        <f>'TUSD BE'!$O$10*'TUSD BE'!$O$58</f>
        <v>0</v>
      </c>
      <c r="P10" s="13">
        <f>'TUSD BE'!$P$10*'TUSD BE'!$P$58</f>
        <v>0</v>
      </c>
      <c r="Q10" s="13">
        <f>'TUSD BE'!$Q$10*'TUSD BE'!$Q$58</f>
        <v>0</v>
      </c>
      <c r="R10" s="13">
        <f>'TUSD BE'!$R$10*'TUSD BE'!$R$58</f>
        <v>0</v>
      </c>
      <c r="S10" s="13">
        <f>'TUSD BE'!$R$10*'TUSD BE'!$S$58</f>
        <v>0</v>
      </c>
      <c r="T10" s="13">
        <f ca="1">SUM($L$10:$S$10)</f>
        <v>0</v>
      </c>
      <c r="U10" s="13">
        <f>'TUSD BE'!$U$10*'TUSD BE'!$U$58</f>
        <v>0</v>
      </c>
      <c r="V10" s="13">
        <f>'TUSD BE'!$V$10*'TUSD BE'!$V$58</f>
        <v>0</v>
      </c>
      <c r="W10" s="13">
        <f>'TUSD BE'!$W$10*'TUSD BE'!$W$58</f>
        <v>0</v>
      </c>
      <c r="X10" s="13">
        <f>'TUSD BE'!$X$10*'TUSD BE'!$X$58</f>
        <v>0</v>
      </c>
      <c r="Y10" s="13">
        <f>'TUSD BE'!$Y$10*'TUSD BE'!$Y$58</f>
        <v>9.235908281171247E-2</v>
      </c>
      <c r="Z10" s="13">
        <f>'TUSD BE'!$Z$10*'TUSD BE'!$Z$58</f>
        <v>0</v>
      </c>
      <c r="AA10" s="13">
        <f>'TUSD BE'!$AA$10*'TUSD BE'!$AA$58</f>
        <v>0</v>
      </c>
      <c r="AB10" s="13">
        <f>SUM($U$10:$AA$10)</f>
        <v>9.235908281171247E-2</v>
      </c>
      <c r="AC10" s="13">
        <f>'TUSD BE'!$AC$10*'TUSD BE'!$AC$58</f>
        <v>0</v>
      </c>
      <c r="AD10" s="13">
        <f>SUM($AC$10:$AC$10)</f>
        <v>0</v>
      </c>
      <c r="AE10" s="13">
        <f ca="1">$AO$10*$AO$55</f>
        <v>-5.1743872308518988</v>
      </c>
      <c r="AF10" s="13">
        <f ca="1">$AP$10*$AP$55</f>
        <v>0</v>
      </c>
      <c r="AG10" s="13">
        <f ca="1">SUM($AE$10:$AF$10)</f>
        <v>-5.1743872308518988</v>
      </c>
      <c r="AH10" s="13">
        <f>'TUSD BE'!$AH$10*'TUSD BE'!$AH$58</f>
        <v>0</v>
      </c>
      <c r="AI10" s="13">
        <f>'TUSD BE'!$AI$10*'TUSD BE'!$AI$58</f>
        <v>0</v>
      </c>
      <c r="AJ10" s="13">
        <f ca="1">'TUSD BE'!$AJ$10*'TUSD BE'!$AJ$58</f>
        <v>0</v>
      </c>
      <c r="AK10" s="13">
        <f ca="1">'TUSD BE'!$AK$10*'TUSD BE'!$AK$58</f>
        <v>0</v>
      </c>
      <c r="AL10" s="13">
        <f ca="1">SUM($AH$10:$AK$10)</f>
        <v>0</v>
      </c>
      <c r="AM10" s="13">
        <f ca="1">SUMIF($L$4:$AL$4,"SUBTOTAL",$L$10:$AL$10)</f>
        <v>-5.0820281480401865</v>
      </c>
      <c r="AO10" s="26">
        <f ca="1">+'TUSD BE'!$T$10+'TUSD BE'!$AB$10+'TUSD BE'!$AD$10+'TUSD BE'!$AL$10</f>
        <v>18.742492961307867</v>
      </c>
      <c r="AP10" s="26">
        <f ca="1">+'TUSD BE'!$T$10+'TUSD BE'!$AB$10+'TUSD BE'!$AD$10+'TUSD BE'!$AL$10</f>
        <v>18.742492961307867</v>
      </c>
    </row>
    <row r="11" spans="1:42" ht="11.25" customHeight="1" x14ac:dyDescent="0.25">
      <c r="A11" s="142"/>
      <c r="B11" s="142"/>
      <c r="C11" s="142"/>
      <c r="D11" s="142"/>
      <c r="E11" s="142"/>
      <c r="F11" s="142"/>
      <c r="G11" s="24" t="s">
        <v>76</v>
      </c>
      <c r="H11" s="24" t="s">
        <v>75</v>
      </c>
      <c r="I11" s="24">
        <f>'MERCADO TUSD'!$U$8</f>
        <v>280.50399999999996</v>
      </c>
      <c r="J11" s="15"/>
      <c r="L11" s="13">
        <f>'TUSD BE'!$L$11*'TUSD BE'!$L$58</f>
        <v>0</v>
      </c>
      <c r="M11" s="13">
        <f>'TUSD BE'!$M$11*'TUSD BE'!$M$58</f>
        <v>-2.6818038190765696E-3</v>
      </c>
      <c r="N11" s="13">
        <f ca="1">'TUSD BE'!$N$11*'TUSD BE'!$N$58</f>
        <v>1.2066167092882338E-5</v>
      </c>
      <c r="O11" s="13">
        <f>'TUSD BE'!$O$11*'TUSD BE'!$O$58</f>
        <v>0</v>
      </c>
      <c r="P11" s="13">
        <f>'TUSD BE'!$P$11*'TUSD BE'!$P$58</f>
        <v>0</v>
      </c>
      <c r="Q11" s="13">
        <f>'TUSD BE'!$Q$11*'TUSD BE'!$Q$58</f>
        <v>-1.4331716499802118</v>
      </c>
      <c r="R11" s="13">
        <f>'TUSD BE'!$R$11*'TUSD BE'!$R$58</f>
        <v>-0.25686632949670912</v>
      </c>
      <c r="S11" s="13">
        <f>'TUSD BE'!$R$11*'TUSD BE'!$S$58</f>
        <v>0</v>
      </c>
      <c r="T11" s="13">
        <f ca="1">SUM($L$11:$S$11)</f>
        <v>-1.6927077171289047</v>
      </c>
      <c r="U11" s="13">
        <f>'TUSD BE'!$U$11*'TUSD BE'!$U$58</f>
        <v>0</v>
      </c>
      <c r="V11" s="13">
        <f>'TUSD BE'!$V$11*'TUSD BE'!$V$58</f>
        <v>0</v>
      </c>
      <c r="W11" s="13">
        <f>'TUSD BE'!$W$11*'TUSD BE'!$W$58</f>
        <v>0</v>
      </c>
      <c r="X11" s="13">
        <f>'TUSD BE'!$X$11*'TUSD BE'!$X$58</f>
        <v>0</v>
      </c>
      <c r="Y11" s="13">
        <f>'TUSD BE'!$Y$11*'TUSD BE'!$Y$58</f>
        <v>5.6525543532070204</v>
      </c>
      <c r="Z11" s="13">
        <f>'TUSD BE'!$Z$11*'TUSD BE'!$Z$58</f>
        <v>0</v>
      </c>
      <c r="AA11" s="13">
        <f>'TUSD BE'!$AA$11*'TUSD BE'!$AA$58</f>
        <v>0</v>
      </c>
      <c r="AB11" s="13">
        <f>SUM($U$11:$AA$11)</f>
        <v>5.6525543532070204</v>
      </c>
      <c r="AC11" s="13">
        <f>'TUSD BE'!$AC$11*'TUSD BE'!$AC$58</f>
        <v>0</v>
      </c>
      <c r="AD11" s="13">
        <f>SUM($AC$11:$AC$11)</f>
        <v>0</v>
      </c>
      <c r="AE11" s="13">
        <f ca="1">$AO$11*$AO$55</f>
        <v>-391.81689254899322</v>
      </c>
      <c r="AF11" s="13">
        <f ca="1">$AP$11*$AP$55</f>
        <v>0</v>
      </c>
      <c r="AG11" s="13">
        <f ca="1">SUM($AE$11:$AF$11)</f>
        <v>-391.81689254899322</v>
      </c>
      <c r="AH11" s="13">
        <f>'TUSD BE'!$AH$11*'TUSD BE'!$AH$58</f>
        <v>-3.590202070009009E-2</v>
      </c>
      <c r="AI11" s="13">
        <f>'TUSD BE'!$AI$11*'TUSD BE'!$AI$58</f>
        <v>-1.2317403950862062E-3</v>
      </c>
      <c r="AJ11" s="13">
        <f ca="1">'TUSD BE'!$AJ$11*'TUSD BE'!$AJ$58</f>
        <v>-2.4489735517691756E-2</v>
      </c>
      <c r="AK11" s="13">
        <f ca="1">'TUSD BE'!$AK$11*'TUSD BE'!$AK$58</f>
        <v>3.7255022262425034E-3</v>
      </c>
      <c r="AL11" s="13">
        <f ca="1">SUM($AH$11:$AK$11)</f>
        <v>-5.7897994386625552E-2</v>
      </c>
      <c r="AM11" s="13">
        <f ca="1">SUMIF($L$4:$AL$4,"SUBTOTAL",$L$11:$AL$11)</f>
        <v>-387.91494390730173</v>
      </c>
      <c r="AO11" s="26">
        <f ca="1">+'TUSD BE'!$T$11+'TUSD BE'!$AB$11+'TUSD BE'!$AD$11+'TUSD BE'!$AL$11</f>
        <v>1419.2260886342651</v>
      </c>
      <c r="AP11" s="26">
        <f ca="1">+'TUSD BE'!$T$11+'TUSD BE'!$AB$11+'TUSD BE'!$AD$11+'TUSD BE'!$AL$11</f>
        <v>1419.2260886342651</v>
      </c>
    </row>
    <row r="12" spans="1:42" ht="11.25" customHeight="1" x14ac:dyDescent="0.25">
      <c r="A12" s="142"/>
      <c r="B12" s="142"/>
      <c r="C12" s="142"/>
      <c r="D12" s="142"/>
      <c r="E12" s="142"/>
      <c r="F12" s="142"/>
      <c r="G12" s="24" t="s">
        <v>77</v>
      </c>
      <c r="H12" s="24" t="s">
        <v>75</v>
      </c>
      <c r="I12" s="24">
        <f>'MERCADO TUSD'!$U$9</f>
        <v>7558.6610000000001</v>
      </c>
      <c r="J12" s="15"/>
      <c r="L12" s="13">
        <f>'TUSD BE'!$L$12*'TUSD BE'!$L$58</f>
        <v>0</v>
      </c>
      <c r="M12" s="13">
        <f>'TUSD BE'!$M$12*'TUSD BE'!$M$58</f>
        <v>-2.6818038190765696E-3</v>
      </c>
      <c r="N12" s="13">
        <f ca="1">'TUSD BE'!$N$12*'TUSD BE'!$N$58</f>
        <v>1.029636550336727E-7</v>
      </c>
      <c r="O12" s="13">
        <f>'TUSD BE'!$O$12*'TUSD BE'!$O$58</f>
        <v>0</v>
      </c>
      <c r="P12" s="13">
        <f>'TUSD BE'!$P$12*'TUSD BE'!$P$58</f>
        <v>0</v>
      </c>
      <c r="Q12" s="13">
        <f>'TUSD BE'!$Q$12*'TUSD BE'!$Q$58</f>
        <v>-1.4331716499802118</v>
      </c>
      <c r="R12" s="13">
        <f>'TUSD BE'!$R$12*'TUSD BE'!$R$58</f>
        <v>-0.25686632949670912</v>
      </c>
      <c r="S12" s="13">
        <f>'TUSD BE'!$R$12*'TUSD BE'!$S$58</f>
        <v>0</v>
      </c>
      <c r="T12" s="13">
        <f ca="1">SUM($L$12:$S$12)</f>
        <v>-1.6927196803323425</v>
      </c>
      <c r="U12" s="13">
        <f>'TUSD BE'!$U$12*'TUSD BE'!$U$58</f>
        <v>0</v>
      </c>
      <c r="V12" s="13">
        <f>'TUSD BE'!$V$12*'TUSD BE'!$V$58</f>
        <v>0</v>
      </c>
      <c r="W12" s="13">
        <f>'TUSD BE'!$W$12*'TUSD BE'!$W$58</f>
        <v>0</v>
      </c>
      <c r="X12" s="13">
        <f>'TUSD BE'!$X$12*'TUSD BE'!$X$58</f>
        <v>0</v>
      </c>
      <c r="Y12" s="13">
        <f>'TUSD BE'!$Y$12*'TUSD BE'!$Y$58</f>
        <v>0</v>
      </c>
      <c r="Z12" s="13">
        <f>'TUSD BE'!$Z$12*'TUSD BE'!$Z$58</f>
        <v>0</v>
      </c>
      <c r="AA12" s="13">
        <f>'TUSD BE'!$AA$12*'TUSD BE'!$AA$58</f>
        <v>0</v>
      </c>
      <c r="AB12" s="13">
        <f>SUM($U$12:$AA$12)</f>
        <v>0</v>
      </c>
      <c r="AC12" s="13">
        <f>'TUSD BE'!$AC$12*'TUSD BE'!$AC$58</f>
        <v>0</v>
      </c>
      <c r="AD12" s="13">
        <f>SUM($AC$12:$AC$12)</f>
        <v>0</v>
      </c>
      <c r="AE12" s="13">
        <f ca="1">$AO$12*$AO$55</f>
        <v>-25.840128802940797</v>
      </c>
      <c r="AF12" s="13">
        <f ca="1">$AP$12*$AP$55</f>
        <v>0</v>
      </c>
      <c r="AG12" s="13">
        <f ca="1">SUM($AE$12:$AF$12)</f>
        <v>-25.840128802940797</v>
      </c>
      <c r="AH12" s="13">
        <f>'TUSD BE'!$AH$12*'TUSD BE'!$AH$58</f>
        <v>-3.590202070009009E-2</v>
      </c>
      <c r="AI12" s="13">
        <f>'TUSD BE'!$AI$12*'TUSD BE'!$AI$58</f>
        <v>-1.2317403950862062E-3</v>
      </c>
      <c r="AJ12" s="13">
        <f ca="1">'TUSD BE'!$AJ$12*'TUSD BE'!$AJ$58</f>
        <v>-2.4489735517691756E-2</v>
      </c>
      <c r="AK12" s="13">
        <f ca="1">'TUSD BE'!$AK$12*'TUSD BE'!$AK$58</f>
        <v>3.7255022262425034E-3</v>
      </c>
      <c r="AL12" s="13">
        <f ca="1">SUM($AH$12:$AK$12)</f>
        <v>-5.7897994386625552E-2</v>
      </c>
      <c r="AM12" s="13">
        <f ca="1">SUMIF($L$4:$AL$4,"SUBTOTAL",$L$12:$AL$12)</f>
        <v>-27.590746477659764</v>
      </c>
      <c r="AO12" s="26">
        <f ca="1">+'TUSD BE'!$T$12+'TUSD BE'!$AB$12+'TUSD BE'!$AD$12+'TUSD BE'!$AL$12</f>
        <v>93.597253278756099</v>
      </c>
      <c r="AP12" s="26">
        <f ca="1">+'TUSD BE'!$T$12+'TUSD BE'!$AB$12+'TUSD BE'!$AD$12+'TUSD BE'!$AL$12</f>
        <v>93.597253278756099</v>
      </c>
    </row>
    <row r="13" spans="1:42" ht="11.25" customHeight="1" x14ac:dyDescent="0.25">
      <c r="A13" s="142"/>
      <c r="B13" s="142"/>
      <c r="C13" s="142"/>
      <c r="D13" s="142"/>
      <c r="E13" s="142" t="s">
        <v>83</v>
      </c>
      <c r="F13" s="142" t="s">
        <v>25</v>
      </c>
      <c r="G13" s="24" t="s">
        <v>76</v>
      </c>
      <c r="H13" s="24" t="s">
        <v>75</v>
      </c>
      <c r="I13" s="24">
        <f>'MERCADO TUSD'!$U$10</f>
        <v>0</v>
      </c>
      <c r="J13" s="15"/>
      <c r="L13" s="13">
        <f>'TUSD BE'!$L$13*'TUSD BE'!$L$58</f>
        <v>0</v>
      </c>
      <c r="M13" s="13">
        <f>'TUSD BE'!$M$13*'TUSD BE'!$M$58</f>
        <v>-2.6818038190765696E-3</v>
      </c>
      <c r="N13" s="13">
        <f ca="1">'TUSD BE'!$N$13*'TUSD BE'!$N$58</f>
        <v>1.2055556519973607E-5</v>
      </c>
      <c r="O13" s="13">
        <f>'TUSD BE'!$O$13*'TUSD BE'!$O$58</f>
        <v>0</v>
      </c>
      <c r="P13" s="13">
        <f>'TUSD BE'!$P$13*'TUSD BE'!$P$58</f>
        <v>0</v>
      </c>
      <c r="Q13" s="13">
        <f>'TUSD BE'!$Q$13*'TUSD BE'!$Q$58</f>
        <v>0</v>
      </c>
      <c r="R13" s="13">
        <f>'TUSD BE'!$R$13*'TUSD BE'!$R$58</f>
        <v>0</v>
      </c>
      <c r="S13" s="13">
        <f>'TUSD BE'!$R$13*'TUSD BE'!$S$58</f>
        <v>0</v>
      </c>
      <c r="T13" s="13">
        <f ca="1">SUM($L$13:$S$13)</f>
        <v>-2.6697482625565958E-3</v>
      </c>
      <c r="U13" s="13">
        <f>'TUSD BE'!$U$13*'TUSD BE'!$U$58</f>
        <v>0</v>
      </c>
      <c r="V13" s="13">
        <f>'TUSD BE'!$V$13*'TUSD BE'!$V$58</f>
        <v>0</v>
      </c>
      <c r="W13" s="13">
        <f>'TUSD BE'!$W$13*'TUSD BE'!$W$58</f>
        <v>0</v>
      </c>
      <c r="X13" s="13">
        <f>'TUSD BE'!$X$13*'TUSD BE'!$X$58</f>
        <v>0</v>
      </c>
      <c r="Y13" s="13">
        <f>'TUSD BE'!$Y$13*'TUSD BE'!$Y$58</f>
        <v>5.6525543532070204</v>
      </c>
      <c r="Z13" s="13">
        <f>'TUSD BE'!$Z$13*'TUSD BE'!$Z$58</f>
        <v>0</v>
      </c>
      <c r="AA13" s="13">
        <f>'TUSD BE'!$AA$13*'TUSD BE'!$AA$58</f>
        <v>0</v>
      </c>
      <c r="AB13" s="13">
        <f>SUM($U$13:$AA$13)</f>
        <v>5.6525543532070204</v>
      </c>
      <c r="AC13" s="13">
        <f>'TUSD BE'!$AC$13*'TUSD BE'!$AC$58</f>
        <v>0</v>
      </c>
      <c r="AD13" s="13">
        <f>SUM($AC$13:$AC$13)</f>
        <v>0</v>
      </c>
      <c r="AE13" s="13">
        <f ca="1">$AO$13*$AO$55</f>
        <v>-367.24133941854609</v>
      </c>
      <c r="AF13" s="13">
        <f ca="1">$AP$13*$AP$55</f>
        <v>0</v>
      </c>
      <c r="AG13" s="13">
        <f ca="1">SUM($AE$13:$AF$13)</f>
        <v>-367.24133941854609</v>
      </c>
      <c r="AH13" s="13">
        <f>'TUSD BE'!$AH$13*'TUSD BE'!$AH$58</f>
        <v>-3.590202070009009E-2</v>
      </c>
      <c r="AI13" s="13">
        <f>'TUSD BE'!$AI$13*'TUSD BE'!$AI$58</f>
        <v>-1.2317403950862062E-3</v>
      </c>
      <c r="AJ13" s="13">
        <f ca="1">'TUSD BE'!$AJ$13*'TUSD BE'!$AJ$58</f>
        <v>-2.4489735517691756E-2</v>
      </c>
      <c r="AK13" s="13">
        <f ca="1">'TUSD BE'!$AK$13*'TUSD BE'!$AK$58</f>
        <v>3.7255022262425034E-3</v>
      </c>
      <c r="AL13" s="13">
        <f ca="1">SUM($AH$13:$AK$13)</f>
        <v>-5.7897994386625552E-2</v>
      </c>
      <c r="AM13" s="13">
        <f ca="1">SUMIF($L$4:$AL$4,"SUBTOTAL",$L$13:$AL$13)</f>
        <v>-361.64935280798824</v>
      </c>
      <c r="AO13" s="26">
        <f ca="1">+'TUSD BE'!$T$13+'TUSD BE'!$AB$13+'TUSD BE'!$AD$13+'TUSD BE'!$AL$13</f>
        <v>1330.2093392071413</v>
      </c>
      <c r="AP13" s="26">
        <f ca="1">+'TUSD BE'!$T$13+'TUSD BE'!$AB$13+'TUSD BE'!$AD$13+'TUSD BE'!$AL$13</f>
        <v>1330.2093392071413</v>
      </c>
    </row>
    <row r="14" spans="1:42" ht="11.25" customHeight="1" x14ac:dyDescent="0.25">
      <c r="A14" s="142"/>
      <c r="B14" s="142"/>
      <c r="C14" s="142"/>
      <c r="D14" s="142"/>
      <c r="E14" s="142"/>
      <c r="F14" s="142"/>
      <c r="G14" s="24" t="s">
        <v>77</v>
      </c>
      <c r="H14" s="24" t="s">
        <v>75</v>
      </c>
      <c r="I14" s="24">
        <f>'MERCADO TUSD'!$U$11</f>
        <v>0</v>
      </c>
      <c r="J14" s="15"/>
      <c r="L14" s="13">
        <f>'TUSD BE'!$L$14*'TUSD BE'!$L$58</f>
        <v>0</v>
      </c>
      <c r="M14" s="13">
        <f>'TUSD BE'!$M$14*'TUSD BE'!$M$58</f>
        <v>-2.6818038190765696E-3</v>
      </c>
      <c r="N14" s="13">
        <f ca="1">'TUSD BE'!$N$14*'TUSD BE'!$N$58</f>
        <v>9.2353082124942508E-8</v>
      </c>
      <c r="O14" s="13">
        <f>'TUSD BE'!$O$14*'TUSD BE'!$O$58</f>
        <v>0</v>
      </c>
      <c r="P14" s="13">
        <f>'TUSD BE'!$P$14*'TUSD BE'!$P$58</f>
        <v>0</v>
      </c>
      <c r="Q14" s="13">
        <f>'TUSD BE'!$Q$14*'TUSD BE'!$Q$58</f>
        <v>0</v>
      </c>
      <c r="R14" s="13">
        <f>'TUSD BE'!$R$14*'TUSD BE'!$R$58</f>
        <v>0</v>
      </c>
      <c r="S14" s="13">
        <f>'TUSD BE'!$R$14*'TUSD BE'!$S$58</f>
        <v>0</v>
      </c>
      <c r="T14" s="13">
        <f ca="1">SUM($L$14:$S$14)</f>
        <v>-2.6817114659944447E-3</v>
      </c>
      <c r="U14" s="13">
        <f>'TUSD BE'!$U$14*'TUSD BE'!$U$58</f>
        <v>0</v>
      </c>
      <c r="V14" s="13">
        <f>'TUSD BE'!$V$14*'TUSD BE'!$V$58</f>
        <v>0</v>
      </c>
      <c r="W14" s="13">
        <f>'TUSD BE'!$W$14*'TUSD BE'!$W$58</f>
        <v>0</v>
      </c>
      <c r="X14" s="13">
        <f>'TUSD BE'!$X$14*'TUSD BE'!$X$58</f>
        <v>0</v>
      </c>
      <c r="Y14" s="13">
        <f>'TUSD BE'!$Y$14*'TUSD BE'!$Y$58</f>
        <v>0</v>
      </c>
      <c r="Z14" s="13">
        <f>'TUSD BE'!$Z$14*'TUSD BE'!$Z$58</f>
        <v>0</v>
      </c>
      <c r="AA14" s="13">
        <f>'TUSD BE'!$AA$14*'TUSD BE'!$AA$58</f>
        <v>0</v>
      </c>
      <c r="AB14" s="13">
        <f>SUM($U$14:$AA$14)</f>
        <v>0</v>
      </c>
      <c r="AC14" s="13">
        <f>'TUSD BE'!$AC$14*'TUSD BE'!$AC$58</f>
        <v>0</v>
      </c>
      <c r="AD14" s="13">
        <f>SUM($AC$14:$AC$14)</f>
        <v>0</v>
      </c>
      <c r="AE14" s="13">
        <f ca="1">$AO$14*$AO$55</f>
        <v>-1.2645756724936796</v>
      </c>
      <c r="AF14" s="13">
        <f ca="1">$AP$14*$AP$55</f>
        <v>0</v>
      </c>
      <c r="AG14" s="13">
        <f ca="1">SUM($AE$14:$AF$14)</f>
        <v>-1.2645756724936796</v>
      </c>
      <c r="AH14" s="13">
        <f>'TUSD BE'!$AH$14*'TUSD BE'!$AH$58</f>
        <v>-3.590202070009009E-2</v>
      </c>
      <c r="AI14" s="13">
        <f>'TUSD BE'!$AI$14*'TUSD BE'!$AI$58</f>
        <v>-1.2317403950862062E-3</v>
      </c>
      <c r="AJ14" s="13">
        <f ca="1">'TUSD BE'!$AJ$14*'TUSD BE'!$AJ$58</f>
        <v>-2.4489735517691756E-2</v>
      </c>
      <c r="AK14" s="13">
        <f ca="1">'TUSD BE'!$AK$14*'TUSD BE'!$AK$58</f>
        <v>3.7255022262425034E-3</v>
      </c>
      <c r="AL14" s="13">
        <f ca="1">SUM($AH$14:$AK$14)</f>
        <v>-5.7897994386625552E-2</v>
      </c>
      <c r="AM14" s="13">
        <f ca="1">SUMIF($L$4:$AL$4,"SUBTOTAL",$L$14:$AL$14)</f>
        <v>-1.3251553783462997</v>
      </c>
      <c r="AO14" s="26">
        <f ca="1">+'TUSD BE'!$T$14+'TUSD BE'!$AB$14+'TUSD BE'!$AD$14+'TUSD BE'!$AL$14</f>
        <v>4.5805038516322689</v>
      </c>
      <c r="AP14" s="26">
        <f ca="1">+'TUSD BE'!$T$14+'TUSD BE'!$AB$14+'TUSD BE'!$AD$14+'TUSD BE'!$AL$14</f>
        <v>4.5805038516322689</v>
      </c>
    </row>
    <row r="15" spans="1:42" ht="11.25" customHeight="1" x14ac:dyDescent="0.25">
      <c r="A15" s="142" t="s">
        <v>85</v>
      </c>
      <c r="B15" s="142" t="s">
        <v>84</v>
      </c>
      <c r="C15" s="142" t="s">
        <v>25</v>
      </c>
      <c r="D15" s="142" t="s">
        <v>25</v>
      </c>
      <c r="E15" s="23" t="s">
        <v>86</v>
      </c>
      <c r="F15" s="23" t="s">
        <v>25</v>
      </c>
      <c r="G15" s="24" t="s">
        <v>9</v>
      </c>
      <c r="H15" s="24" t="s">
        <v>80</v>
      </c>
      <c r="I15" s="24">
        <f>'MERCADO TUSD'!$U$12+0.00000001</f>
        <v>1E-8</v>
      </c>
      <c r="J15" s="15"/>
      <c r="L15" s="13">
        <f>'TUSD BE'!$L$15*'TUSD BE'!$L$58</f>
        <v>0</v>
      </c>
      <c r="M15" s="13">
        <f>'TUSD BE'!$M$15*'TUSD BE'!$M$58</f>
        <v>-3.7753294393322908E-4</v>
      </c>
      <c r="N15" s="13">
        <f ca="1">'TUSD BE'!$N$15*'TUSD BE'!$N$58</f>
        <v>5.8676468185277988E-8</v>
      </c>
      <c r="O15" s="13">
        <f>'TUSD BE'!$O$15*'TUSD BE'!$O$58</f>
        <v>0</v>
      </c>
      <c r="P15" s="13">
        <f>'TUSD BE'!$P$15*'TUSD BE'!$P$58</f>
        <v>0</v>
      </c>
      <c r="Q15" s="13">
        <f>'TUSD BE'!$Q$15*'TUSD BE'!$Q$58</f>
        <v>0</v>
      </c>
      <c r="R15" s="13">
        <f>'TUSD BE'!$R$15*'TUSD BE'!$R$58</f>
        <v>0</v>
      </c>
      <c r="S15" s="13">
        <f>'TUSD BE'!$R$15*'TUSD BE'!$S$58</f>
        <v>0</v>
      </c>
      <c r="T15" s="13">
        <f ca="1">SUM($L$15:$S$15)</f>
        <v>-3.774742674650438E-4</v>
      </c>
      <c r="U15" s="13">
        <f>'TUSD BE'!$U$15*'TUSD BE'!$U$58</f>
        <v>0</v>
      </c>
      <c r="V15" s="13">
        <f>'TUSD BE'!$V$15*'TUSD BE'!$V$58</f>
        <v>0</v>
      </c>
      <c r="W15" s="13">
        <f>'TUSD BE'!$W$15*'TUSD BE'!$W$58</f>
        <v>0</v>
      </c>
      <c r="X15" s="13">
        <f>'TUSD BE'!$X$15*'TUSD BE'!$X$58</f>
        <v>0</v>
      </c>
      <c r="Y15" s="13">
        <f>'TUSD BE'!$Y$15*'TUSD BE'!$Y$58</f>
        <v>0</v>
      </c>
      <c r="Z15" s="13">
        <f>'TUSD BE'!$Z$15*'TUSD BE'!$Z$58</f>
        <v>0</v>
      </c>
      <c r="AA15" s="13">
        <f>'TUSD BE'!$AA$15*'TUSD BE'!$AA$58</f>
        <v>0</v>
      </c>
      <c r="AB15" s="13">
        <f>SUM($U$15:$AA$15)</f>
        <v>0</v>
      </c>
      <c r="AC15" s="13">
        <f>'TUSD BE'!$AC$15*'TUSD BE'!$AC$58</f>
        <v>0</v>
      </c>
      <c r="AD15" s="13">
        <f>SUM($AC$15:$AC$15)</f>
        <v>0</v>
      </c>
      <c r="AE15" s="13">
        <f ca="1">$AO$15*$AO$55</f>
        <v>-1.6618519195985642</v>
      </c>
      <c r="AF15" s="13">
        <f ca="1">$AP$15*$AP$55</f>
        <v>0</v>
      </c>
      <c r="AG15" s="13">
        <f ca="1">SUM($AE$15:$AF$15)</f>
        <v>-1.6618519195985642</v>
      </c>
      <c r="AH15" s="13">
        <f>'TUSD BE'!$AH$15*'TUSD BE'!$AH$58</f>
        <v>0</v>
      </c>
      <c r="AI15" s="13">
        <f>'TUSD BE'!$AI$15*'TUSD BE'!$AI$58</f>
        <v>0</v>
      </c>
      <c r="AJ15" s="13">
        <f ca="1">'TUSD BE'!$AJ$15*'TUSD BE'!$AJ$58</f>
        <v>0</v>
      </c>
      <c r="AK15" s="13">
        <f ca="1">'TUSD BE'!$AK$15*'TUSD BE'!$AK$58</f>
        <v>0</v>
      </c>
      <c r="AL15" s="13">
        <f ca="1">SUM($AH$15:$AK$15)</f>
        <v>0</v>
      </c>
      <c r="AM15" s="13">
        <f ca="1">SUMIF($L$4:$AL$4,"SUBTOTAL",$L$15:$AL$15)</f>
        <v>-1.6622293938660293</v>
      </c>
      <c r="AO15" s="26">
        <f ca="1">+'TUSD BE'!$T$15+'TUSD BE'!$AB$15+'TUSD BE'!$AD$15+'TUSD BE'!$AL$15</f>
        <v>6.0195046323744208</v>
      </c>
      <c r="AP15" s="26">
        <f ca="1">+'TUSD BE'!$T$15+'TUSD BE'!$AB$15+'TUSD BE'!$AD$15+'TUSD BE'!$AL$15</f>
        <v>6.0195046323744208</v>
      </c>
    </row>
    <row r="16" spans="1:42" ht="11.25" customHeight="1" x14ac:dyDescent="0.25">
      <c r="A16" s="142"/>
      <c r="B16" s="142"/>
      <c r="C16" s="142"/>
      <c r="D16" s="142"/>
      <c r="E16" s="23" t="s">
        <v>87</v>
      </c>
      <c r="F16" s="23" t="s">
        <v>25</v>
      </c>
      <c r="G16" s="24" t="s">
        <v>9</v>
      </c>
      <c r="H16" s="24" t="s">
        <v>80</v>
      </c>
      <c r="I16" s="24">
        <f>'MERCADO TUSD'!$U$13+0.00000001</f>
        <v>1E-8</v>
      </c>
      <c r="J16" s="15"/>
      <c r="L16" s="13">
        <f>'TUSD BE'!$L$16*'TUSD BE'!$L$58</f>
        <v>0</v>
      </c>
      <c r="M16" s="13">
        <f>'TUSD BE'!$M$16*'TUSD BE'!$M$58</f>
        <v>-3.7753294393322908E-4</v>
      </c>
      <c r="N16" s="13">
        <f ca="1">'TUSD BE'!$N$16*'TUSD BE'!$N$58</f>
        <v>5.8676468185277988E-8</v>
      </c>
      <c r="O16" s="13">
        <f>'TUSD BE'!$O$16*'TUSD BE'!$O$58</f>
        <v>0</v>
      </c>
      <c r="P16" s="13">
        <f>'TUSD BE'!$P$16*'TUSD BE'!$P$58</f>
        <v>0</v>
      </c>
      <c r="Q16" s="13">
        <f>'TUSD BE'!$Q$16*'TUSD BE'!$Q$58</f>
        <v>0</v>
      </c>
      <c r="R16" s="13">
        <f>'TUSD BE'!$R$16*'TUSD BE'!$R$58</f>
        <v>0</v>
      </c>
      <c r="S16" s="13">
        <f>'TUSD BE'!$R$16*'TUSD BE'!$S$58</f>
        <v>0</v>
      </c>
      <c r="T16" s="13">
        <f ca="1">SUM($L$16:$S$16)</f>
        <v>-3.774742674650438E-4</v>
      </c>
      <c r="U16" s="13">
        <f>'TUSD BE'!$U$16*'TUSD BE'!$U$58</f>
        <v>0</v>
      </c>
      <c r="V16" s="13">
        <f>'TUSD BE'!$V$16*'TUSD BE'!$V$58</f>
        <v>0</v>
      </c>
      <c r="W16" s="13">
        <f>'TUSD BE'!$W$16*'TUSD BE'!$W$58</f>
        <v>0</v>
      </c>
      <c r="X16" s="13">
        <f>'TUSD BE'!$X$16*'TUSD BE'!$X$58</f>
        <v>0</v>
      </c>
      <c r="Y16" s="13">
        <f>'TUSD BE'!$Y$16*'TUSD BE'!$Y$58</f>
        <v>0</v>
      </c>
      <c r="Z16" s="13">
        <f>'TUSD BE'!$Z$16*'TUSD BE'!$Z$58</f>
        <v>0</v>
      </c>
      <c r="AA16" s="13">
        <f>'TUSD BE'!$AA$16*'TUSD BE'!$AA$58</f>
        <v>0</v>
      </c>
      <c r="AB16" s="13">
        <f>SUM($U$16:$AA$16)</f>
        <v>0</v>
      </c>
      <c r="AC16" s="13">
        <f>'TUSD BE'!$AC$16*'TUSD BE'!$AC$58</f>
        <v>0</v>
      </c>
      <c r="AD16" s="13">
        <f>SUM($AC$16:$AC$16)</f>
        <v>0</v>
      </c>
      <c r="AE16" s="13">
        <f ca="1">$AO$16*$AO$55</f>
        <v>-3.9751591692998711</v>
      </c>
      <c r="AF16" s="13">
        <f ca="1">$AP$16*$AP$55</f>
        <v>0</v>
      </c>
      <c r="AG16" s="13">
        <f ca="1">SUM($AE$16:$AF$16)</f>
        <v>-3.9751591692998711</v>
      </c>
      <c r="AH16" s="13">
        <f>'TUSD BE'!$AH$16*'TUSD BE'!$AH$58</f>
        <v>0</v>
      </c>
      <c r="AI16" s="13">
        <f>'TUSD BE'!$AI$16*'TUSD BE'!$AI$58</f>
        <v>0</v>
      </c>
      <c r="AJ16" s="13">
        <f ca="1">'TUSD BE'!$AJ$16*'TUSD BE'!$AJ$58</f>
        <v>0</v>
      </c>
      <c r="AK16" s="13">
        <f ca="1">'TUSD BE'!$AK$16*'TUSD BE'!$AK$58</f>
        <v>0</v>
      </c>
      <c r="AL16" s="13">
        <f ca="1">SUM($AH$16:$AK$16)</f>
        <v>0</v>
      </c>
      <c r="AM16" s="13">
        <f ca="1">SUMIF($L$4:$AL$4,"SUBTOTAL",$L$16:$AL$16)</f>
        <v>-3.9755366435673363</v>
      </c>
      <c r="AO16" s="26">
        <f ca="1">+'TUSD BE'!$T$16+'TUSD BE'!$AB$16+'TUSD BE'!$AD$16+'TUSD BE'!$AL$16</f>
        <v>14.398689047942598</v>
      </c>
      <c r="AP16" s="26">
        <f ca="1">+'TUSD BE'!$T$16+'TUSD BE'!$AB$16+'TUSD BE'!$AD$16+'TUSD BE'!$AL$16</f>
        <v>14.398689047942598</v>
      </c>
    </row>
    <row r="17" spans="1:42" ht="11.25" customHeight="1" x14ac:dyDescent="0.25">
      <c r="A17" s="142" t="s">
        <v>22</v>
      </c>
      <c r="B17" s="142" t="s">
        <v>32</v>
      </c>
      <c r="C17" s="142" t="s">
        <v>24</v>
      </c>
      <c r="D17" s="142" t="s">
        <v>24</v>
      </c>
      <c r="E17" s="142" t="s">
        <v>25</v>
      </c>
      <c r="F17" s="142" t="s">
        <v>25</v>
      </c>
      <c r="G17" s="24" t="s">
        <v>76</v>
      </c>
      <c r="H17" s="24" t="s">
        <v>75</v>
      </c>
      <c r="I17" s="24">
        <f>'MERCADO TUSD'!$U$14</f>
        <v>0.17000000000000004</v>
      </c>
      <c r="J17" s="15"/>
      <c r="L17" s="13">
        <f>'TUSD BE'!$L$17*'TUSD BE'!$L$58</f>
        <v>0</v>
      </c>
      <c r="M17" s="13">
        <f>'TUSD BE'!$M$17*'TUSD BE'!$M$58</f>
        <v>-1.4760722786133952E-2</v>
      </c>
      <c r="N17" s="13">
        <f ca="1">'TUSD BE'!$N$17*'TUSD BE'!$N$58</f>
        <v>8.9231963676188249E-6</v>
      </c>
      <c r="O17" s="13">
        <f>'TUSD BE'!$O$17*'TUSD BE'!$O$58</f>
        <v>0</v>
      </c>
      <c r="P17" s="13">
        <f>'TUSD BE'!$P$17*'TUSD BE'!$P$58</f>
        <v>0</v>
      </c>
      <c r="Q17" s="13">
        <f>'TUSD BE'!$Q$17*'TUSD BE'!$Q$58</f>
        <v>-1.7061567261669188</v>
      </c>
      <c r="R17" s="13">
        <f>'TUSD BE'!$R$17*'TUSD BE'!$R$58</f>
        <v>-0.25686632949670912</v>
      </c>
      <c r="S17" s="13">
        <f>'TUSD BE'!$R$17*'TUSD BE'!$S$58</f>
        <v>0</v>
      </c>
      <c r="T17" s="13">
        <f ca="1">SUM($L$17:$S$17)</f>
        <v>-1.9777748552533942</v>
      </c>
      <c r="U17" s="13">
        <f>'TUSD BE'!$U$17*'TUSD BE'!$U$58</f>
        <v>0</v>
      </c>
      <c r="V17" s="13">
        <f>'TUSD BE'!$V$17*'TUSD BE'!$V$58</f>
        <v>0</v>
      </c>
      <c r="W17" s="13">
        <f>'TUSD BE'!$W$17*'TUSD BE'!$W$58</f>
        <v>0</v>
      </c>
      <c r="X17" s="13">
        <f>'TUSD BE'!$X$17*'TUSD BE'!$X$58</f>
        <v>0</v>
      </c>
      <c r="Y17" s="13">
        <f>'TUSD BE'!$Y$17*'TUSD BE'!$Y$58</f>
        <v>2.5345271954909929</v>
      </c>
      <c r="Z17" s="13">
        <f>'TUSD BE'!$Z$17*'TUSD BE'!$Z$58</f>
        <v>0</v>
      </c>
      <c r="AA17" s="13">
        <f>'TUSD BE'!$AA$17*'TUSD BE'!$AA$58</f>
        <v>0</v>
      </c>
      <c r="AB17" s="13">
        <f>SUM($U$17:$AA$17)</f>
        <v>2.5345271954909929</v>
      </c>
      <c r="AC17" s="13">
        <f>'TUSD BE'!$AC$17*'TUSD BE'!$AC$58</f>
        <v>0</v>
      </c>
      <c r="AD17" s="13">
        <f>SUM($AC$17:$AC$17)</f>
        <v>0</v>
      </c>
      <c r="AE17" s="13">
        <f ca="1">$AO$17*$AO$55</f>
        <v>-287.20219612447801</v>
      </c>
      <c r="AF17" s="13">
        <f ca="1">$AP$17*$AP$55</f>
        <v>0</v>
      </c>
      <c r="AG17" s="13">
        <f ca="1">SUM($AE$17:$AF$17)</f>
        <v>-287.20219612447801</v>
      </c>
      <c r="AH17" s="13">
        <f>'TUSD BE'!$AH$17*'TUSD BE'!$AH$58</f>
        <v>-0.28394603015538705</v>
      </c>
      <c r="AI17" s="13">
        <f>'TUSD BE'!$AI$17*'TUSD BE'!$AI$58</f>
        <v>-9.741730090581744E-3</v>
      </c>
      <c r="AJ17" s="13">
        <f ca="1">'TUSD BE'!$AJ$17*'TUSD BE'!$AJ$58</f>
        <v>-5.507710820302153E-2</v>
      </c>
      <c r="AK17" s="13">
        <f ca="1">'TUSD BE'!$AK$17*'TUSD BE'!$AK$58</f>
        <v>8.3786078080395621E-3</v>
      </c>
      <c r="AL17" s="13">
        <f ca="1">SUM($AH$17:$AK$17)</f>
        <v>-0.34038626064095079</v>
      </c>
      <c r="AM17" s="13">
        <f ca="1">SUMIF($L$4:$AL$4,"SUBTOTAL",$L$17:$AL$17)</f>
        <v>-286.98583004488137</v>
      </c>
      <c r="AO17" s="26">
        <f ca="1">+'TUSD BE'!$T$17+'TUSD BE'!$AB$17+'TUSD BE'!$AD$17+'TUSD BE'!$AL$17</f>
        <v>1040.2942221332294</v>
      </c>
      <c r="AP17" s="26">
        <f ca="1">+'TUSD BE'!$T$17+'TUSD BE'!$AB$17+'TUSD BE'!$AD$17+'TUSD BE'!$AL$17</f>
        <v>1040.2942221332294</v>
      </c>
    </row>
    <row r="18" spans="1:42" ht="11.25" customHeight="1" x14ac:dyDescent="0.25">
      <c r="A18" s="142"/>
      <c r="B18" s="142"/>
      <c r="C18" s="142"/>
      <c r="D18" s="142"/>
      <c r="E18" s="142"/>
      <c r="F18" s="142"/>
      <c r="G18" s="24" t="s">
        <v>88</v>
      </c>
      <c r="H18" s="24" t="s">
        <v>75</v>
      </c>
      <c r="I18" s="24">
        <f>'MERCADO TUSD'!$U$15</f>
        <v>0.13000000000000003</v>
      </c>
      <c r="J18" s="15"/>
      <c r="L18" s="13">
        <f>'TUSD BE'!$L$18*'TUSD BE'!$L$58</f>
        <v>0</v>
      </c>
      <c r="M18" s="13">
        <f>'TUSD BE'!$M$18*'TUSD BE'!$M$58</f>
        <v>-1.4760722786133952E-2</v>
      </c>
      <c r="N18" s="13">
        <f ca="1">'TUSD BE'!$N$18*'TUSD BE'!$N$58</f>
        <v>5.5399101509984061E-6</v>
      </c>
      <c r="O18" s="13">
        <f>'TUSD BE'!$O$18*'TUSD BE'!$O$58</f>
        <v>0</v>
      </c>
      <c r="P18" s="13">
        <f>'TUSD BE'!$P$18*'TUSD BE'!$P$58</f>
        <v>0</v>
      </c>
      <c r="Q18" s="13">
        <f>'TUSD BE'!$Q$18*'TUSD BE'!$Q$58</f>
        <v>-1.7061567261669188</v>
      </c>
      <c r="R18" s="13">
        <f>'TUSD BE'!$R$18*'TUSD BE'!$R$58</f>
        <v>-0.25686632949670912</v>
      </c>
      <c r="S18" s="13">
        <f>'TUSD BE'!$R$18*'TUSD BE'!$S$58</f>
        <v>0</v>
      </c>
      <c r="T18" s="13">
        <f ca="1">SUM($L$18:$S$18)</f>
        <v>-1.9777782385396108</v>
      </c>
      <c r="U18" s="13">
        <f>'TUSD BE'!$U$18*'TUSD BE'!$U$58</f>
        <v>0</v>
      </c>
      <c r="V18" s="13">
        <f>'TUSD BE'!$V$18*'TUSD BE'!$V$58</f>
        <v>0</v>
      </c>
      <c r="W18" s="13">
        <f>'TUSD BE'!$W$18*'TUSD BE'!$W$58</f>
        <v>0</v>
      </c>
      <c r="X18" s="13">
        <f>'TUSD BE'!$X$18*'TUSD BE'!$X$58</f>
        <v>0</v>
      </c>
      <c r="Y18" s="13">
        <f>'TUSD BE'!$Y$18*'TUSD BE'!$Y$58</f>
        <v>1.5207159686908258</v>
      </c>
      <c r="Z18" s="13">
        <f>'TUSD BE'!$Z$18*'TUSD BE'!$Z$58</f>
        <v>0</v>
      </c>
      <c r="AA18" s="13">
        <f>'TUSD BE'!$AA$18*'TUSD BE'!$AA$58</f>
        <v>0</v>
      </c>
      <c r="AB18" s="13">
        <f>SUM($U$18:$AA$18)</f>
        <v>1.5207159686908258</v>
      </c>
      <c r="AC18" s="13">
        <f>'TUSD BE'!$AC$18*'TUSD BE'!$AC$58</f>
        <v>0</v>
      </c>
      <c r="AD18" s="13">
        <f>SUM($AC$18:$AC$18)</f>
        <v>0</v>
      </c>
      <c r="AE18" s="13">
        <f ca="1">$AO$18*$AO$55</f>
        <v>-186.53357671616351</v>
      </c>
      <c r="AF18" s="13">
        <f ca="1">$AP$18*$AP$55</f>
        <v>0</v>
      </c>
      <c r="AG18" s="13">
        <f ca="1">SUM($AE$18:$AF$18)</f>
        <v>-186.53357671616351</v>
      </c>
      <c r="AH18" s="13">
        <f>'TUSD BE'!$AH$18*'TUSD BE'!$AH$58</f>
        <v>-0.28394603015538705</v>
      </c>
      <c r="AI18" s="13">
        <f>'TUSD BE'!$AI$18*'TUSD BE'!$AI$58</f>
        <v>-9.741730090581744E-3</v>
      </c>
      <c r="AJ18" s="13">
        <f ca="1">'TUSD BE'!$AJ$18*'TUSD BE'!$AJ$58</f>
        <v>-5.507710820302153E-2</v>
      </c>
      <c r="AK18" s="13">
        <f ca="1">'TUSD BE'!$AK$18*'TUSD BE'!$AK$58</f>
        <v>8.3786078080395621E-3</v>
      </c>
      <c r="AL18" s="13">
        <f ca="1">SUM($AH$18:$AK$18)</f>
        <v>-0.34038626064095079</v>
      </c>
      <c r="AM18" s="13">
        <f ca="1">SUMIF($L$4:$AL$4,"SUBTOTAL",$L$18:$AL$18)</f>
        <v>-187.33102524665324</v>
      </c>
      <c r="AO18" s="26">
        <f ca="1">+'TUSD BE'!$T$18+'TUSD BE'!$AB$18+'TUSD BE'!$AD$18+'TUSD BE'!$AL$18</f>
        <v>675.65570427451087</v>
      </c>
      <c r="AP18" s="26">
        <f ca="1">+'TUSD BE'!$T$18+'TUSD BE'!$AB$18+'TUSD BE'!$AD$18+'TUSD BE'!$AL$18</f>
        <v>675.65570427451087</v>
      </c>
    </row>
    <row r="19" spans="1:42" ht="11.25" customHeight="1" x14ac:dyDescent="0.25">
      <c r="A19" s="142"/>
      <c r="B19" s="142"/>
      <c r="C19" s="142"/>
      <c r="D19" s="142"/>
      <c r="E19" s="142"/>
      <c r="F19" s="142"/>
      <c r="G19" s="24" t="s">
        <v>77</v>
      </c>
      <c r="H19" s="24" t="s">
        <v>75</v>
      </c>
      <c r="I19" s="24">
        <f>'MERCADO TUSD'!$U$16</f>
        <v>2.4539999999999997</v>
      </c>
      <c r="J19" s="15"/>
      <c r="L19" s="13">
        <f>'TUSD BE'!$L$19*'TUSD BE'!$L$58</f>
        <v>0</v>
      </c>
      <c r="M19" s="13">
        <f>'TUSD BE'!$M$19*'TUSD BE'!$M$58</f>
        <v>-1.4760722786133952E-2</v>
      </c>
      <c r="N19" s="13">
        <f ca="1">'TUSD BE'!$N$19*'TUSD BE'!$N$58</f>
        <v>2.1566249954352758E-6</v>
      </c>
      <c r="O19" s="13">
        <f>'TUSD BE'!$O$19*'TUSD BE'!$O$58</f>
        <v>0</v>
      </c>
      <c r="P19" s="13">
        <f>'TUSD BE'!$P$19*'TUSD BE'!$P$58</f>
        <v>0</v>
      </c>
      <c r="Q19" s="13">
        <f>'TUSD BE'!$Q$19*'TUSD BE'!$Q$58</f>
        <v>-1.7061567261669188</v>
      </c>
      <c r="R19" s="13">
        <f>'TUSD BE'!$R$19*'TUSD BE'!$R$58</f>
        <v>-0.25686632949670912</v>
      </c>
      <c r="S19" s="13">
        <f>'TUSD BE'!$R$19*'TUSD BE'!$S$58</f>
        <v>0</v>
      </c>
      <c r="T19" s="13">
        <f ca="1">SUM($L$19:$S$19)</f>
        <v>-1.9777816218247664</v>
      </c>
      <c r="U19" s="13">
        <f>'TUSD BE'!$U$19*'TUSD BE'!$U$58</f>
        <v>0</v>
      </c>
      <c r="V19" s="13">
        <f>'TUSD BE'!$V$19*'TUSD BE'!$V$58</f>
        <v>0</v>
      </c>
      <c r="W19" s="13">
        <f>'TUSD BE'!$W$19*'TUSD BE'!$W$58</f>
        <v>0</v>
      </c>
      <c r="X19" s="13">
        <f>'TUSD BE'!$X$19*'TUSD BE'!$X$58</f>
        <v>0</v>
      </c>
      <c r="Y19" s="13">
        <f>'TUSD BE'!$Y$19*'TUSD BE'!$Y$58</f>
        <v>0.50690561340008355</v>
      </c>
      <c r="Z19" s="13">
        <f>'TUSD BE'!$Z$19*'TUSD BE'!$Z$58</f>
        <v>0</v>
      </c>
      <c r="AA19" s="13">
        <f>'TUSD BE'!$AA$19*'TUSD BE'!$AA$58</f>
        <v>0</v>
      </c>
      <c r="AB19" s="13">
        <f>SUM($U$19:$AA$19)</f>
        <v>0.50690561340008355</v>
      </c>
      <c r="AC19" s="13">
        <f>'TUSD BE'!$AC$19*'TUSD BE'!$AC$58</f>
        <v>0</v>
      </c>
      <c r="AD19" s="13">
        <f>SUM($AC$19:$AC$19)</f>
        <v>0</v>
      </c>
      <c r="AE19" s="13">
        <f ca="1">$AO$19*$AO$55</f>
        <v>-85.864991560518519</v>
      </c>
      <c r="AF19" s="13">
        <f ca="1">$AP$19*$AP$55</f>
        <v>0</v>
      </c>
      <c r="AG19" s="13">
        <f ca="1">SUM($AE$19:$AF$19)</f>
        <v>-85.864991560518519</v>
      </c>
      <c r="AH19" s="13">
        <f>'TUSD BE'!$AH$19*'TUSD BE'!$AH$58</f>
        <v>-0.28394603015538705</v>
      </c>
      <c r="AI19" s="13">
        <f>'TUSD BE'!$AI$19*'TUSD BE'!$AI$58</f>
        <v>-9.741730090581744E-3</v>
      </c>
      <c r="AJ19" s="13">
        <f ca="1">'TUSD BE'!$AJ$19*'TUSD BE'!$AJ$58</f>
        <v>-5.507710820302153E-2</v>
      </c>
      <c r="AK19" s="13">
        <f ca="1">'TUSD BE'!$AK$19*'TUSD BE'!$AK$58</f>
        <v>8.3786078080395621E-3</v>
      </c>
      <c r="AL19" s="13">
        <f ca="1">SUM($AH$19:$AK$19)</f>
        <v>-0.34038626064095079</v>
      </c>
      <c r="AM19" s="13">
        <f ca="1">SUMIF($L$4:$AL$4,"SUBTOTAL",$L$19:$AL$19)</f>
        <v>-87.676253829584155</v>
      </c>
      <c r="AO19" s="26">
        <f ca="1">+'TUSD BE'!$T$19+'TUSD BE'!$AB$19+'TUSD BE'!$AD$19+'TUSD BE'!$AL$19</f>
        <v>311.01731048467019</v>
      </c>
      <c r="AP19" s="26">
        <f ca="1">+'TUSD BE'!$T$19+'TUSD BE'!$AB$19+'TUSD BE'!$AD$19+'TUSD BE'!$AL$19</f>
        <v>311.01731048467019</v>
      </c>
    </row>
    <row r="20" spans="1:42" ht="11.25" customHeight="1" x14ac:dyDescent="0.25">
      <c r="A20" s="142"/>
      <c r="B20" s="142" t="s">
        <v>23</v>
      </c>
      <c r="C20" s="142" t="s">
        <v>24</v>
      </c>
      <c r="D20" s="23" t="s">
        <v>24</v>
      </c>
      <c r="E20" s="23" t="s">
        <v>25</v>
      </c>
      <c r="F20" s="23" t="s">
        <v>25</v>
      </c>
      <c r="G20" s="24" t="s">
        <v>79</v>
      </c>
      <c r="H20" s="24" t="s">
        <v>75</v>
      </c>
      <c r="I20" s="24">
        <f>'MERCADO TUSD'!$U$17</f>
        <v>10574.981000000002</v>
      </c>
      <c r="J20" s="15"/>
      <c r="L20" s="13">
        <f>'TUSD BE'!$L$20*'TUSD BE'!$L$58</f>
        <v>0</v>
      </c>
      <c r="M20" s="13">
        <f>'TUSD BE'!$M$20*'TUSD BE'!$M$58</f>
        <v>-1.4760722786133952E-2</v>
      </c>
      <c r="N20" s="13">
        <f ca="1">'TUSD BE'!$N$20*'TUSD BE'!$N$58</f>
        <v>3.4857732656494363E-6</v>
      </c>
      <c r="O20" s="13">
        <f>'TUSD BE'!$O$20*'TUSD BE'!$O$58</f>
        <v>0</v>
      </c>
      <c r="P20" s="13">
        <f>'TUSD BE'!$P$20*'TUSD BE'!$P$58</f>
        <v>0</v>
      </c>
      <c r="Q20" s="13">
        <f>'TUSD BE'!$Q$20*'TUSD BE'!$Q$58</f>
        <v>-1.7061567261669188</v>
      </c>
      <c r="R20" s="13">
        <f>'TUSD BE'!$R$20*'TUSD BE'!$R$58</f>
        <v>-0.25686632949670912</v>
      </c>
      <c r="S20" s="13">
        <f>'TUSD BE'!$R$20*'TUSD BE'!$S$58</f>
        <v>0</v>
      </c>
      <c r="T20" s="13">
        <f ca="1">SUM($L$20:$S$20)</f>
        <v>-1.9777802926764962</v>
      </c>
      <c r="U20" s="13">
        <f>'TUSD BE'!$U$20*'TUSD BE'!$U$58</f>
        <v>0</v>
      </c>
      <c r="V20" s="13">
        <f>'TUSD BE'!$V$20*'TUSD BE'!$V$58</f>
        <v>0</v>
      </c>
      <c r="W20" s="13">
        <f>'TUSD BE'!$W$20*'TUSD BE'!$W$58</f>
        <v>0</v>
      </c>
      <c r="X20" s="13">
        <f>'TUSD BE'!$X$20*'TUSD BE'!$X$58</f>
        <v>0</v>
      </c>
      <c r="Y20" s="13">
        <f>'TUSD BE'!$Y$20*'TUSD BE'!$Y$58</f>
        <v>0.90518803510123325</v>
      </c>
      <c r="Z20" s="13">
        <f>'TUSD BE'!$Z$20*'TUSD BE'!$Z$58</f>
        <v>0</v>
      </c>
      <c r="AA20" s="13">
        <f>'TUSD BE'!$AA$20*'TUSD BE'!$AA$58</f>
        <v>0</v>
      </c>
      <c r="AB20" s="13">
        <f>SUM($U$20:$AA$20)</f>
        <v>0.90518803510123325</v>
      </c>
      <c r="AC20" s="13">
        <f>'TUSD BE'!$AC$20*'TUSD BE'!$AC$58</f>
        <v>0</v>
      </c>
      <c r="AD20" s="13">
        <f>SUM($AC$20:$AC$20)</f>
        <v>0</v>
      </c>
      <c r="AE20" s="13">
        <f ca="1">$AO$20*$AO$55</f>
        <v>-125.41337826061903</v>
      </c>
      <c r="AF20" s="13">
        <f ca="1">$AP$20*$AP$55</f>
        <v>0</v>
      </c>
      <c r="AG20" s="13">
        <f ca="1">SUM($AE$20:$AF$20)</f>
        <v>-125.41337826061903</v>
      </c>
      <c r="AH20" s="13">
        <f>'TUSD BE'!$AH$20*'TUSD BE'!$AH$58</f>
        <v>-0.28394603015538705</v>
      </c>
      <c r="AI20" s="13">
        <f>'TUSD BE'!$AI$20*'TUSD BE'!$AI$58</f>
        <v>-9.741730090581744E-3</v>
      </c>
      <c r="AJ20" s="13">
        <f ca="1">'TUSD BE'!$AJ$20*'TUSD BE'!$AJ$58</f>
        <v>-5.507710820302153E-2</v>
      </c>
      <c r="AK20" s="13">
        <f ca="1">'TUSD BE'!$AK$20*'TUSD BE'!$AK$58</f>
        <v>8.3786078080395621E-3</v>
      </c>
      <c r="AL20" s="13">
        <f ca="1">SUM($AH$20:$AK$20)</f>
        <v>-0.34038626064095079</v>
      </c>
      <c r="AM20" s="13">
        <f ca="1">SUMIF($L$4:$AL$4,"SUBTOTAL",$L$20:$AL$20)</f>
        <v>-126.82635677883525</v>
      </c>
      <c r="AO20" s="26">
        <f ca="1">+'TUSD BE'!$T$20+'TUSD BE'!$AB$20+'TUSD BE'!$AD$20+'TUSD BE'!$AL$20</f>
        <v>454.26815861179813</v>
      </c>
      <c r="AP20" s="26">
        <f ca="1">+'TUSD BE'!$T$20+'TUSD BE'!$AB$20+'TUSD BE'!$AD$20+'TUSD BE'!$AL$20</f>
        <v>454.26815861179813</v>
      </c>
    </row>
    <row r="21" spans="1:42" ht="11.25" customHeight="1" x14ac:dyDescent="0.25">
      <c r="A21" s="142"/>
      <c r="B21" s="142"/>
      <c r="C21" s="142"/>
      <c r="D21" s="23" t="s">
        <v>28</v>
      </c>
      <c r="E21" s="23" t="s">
        <v>25</v>
      </c>
      <c r="F21" s="23" t="s">
        <v>25</v>
      </c>
      <c r="G21" s="24" t="s">
        <v>79</v>
      </c>
      <c r="H21" s="24" t="s">
        <v>75</v>
      </c>
      <c r="I21" s="24">
        <f>'MERCADO TUSD'!$U$18</f>
        <v>204.62</v>
      </c>
      <c r="J21" s="15"/>
      <c r="L21" s="13">
        <f>'TUSD BE'!$L$21*'TUSD BE'!$L$58</f>
        <v>0</v>
      </c>
      <c r="M21" s="13">
        <f>'TUSD BE'!$M$21*'TUSD BE'!$M$58</f>
        <v>-1.4760722786133952E-2</v>
      </c>
      <c r="N21" s="13">
        <f ca="1">'TUSD BE'!$N$21*'TUSD BE'!$N$58</f>
        <v>3.4751626927407061E-6</v>
      </c>
      <c r="O21" s="13">
        <f>'TUSD BE'!$O$21*'TUSD BE'!$O$58</f>
        <v>0</v>
      </c>
      <c r="P21" s="13">
        <f>'TUSD BE'!$P$21*'TUSD BE'!$P$58</f>
        <v>0</v>
      </c>
      <c r="Q21" s="13">
        <f>'TUSD BE'!$Q$21*'TUSD BE'!$Q$58</f>
        <v>0</v>
      </c>
      <c r="R21" s="13">
        <f>'TUSD BE'!$R$21*'TUSD BE'!$R$58</f>
        <v>0</v>
      </c>
      <c r="S21" s="13">
        <f>'TUSD BE'!$R$21*'TUSD BE'!$S$58</f>
        <v>0</v>
      </c>
      <c r="T21" s="13">
        <f ca="1">SUM($L$21:$S$21)</f>
        <v>-1.4757247623441211E-2</v>
      </c>
      <c r="U21" s="13">
        <f>'TUSD BE'!$U$21*'TUSD BE'!$U$58</f>
        <v>0</v>
      </c>
      <c r="V21" s="13">
        <f>'TUSD BE'!$V$21*'TUSD BE'!$V$58</f>
        <v>0</v>
      </c>
      <c r="W21" s="13">
        <f>'TUSD BE'!$W$21*'TUSD BE'!$W$58</f>
        <v>0</v>
      </c>
      <c r="X21" s="13">
        <f>'TUSD BE'!$X$21*'TUSD BE'!$X$58</f>
        <v>0</v>
      </c>
      <c r="Y21" s="13">
        <f>'TUSD BE'!$Y$21*'TUSD BE'!$Y$58</f>
        <v>0.90518803510123325</v>
      </c>
      <c r="Z21" s="13">
        <f>'TUSD BE'!$Z$21*'TUSD BE'!$Z$58</f>
        <v>0</v>
      </c>
      <c r="AA21" s="13">
        <f>'TUSD BE'!$AA$21*'TUSD BE'!$AA$58</f>
        <v>0</v>
      </c>
      <c r="AB21" s="13">
        <f>SUM($U$21:$AA$21)</f>
        <v>0.90518803510123325</v>
      </c>
      <c r="AC21" s="13">
        <f>'TUSD BE'!$AC$21*'TUSD BE'!$AC$58</f>
        <v>0</v>
      </c>
      <c r="AD21" s="13">
        <f>SUM($AC$21:$AC$21)</f>
        <v>0</v>
      </c>
      <c r="AE21" s="13">
        <f ca="1">$AO$21*$AO$55</f>
        <v>-96.916883153025339</v>
      </c>
      <c r="AF21" s="13">
        <f ca="1">$AP$21*$AP$55</f>
        <v>0</v>
      </c>
      <c r="AG21" s="13">
        <f ca="1">SUM($AE$21:$AF$21)</f>
        <v>-96.916883153025339</v>
      </c>
      <c r="AH21" s="13">
        <f>'TUSD BE'!$AH$21*'TUSD BE'!$AH$58</f>
        <v>-0.28394603015538705</v>
      </c>
      <c r="AI21" s="13">
        <f>'TUSD BE'!$AI$21*'TUSD BE'!$AI$58</f>
        <v>-9.741730090581744E-3</v>
      </c>
      <c r="AJ21" s="13">
        <f ca="1">'TUSD BE'!$AJ$21*'TUSD BE'!$AJ$58</f>
        <v>-5.507710820302153E-2</v>
      </c>
      <c r="AK21" s="13">
        <f ca="1">'TUSD BE'!$AK$21*'TUSD BE'!$AK$58</f>
        <v>8.3786078080395621E-3</v>
      </c>
      <c r="AL21" s="13">
        <f ca="1">SUM($AH$21:$AK$21)</f>
        <v>-0.34038626064095079</v>
      </c>
      <c r="AM21" s="13">
        <f ca="1">SUMIF($L$4:$AL$4,"SUBTOTAL",$L$21:$AL$21)</f>
        <v>-96.366838626188496</v>
      </c>
      <c r="AO21" s="26">
        <f ca="1">+'TUSD BE'!$T$21+'TUSD BE'!$AB$21+'TUSD BE'!$AD$21+'TUSD BE'!$AL$21</f>
        <v>351.0491038430489</v>
      </c>
      <c r="AP21" s="26">
        <f ca="1">+'TUSD BE'!$T$21+'TUSD BE'!$AB$21+'TUSD BE'!$AD$21+'TUSD BE'!$AL$21</f>
        <v>351.0491038430489</v>
      </c>
    </row>
    <row r="22" spans="1:42" ht="11.25" customHeight="1" x14ac:dyDescent="0.25">
      <c r="A22" s="142"/>
      <c r="B22" s="142"/>
      <c r="C22" s="142"/>
      <c r="D22" s="23" t="s">
        <v>29</v>
      </c>
      <c r="E22" s="23" t="s">
        <v>25</v>
      </c>
      <c r="F22" s="23" t="s">
        <v>25</v>
      </c>
      <c r="G22" s="24" t="s">
        <v>79</v>
      </c>
      <c r="H22" s="24" t="s">
        <v>75</v>
      </c>
      <c r="I22" s="24">
        <f>'MERCADO TUSD'!$U$19</f>
        <v>376.553</v>
      </c>
      <c r="J22" s="15"/>
      <c r="L22" s="13">
        <f>'TUSD BE'!$L$22*'TUSD BE'!$L$58</f>
        <v>0</v>
      </c>
      <c r="M22" s="13">
        <f>'TUSD BE'!$M$22*'TUSD BE'!$M$58</f>
        <v>-1.4760722786133952E-2</v>
      </c>
      <c r="N22" s="13">
        <f ca="1">'TUSD BE'!$N$22*'TUSD BE'!$N$58</f>
        <v>3.4751626927407061E-6</v>
      </c>
      <c r="O22" s="13">
        <f>'TUSD BE'!$O$22*'TUSD BE'!$O$58</f>
        <v>0</v>
      </c>
      <c r="P22" s="13">
        <f>'TUSD BE'!$P$22*'TUSD BE'!$P$58</f>
        <v>0</v>
      </c>
      <c r="Q22" s="13">
        <f>'TUSD BE'!$Q$22*'TUSD BE'!$Q$58</f>
        <v>0</v>
      </c>
      <c r="R22" s="13">
        <f>'TUSD BE'!$R$22*'TUSD BE'!$R$58</f>
        <v>0</v>
      </c>
      <c r="S22" s="13">
        <f>'TUSD BE'!$R$22*'TUSD BE'!$S$58</f>
        <v>0</v>
      </c>
      <c r="T22" s="13">
        <f ca="1">SUM($L$22:$S$22)</f>
        <v>-1.4757247623441211E-2</v>
      </c>
      <c r="U22" s="13">
        <f>'TUSD BE'!$U$22*'TUSD BE'!$U$58</f>
        <v>0</v>
      </c>
      <c r="V22" s="13">
        <f>'TUSD BE'!$V$22*'TUSD BE'!$V$58</f>
        <v>0</v>
      </c>
      <c r="W22" s="13">
        <f>'TUSD BE'!$W$22*'TUSD BE'!$W$58</f>
        <v>0</v>
      </c>
      <c r="X22" s="13">
        <f>'TUSD BE'!$X$22*'TUSD BE'!$X$58</f>
        <v>0</v>
      </c>
      <c r="Y22" s="13">
        <f>'TUSD BE'!$Y$22*'TUSD BE'!$Y$58</f>
        <v>0.90518803510123325</v>
      </c>
      <c r="Z22" s="13">
        <f>'TUSD BE'!$Z$22*'TUSD BE'!$Z$58</f>
        <v>0</v>
      </c>
      <c r="AA22" s="13">
        <f>'TUSD BE'!$AA$22*'TUSD BE'!$AA$58</f>
        <v>0</v>
      </c>
      <c r="AB22" s="13">
        <f>SUM($U$22:$AA$22)</f>
        <v>0.90518803510123325</v>
      </c>
      <c r="AC22" s="13">
        <f>'TUSD BE'!$AC$22*'TUSD BE'!$AC$58</f>
        <v>0</v>
      </c>
      <c r="AD22" s="13">
        <f>SUM($AC$22:$AC$22)</f>
        <v>0</v>
      </c>
      <c r="AE22" s="13">
        <f ca="1">$AO$22*$AO$55</f>
        <v>-96.916883153025339</v>
      </c>
      <c r="AF22" s="13">
        <f ca="1">$AP$22*$AP$55</f>
        <v>0</v>
      </c>
      <c r="AG22" s="13">
        <f ca="1">SUM($AE$22:$AF$22)</f>
        <v>-96.916883153025339</v>
      </c>
      <c r="AH22" s="13">
        <f>'TUSD BE'!$AH$22*'TUSD BE'!$AH$58</f>
        <v>-0.28394603015538705</v>
      </c>
      <c r="AI22" s="13">
        <f>'TUSD BE'!$AI$22*'TUSD BE'!$AI$58</f>
        <v>-9.741730090581744E-3</v>
      </c>
      <c r="AJ22" s="13">
        <f ca="1">'TUSD BE'!$AJ$22*'TUSD BE'!$AJ$58</f>
        <v>-5.507710820302153E-2</v>
      </c>
      <c r="AK22" s="13">
        <f ca="1">'TUSD BE'!$AK$22*'TUSD BE'!$AK$58</f>
        <v>8.3786078080395621E-3</v>
      </c>
      <c r="AL22" s="13">
        <f ca="1">SUM($AH$22:$AK$22)</f>
        <v>-0.34038626064095079</v>
      </c>
      <c r="AM22" s="13">
        <f ca="1">SUMIF($L$4:$AL$4,"SUBTOTAL",$L$22:$AL$22)</f>
        <v>-96.366838626188496</v>
      </c>
      <c r="AO22" s="26">
        <f ca="1">+'TUSD BE'!$T$22+'TUSD BE'!$AB$22+'TUSD BE'!$AD$22+'TUSD BE'!$AL$22</f>
        <v>351.0491038430489</v>
      </c>
      <c r="AP22" s="26">
        <f ca="1">+'TUSD BE'!$T$22+'TUSD BE'!$AB$22+'TUSD BE'!$AD$22+'TUSD BE'!$AL$22</f>
        <v>351.0491038430489</v>
      </c>
    </row>
    <row r="23" spans="1:42" ht="11.25" customHeight="1" x14ac:dyDescent="0.25">
      <c r="A23" s="142"/>
      <c r="B23" s="142"/>
      <c r="C23" s="142"/>
      <c r="D23" s="23" t="s">
        <v>30</v>
      </c>
      <c r="E23" s="23" t="s">
        <v>25</v>
      </c>
      <c r="F23" s="23" t="s">
        <v>25</v>
      </c>
      <c r="G23" s="24" t="s">
        <v>79</v>
      </c>
      <c r="H23" s="24" t="s">
        <v>75</v>
      </c>
      <c r="I23" s="24">
        <f>'MERCADO TUSD'!$U$20</f>
        <v>166.29699999999997</v>
      </c>
      <c r="J23" s="15"/>
      <c r="L23" s="13">
        <f>'TUSD BE'!$L$23*'TUSD BE'!$L$58</f>
        <v>0</v>
      </c>
      <c r="M23" s="13">
        <f>'TUSD BE'!$M$23*'TUSD BE'!$M$58</f>
        <v>-1.4760722786133952E-2</v>
      </c>
      <c r="N23" s="13">
        <f ca="1">'TUSD BE'!$N$23*'TUSD BE'!$N$58</f>
        <v>3.4751626927407061E-6</v>
      </c>
      <c r="O23" s="13">
        <f>'TUSD BE'!$O$23*'TUSD BE'!$O$58</f>
        <v>0</v>
      </c>
      <c r="P23" s="13">
        <f>'TUSD BE'!$P$23*'TUSD BE'!$P$58</f>
        <v>0</v>
      </c>
      <c r="Q23" s="13">
        <f>'TUSD BE'!$Q$23*'TUSD BE'!$Q$58</f>
        <v>0</v>
      </c>
      <c r="R23" s="13">
        <f>'TUSD BE'!$R$23*'TUSD BE'!$R$58</f>
        <v>0</v>
      </c>
      <c r="S23" s="13">
        <f>'TUSD BE'!$R$23*'TUSD BE'!$S$58</f>
        <v>0</v>
      </c>
      <c r="T23" s="13">
        <f ca="1">SUM($L$23:$S$23)</f>
        <v>-1.4757247623441211E-2</v>
      </c>
      <c r="U23" s="13">
        <f>'TUSD BE'!$U$23*'TUSD BE'!$U$58</f>
        <v>0</v>
      </c>
      <c r="V23" s="13">
        <f>'TUSD BE'!$V$23*'TUSD BE'!$V$58</f>
        <v>0</v>
      </c>
      <c r="W23" s="13">
        <f>'TUSD BE'!$W$23*'TUSD BE'!$W$58</f>
        <v>0</v>
      </c>
      <c r="X23" s="13">
        <f>'TUSD BE'!$X$23*'TUSD BE'!$X$58</f>
        <v>0</v>
      </c>
      <c r="Y23" s="13">
        <f>'TUSD BE'!$Y$23*'TUSD BE'!$Y$58</f>
        <v>0.90518803510123325</v>
      </c>
      <c r="Z23" s="13">
        <f>'TUSD BE'!$Z$23*'TUSD BE'!$Z$58</f>
        <v>0</v>
      </c>
      <c r="AA23" s="13">
        <f>'TUSD BE'!$AA$23*'TUSD BE'!$AA$58</f>
        <v>0</v>
      </c>
      <c r="AB23" s="13">
        <f>SUM($U$23:$AA$23)</f>
        <v>0.90518803510123325</v>
      </c>
      <c r="AC23" s="13">
        <f>'TUSD BE'!$AC$23*'TUSD BE'!$AC$58</f>
        <v>0</v>
      </c>
      <c r="AD23" s="13">
        <f>SUM($AC$23:$AC$23)</f>
        <v>0</v>
      </c>
      <c r="AE23" s="13">
        <f ca="1">$AO$23*$AO$55</f>
        <v>-96.916883153025339</v>
      </c>
      <c r="AF23" s="13">
        <f ca="1">$AP$23*$AP$55</f>
        <v>0</v>
      </c>
      <c r="AG23" s="13">
        <f ca="1">SUM($AE$23:$AF$23)</f>
        <v>-96.916883153025339</v>
      </c>
      <c r="AH23" s="13">
        <f>'TUSD BE'!$AH$23*'TUSD BE'!$AH$58</f>
        <v>-0.28394603015538705</v>
      </c>
      <c r="AI23" s="13">
        <f>'TUSD BE'!$AI$23*'TUSD BE'!$AI$58</f>
        <v>-9.741730090581744E-3</v>
      </c>
      <c r="AJ23" s="13">
        <f ca="1">'TUSD BE'!$AJ$23*'TUSD BE'!$AJ$58</f>
        <v>-5.507710820302153E-2</v>
      </c>
      <c r="AK23" s="13">
        <f ca="1">'TUSD BE'!$AK$23*'TUSD BE'!$AK$58</f>
        <v>8.3786078080395621E-3</v>
      </c>
      <c r="AL23" s="13">
        <f ca="1">SUM($AH$23:$AK$23)</f>
        <v>-0.34038626064095079</v>
      </c>
      <c r="AM23" s="13">
        <f ca="1">SUMIF($L$4:$AL$4,"SUBTOTAL",$L$23:$AL$23)</f>
        <v>-96.366838626188496</v>
      </c>
      <c r="AO23" s="26">
        <f ca="1">+'TUSD BE'!$T$23+'TUSD BE'!$AB$23+'TUSD BE'!$AD$23+'TUSD BE'!$AL$23</f>
        <v>351.0491038430489</v>
      </c>
      <c r="AP23" s="26">
        <f ca="1">+'TUSD BE'!$T$23+'TUSD BE'!$AB$23+'TUSD BE'!$AD$23+'TUSD BE'!$AL$23</f>
        <v>351.0491038430489</v>
      </c>
    </row>
    <row r="24" spans="1:42" ht="11.25" customHeight="1" x14ac:dyDescent="0.25">
      <c r="A24" s="142"/>
      <c r="B24" s="142"/>
      <c r="C24" s="142"/>
      <c r="D24" s="23" t="s">
        <v>31</v>
      </c>
      <c r="E24" s="23" t="s">
        <v>25</v>
      </c>
      <c r="F24" s="23" t="s">
        <v>25</v>
      </c>
      <c r="G24" s="24" t="s">
        <v>79</v>
      </c>
      <c r="H24" s="24" t="s">
        <v>75</v>
      </c>
      <c r="I24" s="24">
        <f>'MERCADO TUSD'!$U$21</f>
        <v>17.806999999999999</v>
      </c>
      <c r="J24" s="15"/>
      <c r="L24" s="13">
        <f>'TUSD BE'!$L$24*'TUSD BE'!$L$58</f>
        <v>0</v>
      </c>
      <c r="M24" s="13">
        <f>'TUSD BE'!$M$24*'TUSD BE'!$M$58</f>
        <v>-1.4760722786133952E-2</v>
      </c>
      <c r="N24" s="13">
        <f ca="1">'TUSD BE'!$N$24*'TUSD BE'!$N$58</f>
        <v>3.4751626927407061E-6</v>
      </c>
      <c r="O24" s="13">
        <f>'TUSD BE'!$O$24*'TUSD BE'!$O$58</f>
        <v>0</v>
      </c>
      <c r="P24" s="13">
        <f>'TUSD BE'!$P$24*'TUSD BE'!$P$58</f>
        <v>0</v>
      </c>
      <c r="Q24" s="13">
        <f>'TUSD BE'!$Q$24*'TUSD BE'!$Q$58</f>
        <v>0</v>
      </c>
      <c r="R24" s="13">
        <f>'TUSD BE'!$R$24*'TUSD BE'!$R$58</f>
        <v>0</v>
      </c>
      <c r="S24" s="13">
        <f>'TUSD BE'!$R$24*'TUSD BE'!$S$58</f>
        <v>0</v>
      </c>
      <c r="T24" s="13">
        <f ca="1">SUM($L$24:$S$24)</f>
        <v>-1.4757247623441211E-2</v>
      </c>
      <c r="U24" s="13">
        <f>'TUSD BE'!$U$24*'TUSD BE'!$U$58</f>
        <v>0</v>
      </c>
      <c r="V24" s="13">
        <f>'TUSD BE'!$V$24*'TUSD BE'!$V$58</f>
        <v>0</v>
      </c>
      <c r="W24" s="13">
        <f>'TUSD BE'!$W$24*'TUSD BE'!$W$58</f>
        <v>0</v>
      </c>
      <c r="X24" s="13">
        <f>'TUSD BE'!$X$24*'TUSD BE'!$X$58</f>
        <v>0</v>
      </c>
      <c r="Y24" s="13">
        <f>'TUSD BE'!$Y$24*'TUSD BE'!$Y$58</f>
        <v>0.90518803510123325</v>
      </c>
      <c r="Z24" s="13">
        <f>'TUSD BE'!$Z$24*'TUSD BE'!$Z$58</f>
        <v>0</v>
      </c>
      <c r="AA24" s="13">
        <f>'TUSD BE'!$AA$24*'TUSD BE'!$AA$58</f>
        <v>0</v>
      </c>
      <c r="AB24" s="13">
        <f>SUM($U$24:$AA$24)</f>
        <v>0.90518803510123325</v>
      </c>
      <c r="AC24" s="13">
        <f>'TUSD BE'!$AC$24*'TUSD BE'!$AC$58</f>
        <v>0</v>
      </c>
      <c r="AD24" s="13">
        <f>SUM($AC$24:$AC$24)</f>
        <v>0</v>
      </c>
      <c r="AE24" s="13">
        <f ca="1">$AO$24*$AO$55</f>
        <v>-96.916883153025339</v>
      </c>
      <c r="AF24" s="13">
        <f ca="1">$AP$24*$AP$55</f>
        <v>0</v>
      </c>
      <c r="AG24" s="13">
        <f ca="1">SUM($AE$24:$AF$24)</f>
        <v>-96.916883153025339</v>
      </c>
      <c r="AH24" s="13">
        <f>'TUSD BE'!$AH$24*'TUSD BE'!$AH$58</f>
        <v>-0.28394603015538705</v>
      </c>
      <c r="AI24" s="13">
        <f>'TUSD BE'!$AI$24*'TUSD BE'!$AI$58</f>
        <v>-9.741730090581744E-3</v>
      </c>
      <c r="AJ24" s="13">
        <f ca="1">'TUSD BE'!$AJ$24*'TUSD BE'!$AJ$58</f>
        <v>-5.507710820302153E-2</v>
      </c>
      <c r="AK24" s="13">
        <f ca="1">'TUSD BE'!$AK$24*'TUSD BE'!$AK$58</f>
        <v>8.3786078080395621E-3</v>
      </c>
      <c r="AL24" s="13">
        <f ca="1">SUM($AH$24:$AK$24)</f>
        <v>-0.34038626064095079</v>
      </c>
      <c r="AM24" s="13">
        <f ca="1">SUMIF($L$4:$AL$4,"SUBTOTAL",$L$24:$AL$24)</f>
        <v>-96.366838626188496</v>
      </c>
      <c r="AO24" s="26">
        <f ca="1">+'TUSD BE'!$T$24+'TUSD BE'!$AB$24+'TUSD BE'!$AD$24+'TUSD BE'!$AL$24</f>
        <v>351.0491038430489</v>
      </c>
      <c r="AP24" s="26">
        <f ca="1">+'TUSD BE'!$T$24+'TUSD BE'!$AB$24+'TUSD BE'!$AD$24+'TUSD BE'!$AL$24</f>
        <v>351.0491038430489</v>
      </c>
    </row>
    <row r="25" spans="1:42" ht="11.25" customHeight="1" x14ac:dyDescent="0.25">
      <c r="A25" s="142"/>
      <c r="B25" s="142" t="s">
        <v>90</v>
      </c>
      <c r="C25" s="142" t="s">
        <v>24</v>
      </c>
      <c r="D25" s="23" t="s">
        <v>24</v>
      </c>
      <c r="E25" s="23" t="s">
        <v>25</v>
      </c>
      <c r="F25" s="23" t="s">
        <v>25</v>
      </c>
      <c r="G25" s="24" t="s">
        <v>79</v>
      </c>
      <c r="H25" s="24" t="s">
        <v>75</v>
      </c>
      <c r="I25" s="24">
        <f>'MERCADO TUSD'!$U$22</f>
        <v>0</v>
      </c>
      <c r="J25" s="15"/>
      <c r="L25" s="13">
        <f>'TUSD BE'!$L$25*'TUSD BE'!$L$58</f>
        <v>0</v>
      </c>
      <c r="M25" s="13">
        <f>'TUSD BE'!$M$25*'TUSD BE'!$M$58</f>
        <v>-1.4760722786133952E-2</v>
      </c>
      <c r="N25" s="13">
        <f ca="1">'TUSD BE'!$N$25*'TUSD BE'!$N$58</f>
        <v>3.4857732656494363E-6</v>
      </c>
      <c r="O25" s="13">
        <f>'TUSD BE'!$O$25*'TUSD BE'!$O$58</f>
        <v>0</v>
      </c>
      <c r="P25" s="13">
        <f>'TUSD BE'!$P$25*'TUSD BE'!$P$58</f>
        <v>0</v>
      </c>
      <c r="Q25" s="13">
        <f>'TUSD BE'!$Q$25*'TUSD BE'!$Q$58</f>
        <v>-1.7061567261669188</v>
      </c>
      <c r="R25" s="13">
        <f>'TUSD BE'!$R$25*'TUSD BE'!$R$58</f>
        <v>-0.25686632949670912</v>
      </c>
      <c r="S25" s="13">
        <f>'TUSD BE'!$R$25*'TUSD BE'!$S$58</f>
        <v>0</v>
      </c>
      <c r="T25" s="13">
        <f ca="1">SUM($L$25:$S$25)</f>
        <v>-1.9777802926764962</v>
      </c>
      <c r="U25" s="13">
        <f>'TUSD BE'!$U$25*'TUSD BE'!$U$58</f>
        <v>0</v>
      </c>
      <c r="V25" s="13">
        <f>'TUSD BE'!$V$25*'TUSD BE'!$V$58</f>
        <v>0</v>
      </c>
      <c r="W25" s="13">
        <f>'TUSD BE'!$W$25*'TUSD BE'!$W$58</f>
        <v>0</v>
      </c>
      <c r="X25" s="13">
        <f>'TUSD BE'!$X$25*'TUSD BE'!$X$58</f>
        <v>0</v>
      </c>
      <c r="Y25" s="13">
        <f>'TUSD BE'!$Y$25*'TUSD BE'!$Y$58</f>
        <v>0.90518803510123325</v>
      </c>
      <c r="Z25" s="13">
        <f>'TUSD BE'!$Z$25*'TUSD BE'!$Z$58</f>
        <v>0</v>
      </c>
      <c r="AA25" s="13">
        <f>'TUSD BE'!$AA$25*'TUSD BE'!$AA$58</f>
        <v>0</v>
      </c>
      <c r="AB25" s="13">
        <f>SUM($U$25:$AA$25)</f>
        <v>0.90518803510123325</v>
      </c>
      <c r="AC25" s="13">
        <f>'TUSD BE'!$AC$25*'TUSD BE'!$AC$58</f>
        <v>0</v>
      </c>
      <c r="AD25" s="13">
        <f>SUM($AC$25:$AC$25)</f>
        <v>0</v>
      </c>
      <c r="AE25" s="13">
        <f ca="1">$AO$25*$AO$55</f>
        <v>-125.41337826061903</v>
      </c>
      <c r="AF25" s="13">
        <f ca="1">$AP$25*$AP$55</f>
        <v>0</v>
      </c>
      <c r="AG25" s="13">
        <f ca="1">SUM($AE$25:$AF$25)</f>
        <v>-125.41337826061903</v>
      </c>
      <c r="AH25" s="13">
        <f>'TUSD BE'!$AH$25*'TUSD BE'!$AH$58</f>
        <v>-0.28394603015538705</v>
      </c>
      <c r="AI25" s="13">
        <f>'TUSD BE'!$AI$25*'TUSD BE'!$AI$58</f>
        <v>-9.741730090581744E-3</v>
      </c>
      <c r="AJ25" s="13">
        <f ca="1">'TUSD BE'!$AJ$25*'TUSD BE'!$AJ$58</f>
        <v>-5.507710820302153E-2</v>
      </c>
      <c r="AK25" s="13">
        <f ca="1">'TUSD BE'!$AK$25*'TUSD BE'!$AK$58</f>
        <v>8.3786078080395621E-3</v>
      </c>
      <c r="AL25" s="13">
        <f ca="1">SUM($AH$25:$AK$25)</f>
        <v>-0.34038626064095079</v>
      </c>
      <c r="AM25" s="13">
        <f ca="1">SUMIF($L$4:$AL$4,"SUBTOTAL",$L$25:$AL$25)</f>
        <v>-126.82635677883525</v>
      </c>
      <c r="AO25" s="26">
        <f ca="1">+'TUSD BE'!$T$25+'TUSD BE'!$AB$25+'TUSD BE'!$AD$25+'TUSD BE'!$AL$25</f>
        <v>454.26815861179813</v>
      </c>
      <c r="AP25" s="26">
        <f ca="1">+'TUSD BE'!$T$25+'TUSD BE'!$AB$25+'TUSD BE'!$AD$25+'TUSD BE'!$AL$25</f>
        <v>454.26815861179813</v>
      </c>
    </row>
    <row r="26" spans="1:42" ht="11.25" customHeight="1" x14ac:dyDescent="0.25">
      <c r="A26" s="142"/>
      <c r="B26" s="142"/>
      <c r="C26" s="142"/>
      <c r="D26" s="23" t="s">
        <v>28</v>
      </c>
      <c r="E26" s="23" t="s">
        <v>25</v>
      </c>
      <c r="F26" s="23" t="s">
        <v>25</v>
      </c>
      <c r="G26" s="24" t="s">
        <v>79</v>
      </c>
      <c r="H26" s="24" t="s">
        <v>75</v>
      </c>
      <c r="I26" s="24">
        <f>'MERCADO TUSD'!$U$23</f>
        <v>0</v>
      </c>
      <c r="J26" s="15"/>
      <c r="L26" s="13">
        <f>'TUSD BE'!$L$26*'TUSD BE'!$L$58</f>
        <v>0</v>
      </c>
      <c r="M26" s="13">
        <f>'TUSD BE'!$M$26*'TUSD BE'!$M$58</f>
        <v>-1.4760722786133952E-2</v>
      </c>
      <c r="N26" s="13">
        <f ca="1">'TUSD BE'!$N$26*'TUSD BE'!$N$58</f>
        <v>3.4751626927407061E-6</v>
      </c>
      <c r="O26" s="13">
        <f>'TUSD BE'!$O$26*'TUSD BE'!$O$58</f>
        <v>0</v>
      </c>
      <c r="P26" s="13">
        <f>'TUSD BE'!$P$26*'TUSD BE'!$P$58</f>
        <v>0</v>
      </c>
      <c r="Q26" s="13">
        <f>'TUSD BE'!$Q$26*'TUSD BE'!$Q$58</f>
        <v>0</v>
      </c>
      <c r="R26" s="13">
        <f>'TUSD BE'!$R$26*'TUSD BE'!$R$58</f>
        <v>0</v>
      </c>
      <c r="S26" s="13">
        <f>'TUSD BE'!$R$26*'TUSD BE'!$S$58</f>
        <v>0</v>
      </c>
      <c r="T26" s="13">
        <f ca="1">SUM($L$26:$S$26)</f>
        <v>-1.4757247623441211E-2</v>
      </c>
      <c r="U26" s="13">
        <f>'TUSD BE'!$U$26*'TUSD BE'!$U$58</f>
        <v>0</v>
      </c>
      <c r="V26" s="13">
        <f>'TUSD BE'!$V$26*'TUSD BE'!$V$58</f>
        <v>0</v>
      </c>
      <c r="W26" s="13">
        <f>'TUSD BE'!$W$26*'TUSD BE'!$W$58</f>
        <v>0</v>
      </c>
      <c r="X26" s="13">
        <f>'TUSD BE'!$X$26*'TUSD BE'!$X$58</f>
        <v>0</v>
      </c>
      <c r="Y26" s="13">
        <f>'TUSD BE'!$Y$26*'TUSD BE'!$Y$58</f>
        <v>0.90518803510123325</v>
      </c>
      <c r="Z26" s="13">
        <f>'TUSD BE'!$Z$26*'TUSD BE'!$Z$58</f>
        <v>0</v>
      </c>
      <c r="AA26" s="13">
        <f>'TUSD BE'!$AA$26*'TUSD BE'!$AA$58</f>
        <v>0</v>
      </c>
      <c r="AB26" s="13">
        <f>SUM($U$26:$AA$26)</f>
        <v>0.90518803510123325</v>
      </c>
      <c r="AC26" s="13">
        <f>'TUSD BE'!$AC$26*'TUSD BE'!$AC$58</f>
        <v>0</v>
      </c>
      <c r="AD26" s="13">
        <f>SUM($AC$26:$AC$26)</f>
        <v>0</v>
      </c>
      <c r="AE26" s="13">
        <f ca="1">$AO$26*$AO$55</f>
        <v>-96.916883153025339</v>
      </c>
      <c r="AF26" s="13">
        <f ca="1">$AP$26*$AP$55</f>
        <v>0</v>
      </c>
      <c r="AG26" s="13">
        <f ca="1">SUM($AE$26:$AF$26)</f>
        <v>-96.916883153025339</v>
      </c>
      <c r="AH26" s="13">
        <f>'TUSD BE'!$AH$26*'TUSD BE'!$AH$58</f>
        <v>-0.28394603015538705</v>
      </c>
      <c r="AI26" s="13">
        <f>'TUSD BE'!$AI$26*'TUSD BE'!$AI$58</f>
        <v>-9.741730090581744E-3</v>
      </c>
      <c r="AJ26" s="13">
        <f ca="1">'TUSD BE'!$AJ$26*'TUSD BE'!$AJ$58</f>
        <v>-5.507710820302153E-2</v>
      </c>
      <c r="AK26" s="13">
        <f ca="1">'TUSD BE'!$AK$26*'TUSD BE'!$AK$58</f>
        <v>8.3786078080395621E-3</v>
      </c>
      <c r="AL26" s="13">
        <f ca="1">SUM($AH$26:$AK$26)</f>
        <v>-0.34038626064095079</v>
      </c>
      <c r="AM26" s="13">
        <f ca="1">SUMIF($L$4:$AL$4,"SUBTOTAL",$L$26:$AL$26)</f>
        <v>-96.366838626188496</v>
      </c>
      <c r="AO26" s="26">
        <f ca="1">+'TUSD BE'!$T$26+'TUSD BE'!$AB$26+'TUSD BE'!$AD$26+'TUSD BE'!$AL$26</f>
        <v>351.0491038430489</v>
      </c>
      <c r="AP26" s="26">
        <f ca="1">+'TUSD BE'!$T$26+'TUSD BE'!$AB$26+'TUSD BE'!$AD$26+'TUSD BE'!$AL$26</f>
        <v>351.0491038430489</v>
      </c>
    </row>
    <row r="27" spans="1:42" ht="11.25" customHeight="1" x14ac:dyDescent="0.25">
      <c r="A27" s="142"/>
      <c r="B27" s="142"/>
      <c r="C27" s="142"/>
      <c r="D27" s="23" t="s">
        <v>29</v>
      </c>
      <c r="E27" s="23" t="s">
        <v>25</v>
      </c>
      <c r="F27" s="23" t="s">
        <v>25</v>
      </c>
      <c r="G27" s="24" t="s">
        <v>79</v>
      </c>
      <c r="H27" s="24" t="s">
        <v>75</v>
      </c>
      <c r="I27" s="24">
        <f>'MERCADO TUSD'!$U$24</f>
        <v>0</v>
      </c>
      <c r="J27" s="15"/>
      <c r="L27" s="13">
        <f>'TUSD BE'!$L$27*'TUSD BE'!$L$58</f>
        <v>0</v>
      </c>
      <c r="M27" s="13">
        <f>'TUSD BE'!$M$27*'TUSD BE'!$M$58</f>
        <v>-1.4760722786133952E-2</v>
      </c>
      <c r="N27" s="13">
        <f ca="1">'TUSD BE'!$N$27*'TUSD BE'!$N$58</f>
        <v>3.4751626927407061E-6</v>
      </c>
      <c r="O27" s="13">
        <f>'TUSD BE'!$O$27*'TUSD BE'!$O$58</f>
        <v>0</v>
      </c>
      <c r="P27" s="13">
        <f>'TUSD BE'!$P$27*'TUSD BE'!$P$58</f>
        <v>0</v>
      </c>
      <c r="Q27" s="13">
        <f>'TUSD BE'!$Q$27*'TUSD BE'!$Q$58</f>
        <v>0</v>
      </c>
      <c r="R27" s="13">
        <f>'TUSD BE'!$R$27*'TUSD BE'!$R$58</f>
        <v>0</v>
      </c>
      <c r="S27" s="13">
        <f>'TUSD BE'!$R$27*'TUSD BE'!$S$58</f>
        <v>0</v>
      </c>
      <c r="T27" s="13">
        <f ca="1">SUM($L$27:$S$27)</f>
        <v>-1.4757247623441211E-2</v>
      </c>
      <c r="U27" s="13">
        <f>'TUSD BE'!$U$27*'TUSD BE'!$U$58</f>
        <v>0</v>
      </c>
      <c r="V27" s="13">
        <f>'TUSD BE'!$V$27*'TUSD BE'!$V$58</f>
        <v>0</v>
      </c>
      <c r="W27" s="13">
        <f>'TUSD BE'!$W$27*'TUSD BE'!$W$58</f>
        <v>0</v>
      </c>
      <c r="X27" s="13">
        <f>'TUSD BE'!$X$27*'TUSD BE'!$X$58</f>
        <v>0</v>
      </c>
      <c r="Y27" s="13">
        <f>'TUSD BE'!$Y$27*'TUSD BE'!$Y$58</f>
        <v>0.90518803510123325</v>
      </c>
      <c r="Z27" s="13">
        <f>'TUSD BE'!$Z$27*'TUSD BE'!$Z$58</f>
        <v>0</v>
      </c>
      <c r="AA27" s="13">
        <f>'TUSD BE'!$AA$27*'TUSD BE'!$AA$58</f>
        <v>0</v>
      </c>
      <c r="AB27" s="13">
        <f>SUM($U$27:$AA$27)</f>
        <v>0.90518803510123325</v>
      </c>
      <c r="AC27" s="13">
        <f>'TUSD BE'!$AC$27*'TUSD BE'!$AC$58</f>
        <v>0</v>
      </c>
      <c r="AD27" s="13">
        <f>SUM($AC$27:$AC$27)</f>
        <v>0</v>
      </c>
      <c r="AE27" s="13">
        <f ca="1">$AO$27*$AO$55</f>
        <v>-96.916883153025339</v>
      </c>
      <c r="AF27" s="13">
        <f ca="1">$AP$27*$AP$55</f>
        <v>0</v>
      </c>
      <c r="AG27" s="13">
        <f ca="1">SUM($AE$27:$AF$27)</f>
        <v>-96.916883153025339</v>
      </c>
      <c r="AH27" s="13">
        <f>'TUSD BE'!$AH$27*'TUSD BE'!$AH$58</f>
        <v>-0.28394603015538705</v>
      </c>
      <c r="AI27" s="13">
        <f>'TUSD BE'!$AI$27*'TUSD BE'!$AI$58</f>
        <v>-9.741730090581744E-3</v>
      </c>
      <c r="AJ27" s="13">
        <f ca="1">'TUSD BE'!$AJ$27*'TUSD BE'!$AJ$58</f>
        <v>-5.507710820302153E-2</v>
      </c>
      <c r="AK27" s="13">
        <f ca="1">'TUSD BE'!$AK$27*'TUSD BE'!$AK$58</f>
        <v>8.3786078080395621E-3</v>
      </c>
      <c r="AL27" s="13">
        <f ca="1">SUM($AH$27:$AK$27)</f>
        <v>-0.34038626064095079</v>
      </c>
      <c r="AM27" s="13">
        <f ca="1">SUMIF($L$4:$AL$4,"SUBTOTAL",$L$27:$AL$27)</f>
        <v>-96.366838626188496</v>
      </c>
      <c r="AO27" s="26">
        <f ca="1">+'TUSD BE'!$T$27+'TUSD BE'!$AB$27+'TUSD BE'!$AD$27+'TUSD BE'!$AL$27</f>
        <v>351.0491038430489</v>
      </c>
      <c r="AP27" s="26">
        <f ca="1">+'TUSD BE'!$T$27+'TUSD BE'!$AB$27+'TUSD BE'!$AD$27+'TUSD BE'!$AL$27</f>
        <v>351.0491038430489</v>
      </c>
    </row>
    <row r="28" spans="1:42" ht="11.25" customHeight="1" x14ac:dyDescent="0.25">
      <c r="A28" s="142"/>
      <c r="B28" s="142"/>
      <c r="C28" s="142"/>
      <c r="D28" s="23" t="s">
        <v>30</v>
      </c>
      <c r="E28" s="23" t="s">
        <v>25</v>
      </c>
      <c r="F28" s="23" t="s">
        <v>25</v>
      </c>
      <c r="G28" s="24" t="s">
        <v>79</v>
      </c>
      <c r="H28" s="24" t="s">
        <v>75</v>
      </c>
      <c r="I28" s="24">
        <f>'MERCADO TUSD'!$U$25</f>
        <v>0</v>
      </c>
      <c r="J28" s="15"/>
      <c r="L28" s="13">
        <f>'TUSD BE'!$L$28*'TUSD BE'!$L$58</f>
        <v>0</v>
      </c>
      <c r="M28" s="13">
        <f>'TUSD BE'!$M$28*'TUSD BE'!$M$58</f>
        <v>-1.4760722786133952E-2</v>
      </c>
      <c r="N28" s="13">
        <f ca="1">'TUSD BE'!$N$28*'TUSD BE'!$N$58</f>
        <v>3.4751626927407061E-6</v>
      </c>
      <c r="O28" s="13">
        <f>'TUSD BE'!$O$28*'TUSD BE'!$O$58</f>
        <v>0</v>
      </c>
      <c r="P28" s="13">
        <f>'TUSD BE'!$P$28*'TUSD BE'!$P$58</f>
        <v>0</v>
      </c>
      <c r="Q28" s="13">
        <f>'TUSD BE'!$Q$28*'TUSD BE'!$Q$58</f>
        <v>0</v>
      </c>
      <c r="R28" s="13">
        <f>'TUSD BE'!$R$28*'TUSD BE'!$R$58</f>
        <v>0</v>
      </c>
      <c r="S28" s="13">
        <f>'TUSD BE'!$R$28*'TUSD BE'!$S$58</f>
        <v>0</v>
      </c>
      <c r="T28" s="13">
        <f ca="1">SUM($L$28:$S$28)</f>
        <v>-1.4757247623441211E-2</v>
      </c>
      <c r="U28" s="13">
        <f>'TUSD BE'!$U$28*'TUSD BE'!$U$58</f>
        <v>0</v>
      </c>
      <c r="V28" s="13">
        <f>'TUSD BE'!$V$28*'TUSD BE'!$V$58</f>
        <v>0</v>
      </c>
      <c r="W28" s="13">
        <f>'TUSD BE'!$W$28*'TUSD BE'!$W$58</f>
        <v>0</v>
      </c>
      <c r="X28" s="13">
        <f>'TUSD BE'!$X$28*'TUSD BE'!$X$58</f>
        <v>0</v>
      </c>
      <c r="Y28" s="13">
        <f>'TUSD BE'!$Y$28*'TUSD BE'!$Y$58</f>
        <v>0.90518803510123325</v>
      </c>
      <c r="Z28" s="13">
        <f>'TUSD BE'!$Z$28*'TUSD BE'!$Z$58</f>
        <v>0</v>
      </c>
      <c r="AA28" s="13">
        <f>'TUSD BE'!$AA$28*'TUSD BE'!$AA$58</f>
        <v>0</v>
      </c>
      <c r="AB28" s="13">
        <f>SUM($U$28:$AA$28)</f>
        <v>0.90518803510123325</v>
      </c>
      <c r="AC28" s="13">
        <f>'TUSD BE'!$AC$28*'TUSD BE'!$AC$58</f>
        <v>0</v>
      </c>
      <c r="AD28" s="13">
        <f>SUM($AC$28:$AC$28)</f>
        <v>0</v>
      </c>
      <c r="AE28" s="13">
        <f ca="1">$AO$28*$AO$55</f>
        <v>-96.916883153025339</v>
      </c>
      <c r="AF28" s="13">
        <f ca="1">$AP$28*$AP$55</f>
        <v>0</v>
      </c>
      <c r="AG28" s="13">
        <f ca="1">SUM($AE$28:$AF$28)</f>
        <v>-96.916883153025339</v>
      </c>
      <c r="AH28" s="13">
        <f>'TUSD BE'!$AH$28*'TUSD BE'!$AH$58</f>
        <v>-0.28394603015538705</v>
      </c>
      <c r="AI28" s="13">
        <f>'TUSD BE'!$AI$28*'TUSD BE'!$AI$58</f>
        <v>-9.741730090581744E-3</v>
      </c>
      <c r="AJ28" s="13">
        <f ca="1">'TUSD BE'!$AJ$28*'TUSD BE'!$AJ$58</f>
        <v>-5.507710820302153E-2</v>
      </c>
      <c r="AK28" s="13">
        <f ca="1">'TUSD BE'!$AK$28*'TUSD BE'!$AK$58</f>
        <v>8.3786078080395621E-3</v>
      </c>
      <c r="AL28" s="13">
        <f ca="1">SUM($AH$28:$AK$28)</f>
        <v>-0.34038626064095079</v>
      </c>
      <c r="AM28" s="13">
        <f ca="1">SUMIF($L$4:$AL$4,"SUBTOTAL",$L$28:$AL$28)</f>
        <v>-96.366838626188496</v>
      </c>
      <c r="AO28" s="26">
        <f ca="1">+'TUSD BE'!$T$28+'TUSD BE'!$AB$28+'TUSD BE'!$AD$28+'TUSD BE'!$AL$28</f>
        <v>351.0491038430489</v>
      </c>
      <c r="AP28" s="26">
        <f ca="1">+'TUSD BE'!$T$28+'TUSD BE'!$AB$28+'TUSD BE'!$AD$28+'TUSD BE'!$AL$28</f>
        <v>351.0491038430489</v>
      </c>
    </row>
    <row r="29" spans="1:42" ht="11.25" customHeight="1" x14ac:dyDescent="0.25">
      <c r="A29" s="142"/>
      <c r="B29" s="142"/>
      <c r="C29" s="142"/>
      <c r="D29" s="23" t="s">
        <v>31</v>
      </c>
      <c r="E29" s="23" t="s">
        <v>25</v>
      </c>
      <c r="F29" s="23" t="s">
        <v>25</v>
      </c>
      <c r="G29" s="24" t="s">
        <v>79</v>
      </c>
      <c r="H29" s="24" t="s">
        <v>75</v>
      </c>
      <c r="I29" s="24">
        <f>'MERCADO TUSD'!$U$26</f>
        <v>0</v>
      </c>
      <c r="J29" s="15"/>
      <c r="L29" s="13">
        <f>'TUSD BE'!$L$29*'TUSD BE'!$L$58</f>
        <v>0</v>
      </c>
      <c r="M29" s="13">
        <f>'TUSD BE'!$M$29*'TUSD BE'!$M$58</f>
        <v>-1.4760722786133952E-2</v>
      </c>
      <c r="N29" s="13">
        <f ca="1">'TUSD BE'!$N$29*'TUSD BE'!$N$58</f>
        <v>3.4751626927407061E-6</v>
      </c>
      <c r="O29" s="13">
        <f>'TUSD BE'!$O$29*'TUSD BE'!$O$58</f>
        <v>0</v>
      </c>
      <c r="P29" s="13">
        <f>'TUSD BE'!$P$29*'TUSD BE'!$P$58</f>
        <v>0</v>
      </c>
      <c r="Q29" s="13">
        <f>'TUSD BE'!$Q$29*'TUSD BE'!$Q$58</f>
        <v>0</v>
      </c>
      <c r="R29" s="13">
        <f>'TUSD BE'!$R$29*'TUSD BE'!$R$58</f>
        <v>0</v>
      </c>
      <c r="S29" s="13">
        <f>'TUSD BE'!$R$29*'TUSD BE'!$S$58</f>
        <v>0</v>
      </c>
      <c r="T29" s="13">
        <f ca="1">SUM($L$29:$S$29)</f>
        <v>-1.4757247623441211E-2</v>
      </c>
      <c r="U29" s="13">
        <f>'TUSD BE'!$U$29*'TUSD BE'!$U$58</f>
        <v>0</v>
      </c>
      <c r="V29" s="13">
        <f>'TUSD BE'!$V$29*'TUSD BE'!$V$58</f>
        <v>0</v>
      </c>
      <c r="W29" s="13">
        <f>'TUSD BE'!$W$29*'TUSD BE'!$W$58</f>
        <v>0</v>
      </c>
      <c r="X29" s="13">
        <f>'TUSD BE'!$X$29*'TUSD BE'!$X$58</f>
        <v>0</v>
      </c>
      <c r="Y29" s="13">
        <f>'TUSD BE'!$Y$29*'TUSD BE'!$Y$58</f>
        <v>0.90518803510123325</v>
      </c>
      <c r="Z29" s="13">
        <f>'TUSD BE'!$Z$29*'TUSD BE'!$Z$58</f>
        <v>0</v>
      </c>
      <c r="AA29" s="13">
        <f>'TUSD BE'!$AA$29*'TUSD BE'!$AA$58</f>
        <v>0</v>
      </c>
      <c r="AB29" s="13">
        <f>SUM($U$29:$AA$29)</f>
        <v>0.90518803510123325</v>
      </c>
      <c r="AC29" s="13">
        <f>'TUSD BE'!$AC$29*'TUSD BE'!$AC$58</f>
        <v>0</v>
      </c>
      <c r="AD29" s="13">
        <f>SUM($AC$29:$AC$29)</f>
        <v>0</v>
      </c>
      <c r="AE29" s="13">
        <f ca="1">$AO$29*$AO$55</f>
        <v>-96.916883153025339</v>
      </c>
      <c r="AF29" s="13">
        <f ca="1">$AP$29*$AP$55</f>
        <v>0</v>
      </c>
      <c r="AG29" s="13">
        <f ca="1">SUM($AE$29:$AF$29)</f>
        <v>-96.916883153025339</v>
      </c>
      <c r="AH29" s="13">
        <f>'TUSD BE'!$AH$29*'TUSD BE'!$AH$58</f>
        <v>-0.28394603015538705</v>
      </c>
      <c r="AI29" s="13">
        <f>'TUSD BE'!$AI$29*'TUSD BE'!$AI$58</f>
        <v>-9.741730090581744E-3</v>
      </c>
      <c r="AJ29" s="13">
        <f ca="1">'TUSD BE'!$AJ$29*'TUSD BE'!$AJ$58</f>
        <v>-5.507710820302153E-2</v>
      </c>
      <c r="AK29" s="13">
        <f ca="1">'TUSD BE'!$AK$29*'TUSD BE'!$AK$58</f>
        <v>8.3786078080395621E-3</v>
      </c>
      <c r="AL29" s="13">
        <f ca="1">SUM($AH$29:$AK$29)</f>
        <v>-0.34038626064095079</v>
      </c>
      <c r="AM29" s="13">
        <f ca="1">SUMIF($L$4:$AL$4,"SUBTOTAL",$L$29:$AL$29)</f>
        <v>-96.366838626188496</v>
      </c>
      <c r="AO29" s="26">
        <f ca="1">+'TUSD BE'!$T$29+'TUSD BE'!$AB$29+'TUSD BE'!$AD$29+'TUSD BE'!$AL$29</f>
        <v>351.0491038430489</v>
      </c>
      <c r="AP29" s="26">
        <f ca="1">+'TUSD BE'!$T$29+'TUSD BE'!$AB$29+'TUSD BE'!$AD$29+'TUSD BE'!$AL$29</f>
        <v>351.0491038430489</v>
      </c>
    </row>
    <row r="30" spans="1:42" ht="11.25" customHeight="1" x14ac:dyDescent="0.25">
      <c r="A30" s="142" t="s">
        <v>41</v>
      </c>
      <c r="B30" s="142" t="s">
        <v>32</v>
      </c>
      <c r="C30" s="142" t="s">
        <v>42</v>
      </c>
      <c r="D30" s="142" t="s">
        <v>25</v>
      </c>
      <c r="E30" s="142" t="s">
        <v>25</v>
      </c>
      <c r="F30" s="142" t="s">
        <v>25</v>
      </c>
      <c r="G30" s="24" t="s">
        <v>76</v>
      </c>
      <c r="H30" s="24" t="s">
        <v>75</v>
      </c>
      <c r="I30" s="24">
        <f>'MERCADO TUSD'!$U$27</f>
        <v>0</v>
      </c>
      <c r="J30" s="15"/>
      <c r="L30" s="13">
        <f>'TUSD BE'!$L$30*'TUSD BE'!$L$58</f>
        <v>0</v>
      </c>
      <c r="M30" s="13">
        <f>'TUSD BE'!$M$30*'TUSD BE'!$M$58</f>
        <v>-1.4760722786133952E-2</v>
      </c>
      <c r="N30" s="13">
        <f ca="1">'TUSD BE'!$N$30*'TUSD BE'!$N$58</f>
        <v>9.074235750860016E-6</v>
      </c>
      <c r="O30" s="13">
        <f>'TUSD BE'!$O$30*'TUSD BE'!$O$58</f>
        <v>0</v>
      </c>
      <c r="P30" s="13">
        <f>'TUSD BE'!$P$30*'TUSD BE'!$P$58</f>
        <v>0</v>
      </c>
      <c r="Q30" s="13">
        <f>'TUSD BE'!$Q$30*'TUSD BE'!$Q$58</f>
        <v>-1.7061567261669188</v>
      </c>
      <c r="R30" s="13">
        <f>'TUSD BE'!$R$30*'TUSD BE'!$R$58</f>
        <v>-0.25686632949670912</v>
      </c>
      <c r="S30" s="13">
        <f>'TUSD BE'!$R$30*'TUSD BE'!$S$58</f>
        <v>0</v>
      </c>
      <c r="T30" s="13">
        <f ca="1">SUM($L$30:$S$30)</f>
        <v>-1.977774704214011</v>
      </c>
      <c r="U30" s="13">
        <f>'TUSD BE'!$U$30*'TUSD BE'!$U$58</f>
        <v>0</v>
      </c>
      <c r="V30" s="13">
        <f>'TUSD BE'!$V$30*'TUSD BE'!$V$58</f>
        <v>0</v>
      </c>
      <c r="W30" s="13">
        <f>'TUSD BE'!$W$30*'TUSD BE'!$W$58</f>
        <v>0</v>
      </c>
      <c r="X30" s="13">
        <f>'TUSD BE'!$X$30*'TUSD BE'!$X$58</f>
        <v>0</v>
      </c>
      <c r="Y30" s="13">
        <f>'TUSD BE'!$Y$30*'TUSD BE'!$Y$58</f>
        <v>2.5797864229441694</v>
      </c>
      <c r="Z30" s="13">
        <f>'TUSD BE'!$Z$30*'TUSD BE'!$Z$58</f>
        <v>0</v>
      </c>
      <c r="AA30" s="13">
        <f>'TUSD BE'!$AA$30*'TUSD BE'!$AA$58</f>
        <v>0</v>
      </c>
      <c r="AB30" s="13">
        <f>SUM($U$30:$AA$30)</f>
        <v>2.5797864229441694</v>
      </c>
      <c r="AC30" s="13">
        <f>'TUSD BE'!$AC$30*'TUSD BE'!$AC$58</f>
        <v>0</v>
      </c>
      <c r="AD30" s="13">
        <f>SUM($AC$30:$AC$30)</f>
        <v>0</v>
      </c>
      <c r="AE30" s="13">
        <f ca="1">$AO$30*$AO$55</f>
        <v>-291.69632484494201</v>
      </c>
      <c r="AF30" s="13">
        <f ca="1">$AP$30*$AP$55</f>
        <v>0</v>
      </c>
      <c r="AG30" s="13">
        <f ca="1">SUM($AE$30:$AF$30)</f>
        <v>-291.69632484494201</v>
      </c>
      <c r="AH30" s="13">
        <f>'TUSD BE'!$AH$30*'TUSD BE'!$AH$58</f>
        <v>-0.28394603015538705</v>
      </c>
      <c r="AI30" s="13">
        <f>'TUSD BE'!$AI$30*'TUSD BE'!$AI$58</f>
        <v>-9.741730090581744E-3</v>
      </c>
      <c r="AJ30" s="13">
        <f ca="1">'TUSD BE'!$AJ$30*'TUSD BE'!$AJ$58</f>
        <v>-5.507710820302153E-2</v>
      </c>
      <c r="AK30" s="13">
        <f ca="1">'TUSD BE'!$AK$30*'TUSD BE'!$AK$58</f>
        <v>8.3786078080395621E-3</v>
      </c>
      <c r="AL30" s="13">
        <f ca="1">SUM($AH$30:$AK$30)</f>
        <v>-0.34038626064095079</v>
      </c>
      <c r="AM30" s="13">
        <f ca="1">SUMIF($L$4:$AL$4,"SUBTOTAL",$L$30:$AL$30)</f>
        <v>-291.4346993868528</v>
      </c>
      <c r="AO30" s="26">
        <f ca="1">+'TUSD BE'!$T$30+'TUSD BE'!$AB$30+'TUSD BE'!$AD$30+'TUSD BE'!$AL$30</f>
        <v>1056.5727053917467</v>
      </c>
      <c r="AP30" s="26">
        <f ca="1">+'TUSD BE'!$T$30+'TUSD BE'!$AB$30+'TUSD BE'!$AD$30+'TUSD BE'!$AL$30</f>
        <v>1056.5727053917467</v>
      </c>
    </row>
    <row r="31" spans="1:42" ht="11.25" customHeight="1" x14ac:dyDescent="0.25">
      <c r="A31" s="142"/>
      <c r="B31" s="142"/>
      <c r="C31" s="142"/>
      <c r="D31" s="142"/>
      <c r="E31" s="142"/>
      <c r="F31" s="142"/>
      <c r="G31" s="24" t="s">
        <v>88</v>
      </c>
      <c r="H31" s="24" t="s">
        <v>75</v>
      </c>
      <c r="I31" s="24">
        <f>'MERCADO TUSD'!$U$28</f>
        <v>0</v>
      </c>
      <c r="J31" s="15"/>
      <c r="L31" s="13">
        <f>'TUSD BE'!$L$31*'TUSD BE'!$L$58</f>
        <v>0</v>
      </c>
      <c r="M31" s="13">
        <f>'TUSD BE'!$M$31*'TUSD BE'!$M$58</f>
        <v>-1.4760722786133952E-2</v>
      </c>
      <c r="N31" s="13">
        <f ca="1">'TUSD BE'!$N$31*'TUSD BE'!$N$58</f>
        <v>5.6305339931545798E-6</v>
      </c>
      <c r="O31" s="13">
        <f>'TUSD BE'!$O$31*'TUSD BE'!$O$58</f>
        <v>0</v>
      </c>
      <c r="P31" s="13">
        <f>'TUSD BE'!$P$31*'TUSD BE'!$P$58</f>
        <v>0</v>
      </c>
      <c r="Q31" s="13">
        <f>'TUSD BE'!$Q$31*'TUSD BE'!$Q$58</f>
        <v>-1.7061567261669188</v>
      </c>
      <c r="R31" s="13">
        <f>'TUSD BE'!$R$31*'TUSD BE'!$R$58</f>
        <v>-0.25686632949670912</v>
      </c>
      <c r="S31" s="13">
        <f>'TUSD BE'!$R$31*'TUSD BE'!$S$58</f>
        <v>0</v>
      </c>
      <c r="T31" s="13">
        <f ca="1">SUM($L$31:$S$31)</f>
        <v>-1.9777781479157688</v>
      </c>
      <c r="U31" s="13">
        <f>'TUSD BE'!$U$31*'TUSD BE'!$U$58</f>
        <v>0</v>
      </c>
      <c r="V31" s="13">
        <f>'TUSD BE'!$V$31*'TUSD BE'!$V$58</f>
        <v>0</v>
      </c>
      <c r="W31" s="13">
        <f>'TUSD BE'!$W$31*'TUSD BE'!$W$58</f>
        <v>0</v>
      </c>
      <c r="X31" s="13">
        <f>'TUSD BE'!$X$31*'TUSD BE'!$X$58</f>
        <v>0</v>
      </c>
      <c r="Y31" s="13">
        <f>'TUSD BE'!$Y$31*'TUSD BE'!$Y$58</f>
        <v>1.5478713308608467</v>
      </c>
      <c r="Z31" s="13">
        <f>'TUSD BE'!$Z$31*'TUSD BE'!$Z$58</f>
        <v>0</v>
      </c>
      <c r="AA31" s="13">
        <f>'TUSD BE'!$AA$31*'TUSD BE'!$AA$58</f>
        <v>0</v>
      </c>
      <c r="AB31" s="13">
        <f>SUM($U$31:$AA$31)</f>
        <v>1.5478713308608467</v>
      </c>
      <c r="AC31" s="13">
        <f>'TUSD BE'!$AC$31*'TUSD BE'!$AC$58</f>
        <v>0</v>
      </c>
      <c r="AD31" s="13">
        <f>SUM($AC$31:$AC$31)</f>
        <v>0</v>
      </c>
      <c r="AE31" s="13">
        <f ca="1">$AO$31*$AO$55</f>
        <v>-189.23005911046812</v>
      </c>
      <c r="AF31" s="13">
        <f ca="1">$AP$31*$AP$55</f>
        <v>0</v>
      </c>
      <c r="AG31" s="13">
        <f ca="1">SUM($AE$31:$AF$31)</f>
        <v>-189.23005911046812</v>
      </c>
      <c r="AH31" s="13">
        <f>'TUSD BE'!$AH$31*'TUSD BE'!$AH$58</f>
        <v>-0.28394603015538705</v>
      </c>
      <c r="AI31" s="13">
        <f>'TUSD BE'!$AI$31*'TUSD BE'!$AI$58</f>
        <v>-9.741730090581744E-3</v>
      </c>
      <c r="AJ31" s="13">
        <f ca="1">'TUSD BE'!$AJ$31*'TUSD BE'!$AJ$58</f>
        <v>-5.507710820302153E-2</v>
      </c>
      <c r="AK31" s="13">
        <f ca="1">'TUSD BE'!$AK$31*'TUSD BE'!$AK$58</f>
        <v>8.3786078080395621E-3</v>
      </c>
      <c r="AL31" s="13">
        <f ca="1">SUM($AH$31:$AK$31)</f>
        <v>-0.34038626064095079</v>
      </c>
      <c r="AM31" s="13">
        <f ca="1">SUMIF($L$4:$AL$4,"SUBTOTAL",$L$31:$AL$31)</f>
        <v>-190.00035218816399</v>
      </c>
      <c r="AO31" s="26">
        <f ca="1">+'TUSD BE'!$T$31+'TUSD BE'!$AB$31+'TUSD BE'!$AD$31+'TUSD BE'!$AL$31</f>
        <v>685.42281292734049</v>
      </c>
      <c r="AP31" s="26">
        <f ca="1">+'TUSD BE'!$T$31+'TUSD BE'!$AB$31+'TUSD BE'!$AD$31+'TUSD BE'!$AL$31</f>
        <v>685.42281292734049</v>
      </c>
    </row>
    <row r="32" spans="1:42" ht="11.25" customHeight="1" x14ac:dyDescent="0.25">
      <c r="A32" s="142"/>
      <c r="B32" s="142"/>
      <c r="C32" s="142"/>
      <c r="D32" s="142"/>
      <c r="E32" s="142"/>
      <c r="F32" s="142"/>
      <c r="G32" s="24" t="s">
        <v>77</v>
      </c>
      <c r="H32" s="24" t="s">
        <v>75</v>
      </c>
      <c r="I32" s="24">
        <f>'MERCADO TUSD'!$U$29</f>
        <v>0</v>
      </c>
      <c r="J32" s="15"/>
      <c r="L32" s="13">
        <f>'TUSD BE'!$L$32*'TUSD BE'!$L$58</f>
        <v>0</v>
      </c>
      <c r="M32" s="13">
        <f>'TUSD BE'!$M$32*'TUSD BE'!$M$58</f>
        <v>-1.4760722786133952E-2</v>
      </c>
      <c r="N32" s="13">
        <f ca="1">'TUSD BE'!$N$32*'TUSD BE'!$N$58</f>
        <v>2.1868332965064309E-6</v>
      </c>
      <c r="O32" s="13">
        <f>'TUSD BE'!$O$32*'TUSD BE'!$O$58</f>
        <v>0</v>
      </c>
      <c r="P32" s="13">
        <f>'TUSD BE'!$P$32*'TUSD BE'!$P$58</f>
        <v>0</v>
      </c>
      <c r="Q32" s="13">
        <f>'TUSD BE'!$Q$32*'TUSD BE'!$Q$58</f>
        <v>-1.7061567261669188</v>
      </c>
      <c r="R32" s="13">
        <f>'TUSD BE'!$R$32*'TUSD BE'!$R$58</f>
        <v>-0.25686632949670912</v>
      </c>
      <c r="S32" s="13">
        <f>'TUSD BE'!$R$32*'TUSD BE'!$S$58</f>
        <v>0</v>
      </c>
      <c r="T32" s="13">
        <f ca="1">SUM($L$32:$S$32)</f>
        <v>-1.9777815916164654</v>
      </c>
      <c r="U32" s="13">
        <f>'TUSD BE'!$U$32*'TUSD BE'!$U$58</f>
        <v>0</v>
      </c>
      <c r="V32" s="13">
        <f>'TUSD BE'!$V$32*'TUSD BE'!$V$58</f>
        <v>0</v>
      </c>
      <c r="W32" s="13">
        <f>'TUSD BE'!$W$32*'TUSD BE'!$W$58</f>
        <v>0</v>
      </c>
      <c r="X32" s="13">
        <f>'TUSD BE'!$X$32*'TUSD BE'!$X$58</f>
        <v>0</v>
      </c>
      <c r="Y32" s="13">
        <f>'TUSD BE'!$Y$32*'TUSD BE'!$Y$58</f>
        <v>0.51595711028694891</v>
      </c>
      <c r="Z32" s="13">
        <f>'TUSD BE'!$Z$32*'TUSD BE'!$Z$58</f>
        <v>0</v>
      </c>
      <c r="AA32" s="13">
        <f>'TUSD BE'!$AA$32*'TUSD BE'!$AA$58</f>
        <v>0</v>
      </c>
      <c r="AB32" s="13">
        <f>SUM($U$32:$AA$32)</f>
        <v>0.51595711028694891</v>
      </c>
      <c r="AC32" s="13">
        <f>'TUSD BE'!$AC$32*'TUSD BE'!$AC$58</f>
        <v>0</v>
      </c>
      <c r="AD32" s="13">
        <f>SUM($AC$32:$AC$32)</f>
        <v>0</v>
      </c>
      <c r="AE32" s="13">
        <f ca="1">$AO$32*$AO$55</f>
        <v>-86.763827628663748</v>
      </c>
      <c r="AF32" s="13">
        <f ca="1">$AP$32*$AP$55</f>
        <v>0</v>
      </c>
      <c r="AG32" s="13">
        <f ca="1">SUM($AE$32:$AF$32)</f>
        <v>-86.763827628663748</v>
      </c>
      <c r="AH32" s="13">
        <f>'TUSD BE'!$AH$32*'TUSD BE'!$AH$58</f>
        <v>-0.28394603015538705</v>
      </c>
      <c r="AI32" s="13">
        <f>'TUSD BE'!$AI$32*'TUSD BE'!$AI$58</f>
        <v>-9.741730090581744E-3</v>
      </c>
      <c r="AJ32" s="13">
        <f ca="1">'TUSD BE'!$AJ$32*'TUSD BE'!$AJ$58</f>
        <v>-5.507710820302153E-2</v>
      </c>
      <c r="AK32" s="13">
        <f ca="1">'TUSD BE'!$AK$32*'TUSD BE'!$AK$58</f>
        <v>8.3786078080395621E-3</v>
      </c>
      <c r="AL32" s="13">
        <f ca="1">SUM($AH$32:$AK$32)</f>
        <v>-0.34038626064095079</v>
      </c>
      <c r="AM32" s="13">
        <f ca="1">SUMIF($L$4:$AL$4,"SUBTOTAL",$L$32:$AL$32)</f>
        <v>-88.566038370634217</v>
      </c>
      <c r="AO32" s="26">
        <f ca="1">+'TUSD BE'!$T$32+'TUSD BE'!$AB$32+'TUSD BE'!$AD$32+'TUSD BE'!$AL$32</f>
        <v>314.27304453181222</v>
      </c>
      <c r="AP32" s="26">
        <f ca="1">+'TUSD BE'!$T$32+'TUSD BE'!$AB$32+'TUSD BE'!$AD$32+'TUSD BE'!$AL$32</f>
        <v>314.27304453181222</v>
      </c>
    </row>
    <row r="33" spans="1:42" ht="11.25" customHeight="1" x14ac:dyDescent="0.25">
      <c r="A33" s="142"/>
      <c r="B33" s="23" t="s">
        <v>23</v>
      </c>
      <c r="C33" s="23" t="s">
        <v>42</v>
      </c>
      <c r="D33" s="23" t="s">
        <v>25</v>
      </c>
      <c r="E33" s="23" t="s">
        <v>25</v>
      </c>
      <c r="F33" s="23" t="s">
        <v>25</v>
      </c>
      <c r="G33" s="24" t="s">
        <v>79</v>
      </c>
      <c r="H33" s="24" t="s">
        <v>75</v>
      </c>
      <c r="I33" s="24">
        <f>'MERCADO TUSD'!$U$30</f>
        <v>3335.7969999999996</v>
      </c>
      <c r="J33" s="15"/>
      <c r="L33" s="13">
        <f>'TUSD BE'!$L$33*'TUSD BE'!$L$58</f>
        <v>0</v>
      </c>
      <c r="M33" s="13">
        <f>'TUSD BE'!$M$33*'TUSD BE'!$M$58</f>
        <v>-1.4760722786133952E-2</v>
      </c>
      <c r="N33" s="13">
        <f ca="1">'TUSD BE'!$N$33*'TUSD BE'!$N$58</f>
        <v>3.4857732656494363E-6</v>
      </c>
      <c r="O33" s="13">
        <f>'TUSD BE'!$O$33*'TUSD BE'!$O$58</f>
        <v>0</v>
      </c>
      <c r="P33" s="13">
        <f>'TUSD BE'!$P$33*'TUSD BE'!$P$58</f>
        <v>0</v>
      </c>
      <c r="Q33" s="13">
        <f>'TUSD BE'!$Q$33*'TUSD BE'!$Q$58</f>
        <v>-1.7061567261669188</v>
      </c>
      <c r="R33" s="13">
        <f>'TUSD BE'!$R$33*'TUSD BE'!$R$58</f>
        <v>-0.25686632949670912</v>
      </c>
      <c r="S33" s="13">
        <f>'TUSD BE'!$R$33*'TUSD BE'!$S$58</f>
        <v>0</v>
      </c>
      <c r="T33" s="13">
        <f ca="1">SUM($L$33:$S$33)</f>
        <v>-1.9777802926764962</v>
      </c>
      <c r="U33" s="13">
        <f>'TUSD BE'!$U$33*'TUSD BE'!$U$58</f>
        <v>0</v>
      </c>
      <c r="V33" s="13">
        <f>'TUSD BE'!$V$33*'TUSD BE'!$V$58</f>
        <v>0</v>
      </c>
      <c r="W33" s="13">
        <f>'TUSD BE'!$W$33*'TUSD BE'!$W$58</f>
        <v>0</v>
      </c>
      <c r="X33" s="13">
        <f>'TUSD BE'!$X$33*'TUSD BE'!$X$58</f>
        <v>0</v>
      </c>
      <c r="Y33" s="13">
        <f>'TUSD BE'!$Y$33*'TUSD BE'!$Y$58</f>
        <v>0.90518803510123325</v>
      </c>
      <c r="Z33" s="13">
        <f>'TUSD BE'!$Z$33*'TUSD BE'!$Z$58</f>
        <v>0</v>
      </c>
      <c r="AA33" s="13">
        <f>'TUSD BE'!$AA$33*'TUSD BE'!$AA$58</f>
        <v>0</v>
      </c>
      <c r="AB33" s="13">
        <f>SUM($U$33:$AA$33)</f>
        <v>0.90518803510123325</v>
      </c>
      <c r="AC33" s="13">
        <f>'TUSD BE'!$AC$33*'TUSD BE'!$AC$58</f>
        <v>0</v>
      </c>
      <c r="AD33" s="13">
        <f>SUM($AC$33:$AC$33)</f>
        <v>0</v>
      </c>
      <c r="AE33" s="13">
        <f ca="1">$AO$33*$AO$55</f>
        <v>-125.41337826061903</v>
      </c>
      <c r="AF33" s="13">
        <f ca="1">$AP$33*$AP$55</f>
        <v>0</v>
      </c>
      <c r="AG33" s="13">
        <f ca="1">SUM($AE$33:$AF$33)</f>
        <v>-125.41337826061903</v>
      </c>
      <c r="AH33" s="13">
        <f>'TUSD BE'!$AH$33*'TUSD BE'!$AH$58</f>
        <v>-0.28394603015538705</v>
      </c>
      <c r="AI33" s="13">
        <f>'TUSD BE'!$AI$33*'TUSD BE'!$AI$58</f>
        <v>-9.741730090581744E-3</v>
      </c>
      <c r="AJ33" s="13">
        <f ca="1">'TUSD BE'!$AJ$33*'TUSD BE'!$AJ$58</f>
        <v>-5.507710820302153E-2</v>
      </c>
      <c r="AK33" s="13">
        <f ca="1">'TUSD BE'!$AK$33*'TUSD BE'!$AK$58</f>
        <v>8.3786078080395621E-3</v>
      </c>
      <c r="AL33" s="13">
        <f ca="1">SUM($AH$33:$AK$33)</f>
        <v>-0.34038626064095079</v>
      </c>
      <c r="AM33" s="13">
        <f ca="1">SUMIF($L$4:$AL$4,"SUBTOTAL",$L$33:$AL$33)</f>
        <v>-126.82635677883525</v>
      </c>
      <c r="AO33" s="26">
        <f ca="1">+'TUSD BE'!$T$33+'TUSD BE'!$AB$33+'TUSD BE'!$AD$33+'TUSD BE'!$AL$33</f>
        <v>454.26815861179813</v>
      </c>
      <c r="AP33" s="26">
        <f ca="1">+'TUSD BE'!$T$33+'TUSD BE'!$AB$33+'TUSD BE'!$AD$33+'TUSD BE'!$AL$33</f>
        <v>454.26815861179813</v>
      </c>
    </row>
    <row r="34" spans="1:42" ht="11.25" customHeight="1" x14ac:dyDescent="0.25">
      <c r="A34" s="142"/>
      <c r="B34" s="142" t="s">
        <v>32</v>
      </c>
      <c r="C34" s="142" t="s">
        <v>42</v>
      </c>
      <c r="D34" s="142" t="s">
        <v>91</v>
      </c>
      <c r="E34" s="142" t="s">
        <v>25</v>
      </c>
      <c r="F34" s="142" t="s">
        <v>25</v>
      </c>
      <c r="G34" s="24" t="s">
        <v>76</v>
      </c>
      <c r="H34" s="24" t="s">
        <v>75</v>
      </c>
      <c r="I34" s="24">
        <f>'MERCADO TUSD'!$U$31</f>
        <v>0</v>
      </c>
      <c r="J34" s="15"/>
      <c r="L34" s="13">
        <f>'TUSD BE'!$L$34*'TUSD BE'!$L$58</f>
        <v>0</v>
      </c>
      <c r="M34" s="13">
        <f>'TUSD BE'!$M$34*'TUSD BE'!$M$58</f>
        <v>-1.4760722786133952E-2</v>
      </c>
      <c r="N34" s="13">
        <f ca="1">'TUSD BE'!$N$34*'TUSD BE'!$N$58</f>
        <v>9.074235750860016E-6</v>
      </c>
      <c r="O34" s="13">
        <f>'TUSD BE'!$O$34*'TUSD BE'!$O$58</f>
        <v>0</v>
      </c>
      <c r="P34" s="13">
        <f>'TUSD BE'!$P$34*'TUSD BE'!$P$58</f>
        <v>0</v>
      </c>
      <c r="Q34" s="13">
        <f>'TUSD BE'!$Q$34*'TUSD BE'!$Q$58</f>
        <v>-1.7061567261669188</v>
      </c>
      <c r="R34" s="13">
        <f>'TUSD BE'!$R$34*'TUSD BE'!$R$58</f>
        <v>-0.25686632949670912</v>
      </c>
      <c r="S34" s="13">
        <f>'TUSD BE'!$R$34*'TUSD BE'!$S$58</f>
        <v>0</v>
      </c>
      <c r="T34" s="13">
        <f ca="1">SUM($L$34:$S$34)</f>
        <v>-1.977774704214011</v>
      </c>
      <c r="U34" s="13">
        <f>'TUSD BE'!$U$34*'TUSD BE'!$U$58</f>
        <v>0</v>
      </c>
      <c r="V34" s="13">
        <f>'TUSD BE'!$V$34*'TUSD BE'!$V$58</f>
        <v>0</v>
      </c>
      <c r="W34" s="13">
        <f>'TUSD BE'!$W$34*'TUSD BE'!$W$58</f>
        <v>0</v>
      </c>
      <c r="X34" s="13">
        <f>'TUSD BE'!$X$34*'TUSD BE'!$X$58</f>
        <v>0</v>
      </c>
      <c r="Y34" s="13">
        <f>'TUSD BE'!$Y$34*'TUSD BE'!$Y$58</f>
        <v>2.5797864229441694</v>
      </c>
      <c r="Z34" s="13">
        <f>'TUSD BE'!$Z$34*'TUSD BE'!$Z$58</f>
        <v>0</v>
      </c>
      <c r="AA34" s="13">
        <f>'TUSD BE'!$AA$34*'TUSD BE'!$AA$58</f>
        <v>0</v>
      </c>
      <c r="AB34" s="13">
        <f>SUM($U$34:$AA$34)</f>
        <v>2.5797864229441694</v>
      </c>
      <c r="AC34" s="13">
        <f>'TUSD BE'!$AC$34*'TUSD BE'!$AC$58</f>
        <v>0</v>
      </c>
      <c r="AD34" s="13">
        <f>SUM($AC$34:$AC$34)</f>
        <v>0</v>
      </c>
      <c r="AE34" s="13">
        <f ca="1">$AO$34*$AO$55</f>
        <v>-291.69632484494201</v>
      </c>
      <c r="AF34" s="13">
        <f ca="1">$AP$34*$AP$55</f>
        <v>0</v>
      </c>
      <c r="AG34" s="13">
        <f ca="1">SUM($AE$34:$AF$34)</f>
        <v>-291.69632484494201</v>
      </c>
      <c r="AH34" s="13">
        <f>'TUSD BE'!$AH$34*'TUSD BE'!$AH$58</f>
        <v>-0.28394603015538705</v>
      </c>
      <c r="AI34" s="13">
        <f>'TUSD BE'!$AI$34*'TUSD BE'!$AI$58</f>
        <v>-9.741730090581744E-3</v>
      </c>
      <c r="AJ34" s="13">
        <f ca="1">'TUSD BE'!$AJ$34*'TUSD BE'!$AJ$58</f>
        <v>-5.507710820302153E-2</v>
      </c>
      <c r="AK34" s="13">
        <f ca="1">'TUSD BE'!$AK$34*'TUSD BE'!$AK$58</f>
        <v>8.3786078080395621E-3</v>
      </c>
      <c r="AL34" s="13">
        <f ca="1">SUM($AH$34:$AK$34)</f>
        <v>-0.34038626064095079</v>
      </c>
      <c r="AM34" s="13">
        <f ca="1">SUMIF($L$4:$AL$4,"SUBTOTAL",$L$34:$AL$34)</f>
        <v>-291.4346993868528</v>
      </c>
      <c r="AO34" s="26">
        <f ca="1">+'TUSD BE'!$T$34+'TUSD BE'!$AB$34+'TUSD BE'!$AD$34+'TUSD BE'!$AL$34</f>
        <v>1056.5727053917467</v>
      </c>
      <c r="AP34" s="26">
        <f ca="1">+'TUSD BE'!$T$34+'TUSD BE'!$AB$34+'TUSD BE'!$AD$34+'TUSD BE'!$AL$34</f>
        <v>1056.5727053917467</v>
      </c>
    </row>
    <row r="35" spans="1:42" ht="11.25" customHeight="1" x14ac:dyDescent="0.25">
      <c r="A35" s="142"/>
      <c r="B35" s="142"/>
      <c r="C35" s="142"/>
      <c r="D35" s="142"/>
      <c r="E35" s="142"/>
      <c r="F35" s="142"/>
      <c r="G35" s="24" t="s">
        <v>88</v>
      </c>
      <c r="H35" s="24" t="s">
        <v>75</v>
      </c>
      <c r="I35" s="24">
        <f>'MERCADO TUSD'!$U$32</f>
        <v>0</v>
      </c>
      <c r="J35" s="15"/>
      <c r="L35" s="13">
        <f>'TUSD BE'!$L$35*'TUSD BE'!$L$58</f>
        <v>0</v>
      </c>
      <c r="M35" s="13">
        <f>'TUSD BE'!$M$35*'TUSD BE'!$M$58</f>
        <v>-1.4760722786133952E-2</v>
      </c>
      <c r="N35" s="13">
        <f ca="1">'TUSD BE'!$N$35*'TUSD BE'!$N$58</f>
        <v>5.6305339931545798E-6</v>
      </c>
      <c r="O35" s="13">
        <f>'TUSD BE'!$O$35*'TUSD BE'!$O$58</f>
        <v>0</v>
      </c>
      <c r="P35" s="13">
        <f>'TUSD BE'!$P$35*'TUSD BE'!$P$58</f>
        <v>0</v>
      </c>
      <c r="Q35" s="13">
        <f>'TUSD BE'!$Q$35*'TUSD BE'!$Q$58</f>
        <v>-1.7061567261669188</v>
      </c>
      <c r="R35" s="13">
        <f>'TUSD BE'!$R$35*'TUSD BE'!$R$58</f>
        <v>-0.25686632949670912</v>
      </c>
      <c r="S35" s="13">
        <f>'TUSD BE'!$R$35*'TUSD BE'!$S$58</f>
        <v>0</v>
      </c>
      <c r="T35" s="13">
        <f ca="1">SUM($L$35:$S$35)</f>
        <v>-1.9777781479157688</v>
      </c>
      <c r="U35" s="13">
        <f>'TUSD BE'!$U$35*'TUSD BE'!$U$58</f>
        <v>0</v>
      </c>
      <c r="V35" s="13">
        <f>'TUSD BE'!$V$35*'TUSD BE'!$V$58</f>
        <v>0</v>
      </c>
      <c r="W35" s="13">
        <f>'TUSD BE'!$W$35*'TUSD BE'!$W$58</f>
        <v>0</v>
      </c>
      <c r="X35" s="13">
        <f>'TUSD BE'!$X$35*'TUSD BE'!$X$58</f>
        <v>0</v>
      </c>
      <c r="Y35" s="13">
        <f>'TUSD BE'!$Y$35*'TUSD BE'!$Y$58</f>
        <v>1.5478713308608467</v>
      </c>
      <c r="Z35" s="13">
        <f>'TUSD BE'!$Z$35*'TUSD BE'!$Z$58</f>
        <v>0</v>
      </c>
      <c r="AA35" s="13">
        <f>'TUSD BE'!$AA$35*'TUSD BE'!$AA$58</f>
        <v>0</v>
      </c>
      <c r="AB35" s="13">
        <f>SUM($U$35:$AA$35)</f>
        <v>1.5478713308608467</v>
      </c>
      <c r="AC35" s="13">
        <f>'TUSD BE'!$AC$35*'TUSD BE'!$AC$58</f>
        <v>0</v>
      </c>
      <c r="AD35" s="13">
        <f>SUM($AC$35:$AC$35)</f>
        <v>0</v>
      </c>
      <c r="AE35" s="13">
        <f ca="1">$AO$35*$AO$55</f>
        <v>-189.23005911046812</v>
      </c>
      <c r="AF35" s="13">
        <f ca="1">$AP$35*$AP$55</f>
        <v>0</v>
      </c>
      <c r="AG35" s="13">
        <f ca="1">SUM($AE$35:$AF$35)</f>
        <v>-189.23005911046812</v>
      </c>
      <c r="AH35" s="13">
        <f>'TUSD BE'!$AH$35*'TUSD BE'!$AH$58</f>
        <v>-0.28394603015538705</v>
      </c>
      <c r="AI35" s="13">
        <f>'TUSD BE'!$AI$35*'TUSD BE'!$AI$58</f>
        <v>-9.741730090581744E-3</v>
      </c>
      <c r="AJ35" s="13">
        <f ca="1">'TUSD BE'!$AJ$35*'TUSD BE'!$AJ$58</f>
        <v>-5.507710820302153E-2</v>
      </c>
      <c r="AK35" s="13">
        <f ca="1">'TUSD BE'!$AK$35*'TUSD BE'!$AK$58</f>
        <v>8.3786078080395621E-3</v>
      </c>
      <c r="AL35" s="13">
        <f ca="1">SUM($AH$35:$AK$35)</f>
        <v>-0.34038626064095079</v>
      </c>
      <c r="AM35" s="13">
        <f ca="1">SUMIF($L$4:$AL$4,"SUBTOTAL",$L$35:$AL$35)</f>
        <v>-190.00035218816399</v>
      </c>
      <c r="AO35" s="26">
        <f ca="1">+'TUSD BE'!$T$35+'TUSD BE'!$AB$35+'TUSD BE'!$AD$35+'TUSD BE'!$AL$35</f>
        <v>685.42281292734049</v>
      </c>
      <c r="AP35" s="26">
        <f ca="1">+'TUSD BE'!$T$35+'TUSD BE'!$AB$35+'TUSD BE'!$AD$35+'TUSD BE'!$AL$35</f>
        <v>685.42281292734049</v>
      </c>
    </row>
    <row r="36" spans="1:42" ht="11.25" customHeight="1" x14ac:dyDescent="0.25">
      <c r="A36" s="142"/>
      <c r="B36" s="142"/>
      <c r="C36" s="142"/>
      <c r="D36" s="142"/>
      <c r="E36" s="142"/>
      <c r="F36" s="142"/>
      <c r="G36" s="24" t="s">
        <v>77</v>
      </c>
      <c r="H36" s="24" t="s">
        <v>75</v>
      </c>
      <c r="I36" s="24">
        <f>'MERCADO TUSD'!$U$33</f>
        <v>0</v>
      </c>
      <c r="J36" s="15"/>
      <c r="L36" s="13">
        <f>'TUSD BE'!$L$36*'TUSD BE'!$L$58</f>
        <v>0</v>
      </c>
      <c r="M36" s="13">
        <f>'TUSD BE'!$M$36*'TUSD BE'!$M$58</f>
        <v>-1.4760722786133952E-2</v>
      </c>
      <c r="N36" s="13">
        <f ca="1">'TUSD BE'!$N$36*'TUSD BE'!$N$58</f>
        <v>2.1868332965064309E-6</v>
      </c>
      <c r="O36" s="13">
        <f>'TUSD BE'!$O$36*'TUSD BE'!$O$58</f>
        <v>0</v>
      </c>
      <c r="P36" s="13">
        <f>'TUSD BE'!$P$36*'TUSD BE'!$P$58</f>
        <v>0</v>
      </c>
      <c r="Q36" s="13">
        <f>'TUSD BE'!$Q$36*'TUSD BE'!$Q$58</f>
        <v>-1.7061567261669188</v>
      </c>
      <c r="R36" s="13">
        <f>'TUSD BE'!$R$36*'TUSD BE'!$R$58</f>
        <v>-0.25686632949670912</v>
      </c>
      <c r="S36" s="13">
        <f>'TUSD BE'!$R$36*'TUSD BE'!$S$58</f>
        <v>0</v>
      </c>
      <c r="T36" s="13">
        <f ca="1">SUM($L$36:$S$36)</f>
        <v>-1.9777815916164654</v>
      </c>
      <c r="U36" s="13">
        <f>'TUSD BE'!$U$36*'TUSD BE'!$U$58</f>
        <v>0</v>
      </c>
      <c r="V36" s="13">
        <f>'TUSD BE'!$V$36*'TUSD BE'!$V$58</f>
        <v>0</v>
      </c>
      <c r="W36" s="13">
        <f>'TUSD BE'!$W$36*'TUSD BE'!$W$58</f>
        <v>0</v>
      </c>
      <c r="X36" s="13">
        <f>'TUSD BE'!$X$36*'TUSD BE'!$X$58</f>
        <v>0</v>
      </c>
      <c r="Y36" s="13">
        <f>'TUSD BE'!$Y$36*'TUSD BE'!$Y$58</f>
        <v>0.51595711028694891</v>
      </c>
      <c r="Z36" s="13">
        <f>'TUSD BE'!$Z$36*'TUSD BE'!$Z$58</f>
        <v>0</v>
      </c>
      <c r="AA36" s="13">
        <f>'TUSD BE'!$AA$36*'TUSD BE'!$AA$58</f>
        <v>0</v>
      </c>
      <c r="AB36" s="13">
        <f>SUM($U$36:$AA$36)</f>
        <v>0.51595711028694891</v>
      </c>
      <c r="AC36" s="13">
        <f>'TUSD BE'!$AC$36*'TUSD BE'!$AC$58</f>
        <v>0</v>
      </c>
      <c r="AD36" s="13">
        <f>SUM($AC$36:$AC$36)</f>
        <v>0</v>
      </c>
      <c r="AE36" s="13">
        <f ca="1">$AO$36*$AO$55</f>
        <v>-86.763827628663748</v>
      </c>
      <c r="AF36" s="13">
        <f ca="1">$AP$36*$AP$55</f>
        <v>0</v>
      </c>
      <c r="AG36" s="13">
        <f ca="1">SUM($AE$36:$AF$36)</f>
        <v>-86.763827628663748</v>
      </c>
      <c r="AH36" s="13">
        <f>'TUSD BE'!$AH$36*'TUSD BE'!$AH$58</f>
        <v>-0.28394603015538705</v>
      </c>
      <c r="AI36" s="13">
        <f>'TUSD BE'!$AI$36*'TUSD BE'!$AI$58</f>
        <v>-9.741730090581744E-3</v>
      </c>
      <c r="AJ36" s="13">
        <f ca="1">'TUSD BE'!$AJ$36*'TUSD BE'!$AJ$58</f>
        <v>-5.507710820302153E-2</v>
      </c>
      <c r="AK36" s="13">
        <f ca="1">'TUSD BE'!$AK$36*'TUSD BE'!$AK$58</f>
        <v>8.3786078080395621E-3</v>
      </c>
      <c r="AL36" s="13">
        <f ca="1">SUM($AH$36:$AK$36)</f>
        <v>-0.34038626064095079</v>
      </c>
      <c r="AM36" s="13">
        <f ca="1">SUMIF($L$4:$AL$4,"SUBTOTAL",$L$36:$AL$36)</f>
        <v>-88.566038370634217</v>
      </c>
      <c r="AO36" s="26">
        <f ca="1">+'TUSD BE'!$T$36+'TUSD BE'!$AB$36+'TUSD BE'!$AD$36+'TUSD BE'!$AL$36</f>
        <v>314.27304453181222</v>
      </c>
      <c r="AP36" s="26">
        <f ca="1">+'TUSD BE'!$T$36+'TUSD BE'!$AB$36+'TUSD BE'!$AD$36+'TUSD BE'!$AL$36</f>
        <v>314.27304453181222</v>
      </c>
    </row>
    <row r="37" spans="1:42" ht="11.25" customHeight="1" x14ac:dyDescent="0.25">
      <c r="A37" s="142"/>
      <c r="B37" s="23" t="s">
        <v>23</v>
      </c>
      <c r="C37" s="23" t="s">
        <v>42</v>
      </c>
      <c r="D37" s="23" t="s">
        <v>91</v>
      </c>
      <c r="E37" s="23" t="s">
        <v>25</v>
      </c>
      <c r="F37" s="23" t="s">
        <v>25</v>
      </c>
      <c r="G37" s="24" t="s">
        <v>79</v>
      </c>
      <c r="H37" s="24" t="s">
        <v>75</v>
      </c>
      <c r="I37" s="24">
        <f>'MERCADO TUSD'!$U$34</f>
        <v>0</v>
      </c>
      <c r="J37" s="15"/>
      <c r="L37" s="13">
        <f>'TUSD BE'!$L$37*'TUSD BE'!$L$58</f>
        <v>0</v>
      </c>
      <c r="M37" s="13">
        <f>'TUSD BE'!$M$37*'TUSD BE'!$M$58</f>
        <v>-1.4760722786133952E-2</v>
      </c>
      <c r="N37" s="13">
        <f ca="1">'TUSD BE'!$N$37*'TUSD BE'!$N$58</f>
        <v>3.4857732656494363E-6</v>
      </c>
      <c r="O37" s="13">
        <f>'TUSD BE'!$O$37*'TUSD BE'!$O$58</f>
        <v>0</v>
      </c>
      <c r="P37" s="13">
        <f>'TUSD BE'!$P$37*'TUSD BE'!$P$58</f>
        <v>0</v>
      </c>
      <c r="Q37" s="13">
        <f>'TUSD BE'!$Q$37*'TUSD BE'!$Q$58</f>
        <v>-1.7061567261669188</v>
      </c>
      <c r="R37" s="13">
        <f>'TUSD BE'!$R$37*'TUSD BE'!$R$58</f>
        <v>-0.25686632949670912</v>
      </c>
      <c r="S37" s="13">
        <f>'TUSD BE'!$R$37*'TUSD BE'!$S$58</f>
        <v>0</v>
      </c>
      <c r="T37" s="13">
        <f ca="1">SUM($L$37:$S$37)</f>
        <v>-1.9777802926764962</v>
      </c>
      <c r="U37" s="13">
        <f>'TUSD BE'!$U$37*'TUSD BE'!$U$58</f>
        <v>0</v>
      </c>
      <c r="V37" s="13">
        <f>'TUSD BE'!$V$37*'TUSD BE'!$V$58</f>
        <v>0</v>
      </c>
      <c r="W37" s="13">
        <f>'TUSD BE'!$W$37*'TUSD BE'!$W$58</f>
        <v>0</v>
      </c>
      <c r="X37" s="13">
        <f>'TUSD BE'!$X$37*'TUSD BE'!$X$58</f>
        <v>0</v>
      </c>
      <c r="Y37" s="13">
        <f>'TUSD BE'!$Y$37*'TUSD BE'!$Y$58</f>
        <v>0.90518803510123325</v>
      </c>
      <c r="Z37" s="13">
        <f>'TUSD BE'!$Z$37*'TUSD BE'!$Z$58</f>
        <v>0</v>
      </c>
      <c r="AA37" s="13">
        <f>'TUSD BE'!$AA$37*'TUSD BE'!$AA$58</f>
        <v>0</v>
      </c>
      <c r="AB37" s="13">
        <f>SUM($U$37:$AA$37)</f>
        <v>0.90518803510123325</v>
      </c>
      <c r="AC37" s="13">
        <f>'TUSD BE'!$AC$37*'TUSD BE'!$AC$58</f>
        <v>0</v>
      </c>
      <c r="AD37" s="13">
        <f>SUM($AC$37:$AC$37)</f>
        <v>0</v>
      </c>
      <c r="AE37" s="13">
        <f ca="1">$AO$37*$AO$55</f>
        <v>-125.41337826061903</v>
      </c>
      <c r="AF37" s="13">
        <f ca="1">$AP$37*$AP$55</f>
        <v>0</v>
      </c>
      <c r="AG37" s="13">
        <f ca="1">SUM($AE$37:$AF$37)</f>
        <v>-125.41337826061903</v>
      </c>
      <c r="AH37" s="13">
        <f>'TUSD BE'!$AH$37*'TUSD BE'!$AH$58</f>
        <v>-0.28394603015538705</v>
      </c>
      <c r="AI37" s="13">
        <f>'TUSD BE'!$AI$37*'TUSD BE'!$AI$58</f>
        <v>-9.741730090581744E-3</v>
      </c>
      <c r="AJ37" s="13">
        <f ca="1">'TUSD BE'!$AJ$37*'TUSD BE'!$AJ$58</f>
        <v>-5.507710820302153E-2</v>
      </c>
      <c r="AK37" s="13">
        <f ca="1">'TUSD BE'!$AK$37*'TUSD BE'!$AK$58</f>
        <v>8.3786078080395621E-3</v>
      </c>
      <c r="AL37" s="13">
        <f ca="1">SUM($AH$37:$AK$37)</f>
        <v>-0.34038626064095079</v>
      </c>
      <c r="AM37" s="13">
        <f ca="1">SUMIF($L$4:$AL$4,"SUBTOTAL",$L$37:$AL$37)</f>
        <v>-126.82635677883525</v>
      </c>
      <c r="AO37" s="26">
        <f ca="1">+'TUSD BE'!$T$37+'TUSD BE'!$AB$37+'TUSD BE'!$AD$37+'TUSD BE'!$AL$37</f>
        <v>454.26815861179813</v>
      </c>
      <c r="AP37" s="26">
        <f ca="1">+'TUSD BE'!$T$37+'TUSD BE'!$AB$37+'TUSD BE'!$AD$37+'TUSD BE'!$AL$37</f>
        <v>454.26815861179813</v>
      </c>
    </row>
    <row r="38" spans="1:42" ht="11.25" customHeight="1" x14ac:dyDescent="0.25">
      <c r="A38" s="142"/>
      <c r="B38" s="142" t="s">
        <v>32</v>
      </c>
      <c r="C38" s="142" t="s">
        <v>42</v>
      </c>
      <c r="D38" s="142" t="s">
        <v>92</v>
      </c>
      <c r="E38" s="142" t="s">
        <v>25</v>
      </c>
      <c r="F38" s="142" t="s">
        <v>25</v>
      </c>
      <c r="G38" s="24" t="s">
        <v>76</v>
      </c>
      <c r="H38" s="24" t="s">
        <v>75</v>
      </c>
      <c r="I38" s="24">
        <f>'MERCADO TUSD'!$U$35</f>
        <v>0</v>
      </c>
      <c r="J38" s="15"/>
      <c r="L38" s="13">
        <f>'TUSD BE'!$L$38*'TUSD BE'!$L$58</f>
        <v>0</v>
      </c>
      <c r="M38" s="13">
        <f>'TUSD BE'!$M$38*'TUSD BE'!$M$58</f>
        <v>-1.4760722786133952E-2</v>
      </c>
      <c r="N38" s="13">
        <f ca="1">'TUSD BE'!$N$38*'TUSD BE'!$N$58</f>
        <v>9.074235750860016E-6</v>
      </c>
      <c r="O38" s="13">
        <f>'TUSD BE'!$O$38*'TUSD BE'!$O$58</f>
        <v>0</v>
      </c>
      <c r="P38" s="13">
        <f>'TUSD BE'!$P$38*'TUSD BE'!$P$58</f>
        <v>0</v>
      </c>
      <c r="Q38" s="13">
        <f>'TUSD BE'!$Q$38*'TUSD BE'!$Q$58</f>
        <v>-1.7061567261669188</v>
      </c>
      <c r="R38" s="13">
        <f>'TUSD BE'!$R$38*'TUSD BE'!$R$58</f>
        <v>-0.25686632949670912</v>
      </c>
      <c r="S38" s="13">
        <f>'TUSD BE'!$R$38*'TUSD BE'!$S$58</f>
        <v>0</v>
      </c>
      <c r="T38" s="13">
        <f ca="1">SUM($L$38:$S$38)</f>
        <v>-1.977774704214011</v>
      </c>
      <c r="U38" s="13">
        <f>'TUSD BE'!$U$38*'TUSD BE'!$U$58</f>
        <v>0</v>
      </c>
      <c r="V38" s="13">
        <f>'TUSD BE'!$V$38*'TUSD BE'!$V$58</f>
        <v>0</v>
      </c>
      <c r="W38" s="13">
        <f>'TUSD BE'!$W$38*'TUSD BE'!$W$58</f>
        <v>0</v>
      </c>
      <c r="X38" s="13">
        <f>'TUSD BE'!$X$38*'TUSD BE'!$X$58</f>
        <v>0</v>
      </c>
      <c r="Y38" s="13">
        <f>'TUSD BE'!$Y$38*'TUSD BE'!$Y$58</f>
        <v>2.5797864229441694</v>
      </c>
      <c r="Z38" s="13">
        <f>'TUSD BE'!$Z$38*'TUSD BE'!$Z$58</f>
        <v>0</v>
      </c>
      <c r="AA38" s="13">
        <f>'TUSD BE'!$AA$38*'TUSD BE'!$AA$58</f>
        <v>0</v>
      </c>
      <c r="AB38" s="13">
        <f>SUM($U$38:$AA$38)</f>
        <v>2.5797864229441694</v>
      </c>
      <c r="AC38" s="13">
        <f>'TUSD BE'!$AC$38*'TUSD BE'!$AC$58</f>
        <v>0</v>
      </c>
      <c r="AD38" s="13">
        <f>SUM($AC$38:$AC$38)</f>
        <v>0</v>
      </c>
      <c r="AE38" s="13">
        <f ca="1">$AO$38*$AO$55</f>
        <v>-291.69632484494201</v>
      </c>
      <c r="AF38" s="13">
        <f ca="1">$AP$38*$AP$55</f>
        <v>0</v>
      </c>
      <c r="AG38" s="13">
        <f ca="1">SUM($AE$38:$AF$38)</f>
        <v>-291.69632484494201</v>
      </c>
      <c r="AH38" s="13">
        <f>'TUSD BE'!$AH$38*'TUSD BE'!$AH$58</f>
        <v>-0.28394603015538705</v>
      </c>
      <c r="AI38" s="13">
        <f>'TUSD BE'!$AI$38*'TUSD BE'!$AI$58</f>
        <v>-9.741730090581744E-3</v>
      </c>
      <c r="AJ38" s="13">
        <f ca="1">'TUSD BE'!$AJ$38*'TUSD BE'!$AJ$58</f>
        <v>-5.507710820302153E-2</v>
      </c>
      <c r="AK38" s="13">
        <f ca="1">'TUSD BE'!$AK$38*'TUSD BE'!$AK$58</f>
        <v>8.3786078080395621E-3</v>
      </c>
      <c r="AL38" s="13">
        <f ca="1">SUM($AH$38:$AK$38)</f>
        <v>-0.34038626064095079</v>
      </c>
      <c r="AM38" s="13">
        <f ca="1">SUMIF($L$4:$AL$4,"SUBTOTAL",$L$38:$AL$38)</f>
        <v>-291.4346993868528</v>
      </c>
      <c r="AO38" s="26">
        <f ca="1">+'TUSD BE'!$T$38+'TUSD BE'!$AB$38+'TUSD BE'!$AD$38+'TUSD BE'!$AL$38</f>
        <v>1056.5727053917467</v>
      </c>
      <c r="AP38" s="26">
        <f ca="1">+'TUSD BE'!$T$38+'TUSD BE'!$AB$38+'TUSD BE'!$AD$38+'TUSD BE'!$AL$38</f>
        <v>1056.5727053917467</v>
      </c>
    </row>
    <row r="39" spans="1:42" ht="11.25" customHeight="1" x14ac:dyDescent="0.25">
      <c r="A39" s="142"/>
      <c r="B39" s="142"/>
      <c r="C39" s="142"/>
      <c r="D39" s="142"/>
      <c r="E39" s="142"/>
      <c r="F39" s="142"/>
      <c r="G39" s="24" t="s">
        <v>88</v>
      </c>
      <c r="H39" s="24" t="s">
        <v>75</v>
      </c>
      <c r="I39" s="24">
        <f>'MERCADO TUSD'!$U$36</f>
        <v>0</v>
      </c>
      <c r="J39" s="15"/>
      <c r="L39" s="13">
        <f>'TUSD BE'!$L$39*'TUSD BE'!$L$58</f>
        <v>0</v>
      </c>
      <c r="M39" s="13">
        <f>'TUSD BE'!$M$39*'TUSD BE'!$M$58</f>
        <v>-1.4760722786133952E-2</v>
      </c>
      <c r="N39" s="13">
        <f ca="1">'TUSD BE'!$N$39*'TUSD BE'!$N$58</f>
        <v>5.6305339931545798E-6</v>
      </c>
      <c r="O39" s="13">
        <f>'TUSD BE'!$O$39*'TUSD BE'!$O$58</f>
        <v>0</v>
      </c>
      <c r="P39" s="13">
        <f>'TUSD BE'!$P$39*'TUSD BE'!$P$58</f>
        <v>0</v>
      </c>
      <c r="Q39" s="13">
        <f>'TUSD BE'!$Q$39*'TUSD BE'!$Q$58</f>
        <v>-1.7061567261669188</v>
      </c>
      <c r="R39" s="13">
        <f>'TUSD BE'!$R$39*'TUSD BE'!$R$58</f>
        <v>-0.25686632949670912</v>
      </c>
      <c r="S39" s="13">
        <f>'TUSD BE'!$R$39*'TUSD BE'!$S$58</f>
        <v>0</v>
      </c>
      <c r="T39" s="13">
        <f ca="1">SUM($L$39:$S$39)</f>
        <v>-1.9777781479157688</v>
      </c>
      <c r="U39" s="13">
        <f>'TUSD BE'!$U$39*'TUSD BE'!$U$58</f>
        <v>0</v>
      </c>
      <c r="V39" s="13">
        <f>'TUSD BE'!$V$39*'TUSD BE'!$V$58</f>
        <v>0</v>
      </c>
      <c r="W39" s="13">
        <f>'TUSD BE'!$W$39*'TUSD BE'!$W$58</f>
        <v>0</v>
      </c>
      <c r="X39" s="13">
        <f>'TUSD BE'!$X$39*'TUSD BE'!$X$58</f>
        <v>0</v>
      </c>
      <c r="Y39" s="13">
        <f>'TUSD BE'!$Y$39*'TUSD BE'!$Y$58</f>
        <v>1.5478713308608467</v>
      </c>
      <c r="Z39" s="13">
        <f>'TUSD BE'!$Z$39*'TUSD BE'!$Z$58</f>
        <v>0</v>
      </c>
      <c r="AA39" s="13">
        <f>'TUSD BE'!$AA$39*'TUSD BE'!$AA$58</f>
        <v>0</v>
      </c>
      <c r="AB39" s="13">
        <f>SUM($U$39:$AA$39)</f>
        <v>1.5478713308608467</v>
      </c>
      <c r="AC39" s="13">
        <f>'TUSD BE'!$AC$39*'TUSD BE'!$AC$58</f>
        <v>0</v>
      </c>
      <c r="AD39" s="13">
        <f>SUM($AC$39:$AC$39)</f>
        <v>0</v>
      </c>
      <c r="AE39" s="13">
        <f ca="1">$AO$39*$AO$55</f>
        <v>-189.23005911046812</v>
      </c>
      <c r="AF39" s="13">
        <f ca="1">$AP$39*$AP$55</f>
        <v>0</v>
      </c>
      <c r="AG39" s="13">
        <f ca="1">SUM($AE$39:$AF$39)</f>
        <v>-189.23005911046812</v>
      </c>
      <c r="AH39" s="13">
        <f>'TUSD BE'!$AH$39*'TUSD BE'!$AH$58</f>
        <v>-0.28394603015538705</v>
      </c>
      <c r="AI39" s="13">
        <f>'TUSD BE'!$AI$39*'TUSD BE'!$AI$58</f>
        <v>-9.741730090581744E-3</v>
      </c>
      <c r="AJ39" s="13">
        <f ca="1">'TUSD BE'!$AJ$39*'TUSD BE'!$AJ$58</f>
        <v>-5.507710820302153E-2</v>
      </c>
      <c r="AK39" s="13">
        <f ca="1">'TUSD BE'!$AK$39*'TUSD BE'!$AK$58</f>
        <v>8.3786078080395621E-3</v>
      </c>
      <c r="AL39" s="13">
        <f ca="1">SUM($AH$39:$AK$39)</f>
        <v>-0.34038626064095079</v>
      </c>
      <c r="AM39" s="13">
        <f ca="1">SUMIF($L$4:$AL$4,"SUBTOTAL",$L$39:$AL$39)</f>
        <v>-190.00035218816399</v>
      </c>
      <c r="AO39" s="26">
        <f ca="1">+'TUSD BE'!$T$39+'TUSD BE'!$AB$39+'TUSD BE'!$AD$39+'TUSD BE'!$AL$39</f>
        <v>685.42281292734049</v>
      </c>
      <c r="AP39" s="26">
        <f ca="1">+'TUSD BE'!$T$39+'TUSD BE'!$AB$39+'TUSD BE'!$AD$39+'TUSD BE'!$AL$39</f>
        <v>685.42281292734049</v>
      </c>
    </row>
    <row r="40" spans="1:42" ht="11.25" customHeight="1" x14ac:dyDescent="0.25">
      <c r="A40" s="142"/>
      <c r="B40" s="142"/>
      <c r="C40" s="142"/>
      <c r="D40" s="142"/>
      <c r="E40" s="142"/>
      <c r="F40" s="142"/>
      <c r="G40" s="24" t="s">
        <v>77</v>
      </c>
      <c r="H40" s="24" t="s">
        <v>75</v>
      </c>
      <c r="I40" s="24">
        <f>'MERCADO TUSD'!$U$37</f>
        <v>0</v>
      </c>
      <c r="J40" s="15"/>
      <c r="L40" s="13">
        <f>'TUSD BE'!$L$40*'TUSD BE'!$L$58</f>
        <v>0</v>
      </c>
      <c r="M40" s="13">
        <f>'TUSD BE'!$M$40*'TUSD BE'!$M$58</f>
        <v>-1.4760722786133952E-2</v>
      </c>
      <c r="N40" s="13">
        <f ca="1">'TUSD BE'!$N$40*'TUSD BE'!$N$58</f>
        <v>2.1868332965064309E-6</v>
      </c>
      <c r="O40" s="13">
        <f>'TUSD BE'!$O$40*'TUSD BE'!$O$58</f>
        <v>0</v>
      </c>
      <c r="P40" s="13">
        <f>'TUSD BE'!$P$40*'TUSD BE'!$P$58</f>
        <v>0</v>
      </c>
      <c r="Q40" s="13">
        <f>'TUSD BE'!$Q$40*'TUSD BE'!$Q$58</f>
        <v>-1.7061567261669188</v>
      </c>
      <c r="R40" s="13">
        <f>'TUSD BE'!$R$40*'TUSD BE'!$R$58</f>
        <v>-0.25686632949670912</v>
      </c>
      <c r="S40" s="13">
        <f>'TUSD BE'!$R$40*'TUSD BE'!$S$58</f>
        <v>0</v>
      </c>
      <c r="T40" s="13">
        <f ca="1">SUM($L$40:$S$40)</f>
        <v>-1.9777815916164654</v>
      </c>
      <c r="U40" s="13">
        <f>'TUSD BE'!$U$40*'TUSD BE'!$U$58</f>
        <v>0</v>
      </c>
      <c r="V40" s="13">
        <f>'TUSD BE'!$V$40*'TUSD BE'!$V$58</f>
        <v>0</v>
      </c>
      <c r="W40" s="13">
        <f>'TUSD BE'!$W$40*'TUSD BE'!$W$58</f>
        <v>0</v>
      </c>
      <c r="X40" s="13">
        <f>'TUSD BE'!$X$40*'TUSD BE'!$X$58</f>
        <v>0</v>
      </c>
      <c r="Y40" s="13">
        <f>'TUSD BE'!$Y$40*'TUSD BE'!$Y$58</f>
        <v>0.51595711028694891</v>
      </c>
      <c r="Z40" s="13">
        <f>'TUSD BE'!$Z$40*'TUSD BE'!$Z$58</f>
        <v>0</v>
      </c>
      <c r="AA40" s="13">
        <f>'TUSD BE'!$AA$40*'TUSD BE'!$AA$58</f>
        <v>0</v>
      </c>
      <c r="AB40" s="13">
        <f>SUM($U$40:$AA$40)</f>
        <v>0.51595711028694891</v>
      </c>
      <c r="AC40" s="13">
        <f>'TUSD BE'!$AC$40*'TUSD BE'!$AC$58</f>
        <v>0</v>
      </c>
      <c r="AD40" s="13">
        <f>SUM($AC$40:$AC$40)</f>
        <v>0</v>
      </c>
      <c r="AE40" s="13">
        <f ca="1">$AO$40*$AO$55</f>
        <v>-86.763827628663748</v>
      </c>
      <c r="AF40" s="13">
        <f ca="1">$AP$40*$AP$55</f>
        <v>0</v>
      </c>
      <c r="AG40" s="13">
        <f ca="1">SUM($AE$40:$AF$40)</f>
        <v>-86.763827628663748</v>
      </c>
      <c r="AH40" s="13">
        <f>'TUSD BE'!$AH$40*'TUSD BE'!$AH$58</f>
        <v>-0.28394603015538705</v>
      </c>
      <c r="AI40" s="13">
        <f>'TUSD BE'!$AI$40*'TUSD BE'!$AI$58</f>
        <v>-9.741730090581744E-3</v>
      </c>
      <c r="AJ40" s="13">
        <f ca="1">'TUSD BE'!$AJ$40*'TUSD BE'!$AJ$58</f>
        <v>-5.507710820302153E-2</v>
      </c>
      <c r="AK40" s="13">
        <f ca="1">'TUSD BE'!$AK$40*'TUSD BE'!$AK$58</f>
        <v>8.3786078080395621E-3</v>
      </c>
      <c r="AL40" s="13">
        <f ca="1">SUM($AH$40:$AK$40)</f>
        <v>-0.34038626064095079</v>
      </c>
      <c r="AM40" s="13">
        <f ca="1">SUMIF($L$4:$AL$4,"SUBTOTAL",$L$40:$AL$40)</f>
        <v>-88.566038370634217</v>
      </c>
      <c r="AO40" s="26">
        <f ca="1">+'TUSD BE'!$T$40+'TUSD BE'!$AB$40+'TUSD BE'!$AD$40+'TUSD BE'!$AL$40</f>
        <v>314.27304453181222</v>
      </c>
      <c r="AP40" s="26">
        <f ca="1">+'TUSD BE'!$T$40+'TUSD BE'!$AB$40+'TUSD BE'!$AD$40+'TUSD BE'!$AL$40</f>
        <v>314.27304453181222</v>
      </c>
    </row>
    <row r="41" spans="1:42" ht="11.25" customHeight="1" x14ac:dyDescent="0.25">
      <c r="A41" s="142"/>
      <c r="B41" s="23" t="s">
        <v>23</v>
      </c>
      <c r="C41" s="23" t="s">
        <v>42</v>
      </c>
      <c r="D41" s="23" t="s">
        <v>92</v>
      </c>
      <c r="E41" s="23" t="s">
        <v>25</v>
      </c>
      <c r="F41" s="23" t="s">
        <v>25</v>
      </c>
      <c r="G41" s="24" t="s">
        <v>79</v>
      </c>
      <c r="H41" s="24" t="s">
        <v>75</v>
      </c>
      <c r="I41" s="24">
        <f>'MERCADO TUSD'!$U$38</f>
        <v>0</v>
      </c>
      <c r="J41" s="15"/>
      <c r="L41" s="13">
        <f>'TUSD BE'!$L$41*'TUSD BE'!$L$58</f>
        <v>0</v>
      </c>
      <c r="M41" s="13">
        <f>'TUSD BE'!$M$41*'TUSD BE'!$M$58</f>
        <v>-1.4760722786133952E-2</v>
      </c>
      <c r="N41" s="13">
        <f ca="1">'TUSD BE'!$N$41*'TUSD BE'!$N$58</f>
        <v>3.4857732656494363E-6</v>
      </c>
      <c r="O41" s="13">
        <f>'TUSD BE'!$O$41*'TUSD BE'!$O$58</f>
        <v>0</v>
      </c>
      <c r="P41" s="13">
        <f>'TUSD BE'!$P$41*'TUSD BE'!$P$58</f>
        <v>0</v>
      </c>
      <c r="Q41" s="13">
        <f>'TUSD BE'!$Q$41*'TUSD BE'!$Q$58</f>
        <v>-1.7061567261669188</v>
      </c>
      <c r="R41" s="13">
        <f>'TUSD BE'!$R$41*'TUSD BE'!$R$58</f>
        <v>-0.25686632949670912</v>
      </c>
      <c r="S41" s="13">
        <f>'TUSD BE'!$R$41*'TUSD BE'!$S$58</f>
        <v>0</v>
      </c>
      <c r="T41" s="13">
        <f ca="1">SUM($L$41:$S$41)</f>
        <v>-1.9777802926764962</v>
      </c>
      <c r="U41" s="13">
        <f>'TUSD BE'!$U$41*'TUSD BE'!$U$58</f>
        <v>0</v>
      </c>
      <c r="V41" s="13">
        <f>'TUSD BE'!$V$41*'TUSD BE'!$V$58</f>
        <v>0</v>
      </c>
      <c r="W41" s="13">
        <f>'TUSD BE'!$W$41*'TUSD BE'!$W$58</f>
        <v>0</v>
      </c>
      <c r="X41" s="13">
        <f>'TUSD BE'!$X$41*'TUSD BE'!$X$58</f>
        <v>0</v>
      </c>
      <c r="Y41" s="13">
        <f>'TUSD BE'!$Y$41*'TUSD BE'!$Y$58</f>
        <v>0.90518803510123325</v>
      </c>
      <c r="Z41" s="13">
        <f>'TUSD BE'!$Z$41*'TUSD BE'!$Z$58</f>
        <v>0</v>
      </c>
      <c r="AA41" s="13">
        <f>'TUSD BE'!$AA$41*'TUSD BE'!$AA$58</f>
        <v>0</v>
      </c>
      <c r="AB41" s="13">
        <f>SUM($U$41:$AA$41)</f>
        <v>0.90518803510123325</v>
      </c>
      <c r="AC41" s="13">
        <f>'TUSD BE'!$AC$41*'TUSD BE'!$AC$58</f>
        <v>0</v>
      </c>
      <c r="AD41" s="13">
        <f>SUM($AC$41:$AC$41)</f>
        <v>0</v>
      </c>
      <c r="AE41" s="13">
        <f ca="1">$AO$41*$AO$55</f>
        <v>-125.41337826061903</v>
      </c>
      <c r="AF41" s="13">
        <f ca="1">$AP$41*$AP$55</f>
        <v>0</v>
      </c>
      <c r="AG41" s="13">
        <f ca="1">SUM($AE$41:$AF$41)</f>
        <v>-125.41337826061903</v>
      </c>
      <c r="AH41" s="13">
        <f>'TUSD BE'!$AH$41*'TUSD BE'!$AH$58</f>
        <v>-0.28394603015538705</v>
      </c>
      <c r="AI41" s="13">
        <f>'TUSD BE'!$AI$41*'TUSD BE'!$AI$58</f>
        <v>-9.741730090581744E-3</v>
      </c>
      <c r="AJ41" s="13">
        <f ca="1">'TUSD BE'!$AJ$41*'TUSD BE'!$AJ$58</f>
        <v>-5.507710820302153E-2</v>
      </c>
      <c r="AK41" s="13">
        <f ca="1">'TUSD BE'!$AK$41*'TUSD BE'!$AK$58</f>
        <v>8.3786078080395621E-3</v>
      </c>
      <c r="AL41" s="13">
        <f ca="1">SUM($AH$41:$AK$41)</f>
        <v>-0.34038626064095079</v>
      </c>
      <c r="AM41" s="13">
        <f ca="1">SUMIF($L$4:$AL$4,"SUBTOTAL",$L$41:$AL$41)</f>
        <v>-126.82635677883525</v>
      </c>
      <c r="AO41" s="26">
        <f ca="1">+'TUSD BE'!$T$41+'TUSD BE'!$AB$41+'TUSD BE'!$AD$41+'TUSD BE'!$AL$41</f>
        <v>454.26815861179813</v>
      </c>
      <c r="AP41" s="26">
        <f ca="1">+'TUSD BE'!$T$41+'TUSD BE'!$AB$41+'TUSD BE'!$AD$41+'TUSD BE'!$AL$41</f>
        <v>454.26815861179813</v>
      </c>
    </row>
    <row r="42" spans="1:42" ht="11.25" customHeight="1" x14ac:dyDescent="0.25">
      <c r="A42" s="142"/>
      <c r="B42" s="142" t="s">
        <v>90</v>
      </c>
      <c r="C42" s="142" t="s">
        <v>42</v>
      </c>
      <c r="D42" s="23" t="s">
        <v>25</v>
      </c>
      <c r="E42" s="23" t="s">
        <v>25</v>
      </c>
      <c r="F42" s="23" t="s">
        <v>25</v>
      </c>
      <c r="G42" s="24" t="s">
        <v>79</v>
      </c>
      <c r="H42" s="24" t="s">
        <v>75</v>
      </c>
      <c r="I42" s="24">
        <f>'MERCADO TUSD'!$U$39</f>
        <v>0</v>
      </c>
      <c r="J42" s="15"/>
      <c r="L42" s="13">
        <f>'TUSD BE'!$L$42*'TUSD BE'!$L$58</f>
        <v>0</v>
      </c>
      <c r="M42" s="13">
        <f>'TUSD BE'!$M$42*'TUSD BE'!$M$58</f>
        <v>-1.4760722786133952E-2</v>
      </c>
      <c r="N42" s="13">
        <f ca="1">'TUSD BE'!$N$42*'TUSD BE'!$N$58</f>
        <v>3.4857732656494363E-6</v>
      </c>
      <c r="O42" s="13">
        <f>'TUSD BE'!$O$42*'TUSD BE'!$O$58</f>
        <v>0</v>
      </c>
      <c r="P42" s="13">
        <f>'TUSD BE'!$P$42*'TUSD BE'!$P$58</f>
        <v>0</v>
      </c>
      <c r="Q42" s="13">
        <f>'TUSD BE'!$Q$42*'TUSD BE'!$Q$58</f>
        <v>-1.7061567261669188</v>
      </c>
      <c r="R42" s="13">
        <f>'TUSD BE'!$R$42*'TUSD BE'!$R$58</f>
        <v>-0.25686632949670912</v>
      </c>
      <c r="S42" s="13">
        <f>'TUSD BE'!$R$42*'TUSD BE'!$S$58</f>
        <v>0</v>
      </c>
      <c r="T42" s="13">
        <f ca="1">SUM($L$42:$S$42)</f>
        <v>-1.9777802926764962</v>
      </c>
      <c r="U42" s="13">
        <f>'TUSD BE'!$U$42*'TUSD BE'!$U$58</f>
        <v>0</v>
      </c>
      <c r="V42" s="13">
        <f>'TUSD BE'!$V$42*'TUSD BE'!$V$58</f>
        <v>0</v>
      </c>
      <c r="W42" s="13">
        <f>'TUSD BE'!$W$42*'TUSD BE'!$W$58</f>
        <v>0</v>
      </c>
      <c r="X42" s="13">
        <f>'TUSD BE'!$X$42*'TUSD BE'!$X$58</f>
        <v>0</v>
      </c>
      <c r="Y42" s="13">
        <f>'TUSD BE'!$Y$42*'TUSD BE'!$Y$58</f>
        <v>0.90518803510123325</v>
      </c>
      <c r="Z42" s="13">
        <f>'TUSD BE'!$Z$42*'TUSD BE'!$Z$58</f>
        <v>0</v>
      </c>
      <c r="AA42" s="13">
        <f>'TUSD BE'!$AA$42*'TUSD BE'!$AA$58</f>
        <v>0</v>
      </c>
      <c r="AB42" s="13">
        <f>SUM($U$42:$AA$42)</f>
        <v>0.90518803510123325</v>
      </c>
      <c r="AC42" s="13">
        <f>'TUSD BE'!$AC$42*'TUSD BE'!$AC$58</f>
        <v>0</v>
      </c>
      <c r="AD42" s="13">
        <f>SUM($AC$42:$AC$42)</f>
        <v>0</v>
      </c>
      <c r="AE42" s="13">
        <f ca="1">$AO$42*$AO$55</f>
        <v>-125.41337826061903</v>
      </c>
      <c r="AF42" s="13">
        <f ca="1">$AP$42*$AP$55</f>
        <v>0</v>
      </c>
      <c r="AG42" s="13">
        <f ca="1">SUM($AE$42:$AF$42)</f>
        <v>-125.41337826061903</v>
      </c>
      <c r="AH42" s="13">
        <f>'TUSD BE'!$AH$42*'TUSD BE'!$AH$58</f>
        <v>-0.28394603015538705</v>
      </c>
      <c r="AI42" s="13">
        <f>'TUSD BE'!$AI$42*'TUSD BE'!$AI$58</f>
        <v>-9.741730090581744E-3</v>
      </c>
      <c r="AJ42" s="13">
        <f ca="1">'TUSD BE'!$AJ$42*'TUSD BE'!$AJ$58</f>
        <v>-5.507710820302153E-2</v>
      </c>
      <c r="AK42" s="13">
        <f ca="1">'TUSD BE'!$AK$42*'TUSD BE'!$AK$58</f>
        <v>8.3786078080395621E-3</v>
      </c>
      <c r="AL42" s="13">
        <f ca="1">SUM($AH$42:$AK$42)</f>
        <v>-0.34038626064095079</v>
      </c>
      <c r="AM42" s="13">
        <f ca="1">SUMIF($L$4:$AL$4,"SUBTOTAL",$L$42:$AL$42)</f>
        <v>-126.82635677883525</v>
      </c>
      <c r="AO42" s="26">
        <f ca="1">+'TUSD BE'!$T$42+'TUSD BE'!$AB$42+'TUSD BE'!$AD$42+'TUSD BE'!$AL$42</f>
        <v>454.26815861179813</v>
      </c>
      <c r="AP42" s="26">
        <f ca="1">+'TUSD BE'!$T$42+'TUSD BE'!$AB$42+'TUSD BE'!$AD$42+'TUSD BE'!$AL$42</f>
        <v>454.26815861179813</v>
      </c>
    </row>
    <row r="43" spans="1:42" ht="11.25" customHeight="1" x14ac:dyDescent="0.25">
      <c r="A43" s="142"/>
      <c r="B43" s="142"/>
      <c r="C43" s="142"/>
      <c r="D43" s="23" t="s">
        <v>91</v>
      </c>
      <c r="E43" s="23" t="s">
        <v>25</v>
      </c>
      <c r="F43" s="23" t="s">
        <v>25</v>
      </c>
      <c r="G43" s="24" t="s">
        <v>79</v>
      </c>
      <c r="H43" s="24" t="s">
        <v>75</v>
      </c>
      <c r="I43" s="24">
        <f>'MERCADO TUSD'!$U$40</f>
        <v>0</v>
      </c>
      <c r="J43" s="15"/>
      <c r="L43" s="13">
        <f>'TUSD BE'!$L$43*'TUSD BE'!$L$58</f>
        <v>0</v>
      </c>
      <c r="M43" s="13">
        <f>'TUSD BE'!$M$43*'TUSD BE'!$M$58</f>
        <v>-1.4760722786133952E-2</v>
      </c>
      <c r="N43" s="13">
        <f ca="1">'TUSD BE'!$N$43*'TUSD BE'!$N$58</f>
        <v>3.4857732656494363E-6</v>
      </c>
      <c r="O43" s="13">
        <f>'TUSD BE'!$O$43*'TUSD BE'!$O$58</f>
        <v>0</v>
      </c>
      <c r="P43" s="13">
        <f>'TUSD BE'!$P$43*'TUSD BE'!$P$58</f>
        <v>0</v>
      </c>
      <c r="Q43" s="13">
        <f>'TUSD BE'!$Q$43*'TUSD BE'!$Q$58</f>
        <v>-1.7061567261669188</v>
      </c>
      <c r="R43" s="13">
        <f>'TUSD BE'!$R$43*'TUSD BE'!$R$58</f>
        <v>-0.25686632949670912</v>
      </c>
      <c r="S43" s="13">
        <f>'TUSD BE'!$R$43*'TUSD BE'!$S$58</f>
        <v>0</v>
      </c>
      <c r="T43" s="13">
        <f ca="1">SUM($L$43:$S$43)</f>
        <v>-1.9777802926764962</v>
      </c>
      <c r="U43" s="13">
        <f>'TUSD BE'!$U$43*'TUSD BE'!$U$58</f>
        <v>0</v>
      </c>
      <c r="V43" s="13">
        <f>'TUSD BE'!$V$43*'TUSD BE'!$V$58</f>
        <v>0</v>
      </c>
      <c r="W43" s="13">
        <f>'TUSD BE'!$W$43*'TUSD BE'!$W$58</f>
        <v>0</v>
      </c>
      <c r="X43" s="13">
        <f>'TUSD BE'!$X$43*'TUSD BE'!$X$58</f>
        <v>0</v>
      </c>
      <c r="Y43" s="13">
        <f>'TUSD BE'!$Y$43*'TUSD BE'!$Y$58</f>
        <v>0.90518803510123325</v>
      </c>
      <c r="Z43" s="13">
        <f>'TUSD BE'!$Z$43*'TUSD BE'!$Z$58</f>
        <v>0</v>
      </c>
      <c r="AA43" s="13">
        <f>'TUSD BE'!$AA$43*'TUSD BE'!$AA$58</f>
        <v>0</v>
      </c>
      <c r="AB43" s="13">
        <f>SUM($U$43:$AA$43)</f>
        <v>0.90518803510123325</v>
      </c>
      <c r="AC43" s="13">
        <f>'TUSD BE'!$AC$43*'TUSD BE'!$AC$58</f>
        <v>0</v>
      </c>
      <c r="AD43" s="13">
        <f>SUM($AC$43:$AC$43)</f>
        <v>0</v>
      </c>
      <c r="AE43" s="13">
        <f ca="1">$AO$43*$AO$55</f>
        <v>-125.41337826061903</v>
      </c>
      <c r="AF43" s="13">
        <f ca="1">$AP$43*$AP$55</f>
        <v>0</v>
      </c>
      <c r="AG43" s="13">
        <f ca="1">SUM($AE$43:$AF$43)</f>
        <v>-125.41337826061903</v>
      </c>
      <c r="AH43" s="13">
        <f>'TUSD BE'!$AH$43*'TUSD BE'!$AH$58</f>
        <v>-0.28394603015538705</v>
      </c>
      <c r="AI43" s="13">
        <f>'TUSD BE'!$AI$43*'TUSD BE'!$AI$58</f>
        <v>-9.741730090581744E-3</v>
      </c>
      <c r="AJ43" s="13">
        <f ca="1">'TUSD BE'!$AJ$43*'TUSD BE'!$AJ$58</f>
        <v>-5.507710820302153E-2</v>
      </c>
      <c r="AK43" s="13">
        <f ca="1">'TUSD BE'!$AK$43*'TUSD BE'!$AK$58</f>
        <v>8.3786078080395621E-3</v>
      </c>
      <c r="AL43" s="13">
        <f ca="1">SUM($AH$43:$AK$43)</f>
        <v>-0.34038626064095079</v>
      </c>
      <c r="AM43" s="13">
        <f ca="1">SUMIF($L$4:$AL$4,"SUBTOTAL",$L$43:$AL$43)</f>
        <v>-126.82635677883525</v>
      </c>
      <c r="AO43" s="26">
        <f ca="1">+'TUSD BE'!$T$43+'TUSD BE'!$AB$43+'TUSD BE'!$AD$43+'TUSD BE'!$AL$43</f>
        <v>454.26815861179813</v>
      </c>
      <c r="AP43" s="26">
        <f ca="1">+'TUSD BE'!$T$43+'TUSD BE'!$AB$43+'TUSD BE'!$AD$43+'TUSD BE'!$AL$43</f>
        <v>454.26815861179813</v>
      </c>
    </row>
    <row r="44" spans="1:42" ht="11.25" customHeight="1" x14ac:dyDescent="0.25">
      <c r="A44" s="142"/>
      <c r="B44" s="142"/>
      <c r="C44" s="142"/>
      <c r="D44" s="23" t="s">
        <v>92</v>
      </c>
      <c r="E44" s="23" t="s">
        <v>25</v>
      </c>
      <c r="F44" s="23" t="s">
        <v>25</v>
      </c>
      <c r="G44" s="24" t="s">
        <v>79</v>
      </c>
      <c r="H44" s="24" t="s">
        <v>75</v>
      </c>
      <c r="I44" s="24">
        <f>'MERCADO TUSD'!$U$41</f>
        <v>0</v>
      </c>
      <c r="J44" s="15"/>
      <c r="L44" s="13">
        <f>'TUSD BE'!$L$44*'TUSD BE'!$L$58</f>
        <v>0</v>
      </c>
      <c r="M44" s="13">
        <f>'TUSD BE'!$M$44*'TUSD BE'!$M$58</f>
        <v>-1.4760722786133952E-2</v>
      </c>
      <c r="N44" s="13">
        <f ca="1">'TUSD BE'!$N$44*'TUSD BE'!$N$58</f>
        <v>3.4857732656494363E-6</v>
      </c>
      <c r="O44" s="13">
        <f>'TUSD BE'!$O$44*'TUSD BE'!$O$58</f>
        <v>0</v>
      </c>
      <c r="P44" s="13">
        <f>'TUSD BE'!$P$44*'TUSD BE'!$P$58</f>
        <v>0</v>
      </c>
      <c r="Q44" s="13">
        <f>'TUSD BE'!$Q$44*'TUSD BE'!$Q$58</f>
        <v>-1.7061567261669188</v>
      </c>
      <c r="R44" s="13">
        <f>'TUSD BE'!$R$44*'TUSD BE'!$R$58</f>
        <v>-0.25686632949670912</v>
      </c>
      <c r="S44" s="13">
        <f>'TUSD BE'!$R$44*'TUSD BE'!$S$58</f>
        <v>0</v>
      </c>
      <c r="T44" s="13">
        <f ca="1">SUM($L$44:$S$44)</f>
        <v>-1.9777802926764962</v>
      </c>
      <c r="U44" s="13">
        <f>'TUSD BE'!$U$44*'TUSD BE'!$U$58</f>
        <v>0</v>
      </c>
      <c r="V44" s="13">
        <f>'TUSD BE'!$V$44*'TUSD BE'!$V$58</f>
        <v>0</v>
      </c>
      <c r="W44" s="13">
        <f>'TUSD BE'!$W$44*'TUSD BE'!$W$58</f>
        <v>0</v>
      </c>
      <c r="X44" s="13">
        <f>'TUSD BE'!$X$44*'TUSD BE'!$X$58</f>
        <v>0</v>
      </c>
      <c r="Y44" s="13">
        <f>'TUSD BE'!$Y$44*'TUSD BE'!$Y$58</f>
        <v>0.90518803510123325</v>
      </c>
      <c r="Z44" s="13">
        <f>'TUSD BE'!$Z$44*'TUSD BE'!$Z$58</f>
        <v>0</v>
      </c>
      <c r="AA44" s="13">
        <f>'TUSD BE'!$AA$44*'TUSD BE'!$AA$58</f>
        <v>0</v>
      </c>
      <c r="AB44" s="13">
        <f>SUM($U$44:$AA$44)</f>
        <v>0.90518803510123325</v>
      </c>
      <c r="AC44" s="13">
        <f>'TUSD BE'!$AC$44*'TUSD BE'!$AC$58</f>
        <v>0</v>
      </c>
      <c r="AD44" s="13">
        <f>SUM($AC$44:$AC$44)</f>
        <v>0</v>
      </c>
      <c r="AE44" s="13">
        <f ca="1">$AO$44*$AO$55</f>
        <v>-125.41337826061903</v>
      </c>
      <c r="AF44" s="13">
        <f ca="1">$AP$44*$AP$55</f>
        <v>0</v>
      </c>
      <c r="AG44" s="13">
        <f ca="1">SUM($AE$44:$AF$44)</f>
        <v>-125.41337826061903</v>
      </c>
      <c r="AH44" s="13">
        <f>'TUSD BE'!$AH$44*'TUSD BE'!$AH$58</f>
        <v>-0.28394603015538705</v>
      </c>
      <c r="AI44" s="13">
        <f>'TUSD BE'!$AI$44*'TUSD BE'!$AI$58</f>
        <v>-9.741730090581744E-3</v>
      </c>
      <c r="AJ44" s="13">
        <f ca="1">'TUSD BE'!$AJ$44*'TUSD BE'!$AJ$58</f>
        <v>-5.507710820302153E-2</v>
      </c>
      <c r="AK44" s="13">
        <f ca="1">'TUSD BE'!$AK$44*'TUSD BE'!$AK$58</f>
        <v>8.3786078080395621E-3</v>
      </c>
      <c r="AL44" s="13">
        <f ca="1">SUM($AH$44:$AK$44)</f>
        <v>-0.34038626064095079</v>
      </c>
      <c r="AM44" s="13">
        <f ca="1">SUMIF($L$4:$AL$4,"SUBTOTAL",$L$44:$AL$44)</f>
        <v>-126.82635677883525</v>
      </c>
      <c r="AO44" s="26">
        <f ca="1">+'TUSD BE'!$T$44+'TUSD BE'!$AB$44+'TUSD BE'!$AD$44+'TUSD BE'!$AL$44</f>
        <v>454.26815861179813</v>
      </c>
      <c r="AP44" s="26">
        <f ca="1">+'TUSD BE'!$T$44+'TUSD BE'!$AB$44+'TUSD BE'!$AD$44+'TUSD BE'!$AL$44</f>
        <v>454.26815861179813</v>
      </c>
    </row>
    <row r="45" spans="1:42" ht="11.25" customHeight="1" x14ac:dyDescent="0.25">
      <c r="A45" s="142" t="s">
        <v>36</v>
      </c>
      <c r="B45" s="142" t="s">
        <v>32</v>
      </c>
      <c r="C45" s="142" t="s">
        <v>25</v>
      </c>
      <c r="D45" s="142" t="s">
        <v>25</v>
      </c>
      <c r="E45" s="142" t="s">
        <v>25</v>
      </c>
      <c r="F45" s="142" t="s">
        <v>25</v>
      </c>
      <c r="G45" s="24" t="s">
        <v>76</v>
      </c>
      <c r="H45" s="24" t="s">
        <v>75</v>
      </c>
      <c r="I45" s="24">
        <f>'MERCADO TUSD'!$U$42</f>
        <v>0.33600000000000008</v>
      </c>
      <c r="J45" s="15"/>
      <c r="L45" s="13">
        <f>'TUSD BE'!$L$45*'TUSD BE'!$L$58</f>
        <v>0</v>
      </c>
      <c r="M45" s="13">
        <f>'TUSD BE'!$M$45*'TUSD BE'!$M$58</f>
        <v>-1.4760722786133952E-2</v>
      </c>
      <c r="N45" s="13">
        <f ca="1">'TUSD BE'!$N$45*'TUSD BE'!$N$58</f>
        <v>1.043359232214533E-5</v>
      </c>
      <c r="O45" s="13">
        <f>'TUSD BE'!$O$45*'TUSD BE'!$O$58</f>
        <v>0</v>
      </c>
      <c r="P45" s="13">
        <f>'TUSD BE'!$P$45*'TUSD BE'!$P$58</f>
        <v>0</v>
      </c>
      <c r="Q45" s="13">
        <f>'TUSD BE'!$Q$45*'TUSD BE'!$Q$58</f>
        <v>-1.7061567261669188</v>
      </c>
      <c r="R45" s="13">
        <f>'TUSD BE'!$R$45*'TUSD BE'!$R$58</f>
        <v>-0.25686632949670912</v>
      </c>
      <c r="S45" s="13">
        <f>'TUSD BE'!$R$45*'TUSD BE'!$S$58</f>
        <v>0</v>
      </c>
      <c r="T45" s="13">
        <f ca="1">SUM($L$45:$S$45)</f>
        <v>-1.9777733448574397</v>
      </c>
      <c r="U45" s="13">
        <f>'TUSD BE'!$U$45*'TUSD BE'!$U$58</f>
        <v>0</v>
      </c>
      <c r="V45" s="13">
        <f>'TUSD BE'!$V$45*'TUSD BE'!$V$58</f>
        <v>0</v>
      </c>
      <c r="W45" s="13">
        <f>'TUSD BE'!$W$45*'TUSD BE'!$W$58</f>
        <v>0</v>
      </c>
      <c r="X45" s="13">
        <f>'TUSD BE'!$X$45*'TUSD BE'!$X$58</f>
        <v>0</v>
      </c>
      <c r="Y45" s="13">
        <f>'TUSD BE'!$Y$45*'TUSD BE'!$Y$58</f>
        <v>2.9871212130416094</v>
      </c>
      <c r="Z45" s="13">
        <f>'TUSD BE'!$Z$45*'TUSD BE'!$Z$58</f>
        <v>0</v>
      </c>
      <c r="AA45" s="13">
        <f>'TUSD BE'!$AA$45*'TUSD BE'!$AA$58</f>
        <v>0</v>
      </c>
      <c r="AB45" s="13">
        <f>SUM($U$45:$AA$45)</f>
        <v>2.9871212130416094</v>
      </c>
      <c r="AC45" s="13">
        <f>'TUSD BE'!$AC$45*'TUSD BE'!$AC$58</f>
        <v>0</v>
      </c>
      <c r="AD45" s="13">
        <f>SUM($AC$45:$AC$45)</f>
        <v>0</v>
      </c>
      <c r="AE45" s="13">
        <f ca="1">$AO$45*$AO$55</f>
        <v>-332.14355183445696</v>
      </c>
      <c r="AF45" s="13">
        <f ca="1">$AP$45*$AP$55</f>
        <v>0</v>
      </c>
      <c r="AG45" s="13">
        <f ca="1">SUM($AE$45:$AF$45)</f>
        <v>-332.14355183445696</v>
      </c>
      <c r="AH45" s="13">
        <f>'TUSD BE'!$AH$45*'TUSD BE'!$AH$58</f>
        <v>-0.28394603015538705</v>
      </c>
      <c r="AI45" s="13">
        <f>'TUSD BE'!$AI$45*'TUSD BE'!$AI$58</f>
        <v>-9.741730090581744E-3</v>
      </c>
      <c r="AJ45" s="13">
        <f ca="1">'TUSD BE'!$AJ$45*'TUSD BE'!$AJ$58</f>
        <v>-5.507710820302153E-2</v>
      </c>
      <c r="AK45" s="13">
        <f ca="1">'TUSD BE'!$AK$45*'TUSD BE'!$AK$58</f>
        <v>8.3786078080395621E-3</v>
      </c>
      <c r="AL45" s="13">
        <f ca="1">SUM($AH$45:$AK$45)</f>
        <v>-0.34038626064095079</v>
      </c>
      <c r="AM45" s="13">
        <f ca="1">SUMIF($L$4:$AL$4,"SUBTOTAL",$L$45:$AL$45)</f>
        <v>-331.47459022691373</v>
      </c>
      <c r="AO45" s="26">
        <f ca="1">+'TUSD BE'!$T$45+'TUSD BE'!$AB$45+'TUSD BE'!$AD$45+'TUSD BE'!$AL$45</f>
        <v>1203.0793028561573</v>
      </c>
      <c r="AP45" s="26">
        <f ca="1">+'TUSD BE'!$T$45+'TUSD BE'!$AB$45+'TUSD BE'!$AD$45+'TUSD BE'!$AL$45</f>
        <v>1203.0793028561573</v>
      </c>
    </row>
    <row r="46" spans="1:42" ht="11.25" customHeight="1" x14ac:dyDescent="0.25">
      <c r="A46" s="142"/>
      <c r="B46" s="142"/>
      <c r="C46" s="142"/>
      <c r="D46" s="142"/>
      <c r="E46" s="142"/>
      <c r="F46" s="142"/>
      <c r="G46" s="24" t="s">
        <v>88</v>
      </c>
      <c r="H46" s="24" t="s">
        <v>75</v>
      </c>
      <c r="I46" s="24">
        <f>'MERCADO TUSD'!$U$43</f>
        <v>0.45900000000000007</v>
      </c>
      <c r="J46" s="15"/>
      <c r="L46" s="13">
        <f>'TUSD BE'!$L$46*'TUSD BE'!$L$58</f>
        <v>0</v>
      </c>
      <c r="M46" s="13">
        <f>'TUSD BE'!$M$46*'TUSD BE'!$M$58</f>
        <v>-1.4760722786133952E-2</v>
      </c>
      <c r="N46" s="13">
        <f ca="1">'TUSD BE'!$N$46*'TUSD BE'!$N$58</f>
        <v>6.4461475115028514E-6</v>
      </c>
      <c r="O46" s="13">
        <f>'TUSD BE'!$O$46*'TUSD BE'!$O$58</f>
        <v>0</v>
      </c>
      <c r="P46" s="13">
        <f>'TUSD BE'!$P$46*'TUSD BE'!$P$58</f>
        <v>0</v>
      </c>
      <c r="Q46" s="13">
        <f>'TUSD BE'!$Q$46*'TUSD BE'!$Q$58</f>
        <v>-1.7061567261669188</v>
      </c>
      <c r="R46" s="13">
        <f>'TUSD BE'!$R$46*'TUSD BE'!$R$58</f>
        <v>-0.25686632949670912</v>
      </c>
      <c r="S46" s="13">
        <f>'TUSD BE'!$R$46*'TUSD BE'!$S$58</f>
        <v>0</v>
      </c>
      <c r="T46" s="13">
        <f ca="1">SUM($L$46:$S$46)</f>
        <v>-1.9777773323022503</v>
      </c>
      <c r="U46" s="13">
        <f>'TUSD BE'!$U$46*'TUSD BE'!$U$58</f>
        <v>0</v>
      </c>
      <c r="V46" s="13">
        <f>'TUSD BE'!$V$46*'TUSD BE'!$V$58</f>
        <v>0</v>
      </c>
      <c r="W46" s="13">
        <f>'TUSD BE'!$W$46*'TUSD BE'!$W$58</f>
        <v>0</v>
      </c>
      <c r="X46" s="13">
        <f>'TUSD BE'!$X$46*'TUSD BE'!$X$58</f>
        <v>0</v>
      </c>
      <c r="Y46" s="13">
        <f>'TUSD BE'!$Y$46*'TUSD BE'!$Y$58</f>
        <v>1.7922722049193107</v>
      </c>
      <c r="Z46" s="13">
        <f>'TUSD BE'!$Z$46*'TUSD BE'!$Z$58</f>
        <v>0</v>
      </c>
      <c r="AA46" s="13">
        <f>'TUSD BE'!$AA$46*'TUSD BE'!$AA$58</f>
        <v>0</v>
      </c>
      <c r="AB46" s="13">
        <f>SUM($U$46:$AA$46)</f>
        <v>1.7922722049193107</v>
      </c>
      <c r="AC46" s="13">
        <f>'TUSD BE'!$AC$46*'TUSD BE'!$AC$58</f>
        <v>0</v>
      </c>
      <c r="AD46" s="13">
        <f>SUM($AC$46:$AC$46)</f>
        <v>0</v>
      </c>
      <c r="AE46" s="13">
        <f ca="1">$AO$46*$AO$55</f>
        <v>-213.49838329161696</v>
      </c>
      <c r="AF46" s="13">
        <f ca="1">$AP$46*$AP$55</f>
        <v>0</v>
      </c>
      <c r="AG46" s="13">
        <f ca="1">SUM($AE$46:$AF$46)</f>
        <v>-213.49838329161696</v>
      </c>
      <c r="AH46" s="13">
        <f>'TUSD BE'!$AH$46*'TUSD BE'!$AH$58</f>
        <v>-0.28394603015538705</v>
      </c>
      <c r="AI46" s="13">
        <f>'TUSD BE'!$AI$46*'TUSD BE'!$AI$58</f>
        <v>-9.741730090581744E-3</v>
      </c>
      <c r="AJ46" s="13">
        <f ca="1">'TUSD BE'!$AJ$46*'TUSD BE'!$AJ$58</f>
        <v>-5.507710820302153E-2</v>
      </c>
      <c r="AK46" s="13">
        <f ca="1">'TUSD BE'!$AK$46*'TUSD BE'!$AK$58</f>
        <v>8.3786078080395621E-3</v>
      </c>
      <c r="AL46" s="13">
        <f ca="1">SUM($AH$46:$AK$46)</f>
        <v>-0.34038626064095079</v>
      </c>
      <c r="AM46" s="13">
        <f ca="1">SUMIF($L$4:$AL$4,"SUBTOTAL",$L$46:$AL$46)</f>
        <v>-214.02427467964085</v>
      </c>
      <c r="AO46" s="26">
        <f ca="1">+'TUSD BE'!$T$46+'TUSD BE'!$AB$46+'TUSD BE'!$AD$46+'TUSD BE'!$AL$46</f>
        <v>773.32672789449191</v>
      </c>
      <c r="AP46" s="26">
        <f ca="1">+'TUSD BE'!$T$46+'TUSD BE'!$AB$46+'TUSD BE'!$AD$46+'TUSD BE'!$AL$46</f>
        <v>773.32672789449191</v>
      </c>
    </row>
    <row r="47" spans="1:42" ht="11.25" customHeight="1" x14ac:dyDescent="0.25">
      <c r="A47" s="142"/>
      <c r="B47" s="142"/>
      <c r="C47" s="142"/>
      <c r="D47" s="142"/>
      <c r="E47" s="142"/>
      <c r="F47" s="142"/>
      <c r="G47" s="24" t="s">
        <v>77</v>
      </c>
      <c r="H47" s="24" t="s">
        <v>75</v>
      </c>
      <c r="I47" s="24">
        <f>'MERCADO TUSD'!$U$44</f>
        <v>10.576000000000001</v>
      </c>
      <c r="J47" s="15"/>
      <c r="L47" s="13">
        <f>'TUSD BE'!$L$47*'TUSD BE'!$L$58</f>
        <v>0</v>
      </c>
      <c r="M47" s="13">
        <f>'TUSD BE'!$M$47*'TUSD BE'!$M$58</f>
        <v>-1.4760722786133952E-2</v>
      </c>
      <c r="N47" s="13">
        <f ca="1">'TUSD BE'!$N$47*'TUSD BE'!$N$58</f>
        <v>2.4587037619176614E-6</v>
      </c>
      <c r="O47" s="13">
        <f>'TUSD BE'!$O$47*'TUSD BE'!$O$58</f>
        <v>0</v>
      </c>
      <c r="P47" s="13">
        <f>'TUSD BE'!$P$47*'TUSD BE'!$P$58</f>
        <v>0</v>
      </c>
      <c r="Q47" s="13">
        <f>'TUSD BE'!$Q$47*'TUSD BE'!$Q$58</f>
        <v>-1.7061567261669188</v>
      </c>
      <c r="R47" s="13">
        <f>'TUSD BE'!$R$47*'TUSD BE'!$R$58</f>
        <v>-0.25686632949670912</v>
      </c>
      <c r="S47" s="13">
        <f>'TUSD BE'!$R$47*'TUSD BE'!$S$58</f>
        <v>0</v>
      </c>
      <c r="T47" s="13">
        <f ca="1">SUM($L$47:$S$47)</f>
        <v>-1.9777813197459999</v>
      </c>
      <c r="U47" s="13">
        <f>'TUSD BE'!$U$47*'TUSD BE'!$U$58</f>
        <v>0</v>
      </c>
      <c r="V47" s="13">
        <f>'TUSD BE'!$V$47*'TUSD BE'!$V$58</f>
        <v>0</v>
      </c>
      <c r="W47" s="13">
        <f>'TUSD BE'!$W$47*'TUSD BE'!$W$58</f>
        <v>0</v>
      </c>
      <c r="X47" s="13">
        <f>'TUSD BE'!$X$47*'TUSD BE'!$X$58</f>
        <v>0</v>
      </c>
      <c r="Y47" s="13">
        <f>'TUSD BE'!$Y$47*'TUSD BE'!$Y$58</f>
        <v>0.59742406830643691</v>
      </c>
      <c r="Z47" s="13">
        <f>'TUSD BE'!$Z$47*'TUSD BE'!$Z$58</f>
        <v>0</v>
      </c>
      <c r="AA47" s="13">
        <f>'TUSD BE'!$AA$47*'TUSD BE'!$AA$58</f>
        <v>0</v>
      </c>
      <c r="AB47" s="13">
        <f>SUM($U$47:$AA$47)</f>
        <v>0.59742406830643691</v>
      </c>
      <c r="AC47" s="13">
        <f>'TUSD BE'!$AC$47*'TUSD BE'!$AC$58</f>
        <v>0</v>
      </c>
      <c r="AD47" s="13">
        <f>SUM($AC$47:$AC$47)</f>
        <v>0</v>
      </c>
      <c r="AE47" s="13">
        <f ca="1">$AO$47*$AO$55</f>
        <v>-94.8532490014465</v>
      </c>
      <c r="AF47" s="13">
        <f ca="1">$AP$47*$AP$55</f>
        <v>0</v>
      </c>
      <c r="AG47" s="13">
        <f ca="1">SUM($AE$47:$AF$47)</f>
        <v>-94.8532490014465</v>
      </c>
      <c r="AH47" s="13">
        <f>'TUSD BE'!$AH$47*'TUSD BE'!$AH$58</f>
        <v>-0.28394603015538705</v>
      </c>
      <c r="AI47" s="13">
        <f>'TUSD BE'!$AI$47*'TUSD BE'!$AI$58</f>
        <v>-9.741730090581744E-3</v>
      </c>
      <c r="AJ47" s="13">
        <f ca="1">'TUSD BE'!$AJ$47*'TUSD BE'!$AJ$58</f>
        <v>-5.507710820302153E-2</v>
      </c>
      <c r="AK47" s="13">
        <f ca="1">'TUSD BE'!$AK$47*'TUSD BE'!$AK$58</f>
        <v>8.3786078080395621E-3</v>
      </c>
      <c r="AL47" s="13">
        <f ca="1">SUM($AH$47:$AK$47)</f>
        <v>-0.34038626064095079</v>
      </c>
      <c r="AM47" s="13">
        <f ca="1">SUMIF($L$4:$AL$4,"SUBTOTAL",$L$47:$AL$47)</f>
        <v>-96.573992513527017</v>
      </c>
      <c r="AO47" s="26">
        <f ca="1">+'TUSD BE'!$T$47+'TUSD BE'!$AB$47+'TUSD BE'!$AD$47+'TUSD BE'!$AL$47</f>
        <v>343.57427700170462</v>
      </c>
      <c r="AP47" s="26">
        <f ca="1">+'TUSD BE'!$T$47+'TUSD BE'!$AB$47+'TUSD BE'!$AD$47+'TUSD BE'!$AL$47</f>
        <v>343.57427700170462</v>
      </c>
    </row>
    <row r="48" spans="1:42" ht="11.25" customHeight="1" x14ac:dyDescent="0.25">
      <c r="A48" s="142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79</v>
      </c>
      <c r="H48" s="24" t="s">
        <v>75</v>
      </c>
      <c r="I48" s="24">
        <f>'MERCADO TUSD'!$U$45</f>
        <v>6532.424</v>
      </c>
      <c r="J48" s="15"/>
      <c r="L48" s="13">
        <f>'TUSD BE'!$L$48*'TUSD BE'!$L$58</f>
        <v>0</v>
      </c>
      <c r="M48" s="13">
        <f>'TUSD BE'!$M$48*'TUSD BE'!$M$58</f>
        <v>-1.4760722786133952E-2</v>
      </c>
      <c r="N48" s="13">
        <f ca="1">'TUSD BE'!$N$48*'TUSD BE'!$N$58</f>
        <v>3.4857732656494363E-6</v>
      </c>
      <c r="O48" s="13">
        <f>'TUSD BE'!$O$48*'TUSD BE'!$O$58</f>
        <v>0</v>
      </c>
      <c r="P48" s="13">
        <f>'TUSD BE'!$P$48*'TUSD BE'!$P$58</f>
        <v>0</v>
      </c>
      <c r="Q48" s="13">
        <f>'TUSD BE'!$Q$48*'TUSD BE'!$Q$58</f>
        <v>-1.7061567261669188</v>
      </c>
      <c r="R48" s="13">
        <f>'TUSD BE'!$R$48*'TUSD BE'!$R$58</f>
        <v>-0.25686632949670912</v>
      </c>
      <c r="S48" s="13">
        <f>'TUSD BE'!$R$48*'TUSD BE'!$S$58</f>
        <v>0</v>
      </c>
      <c r="T48" s="13">
        <f ca="1">SUM($L$48:$S$48)</f>
        <v>-1.9777802926764962</v>
      </c>
      <c r="U48" s="13">
        <f>'TUSD BE'!$U$48*'TUSD BE'!$U$58</f>
        <v>0</v>
      </c>
      <c r="V48" s="13">
        <f>'TUSD BE'!$V$48*'TUSD BE'!$V$58</f>
        <v>0</v>
      </c>
      <c r="W48" s="13">
        <f>'TUSD BE'!$W$48*'TUSD BE'!$W$58</f>
        <v>0</v>
      </c>
      <c r="X48" s="13">
        <f>'TUSD BE'!$X$48*'TUSD BE'!$X$58</f>
        <v>0</v>
      </c>
      <c r="Y48" s="13">
        <f>'TUSD BE'!$Y$48*'TUSD BE'!$Y$58</f>
        <v>0.90518803510123325</v>
      </c>
      <c r="Z48" s="13">
        <f>'TUSD BE'!$Z$48*'TUSD BE'!$Z$58</f>
        <v>0</v>
      </c>
      <c r="AA48" s="13">
        <f>'TUSD BE'!$AA$48*'TUSD BE'!$AA$58</f>
        <v>0</v>
      </c>
      <c r="AB48" s="13">
        <f>SUM($U$48:$AA$48)</f>
        <v>0.90518803510123325</v>
      </c>
      <c r="AC48" s="13">
        <f>'TUSD BE'!$AC$48*'TUSD BE'!$AC$58</f>
        <v>0</v>
      </c>
      <c r="AD48" s="13">
        <f>SUM($AC$48:$AC$48)</f>
        <v>0</v>
      </c>
      <c r="AE48" s="13">
        <f ca="1">$AO$48*$AO$55</f>
        <v>-125.41337826061903</v>
      </c>
      <c r="AF48" s="13">
        <f ca="1">$AP$48*$AP$55</f>
        <v>0</v>
      </c>
      <c r="AG48" s="13">
        <f ca="1">SUM($AE$48:$AF$48)</f>
        <v>-125.41337826061903</v>
      </c>
      <c r="AH48" s="13">
        <f>'TUSD BE'!$AH$48*'TUSD BE'!$AH$58</f>
        <v>-0.28394603015538705</v>
      </c>
      <c r="AI48" s="13">
        <f>'TUSD BE'!$AI$48*'TUSD BE'!$AI$58</f>
        <v>-9.741730090581744E-3</v>
      </c>
      <c r="AJ48" s="13">
        <f ca="1">'TUSD BE'!$AJ$48*'TUSD BE'!$AJ$58</f>
        <v>-5.507710820302153E-2</v>
      </c>
      <c r="AK48" s="13">
        <f ca="1">'TUSD BE'!$AK$48*'TUSD BE'!$AK$58</f>
        <v>8.3786078080395621E-3</v>
      </c>
      <c r="AL48" s="13">
        <f ca="1">SUM($AH$48:$AK$48)</f>
        <v>-0.34038626064095079</v>
      </c>
      <c r="AM48" s="13">
        <f ca="1">SUMIF($L$4:$AL$4,"SUBTOTAL",$L$48:$AL$48)</f>
        <v>-126.82635677883525</v>
      </c>
      <c r="AO48" s="26">
        <f ca="1">+'TUSD BE'!$T$48+'TUSD BE'!$AB$48+'TUSD BE'!$AD$48+'TUSD BE'!$AL$48</f>
        <v>454.26815861179813</v>
      </c>
      <c r="AP48" s="26">
        <f ca="1">+'TUSD BE'!$T$48+'TUSD BE'!$AB$48+'TUSD BE'!$AD$48+'TUSD BE'!$AL$48</f>
        <v>454.26815861179813</v>
      </c>
    </row>
    <row r="49" spans="1:42" ht="11.25" customHeight="1" x14ac:dyDescent="0.25">
      <c r="A49" s="142"/>
      <c r="B49" s="23" t="s">
        <v>90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79</v>
      </c>
      <c r="H49" s="24" t="s">
        <v>75</v>
      </c>
      <c r="I49" s="24">
        <f>'MERCADO TUSD'!$U$46</f>
        <v>0</v>
      </c>
      <c r="J49" s="15"/>
      <c r="L49" s="13">
        <f>'TUSD BE'!$L$49*'TUSD BE'!$L$58</f>
        <v>0</v>
      </c>
      <c r="M49" s="13">
        <f>'TUSD BE'!$M$49*'TUSD BE'!$M$58</f>
        <v>-1.4760722786133952E-2</v>
      </c>
      <c r="N49" s="13">
        <f ca="1">'TUSD BE'!$N$49*'TUSD BE'!$N$58</f>
        <v>3.4857732656494363E-6</v>
      </c>
      <c r="O49" s="13">
        <f>'TUSD BE'!$O$49*'TUSD BE'!$O$58</f>
        <v>0</v>
      </c>
      <c r="P49" s="13">
        <f>'TUSD BE'!$P$49*'TUSD BE'!$P$58</f>
        <v>0</v>
      </c>
      <c r="Q49" s="13">
        <f>'TUSD BE'!$Q$49*'TUSD BE'!$Q$58</f>
        <v>-1.7061567261669188</v>
      </c>
      <c r="R49" s="13">
        <f>'TUSD BE'!$R$49*'TUSD BE'!$R$58</f>
        <v>-0.25686632949670912</v>
      </c>
      <c r="S49" s="13">
        <f>'TUSD BE'!$R$49*'TUSD BE'!$S$58</f>
        <v>0</v>
      </c>
      <c r="T49" s="13">
        <f ca="1">SUM($L$49:$S$49)</f>
        <v>-1.9777802926764962</v>
      </c>
      <c r="U49" s="13">
        <f>'TUSD BE'!$U$49*'TUSD BE'!$U$58</f>
        <v>0</v>
      </c>
      <c r="V49" s="13">
        <f>'TUSD BE'!$V$49*'TUSD BE'!$V$58</f>
        <v>0</v>
      </c>
      <c r="W49" s="13">
        <f>'TUSD BE'!$W$49*'TUSD BE'!$W$58</f>
        <v>0</v>
      </c>
      <c r="X49" s="13">
        <f>'TUSD BE'!$X$49*'TUSD BE'!$X$58</f>
        <v>0</v>
      </c>
      <c r="Y49" s="13">
        <f>'TUSD BE'!$Y$49*'TUSD BE'!$Y$58</f>
        <v>0.90518803510123325</v>
      </c>
      <c r="Z49" s="13">
        <f>'TUSD BE'!$Z$49*'TUSD BE'!$Z$58</f>
        <v>0</v>
      </c>
      <c r="AA49" s="13">
        <f>'TUSD BE'!$AA$49*'TUSD BE'!$AA$58</f>
        <v>0</v>
      </c>
      <c r="AB49" s="13">
        <f>SUM($U$49:$AA$49)</f>
        <v>0.90518803510123325</v>
      </c>
      <c r="AC49" s="13">
        <f>'TUSD BE'!$AC$49*'TUSD BE'!$AC$58</f>
        <v>0</v>
      </c>
      <c r="AD49" s="13">
        <f>SUM($AC$49:$AC$49)</f>
        <v>0</v>
      </c>
      <c r="AE49" s="13">
        <f ca="1">$AO$49*$AO$55</f>
        <v>-125.41337826061903</v>
      </c>
      <c r="AF49" s="13">
        <f ca="1">$AP$49*$AP$55</f>
        <v>0</v>
      </c>
      <c r="AG49" s="13">
        <f ca="1">SUM($AE$49:$AF$49)</f>
        <v>-125.41337826061903</v>
      </c>
      <c r="AH49" s="13">
        <f>'TUSD BE'!$AH$49*'TUSD BE'!$AH$58</f>
        <v>-0.28394603015538705</v>
      </c>
      <c r="AI49" s="13">
        <f>'TUSD BE'!$AI$49*'TUSD BE'!$AI$58</f>
        <v>-9.741730090581744E-3</v>
      </c>
      <c r="AJ49" s="13">
        <f ca="1">'TUSD BE'!$AJ$49*'TUSD BE'!$AJ$58</f>
        <v>-5.507710820302153E-2</v>
      </c>
      <c r="AK49" s="13">
        <f ca="1">'TUSD BE'!$AK$49*'TUSD BE'!$AK$58</f>
        <v>8.3786078080395621E-3</v>
      </c>
      <c r="AL49" s="13">
        <f ca="1">SUM($AH$49:$AK$49)</f>
        <v>-0.34038626064095079</v>
      </c>
      <c r="AM49" s="13">
        <f ca="1">SUMIF($L$4:$AL$4,"SUBTOTAL",$L$49:$AL$49)</f>
        <v>-126.82635677883525</v>
      </c>
      <c r="AO49" s="26">
        <f ca="1">+'TUSD BE'!$T$49+'TUSD BE'!$AB$49+'TUSD BE'!$AD$49+'TUSD BE'!$AL$49</f>
        <v>454.26815861179813</v>
      </c>
      <c r="AP49" s="26">
        <f ca="1">+'TUSD BE'!$T$49+'TUSD BE'!$AB$49+'TUSD BE'!$AD$49+'TUSD BE'!$AL$49</f>
        <v>454.26815861179813</v>
      </c>
    </row>
    <row r="50" spans="1:42" ht="11.25" customHeight="1" x14ac:dyDescent="0.25">
      <c r="A50" s="142" t="s">
        <v>44</v>
      </c>
      <c r="B50" s="142" t="s">
        <v>23</v>
      </c>
      <c r="C50" s="142" t="s">
        <v>45</v>
      </c>
      <c r="D50" s="23" t="s">
        <v>93</v>
      </c>
      <c r="E50" s="23" t="s">
        <v>25</v>
      </c>
      <c r="F50" s="23" t="s">
        <v>25</v>
      </c>
      <c r="G50" s="24" t="s">
        <v>79</v>
      </c>
      <c r="H50" s="24" t="s">
        <v>75</v>
      </c>
      <c r="I50" s="24">
        <f>'MERCADO TUSD'!$U$47</f>
        <v>0</v>
      </c>
      <c r="J50" s="15"/>
      <c r="L50" s="13">
        <f>'TUSD BE'!$L$50*'TUSD BE'!$L$58</f>
        <v>0</v>
      </c>
      <c r="M50" s="13">
        <f>'TUSD BE'!$M$50*'TUSD BE'!$M$58</f>
        <v>-8.1183975323736741E-3</v>
      </c>
      <c r="N50" s="13">
        <f ca="1">'TUSD BE'!$N$50*'TUSD BE'!$N$58</f>
        <v>1.9171752961071897E-6</v>
      </c>
      <c r="O50" s="13">
        <f>'TUSD BE'!$O$50*'TUSD BE'!$O$58</f>
        <v>0</v>
      </c>
      <c r="P50" s="13">
        <f>'TUSD BE'!$P$50*'TUSD BE'!$P$58</f>
        <v>0</v>
      </c>
      <c r="Q50" s="13">
        <f>'TUSD BE'!$Q$50*'TUSD BE'!$Q$58</f>
        <v>-0.93838619939180545</v>
      </c>
      <c r="R50" s="13">
        <f>'TUSD BE'!$R$50*'TUSD BE'!$R$58</f>
        <v>-0.14127648122319</v>
      </c>
      <c r="S50" s="13">
        <f>'TUSD BE'!$R$50*'TUSD BE'!$S$58</f>
        <v>0</v>
      </c>
      <c r="T50" s="13">
        <f ca="1">SUM($L$50:$S$50)</f>
        <v>-1.0877791609720731</v>
      </c>
      <c r="U50" s="13">
        <f>'TUSD BE'!$U$50*'TUSD BE'!$U$58</f>
        <v>0</v>
      </c>
      <c r="V50" s="13">
        <f>'TUSD BE'!$V$50*'TUSD BE'!$V$58</f>
        <v>0</v>
      </c>
      <c r="W50" s="13">
        <f>'TUSD BE'!$W$50*'TUSD BE'!$W$58</f>
        <v>0</v>
      </c>
      <c r="X50" s="13">
        <f>'TUSD BE'!$X$50*'TUSD BE'!$X$58</f>
        <v>0</v>
      </c>
      <c r="Y50" s="13">
        <f>'TUSD BE'!$Y$50*'TUSD BE'!$Y$58</f>
        <v>0.49785341930567828</v>
      </c>
      <c r="Z50" s="13">
        <f>'TUSD BE'!$Z$50*'TUSD BE'!$Z$58</f>
        <v>0</v>
      </c>
      <c r="AA50" s="13">
        <f>'TUSD BE'!$AA$50*'TUSD BE'!$AA$58</f>
        <v>0</v>
      </c>
      <c r="AB50" s="13">
        <f>SUM($U$50:$AA$50)</f>
        <v>0.49785341930567828</v>
      </c>
      <c r="AC50" s="13">
        <f>'TUSD BE'!$AC$50*'TUSD BE'!$AC$58</f>
        <v>0</v>
      </c>
      <c r="AD50" s="13">
        <f>SUM($AC$50:$AC$50)</f>
        <v>0</v>
      </c>
      <c r="AE50" s="13">
        <f ca="1">$AO$50*$AO$55</f>
        <v>-68.977358043340459</v>
      </c>
      <c r="AF50" s="13">
        <f ca="1">$AP$50*$AP$55</f>
        <v>0</v>
      </c>
      <c r="AG50" s="13">
        <f ca="1">SUM($AE$50:$AF$50)</f>
        <v>-68.977358043340459</v>
      </c>
      <c r="AH50" s="13">
        <f>'TUSD BE'!$AH$50*'TUSD BE'!$AH$58</f>
        <v>-0.15617031658546293</v>
      </c>
      <c r="AI50" s="13">
        <f>'TUSD BE'!$AI$50*'TUSD BE'!$AI$58</f>
        <v>-5.3579515498199609E-3</v>
      </c>
      <c r="AJ50" s="13">
        <f ca="1">'TUSD BE'!$AJ$50*'TUSD BE'!$AJ$58</f>
        <v>-3.0292409511661841E-2</v>
      </c>
      <c r="AK50" s="13">
        <f ca="1">'TUSD BE'!$AK$50*'TUSD BE'!$AK$58</f>
        <v>4.6082342944217597E-3</v>
      </c>
      <c r="AL50" s="13">
        <f ca="1">SUM($AH$50:$AK$50)</f>
        <v>-0.18721244335252299</v>
      </c>
      <c r="AM50" s="13">
        <f ca="1">SUMIF($L$4:$AL$4,"SUBTOTAL",$L$50:$AL$50)</f>
        <v>-69.754496228359372</v>
      </c>
      <c r="AO50" s="26">
        <f ca="1">+'TUSD BE'!$T$50+'TUSD BE'!$AB$50+'TUSD BE'!$AD$50+'TUSD BE'!$AL$50</f>
        <v>249.84748723648894</v>
      </c>
      <c r="AP50" s="26">
        <f ca="1">+'TUSD BE'!$T$50+'TUSD BE'!$AB$50+'TUSD BE'!$AD$50+'TUSD BE'!$AL$50</f>
        <v>249.84748723648894</v>
      </c>
    </row>
    <row r="51" spans="1:42" ht="11.25" customHeight="1" x14ac:dyDescent="0.25">
      <c r="A51" s="142"/>
      <c r="B51" s="142"/>
      <c r="C51" s="142"/>
      <c r="D51" s="24" t="s">
        <v>46</v>
      </c>
      <c r="E51" s="24" t="s">
        <v>25</v>
      </c>
      <c r="F51" s="24" t="s">
        <v>25</v>
      </c>
      <c r="G51" s="24" t="s">
        <v>79</v>
      </c>
      <c r="H51" s="24" t="s">
        <v>75</v>
      </c>
      <c r="I51" s="24">
        <f>'MERCADO TUSD'!$U$48</f>
        <v>1655.8650000000002</v>
      </c>
      <c r="J51" s="15"/>
      <c r="L51" s="13">
        <f>'TUSD BE'!$L$51*'TUSD BE'!$L$58</f>
        <v>0</v>
      </c>
      <c r="M51" s="13">
        <f>'TUSD BE'!$M$51*'TUSD BE'!$M$58</f>
        <v>-8.8564336716803714E-3</v>
      </c>
      <c r="N51" s="13">
        <f ca="1">'TUSD BE'!$N$51*'TUSD BE'!$N$58</f>
        <v>2.0914639593896619E-6</v>
      </c>
      <c r="O51" s="13">
        <f>'TUSD BE'!$O$51*'TUSD BE'!$O$58</f>
        <v>0</v>
      </c>
      <c r="P51" s="13">
        <f>'TUSD BE'!$P$51*'TUSD BE'!$P$58</f>
        <v>0</v>
      </c>
      <c r="Q51" s="13">
        <f>'TUSD BE'!$Q$51*'TUSD BE'!$Q$58</f>
        <v>-1.0236940357001514</v>
      </c>
      <c r="R51" s="13">
        <f>'TUSD BE'!$R$51*'TUSD BE'!$R$58</f>
        <v>-0.15411979769802547</v>
      </c>
      <c r="S51" s="13">
        <f>'TUSD BE'!$R$51*'TUSD BE'!$S$58</f>
        <v>0</v>
      </c>
      <c r="T51" s="13">
        <f ca="1">SUM($L$51:$S$51)</f>
        <v>-1.1866681756058979</v>
      </c>
      <c r="U51" s="13">
        <f>'TUSD BE'!$U$51*'TUSD BE'!$U$58</f>
        <v>0</v>
      </c>
      <c r="V51" s="13">
        <f>'TUSD BE'!$V$51*'TUSD BE'!$V$58</f>
        <v>0</v>
      </c>
      <c r="W51" s="13">
        <f>'TUSD BE'!$W$51*'TUSD BE'!$W$58</f>
        <v>0</v>
      </c>
      <c r="X51" s="13">
        <f>'TUSD BE'!$X$51*'TUSD BE'!$X$58</f>
        <v>0</v>
      </c>
      <c r="Y51" s="13">
        <f>'TUSD BE'!$Y$51*'TUSD BE'!$Y$58</f>
        <v>0.54311282106073988</v>
      </c>
      <c r="Z51" s="13">
        <f>'TUSD BE'!$Z$51*'TUSD BE'!$Z$58</f>
        <v>0</v>
      </c>
      <c r="AA51" s="13">
        <f>'TUSD BE'!$AA$51*'TUSD BE'!$AA$58</f>
        <v>0</v>
      </c>
      <c r="AB51" s="13">
        <f>SUM($U$51:$AA$51)</f>
        <v>0.54311282106073988</v>
      </c>
      <c r="AC51" s="13">
        <f>'TUSD BE'!$AC$51*'TUSD BE'!$AC$58</f>
        <v>0</v>
      </c>
      <c r="AD51" s="13">
        <f>SUM($AC$51:$AC$51)</f>
        <v>0</v>
      </c>
      <c r="AE51" s="13">
        <f ca="1">$AO$51*$AO$55</f>
        <v>-75.248026956371419</v>
      </c>
      <c r="AF51" s="13">
        <f ca="1">$AP$51*$AP$55</f>
        <v>0</v>
      </c>
      <c r="AG51" s="13">
        <f ca="1">SUM($AE$51:$AF$51)</f>
        <v>-75.248026956371419</v>
      </c>
      <c r="AH51" s="13">
        <f>'TUSD BE'!$AH$51*'TUSD BE'!$AH$58</f>
        <v>-0.17036761809323225</v>
      </c>
      <c r="AI51" s="13">
        <f>'TUSD BE'!$AI$51*'TUSD BE'!$AI$58</f>
        <v>-5.8450380543490473E-3</v>
      </c>
      <c r="AJ51" s="13">
        <f ca="1">'TUSD BE'!$AJ$51*'TUSD BE'!$AJ$58</f>
        <v>-3.3046264921812916E-2</v>
      </c>
      <c r="AK51" s="13">
        <f ca="1">'TUSD BE'!$AK$51*'TUSD BE'!$AK$58</f>
        <v>5.0271646848237374E-3</v>
      </c>
      <c r="AL51" s="13">
        <f ca="1">SUM($AH$51:$AK$51)</f>
        <v>-0.2042317563845705</v>
      </c>
      <c r="AM51" s="13">
        <f ca="1">SUMIF($L$4:$AL$4,"SUBTOTAL",$L$51:$AL$51)</f>
        <v>-76.095814067301148</v>
      </c>
      <c r="AO51" s="26">
        <f ca="1">+'TUSD BE'!$T$51+'TUSD BE'!$AB$51+'TUSD BE'!$AD$51+'TUSD BE'!$AL$51</f>
        <v>272.56089516707885</v>
      </c>
      <c r="AP51" s="26">
        <f ca="1">+'TUSD BE'!$T$51+'TUSD BE'!$AB$51+'TUSD BE'!$AD$51+'TUSD BE'!$AL$51</f>
        <v>272.56089516707885</v>
      </c>
    </row>
    <row r="53" spans="1:42" ht="11.25" customHeight="1" x14ac:dyDescent="0.25">
      <c r="K53" s="16" t="s">
        <v>643</v>
      </c>
      <c r="L53" s="13">
        <f>SUMPRODUCT($I$5:$I51,$L$5:$L51)</f>
        <v>0</v>
      </c>
      <c r="M53" s="13">
        <f>SUMPRODUCT($I$5:$I51,$M$5:$M51)</f>
        <v>-457.71495656638444</v>
      </c>
      <c r="N53" s="13">
        <f ca="1">SUMPRODUCT($I$5:$I51,$N$5:$N51)</f>
        <v>8.5761777002605954E-2</v>
      </c>
      <c r="O53" s="13">
        <f>SUMPRODUCT($I$5:$I51,$O$5:$O51)</f>
        <v>0</v>
      </c>
      <c r="P53" s="13">
        <f>SUMPRODUCT($I$5:$I51,$P$5:$P51)</f>
        <v>0</v>
      </c>
      <c r="Q53" s="13">
        <f>SUMPRODUCT($I$5:$I51,$Q$5:$Q51)</f>
        <v>-105958.46523645593</v>
      </c>
      <c r="R53" s="13">
        <f>SUMPRODUCT($I$5:$I51,$R$5:$R51)</f>
        <v>-17941.33609469841</v>
      </c>
      <c r="S53" s="13">
        <f>SUMPRODUCT($I$5:$I51,$S$5:$S51)</f>
        <v>0</v>
      </c>
      <c r="T53" s="13">
        <f ca="1">SUMPRODUCT($I$5:$I51,$T$5:$T51)</f>
        <v>-124357.4305259437</v>
      </c>
      <c r="U53" s="13">
        <f>SUMPRODUCT($I$5:$I51,$U$5:$U51)</f>
        <v>0</v>
      </c>
      <c r="V53" s="13">
        <f>SUMPRODUCT($I$5:$I51,$V$5:$V51)</f>
        <v>0</v>
      </c>
      <c r="W53" s="13">
        <f>SUMPRODUCT($I$5:$I51,$W$5:$W51)</f>
        <v>0</v>
      </c>
      <c r="X53" s="13">
        <f>SUMPRODUCT($I$5:$I51,$X$5:$X51)</f>
        <v>0</v>
      </c>
      <c r="Y53" s="13">
        <f>SUMPRODUCT($I$5:$I51,$Y$5:$Y51)</f>
        <v>42588.727591660601</v>
      </c>
      <c r="Z53" s="13">
        <f>SUMPRODUCT($I$5:$I51,$Z$5:$Z51)</f>
        <v>0</v>
      </c>
      <c r="AA53" s="13">
        <f>SUMPRODUCT($I$5:$I51,$AA$5:$AA51)</f>
        <v>0</v>
      </c>
      <c r="AB53" s="13">
        <f>SUMPRODUCT($I$5:$I51,$AB$5:$AB51)</f>
        <v>42588.727591660601</v>
      </c>
      <c r="AC53" s="13">
        <f>SUMPRODUCT($I$5:$I51,$AC$5:$AC51)</f>
        <v>0</v>
      </c>
      <c r="AD53" s="13">
        <f>SUMPRODUCT($I$5:$I51,$AD$5:$AD51)</f>
        <v>0</v>
      </c>
      <c r="AE53" s="13">
        <f ca="1">SUMPRODUCT($I$5:$I51,$AE$5:$AE51)</f>
        <v>-5364684.1037082179</v>
      </c>
      <c r="AF53" s="13">
        <f ca="1">SUMPRODUCT($I$5:$I51,$AF$5:$AF51)</f>
        <v>0</v>
      </c>
      <c r="AG53" s="13">
        <f ca="1">SUMPRODUCT($I$5:$I51,$AG$5:$AG51)</f>
        <v>-5364684.1037082179</v>
      </c>
      <c r="AH53" s="13">
        <f>SUMPRODUCT($I$5:$I51,$AH$5:$AH51)</f>
        <v>-8045.6987564560186</v>
      </c>
      <c r="AI53" s="13">
        <f>SUMPRODUCT($I$5:$I51,$AI$5:$AI51)</f>
        <v>-276.03494098026817</v>
      </c>
      <c r="AJ53" s="13">
        <f ca="1">SUMPRODUCT($I$5:$I51,$AJ$5:$AJ51)</f>
        <v>-2408.8082096127278</v>
      </c>
      <c r="AK53" s="13">
        <f ca="1">SUMPRODUCT($I$5:$I51,$AK$5:$AK51)</f>
        <v>366.44006796318678</v>
      </c>
      <c r="AL53" s="13">
        <f ca="1">SUMPRODUCT($I$5:$I51,$AL$5:$AL51)</f>
        <v>-10364.101839085828</v>
      </c>
      <c r="AM53" s="13">
        <f ca="1">SUMPRODUCT($I$5:$I51,$AM$5:$AM51)</f>
        <v>-5456816.9084815858</v>
      </c>
      <c r="AO53" s="24">
        <f ca="1">SUMPRODUCT($I$5:$I51,$AO$5:$AO51)</f>
        <v>19431779.951427709</v>
      </c>
      <c r="AP53" s="24">
        <f ca="1">SUMPRODUCT($I$5:$I51,$AP$5:$AP51)</f>
        <v>19431779.951427709</v>
      </c>
    </row>
    <row r="54" spans="1:42" ht="11.25" customHeight="1" x14ac:dyDescent="0.25">
      <c r="K54" s="16" t="s">
        <v>575</v>
      </c>
      <c r="L54" s="13">
        <f>'TR TUSD'!$L$56</f>
        <v>0</v>
      </c>
      <c r="M54" s="13">
        <f>'TR TUSD'!$M$56</f>
        <v>27365.997860554216</v>
      </c>
      <c r="N54" s="13">
        <f>'TR TUSD'!$N$56</f>
        <v>83815.458027374334</v>
      </c>
      <c r="O54" s="13">
        <f>'TR TUSD'!$O$56</f>
        <v>0</v>
      </c>
      <c r="P54" s="13">
        <f>'TR TUSD'!$P$56</f>
        <v>0</v>
      </c>
      <c r="Q54" s="13">
        <f>'TR TUSD'!$Q$56</f>
        <v>5512588.8119572811</v>
      </c>
      <c r="R54" s="13">
        <f>'TR TUSD'!$R$56</f>
        <v>1008889.0274199464</v>
      </c>
      <c r="S54" s="13">
        <f>'TR TUSD'!$S$56</f>
        <v>0</v>
      </c>
      <c r="T54" s="13">
        <f>'TR TUSD'!$T$56</f>
        <v>6632659.2952651558</v>
      </c>
      <c r="U54" s="13">
        <f>'TR TUSD'!$U$56</f>
        <v>0</v>
      </c>
      <c r="V54" s="13">
        <f>'TR TUSD'!$V$56</f>
        <v>0</v>
      </c>
      <c r="W54" s="13">
        <f>'TR TUSD'!$W$56</f>
        <v>0</v>
      </c>
      <c r="X54" s="13">
        <f>'TR TUSD'!$X$56</f>
        <v>0</v>
      </c>
      <c r="Y54" s="13">
        <f>'TR TUSD'!$Y$56</f>
        <v>6012295.3953999998</v>
      </c>
      <c r="Z54" s="13">
        <f>'TR TUSD'!$Z$56</f>
        <v>0</v>
      </c>
      <c r="AA54" s="13">
        <f>'TR TUSD'!$AA$56</f>
        <v>0</v>
      </c>
      <c r="AB54" s="13">
        <f>'TR TUSD'!$AB$56</f>
        <v>6012295.3953999998</v>
      </c>
      <c r="AC54" s="13">
        <f>'TR TUSD'!$AC$56</f>
        <v>6040700.2605260396</v>
      </c>
      <c r="AD54" s="13">
        <f>'TR TUSD'!$AD$56</f>
        <v>6040700.2605260396</v>
      </c>
      <c r="AE54" s="13">
        <f>'TR TUSD'!$AE$56</f>
        <v>0</v>
      </c>
      <c r="AF54" s="13">
        <f>'TR TUSD'!$AF$56</f>
        <v>0</v>
      </c>
      <c r="AG54" s="13">
        <f>'TR TUSD'!$AG$56</f>
        <v>0</v>
      </c>
      <c r="AH54" s="13">
        <f>'TR TUSD'!$AH$56</f>
        <v>551804.93985913182</v>
      </c>
      <c r="AI54" s="13">
        <f>'TR TUSD'!$AI$56</f>
        <v>18931.537038273214</v>
      </c>
      <c r="AJ54" s="13">
        <f>'TR TUSD'!$AJ$56</f>
        <v>165205.32392179928</v>
      </c>
      <c r="AK54" s="13">
        <f>'TR TUSD'!$AK$56</f>
        <v>10183.199417314685</v>
      </c>
      <c r="AL54" s="13">
        <f>'TR TUSD'!$AL$56</f>
        <v>746125.00023651903</v>
      </c>
      <c r="AM54" s="13">
        <f>'TUSD BE'!$AM$54</f>
        <v>19431779.951427713</v>
      </c>
      <c r="AO54" s="24">
        <f>$AE$55</f>
        <v>-5364684.1037082169</v>
      </c>
      <c r="AP54" s="24">
        <f>$AF$55</f>
        <v>0</v>
      </c>
    </row>
    <row r="55" spans="1:42" ht="11.25" customHeight="1" x14ac:dyDescent="0.25">
      <c r="K55" s="16" t="s">
        <v>576</v>
      </c>
      <c r="L55" s="13">
        <f>CUSTOS!$E$2</f>
        <v>0</v>
      </c>
      <c r="M55" s="13">
        <f>CUSTOS!$E$3</f>
        <v>-457.71495656638444</v>
      </c>
      <c r="N55" s="13">
        <f>CUSTOS!$E$4</f>
        <v>8.5761777002605968E-2</v>
      </c>
      <c r="O55" s="13">
        <f>CUSTOS!$E$5</f>
        <v>0</v>
      </c>
      <c r="P55" s="13">
        <f>CUSTOS!$E$6</f>
        <v>0</v>
      </c>
      <c r="Q55" s="13">
        <f>CUSTOS!$E$7</f>
        <v>-105958.4652364559</v>
      </c>
      <c r="R55" s="13">
        <f>CUSTOS!$E$8</f>
        <v>-17941.336094698403</v>
      </c>
      <c r="S55" s="13">
        <f>CUSTOS!$E$9</f>
        <v>0</v>
      </c>
      <c r="T55" s="13">
        <f>CUSTOS!$E$10</f>
        <v>-124357.43052594368</v>
      </c>
      <c r="U55" s="13">
        <f>CUSTOS!$E$11</f>
        <v>0</v>
      </c>
      <c r="V55" s="13">
        <f>CUSTOS!$E$12</f>
        <v>0</v>
      </c>
      <c r="W55" s="13">
        <f>CUSTOS!$E$13</f>
        <v>0</v>
      </c>
      <c r="X55" s="13">
        <f>CUSTOS!$E$14</f>
        <v>0</v>
      </c>
      <c r="Y55" s="13">
        <f>CUSTOS!$E$15</f>
        <v>42588.727591660594</v>
      </c>
      <c r="Z55" s="13">
        <f>CUSTOS!$E$16</f>
        <v>0</v>
      </c>
      <c r="AA55" s="13">
        <f>CUSTOS!$E$17</f>
        <v>0</v>
      </c>
      <c r="AB55" s="13">
        <f>CUSTOS!$E$18</f>
        <v>42588.727591660594</v>
      </c>
      <c r="AC55" s="13">
        <f>CUSTOS!$E$19</f>
        <v>0</v>
      </c>
      <c r="AD55" s="13">
        <f>CUSTOS!$E$20</f>
        <v>0</v>
      </c>
      <c r="AE55" s="13">
        <f>CUSTOS!$E$21</f>
        <v>-5364684.1037082169</v>
      </c>
      <c r="AF55" s="13">
        <f>CUSTOS!$E$22</f>
        <v>0</v>
      </c>
      <c r="AG55" s="13">
        <f>CUSTOS!$E$23</f>
        <v>-5364684.1037082169</v>
      </c>
      <c r="AH55" s="13">
        <f>CUSTOS!$E$24</f>
        <v>-8045.6987564560177</v>
      </c>
      <c r="AI55" s="13">
        <f>CUSTOS!$E$25</f>
        <v>-276.03494098026817</v>
      </c>
      <c r="AJ55" s="13">
        <f>CUSTOS!$E$26</f>
        <v>-2408.8082096127278</v>
      </c>
      <c r="AK55" s="13">
        <f>CUSTOS!$E$27</f>
        <v>366.44006796318683</v>
      </c>
      <c r="AL55" s="13">
        <f>CUSTOS!$E$28</f>
        <v>-10364.101839085826</v>
      </c>
      <c r="AM55" s="13">
        <f>CUSTOS!$E$29</f>
        <v>-5456816.9084815858</v>
      </c>
      <c r="AO55" s="24">
        <f ca="1">IF(AO53&lt;&gt;0,AO54/AO53,0)</f>
        <v>-0.27607785375904581</v>
      </c>
      <c r="AP55" s="24">
        <f ca="1">IF(AP53&lt;&gt;0,AP54/AP53,0)</f>
        <v>0</v>
      </c>
    </row>
    <row r="56" spans="1:42" ht="11.25" customHeight="1" x14ac:dyDescent="0.25">
      <c r="K56" s="16" t="s">
        <v>577</v>
      </c>
      <c r="L56" s="13">
        <f>CUSTOS!$F$2</f>
        <v>0</v>
      </c>
      <c r="M56" s="13">
        <f>CUSTOS!$F$3</f>
        <v>0</v>
      </c>
      <c r="N56" s="13">
        <f>CUSTOS!$F$4</f>
        <v>0</v>
      </c>
      <c r="O56" s="13">
        <f>CUSTOS!$F$5</f>
        <v>0</v>
      </c>
      <c r="P56" s="13">
        <f>CUSTOS!$F$6</f>
        <v>0</v>
      </c>
      <c r="Q56" s="13">
        <f>CUSTOS!$F$7</f>
        <v>938744.41830000002</v>
      </c>
      <c r="R56" s="13">
        <f>CUSTOS!$F$8</f>
        <v>270128.0294</v>
      </c>
      <c r="S56" s="13">
        <f>CUSTOS!$F$9</f>
        <v>0</v>
      </c>
      <c r="T56" s="13">
        <f>CUSTOS!$F$10</f>
        <v>1208872.4476999999</v>
      </c>
      <c r="U56" s="13">
        <f>CUSTOS!$F$11</f>
        <v>0</v>
      </c>
      <c r="V56" s="13">
        <f>CUSTOS!$F$12</f>
        <v>0</v>
      </c>
      <c r="W56" s="13">
        <f>CUSTOS!$F$13</f>
        <v>0</v>
      </c>
      <c r="X56" s="13">
        <f>CUSTOS!$F$14</f>
        <v>0</v>
      </c>
      <c r="Y56" s="13">
        <f>CUSTOS!$F$15</f>
        <v>0</v>
      </c>
      <c r="Z56" s="13">
        <f>CUSTOS!$F$16</f>
        <v>0</v>
      </c>
      <c r="AA56" s="13">
        <f>CUSTOS!$F$17</f>
        <v>0</v>
      </c>
      <c r="AB56" s="13">
        <f>CUSTOS!$F$18</f>
        <v>0</v>
      </c>
      <c r="AC56" s="13">
        <f>CUSTOS!$F$19</f>
        <v>0</v>
      </c>
      <c r="AD56" s="13">
        <f>CUSTOS!$F$20</f>
        <v>0</v>
      </c>
      <c r="AE56" s="13">
        <f>CUSTOS!$F$21</f>
        <v>0</v>
      </c>
      <c r="AF56" s="13">
        <f>CUSTOS!$F$22</f>
        <v>0</v>
      </c>
      <c r="AG56" s="13">
        <f>CUSTOS!$F$23</f>
        <v>0</v>
      </c>
      <c r="AH56" s="13">
        <f>CUSTOS!$F$24</f>
        <v>91958.538671496077</v>
      </c>
      <c r="AI56" s="13">
        <f>CUSTOS!$F$25</f>
        <v>3154.9490682148294</v>
      </c>
      <c r="AJ56" s="13">
        <f>CUSTOS!$F$26</f>
        <v>27531.540715235598</v>
      </c>
      <c r="AK56" s="13">
        <f>CUSTOS!$F$27</f>
        <v>0</v>
      </c>
      <c r="AL56" s="13">
        <f>CUSTOS!$F$28</f>
        <v>122645.0284549465</v>
      </c>
      <c r="AM56" s="13">
        <f>CUSTOS!$F$29</f>
        <v>1331517.4761549465</v>
      </c>
    </row>
    <row r="57" spans="1:42" ht="11.25" customHeight="1" x14ac:dyDescent="0.25">
      <c r="K57" s="16" t="s">
        <v>640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f>SUM($L$57:$S$57)</f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f>SUM($U$57:$AA$57)</f>
        <v>0</v>
      </c>
      <c r="AC57" s="13">
        <v>0</v>
      </c>
      <c r="AD57" s="13">
        <f>SUM($AC$57:$AC$57)</f>
        <v>0</v>
      </c>
      <c r="AE57" s="13">
        <v>0</v>
      </c>
      <c r="AF57" s="13">
        <v>0</v>
      </c>
      <c r="AG57" s="13">
        <f>SUM($AE$57:$AF$57)</f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f>SUM($AH$57:$AK$57)</f>
        <v>0</v>
      </c>
      <c r="AM57" s="13"/>
    </row>
    <row r="58" spans="1:42" ht="11.25" customHeight="1" x14ac:dyDescent="0.25">
      <c r="K58" s="16" t="s">
        <v>652</v>
      </c>
      <c r="L58" s="13">
        <f t="shared" ref="L58:R58" si="0">IF((L54-(0))&lt;&gt;0,(L56)/(L54-(0)),0)</f>
        <v>0</v>
      </c>
      <c r="M58" s="13">
        <f t="shared" si="0"/>
        <v>0</v>
      </c>
      <c r="N58" s="13">
        <f t="shared" si="0"/>
        <v>0</v>
      </c>
      <c r="O58" s="13">
        <f t="shared" si="0"/>
        <v>0</v>
      </c>
      <c r="P58" s="13">
        <f t="shared" si="0"/>
        <v>0</v>
      </c>
      <c r="Q58" s="13">
        <f t="shared" si="0"/>
        <v>0.1702910284662956</v>
      </c>
      <c r="R58" s="13">
        <f t="shared" si="0"/>
        <v>0.26774800999749615</v>
      </c>
      <c r="S58" s="13">
        <f>IF((R53-(0)&lt;&gt;0),(S55)/(R53-(0)),0)</f>
        <v>0</v>
      </c>
      <c r="T58" s="13"/>
      <c r="U58" s="13">
        <f t="shared" ref="U58:AA58" si="1">IF((U54-(0))&lt;&gt;0,(U56)/(U54-(0)),0)</f>
        <v>0</v>
      </c>
      <c r="V58" s="13">
        <f t="shared" si="1"/>
        <v>0</v>
      </c>
      <c r="W58" s="13">
        <f t="shared" si="1"/>
        <v>0</v>
      </c>
      <c r="X58" s="13">
        <f t="shared" si="1"/>
        <v>0</v>
      </c>
      <c r="Y58" s="13">
        <f t="shared" si="1"/>
        <v>0</v>
      </c>
      <c r="Z58" s="13">
        <f t="shared" si="1"/>
        <v>0</v>
      </c>
      <c r="AA58" s="13">
        <f t="shared" si="1"/>
        <v>0</v>
      </c>
      <c r="AB58" s="13"/>
      <c r="AC58" s="13">
        <f>IF((AC54-(0))&lt;&gt;0,(AC56)/(AC54-(0)),0)</f>
        <v>0</v>
      </c>
      <c r="AD58" s="13"/>
      <c r="AE58" s="13">
        <f ca="1">IF(($AM53-(0))&lt;&gt;0,(AE55)/($AM53-(0)),0)</f>
        <v>0.98311601684304895</v>
      </c>
      <c r="AF58" s="13">
        <f ca="1">IF(($AM53-(0))&lt;&gt;0,(AF55)/($AM53-(0)),0)</f>
        <v>0</v>
      </c>
      <c r="AG58" s="13"/>
      <c r="AH58" s="13">
        <f>IF((AH54-(0))&lt;&gt;0,(AH56)/(AH54-(0)),0)</f>
        <v>0.16665044480205599</v>
      </c>
      <c r="AI58" s="13">
        <f>IF((AI54-(0))&lt;&gt;0,(AI56)/(AI54-(0)),0)</f>
        <v>0.16665044480205601</v>
      </c>
      <c r="AJ58" s="13">
        <f>IF((AJ54-(0))&lt;&gt;0,(AJ56)/(AJ54-(0)),0)</f>
        <v>0.16665044480205604</v>
      </c>
      <c r="AK58" s="13">
        <f>IF((AK54-(0))&lt;&gt;0,(AK56)/(AK54-(0)),0)</f>
        <v>0</v>
      </c>
      <c r="AL58" s="13"/>
      <c r="AM58" s="13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017" priority="55" operator="notEqual">
      <formula>$L$55</formula>
    </cfRule>
    <cfRule type="cellIs" dxfId="1016" priority="56" operator="equal">
      <formula>$L$55</formula>
    </cfRule>
  </conditionalFormatting>
  <conditionalFormatting sqref="M53">
    <cfRule type="cellIs" dxfId="1015" priority="53" operator="notEqual">
      <formula>$M$55</formula>
    </cfRule>
    <cfRule type="cellIs" dxfId="1014" priority="54" operator="equal">
      <formula>$M$55</formula>
    </cfRule>
  </conditionalFormatting>
  <conditionalFormatting sqref="N53">
    <cfRule type="cellIs" dxfId="1013" priority="51" operator="notEqual">
      <formula>$N$55</formula>
    </cfRule>
    <cfRule type="cellIs" dxfId="1012" priority="52" operator="equal">
      <formula>$N$55</formula>
    </cfRule>
  </conditionalFormatting>
  <conditionalFormatting sqref="O53">
    <cfRule type="cellIs" dxfId="1011" priority="49" operator="notEqual">
      <formula>$O$55</formula>
    </cfRule>
    <cfRule type="cellIs" dxfId="1010" priority="50" operator="equal">
      <formula>$O$55</formula>
    </cfRule>
  </conditionalFormatting>
  <conditionalFormatting sqref="P53">
    <cfRule type="cellIs" dxfId="1009" priority="47" operator="notEqual">
      <formula>$P$55</formula>
    </cfRule>
    <cfRule type="cellIs" dxfId="1008" priority="48" operator="equal">
      <formula>$P$55</formula>
    </cfRule>
  </conditionalFormatting>
  <conditionalFormatting sqref="Q53">
    <cfRule type="cellIs" dxfId="1007" priority="45" operator="notEqual">
      <formula>$Q$55</formula>
    </cfRule>
    <cfRule type="cellIs" dxfId="1006" priority="46" operator="equal">
      <formula>$Q$55</formula>
    </cfRule>
  </conditionalFormatting>
  <conditionalFormatting sqref="R53">
    <cfRule type="cellIs" dxfId="1005" priority="43" operator="notEqual">
      <formula>$R$55</formula>
    </cfRule>
    <cfRule type="cellIs" dxfId="1004" priority="44" operator="equal">
      <formula>$R$55</formula>
    </cfRule>
  </conditionalFormatting>
  <conditionalFormatting sqref="S53">
    <cfRule type="cellIs" dxfId="1003" priority="41" operator="notEqual">
      <formula>$S$55</formula>
    </cfRule>
    <cfRule type="cellIs" dxfId="1002" priority="42" operator="equal">
      <formula>$S$55</formula>
    </cfRule>
  </conditionalFormatting>
  <conditionalFormatting sqref="T53">
    <cfRule type="cellIs" dxfId="1001" priority="39" operator="notEqual">
      <formula>$T$55</formula>
    </cfRule>
    <cfRule type="cellIs" dxfId="1000" priority="40" operator="equal">
      <formula>$T$55</formula>
    </cfRule>
  </conditionalFormatting>
  <conditionalFormatting sqref="U53">
    <cfRule type="cellIs" dxfId="999" priority="37" operator="notEqual">
      <formula>$U$55</formula>
    </cfRule>
    <cfRule type="cellIs" dxfId="998" priority="38" operator="equal">
      <formula>$U$55</formula>
    </cfRule>
  </conditionalFormatting>
  <conditionalFormatting sqref="V53">
    <cfRule type="cellIs" dxfId="997" priority="35" operator="notEqual">
      <formula>$V$55</formula>
    </cfRule>
    <cfRule type="cellIs" dxfId="996" priority="36" operator="equal">
      <formula>$V$55</formula>
    </cfRule>
  </conditionalFormatting>
  <conditionalFormatting sqref="W53">
    <cfRule type="cellIs" dxfId="995" priority="33" operator="notEqual">
      <formula>$W$55</formula>
    </cfRule>
    <cfRule type="cellIs" dxfId="994" priority="34" operator="equal">
      <formula>$W$55</formula>
    </cfRule>
  </conditionalFormatting>
  <conditionalFormatting sqref="X53">
    <cfRule type="cellIs" dxfId="993" priority="31" operator="notEqual">
      <formula>$X$55</formula>
    </cfRule>
    <cfRule type="cellIs" dxfId="992" priority="32" operator="equal">
      <formula>$X$55</formula>
    </cfRule>
  </conditionalFormatting>
  <conditionalFormatting sqref="Y53">
    <cfRule type="cellIs" dxfId="991" priority="29" operator="notEqual">
      <formula>$Y$55</formula>
    </cfRule>
    <cfRule type="cellIs" dxfId="990" priority="30" operator="equal">
      <formula>$Y$55</formula>
    </cfRule>
  </conditionalFormatting>
  <conditionalFormatting sqref="Z53">
    <cfRule type="cellIs" dxfId="989" priority="27" operator="notEqual">
      <formula>$Z$55</formula>
    </cfRule>
    <cfRule type="cellIs" dxfId="988" priority="28" operator="equal">
      <formula>$Z$55</formula>
    </cfRule>
  </conditionalFormatting>
  <conditionalFormatting sqref="AA53">
    <cfRule type="cellIs" dxfId="987" priority="25" operator="notEqual">
      <formula>$AA$55</formula>
    </cfRule>
    <cfRule type="cellIs" dxfId="986" priority="26" operator="equal">
      <formula>$AA$55</formula>
    </cfRule>
  </conditionalFormatting>
  <conditionalFormatting sqref="AB53">
    <cfRule type="cellIs" dxfId="985" priority="23" operator="notEqual">
      <formula>$AB$55</formula>
    </cfRule>
    <cfRule type="cellIs" dxfId="984" priority="24" operator="equal">
      <formula>$AB$55</formula>
    </cfRule>
  </conditionalFormatting>
  <conditionalFormatting sqref="AC53">
    <cfRule type="cellIs" dxfId="983" priority="21" operator="notEqual">
      <formula>$AC$55</formula>
    </cfRule>
    <cfRule type="cellIs" dxfId="982" priority="22" operator="equal">
      <formula>$AC$55</formula>
    </cfRule>
  </conditionalFormatting>
  <conditionalFormatting sqref="AD53">
    <cfRule type="cellIs" dxfId="981" priority="19" operator="notEqual">
      <formula>$AD$55</formula>
    </cfRule>
    <cfRule type="cellIs" dxfId="980" priority="20" operator="equal">
      <formula>$AD$55</formula>
    </cfRule>
  </conditionalFormatting>
  <conditionalFormatting sqref="AE53">
    <cfRule type="cellIs" dxfId="979" priority="17" operator="notEqual">
      <formula>$AE$55</formula>
    </cfRule>
    <cfRule type="cellIs" dxfId="978" priority="18" operator="equal">
      <formula>$AE$55</formula>
    </cfRule>
  </conditionalFormatting>
  <conditionalFormatting sqref="AF53">
    <cfRule type="cellIs" dxfId="977" priority="16" operator="equal">
      <formula>$AF$55</formula>
    </cfRule>
  </conditionalFormatting>
  <conditionalFormatting sqref="AF53">
    <cfRule type="cellIs" dxfId="976" priority="15" operator="notEqual">
      <formula>$AF$55</formula>
    </cfRule>
  </conditionalFormatting>
  <conditionalFormatting sqref="AG53">
    <cfRule type="cellIs" dxfId="975" priority="14" operator="equal">
      <formula>$AG$55</formula>
    </cfRule>
  </conditionalFormatting>
  <conditionalFormatting sqref="AG53">
    <cfRule type="cellIs" dxfId="974" priority="13" operator="notEqual">
      <formula>$AG$55</formula>
    </cfRule>
  </conditionalFormatting>
  <conditionalFormatting sqref="AH53">
    <cfRule type="cellIs" dxfId="973" priority="12" operator="equal">
      <formula>$AH$55</formula>
    </cfRule>
  </conditionalFormatting>
  <conditionalFormatting sqref="AH53">
    <cfRule type="cellIs" dxfId="972" priority="11" operator="notEqual">
      <formula>$AH$55</formula>
    </cfRule>
  </conditionalFormatting>
  <conditionalFormatting sqref="AI53">
    <cfRule type="cellIs" dxfId="971" priority="10" operator="equal">
      <formula>$AI$55</formula>
    </cfRule>
  </conditionalFormatting>
  <conditionalFormatting sqref="AI53">
    <cfRule type="cellIs" dxfId="970" priority="9" operator="notEqual">
      <formula>$AI$55</formula>
    </cfRule>
  </conditionalFormatting>
  <conditionalFormatting sqref="AJ53">
    <cfRule type="cellIs" dxfId="969" priority="8" operator="equal">
      <formula>$AJ$55</formula>
    </cfRule>
  </conditionalFormatting>
  <conditionalFormatting sqref="AJ53">
    <cfRule type="cellIs" dxfId="968" priority="7" operator="notEqual">
      <formula>$AJ$55</formula>
    </cfRule>
  </conditionalFormatting>
  <conditionalFormatting sqref="AK53">
    <cfRule type="cellIs" dxfId="967" priority="6" operator="equal">
      <formula>$AK$55</formula>
    </cfRule>
  </conditionalFormatting>
  <conditionalFormatting sqref="AK53">
    <cfRule type="cellIs" dxfId="966" priority="5" operator="notEqual">
      <formula>$AK$55</formula>
    </cfRule>
  </conditionalFormatting>
  <conditionalFormatting sqref="AL53">
    <cfRule type="cellIs" dxfId="965" priority="4" operator="equal">
      <formula>$AL$55</formula>
    </cfRule>
  </conditionalFormatting>
  <conditionalFormatting sqref="AL53">
    <cfRule type="cellIs" dxfId="964" priority="3" operator="notEqual">
      <formula>$AL$55</formula>
    </cfRule>
  </conditionalFormatting>
  <conditionalFormatting sqref="AM53">
    <cfRule type="cellIs" dxfId="963" priority="2" operator="equal">
      <formula>$AM$55</formula>
    </cfRule>
  </conditionalFormatting>
  <conditionalFormatting sqref="AM53">
    <cfRule type="cellIs" dxfId="962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6F779-5E18-4F7E-B86E-46905FB0D912}">
  <dimension ref="A1:AP57"/>
  <sheetViews>
    <sheetView showGridLines="0" topLeftCell="AH40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7.85546875" style="9" bestFit="1" customWidth="1"/>
    <col min="15" max="16" width="4.8554687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7.8554687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9.28515625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38" t="s">
        <v>65</v>
      </c>
      <c r="B1" s="138" t="s">
        <v>66</v>
      </c>
      <c r="C1" s="138" t="s">
        <v>67</v>
      </c>
      <c r="D1" s="138" t="s">
        <v>68</v>
      </c>
      <c r="E1" s="138" t="s">
        <v>69</v>
      </c>
      <c r="F1" s="138" t="s">
        <v>15</v>
      </c>
      <c r="G1" s="138" t="s">
        <v>71</v>
      </c>
      <c r="H1" s="138" t="s">
        <v>72</v>
      </c>
      <c r="I1" s="138" t="s">
        <v>634</v>
      </c>
      <c r="J1" s="131"/>
      <c r="L1" s="139" t="s">
        <v>654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O1" s="26"/>
      <c r="AP1" s="143" t="s">
        <v>636</v>
      </c>
    </row>
    <row r="2" spans="1:42" ht="11.25" customHeight="1" x14ac:dyDescent="0.25">
      <c r="A2" s="138"/>
      <c r="B2" s="138"/>
      <c r="C2" s="138"/>
      <c r="D2" s="138"/>
      <c r="E2" s="138"/>
      <c r="F2" s="138"/>
      <c r="G2" s="138"/>
      <c r="H2" s="138"/>
      <c r="I2" s="138"/>
      <c r="J2" s="131"/>
      <c r="L2" s="139" t="s">
        <v>533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O2" s="26"/>
      <c r="AP2" s="144"/>
    </row>
    <row r="3" spans="1:42" ht="11.25" customHeight="1" x14ac:dyDescent="0.25">
      <c r="A3" s="138"/>
      <c r="B3" s="138"/>
      <c r="C3" s="138"/>
      <c r="D3" s="138"/>
      <c r="E3" s="138"/>
      <c r="F3" s="138"/>
      <c r="G3" s="138"/>
      <c r="H3" s="138"/>
      <c r="I3" s="138"/>
      <c r="J3" s="131"/>
      <c r="L3" s="139" t="s">
        <v>534</v>
      </c>
      <c r="M3" s="139"/>
      <c r="N3" s="139"/>
      <c r="O3" s="139"/>
      <c r="P3" s="139"/>
      <c r="Q3" s="139"/>
      <c r="R3" s="139"/>
      <c r="S3" s="139"/>
      <c r="T3" s="139"/>
      <c r="U3" s="139" t="s">
        <v>543</v>
      </c>
      <c r="V3" s="139"/>
      <c r="W3" s="139"/>
      <c r="X3" s="139"/>
      <c r="Y3" s="139"/>
      <c r="Z3" s="139"/>
      <c r="AA3" s="139"/>
      <c r="AB3" s="139"/>
      <c r="AC3" s="139" t="s">
        <v>551</v>
      </c>
      <c r="AD3" s="139"/>
      <c r="AE3" s="139" t="s">
        <v>553</v>
      </c>
      <c r="AF3" s="139"/>
      <c r="AG3" s="139"/>
      <c r="AH3" s="139" t="s">
        <v>556</v>
      </c>
      <c r="AI3" s="139"/>
      <c r="AJ3" s="139"/>
      <c r="AK3" s="139"/>
      <c r="AL3" s="139"/>
      <c r="AM3" s="139" t="s">
        <v>542</v>
      </c>
      <c r="AO3" s="26"/>
      <c r="AP3" s="144"/>
    </row>
    <row r="4" spans="1:42" ht="11.25" customHeight="1" x14ac:dyDescent="0.25">
      <c r="A4" s="138"/>
      <c r="B4" s="138"/>
      <c r="C4" s="138"/>
      <c r="D4" s="138"/>
      <c r="E4" s="138"/>
      <c r="F4" s="138"/>
      <c r="G4" s="138"/>
      <c r="H4" s="138"/>
      <c r="I4" s="138"/>
      <c r="J4" s="131"/>
      <c r="L4" s="10" t="s">
        <v>619</v>
      </c>
      <c r="M4" s="10" t="s">
        <v>535</v>
      </c>
      <c r="N4" s="10" t="s">
        <v>536</v>
      </c>
      <c r="O4" s="10" t="s">
        <v>537</v>
      </c>
      <c r="P4" s="10" t="s">
        <v>538</v>
      </c>
      <c r="Q4" s="10" t="s">
        <v>539</v>
      </c>
      <c r="R4" s="10" t="s">
        <v>540</v>
      </c>
      <c r="S4" s="10" t="s">
        <v>541</v>
      </c>
      <c r="T4" s="10" t="s">
        <v>542</v>
      </c>
      <c r="U4" s="10" t="s">
        <v>544</v>
      </c>
      <c r="V4" s="10" t="s">
        <v>545</v>
      </c>
      <c r="W4" s="10" t="s">
        <v>546</v>
      </c>
      <c r="X4" s="10" t="s">
        <v>547</v>
      </c>
      <c r="Y4" s="10" t="s">
        <v>548</v>
      </c>
      <c r="Z4" s="10" t="s">
        <v>549</v>
      </c>
      <c r="AA4" s="10" t="s">
        <v>550</v>
      </c>
      <c r="AB4" s="10" t="s">
        <v>542</v>
      </c>
      <c r="AC4" s="10" t="s">
        <v>552</v>
      </c>
      <c r="AD4" s="10" t="s">
        <v>542</v>
      </c>
      <c r="AE4" s="10" t="s">
        <v>554</v>
      </c>
      <c r="AF4" s="10" t="s">
        <v>555</v>
      </c>
      <c r="AG4" s="10" t="s">
        <v>542</v>
      </c>
      <c r="AH4" s="10" t="s">
        <v>557</v>
      </c>
      <c r="AI4" s="10" t="s">
        <v>558</v>
      </c>
      <c r="AJ4" s="10" t="s">
        <v>559</v>
      </c>
      <c r="AK4" s="10" t="s">
        <v>560</v>
      </c>
      <c r="AL4" s="10" t="s">
        <v>542</v>
      </c>
      <c r="AM4" s="141"/>
      <c r="AO4" s="27" t="s">
        <v>653</v>
      </c>
      <c r="AP4" s="145"/>
    </row>
    <row r="5" spans="1:42" ht="11.25" customHeight="1" x14ac:dyDescent="0.25">
      <c r="A5" s="142" t="s">
        <v>38</v>
      </c>
      <c r="B5" s="142" t="s">
        <v>56</v>
      </c>
      <c r="C5" s="142" t="s">
        <v>25</v>
      </c>
      <c r="D5" s="142" t="s">
        <v>25</v>
      </c>
      <c r="E5" s="142" t="s">
        <v>25</v>
      </c>
      <c r="F5" s="142" t="s">
        <v>25</v>
      </c>
      <c r="G5" s="24" t="s">
        <v>81</v>
      </c>
      <c r="H5" s="24" t="s">
        <v>80</v>
      </c>
      <c r="I5" s="24">
        <f>'MERCADO TUSD'!$U$2</f>
        <v>40015</v>
      </c>
      <c r="J5" s="15"/>
      <c r="L5" s="13">
        <f>'TUSD BE'!$L$5*'TUSD BF'!$L$58</f>
        <v>0</v>
      </c>
      <c r="M5" s="13">
        <f>'TUSD BE'!$M$5*'TUSD BF'!$M$58</f>
        <v>0</v>
      </c>
      <c r="N5" s="13">
        <f ca="1">'TUSD BE'!$N$5*'TUSD BF'!$N$58</f>
        <v>0</v>
      </c>
      <c r="O5" s="13">
        <f>'TUSD BE'!$O$5*'TUSD BF'!$O$58</f>
        <v>0</v>
      </c>
      <c r="P5" s="13">
        <f>'TUSD BE'!$P$5*'TUSD BF'!$P$58</f>
        <v>0</v>
      </c>
      <c r="Q5" s="13">
        <f>'TUSD BE'!$Q$5*'TUSD BF'!$Q$58</f>
        <v>0</v>
      </c>
      <c r="R5" s="13">
        <f>'TUSD BE'!$R$5*'TUSD BF'!$R$58</f>
        <v>0</v>
      </c>
      <c r="S5" s="13">
        <f>'TUSD BE'!$R$5*'TUSD BF'!$S$58</f>
        <v>0</v>
      </c>
      <c r="T5" s="13">
        <f ca="1">SUM($L$5:$S$5)</f>
        <v>0</v>
      </c>
      <c r="U5" s="13">
        <f>'TUSD BE'!$U$5*'TUSD BF'!$U$58</f>
        <v>0</v>
      </c>
      <c r="V5" s="13">
        <f>'TUSD BE'!$V$5*'TUSD BF'!$V$58</f>
        <v>0</v>
      </c>
      <c r="W5" s="13">
        <f>'TUSD BE'!$W$5*'TUSD BF'!$W$58</f>
        <v>0</v>
      </c>
      <c r="X5" s="13">
        <f>'TUSD BE'!$X$5*'TUSD BF'!$X$58</f>
        <v>0</v>
      </c>
      <c r="Y5" s="13">
        <f>'TUSD BE'!$Y$5*'TUSD BF'!$Y$58</f>
        <v>0</v>
      </c>
      <c r="Z5" s="13">
        <f>'TUSD BE'!$Z$5*'TUSD BF'!$Z$58</f>
        <v>0</v>
      </c>
      <c r="AA5" s="13">
        <f>'TUSD BE'!$AA$5*'TUSD BF'!$AA$58</f>
        <v>0</v>
      </c>
      <c r="AB5" s="13">
        <f>SUM($U$5:$AA$5)</f>
        <v>0</v>
      </c>
      <c r="AC5" s="13">
        <f>'TUSD BE'!$AC$5*'TUSD BF'!$AC$58</f>
        <v>0</v>
      </c>
      <c r="AD5" s="13">
        <f>SUM($AC$5:$AC$5)</f>
        <v>0</v>
      </c>
      <c r="AE5" s="13">
        <f ca="1">$AO$5*$AO$55</f>
        <v>0</v>
      </c>
      <c r="AF5" s="13">
        <f ca="1">$AP$5*$AP$55</f>
        <v>0</v>
      </c>
      <c r="AG5" s="13">
        <f ca="1">SUM($AE$5:$AF$5)</f>
        <v>0</v>
      </c>
      <c r="AH5" s="13">
        <f>'TUSD BE'!$AH$5*'TUSD BF'!$AH$58</f>
        <v>0</v>
      </c>
      <c r="AI5" s="13">
        <f>'TUSD BE'!$AI$5*'TUSD BF'!$AI$58</f>
        <v>0</v>
      </c>
      <c r="AJ5" s="13">
        <f ca="1">'TUSD BE'!$AJ$5*'TUSD BF'!$AJ$58</f>
        <v>0</v>
      </c>
      <c r="AK5" s="13">
        <f ca="1">'TUSD BE'!$AK$5*'TUSD BF'!$AK$58</f>
        <v>0</v>
      </c>
      <c r="AL5" s="13">
        <f ca="1">SUM($AH$5:$AK$5)</f>
        <v>0</v>
      </c>
      <c r="AM5" s="13">
        <f ca="1">SUMIF($L$4:$AL$4,"SUBTOTAL",$L$5:$AL$5)</f>
        <v>0</v>
      </c>
      <c r="AO5" s="26">
        <f ca="1">+'TUSD BE'!$T$5+'TUSD BE'!$AB$5+'TUSD BE'!$AD$5+'TUSD BE'!$AL$5</f>
        <v>54.633505118866097</v>
      </c>
      <c r="AP5" s="26">
        <f ca="1">+'TUSD BE'!$T$5+'TUSD BE'!$AB$5+'TUSD BE'!$AD$5+'TUSD BE'!$AL$5</f>
        <v>54.633505118866097</v>
      </c>
    </row>
    <row r="6" spans="1:42" ht="11.25" customHeight="1" x14ac:dyDescent="0.25">
      <c r="A6" s="142"/>
      <c r="B6" s="142"/>
      <c r="C6" s="142"/>
      <c r="D6" s="142"/>
      <c r="E6" s="142"/>
      <c r="F6" s="142"/>
      <c r="G6" s="24" t="s">
        <v>82</v>
      </c>
      <c r="H6" s="24" t="s">
        <v>80</v>
      </c>
      <c r="I6" s="24">
        <f>'MERCADO TUSD'!$U$3</f>
        <v>87299</v>
      </c>
      <c r="J6" s="15"/>
      <c r="L6" s="13">
        <f>'TUSD BE'!$L$6*'TUSD BF'!$L$58</f>
        <v>0</v>
      </c>
      <c r="M6" s="13">
        <f>'TUSD BE'!$M$6*'TUSD BF'!$M$58</f>
        <v>0</v>
      </c>
      <c r="N6" s="13">
        <f ca="1">'TUSD BE'!$N$6*'TUSD BF'!$N$58</f>
        <v>0</v>
      </c>
      <c r="O6" s="13">
        <f>'TUSD BE'!$O$6*'TUSD BF'!$O$58</f>
        <v>0</v>
      </c>
      <c r="P6" s="13">
        <f>'TUSD BE'!$P$6*'TUSD BF'!$P$58</f>
        <v>0</v>
      </c>
      <c r="Q6" s="13">
        <f>'TUSD BE'!$Q$6*'TUSD BF'!$Q$58</f>
        <v>0</v>
      </c>
      <c r="R6" s="13">
        <f>'TUSD BE'!$R$6*'TUSD BF'!$R$58</f>
        <v>0</v>
      </c>
      <c r="S6" s="13">
        <f>'TUSD BE'!$R$6*'TUSD BF'!$S$58</f>
        <v>0</v>
      </c>
      <c r="T6" s="13">
        <f ca="1">SUM($L$6:$S$6)</f>
        <v>0</v>
      </c>
      <c r="U6" s="13">
        <f>'TUSD BE'!$U$6*'TUSD BF'!$U$58</f>
        <v>0</v>
      </c>
      <c r="V6" s="13">
        <f>'TUSD BE'!$V$6*'TUSD BF'!$V$58</f>
        <v>0</v>
      </c>
      <c r="W6" s="13">
        <f>'TUSD BE'!$W$6*'TUSD BF'!$W$58</f>
        <v>0</v>
      </c>
      <c r="X6" s="13">
        <f>'TUSD BE'!$X$6*'TUSD BF'!$X$58</f>
        <v>0</v>
      </c>
      <c r="Y6" s="13">
        <f>'TUSD BE'!$Y$6*'TUSD BF'!$Y$58</f>
        <v>0</v>
      </c>
      <c r="Z6" s="13">
        <f>'TUSD BE'!$Z$6*'TUSD BF'!$Z$58</f>
        <v>0</v>
      </c>
      <c r="AA6" s="13">
        <f>'TUSD BE'!$AA$6*'TUSD BF'!$AA$58</f>
        <v>0</v>
      </c>
      <c r="AB6" s="13">
        <f>SUM($U$6:$AA$6)</f>
        <v>0</v>
      </c>
      <c r="AC6" s="13">
        <f>'TUSD BE'!$AC$6*'TUSD BF'!$AC$58</f>
        <v>0</v>
      </c>
      <c r="AD6" s="13">
        <f>SUM($AC$6:$AC$6)</f>
        <v>0</v>
      </c>
      <c r="AE6" s="13">
        <f ca="1">$AO$6*$AO$55</f>
        <v>0</v>
      </c>
      <c r="AF6" s="13">
        <f ca="1">$AP$6*$AP$55</f>
        <v>0</v>
      </c>
      <c r="AG6" s="13">
        <f ca="1">SUM($AE$6:$AF$6)</f>
        <v>0</v>
      </c>
      <c r="AH6" s="13">
        <f>'TUSD BE'!$AH$6*'TUSD BF'!$AH$58</f>
        <v>0</v>
      </c>
      <c r="AI6" s="13">
        <f>'TUSD BE'!$AI$6*'TUSD BF'!$AI$58</f>
        <v>0</v>
      </c>
      <c r="AJ6" s="13">
        <f ca="1">'TUSD BE'!$AJ$6*'TUSD BF'!$AJ$58</f>
        <v>0</v>
      </c>
      <c r="AK6" s="13">
        <f ca="1">'TUSD BE'!$AK$6*'TUSD BF'!$AK$58</f>
        <v>0</v>
      </c>
      <c r="AL6" s="13">
        <f ca="1">SUM($AH$6:$AK$6)</f>
        <v>0</v>
      </c>
      <c r="AM6" s="13">
        <f ca="1">SUMIF($L$4:$AL$4,"SUBTOTAL",$L$6:$AL$6)</f>
        <v>0</v>
      </c>
      <c r="AO6" s="26">
        <f ca="1">+'TUSD BE'!$T$6+'TUSD BE'!$AB$6+'TUSD BE'!$AD$6+'TUSD BE'!$AL$6</f>
        <v>18.742492961307867</v>
      </c>
      <c r="AP6" s="26">
        <f ca="1">+'TUSD BE'!$T$6+'TUSD BE'!$AB$6+'TUSD BE'!$AD$6+'TUSD BE'!$AL$6</f>
        <v>18.742492961307867</v>
      </c>
    </row>
    <row r="7" spans="1:42" ht="11.25" customHeight="1" x14ac:dyDescent="0.25">
      <c r="A7" s="142"/>
      <c r="B7" s="142"/>
      <c r="C7" s="142"/>
      <c r="D7" s="142"/>
      <c r="E7" s="142"/>
      <c r="F7" s="142"/>
      <c r="G7" s="24" t="s">
        <v>79</v>
      </c>
      <c r="H7" s="24" t="s">
        <v>75</v>
      </c>
      <c r="I7" s="24">
        <f>'MERCADO TUSD'!$U$4</f>
        <v>40556.964</v>
      </c>
      <c r="J7" s="15"/>
      <c r="L7" s="13">
        <f>'TUSD BE'!$L$7*'TUSD BF'!$L$58</f>
        <v>0</v>
      </c>
      <c r="M7" s="13">
        <f>'TUSD BE'!$M$7*'TUSD BF'!$M$58</f>
        <v>0</v>
      </c>
      <c r="N7" s="13">
        <f ca="1">'TUSD BE'!$N$7*'TUSD BF'!$N$58</f>
        <v>0</v>
      </c>
      <c r="O7" s="13">
        <f>'TUSD BE'!$O$7*'TUSD BF'!$O$58</f>
        <v>0</v>
      </c>
      <c r="P7" s="13">
        <f>'TUSD BE'!$P$7*'TUSD BF'!$P$58</f>
        <v>0</v>
      </c>
      <c r="Q7" s="13">
        <f>'TUSD BE'!$Q$7*'TUSD BF'!$Q$58</f>
        <v>12.697257211893202</v>
      </c>
      <c r="R7" s="13">
        <f>'TUSD BE'!$R$7*'TUSD BF'!$R$58</f>
        <v>3.8674263187489499</v>
      </c>
      <c r="S7" s="13">
        <f>'TUSD BE'!$R$7*'TUSD BF'!$S$58</f>
        <v>0</v>
      </c>
      <c r="T7" s="13">
        <f ca="1">SUM($L$7:$S$7)</f>
        <v>16.564683530642153</v>
      </c>
      <c r="U7" s="13">
        <f>'TUSD BE'!$U$7*'TUSD BF'!$U$58</f>
        <v>0</v>
      </c>
      <c r="V7" s="13">
        <f>'TUSD BE'!$V$7*'TUSD BF'!$V$58</f>
        <v>0</v>
      </c>
      <c r="W7" s="13">
        <f>'TUSD BE'!$W$7*'TUSD BF'!$W$58</f>
        <v>0</v>
      </c>
      <c r="X7" s="13">
        <f>'TUSD BE'!$X$7*'TUSD BF'!$X$58</f>
        <v>0</v>
      </c>
      <c r="Y7" s="13">
        <f>'TUSD BE'!$Y$7*'TUSD BF'!$Y$58</f>
        <v>0</v>
      </c>
      <c r="Z7" s="13">
        <f>'TUSD BE'!$Z$7*'TUSD BF'!$Z$58</f>
        <v>0</v>
      </c>
      <c r="AA7" s="13">
        <f>'TUSD BE'!$AA$7*'TUSD BF'!$AA$58</f>
        <v>0</v>
      </c>
      <c r="AB7" s="13">
        <f>SUM($U$7:$AA$7)</f>
        <v>0</v>
      </c>
      <c r="AC7" s="13">
        <f>'TUSD BE'!$AC$7*'TUSD BF'!$AC$58</f>
        <v>0</v>
      </c>
      <c r="AD7" s="13">
        <f>SUM($AC$7:$AC$7)</f>
        <v>0</v>
      </c>
      <c r="AE7" s="13">
        <f ca="1">$AO$7*$AO$55</f>
        <v>0</v>
      </c>
      <c r="AF7" s="13">
        <f ca="1">$AP$7*$AP$55</f>
        <v>0</v>
      </c>
      <c r="AG7" s="13">
        <f ca="1">SUM($AE$7:$AF$7)</f>
        <v>0</v>
      </c>
      <c r="AH7" s="13">
        <f>'TUSD BE'!$AH$7*'TUSD BF'!$AH$58</f>
        <v>0.41034314841640107</v>
      </c>
      <c r="AI7" s="13">
        <f>'TUSD BE'!$AI$7*'TUSD BF'!$AI$58</f>
        <v>1.4078211250935729E-2</v>
      </c>
      <c r="AJ7" s="13">
        <f ca="1">'TUSD BE'!$AJ$7*'TUSD BF'!$AJ$58</f>
        <v>0.2799061161532167</v>
      </c>
      <c r="AK7" s="13">
        <f ca="1">'TUSD BE'!$AK$7*'TUSD BF'!$AK$58</f>
        <v>0</v>
      </c>
      <c r="AL7" s="13">
        <f ca="1">SUM($AH$7:$AK$7)</f>
        <v>0.70432747582055355</v>
      </c>
      <c r="AM7" s="13">
        <f ca="1">SUMIF($L$4:$AL$4,"SUBTOTAL",$L$7:$AL$7)</f>
        <v>17.269011006462705</v>
      </c>
      <c r="AO7" s="26">
        <f ca="1">+'TUSD BE'!$T$7+'TUSD BE'!$AB$7+'TUSD BE'!$AD$7+'TUSD BE'!$AL$7</f>
        <v>93.597253278756099</v>
      </c>
      <c r="AP7" s="26">
        <f ca="1">+'TUSD BE'!$T$7+'TUSD BE'!$AB$7+'TUSD BE'!$AD$7+'TUSD BE'!$AL$7</f>
        <v>93.597253278756099</v>
      </c>
    </row>
    <row r="8" spans="1:42" ht="11.25" customHeight="1" x14ac:dyDescent="0.25">
      <c r="A8" s="142"/>
      <c r="B8" s="142"/>
      <c r="C8" s="142"/>
      <c r="D8" s="142"/>
      <c r="E8" s="23" t="s">
        <v>83</v>
      </c>
      <c r="F8" s="23" t="s">
        <v>25</v>
      </c>
      <c r="G8" s="24" t="s">
        <v>79</v>
      </c>
      <c r="H8" s="24" t="s">
        <v>75</v>
      </c>
      <c r="I8" s="24">
        <f>'MERCADO TUSD'!$U$5</f>
        <v>0</v>
      </c>
      <c r="J8" s="15"/>
      <c r="L8" s="13">
        <f>'TUSD BE'!$L$8*'TUSD BF'!$L$58</f>
        <v>0</v>
      </c>
      <c r="M8" s="13">
        <f>'TUSD BE'!$M$8*'TUSD BF'!$M$58</f>
        <v>0</v>
      </c>
      <c r="N8" s="13">
        <f ca="1">'TUSD BE'!$N$8*'TUSD BF'!$N$58</f>
        <v>0</v>
      </c>
      <c r="O8" s="13">
        <f>'TUSD BE'!$O$8*'TUSD BF'!$O$58</f>
        <v>0</v>
      </c>
      <c r="P8" s="13">
        <f>'TUSD BE'!$P$8*'TUSD BF'!$P$58</f>
        <v>0</v>
      </c>
      <c r="Q8" s="13">
        <f>'TUSD BE'!$Q$8*'TUSD BF'!$Q$58</f>
        <v>0</v>
      </c>
      <c r="R8" s="13">
        <f>'TUSD BE'!$R$8*'TUSD BF'!$R$58</f>
        <v>0</v>
      </c>
      <c r="S8" s="13">
        <f>'TUSD BE'!$R$8*'TUSD BF'!$S$58</f>
        <v>0</v>
      </c>
      <c r="T8" s="13">
        <f ca="1">SUM($L$8:$S$8)</f>
        <v>0</v>
      </c>
      <c r="U8" s="13">
        <f>'TUSD BE'!$U$8*'TUSD BF'!$U$58</f>
        <v>0</v>
      </c>
      <c r="V8" s="13">
        <f>'TUSD BE'!$V$8*'TUSD BF'!$V$58</f>
        <v>0</v>
      </c>
      <c r="W8" s="13">
        <f>'TUSD BE'!$W$8*'TUSD BF'!$W$58</f>
        <v>0</v>
      </c>
      <c r="X8" s="13">
        <f>'TUSD BE'!$X$8*'TUSD BF'!$X$58</f>
        <v>0</v>
      </c>
      <c r="Y8" s="13">
        <f>'TUSD BE'!$Y$8*'TUSD BF'!$Y$58</f>
        <v>0</v>
      </c>
      <c r="Z8" s="13">
        <f>'TUSD BE'!$Z$8*'TUSD BF'!$Z$58</f>
        <v>0</v>
      </c>
      <c r="AA8" s="13">
        <f>'TUSD BE'!$AA$8*'TUSD BF'!$AA$58</f>
        <v>0</v>
      </c>
      <c r="AB8" s="13">
        <f>SUM($U$8:$AA$8)</f>
        <v>0</v>
      </c>
      <c r="AC8" s="13">
        <f>'TUSD BE'!$AC$8*'TUSD BF'!$AC$58</f>
        <v>0</v>
      </c>
      <c r="AD8" s="13">
        <f>SUM($AC$8:$AC$8)</f>
        <v>0</v>
      </c>
      <c r="AE8" s="13">
        <f ca="1">$AO$8*$AO$55</f>
        <v>0</v>
      </c>
      <c r="AF8" s="13">
        <f ca="1">$AP$8*$AP$55</f>
        <v>0</v>
      </c>
      <c r="AG8" s="13">
        <f ca="1">SUM($AE$8:$AF$8)</f>
        <v>0</v>
      </c>
      <c r="AH8" s="13">
        <f>'TUSD BE'!$AH$8*'TUSD BF'!$AH$58</f>
        <v>0.41034314841640107</v>
      </c>
      <c r="AI8" s="13">
        <f>'TUSD BE'!$AI$8*'TUSD BF'!$AI$58</f>
        <v>1.4078211250935729E-2</v>
      </c>
      <c r="AJ8" s="13">
        <f ca="1">'TUSD BE'!$AJ$8*'TUSD BF'!$AJ$58</f>
        <v>0.2799061161532167</v>
      </c>
      <c r="AK8" s="13">
        <f ca="1">'TUSD BE'!$AK$8*'TUSD BF'!$AK$58</f>
        <v>0</v>
      </c>
      <c r="AL8" s="13">
        <f ca="1">SUM($AH$8:$AK$8)</f>
        <v>0.70432747582055355</v>
      </c>
      <c r="AM8" s="13">
        <f ca="1">SUMIF($L$4:$AL$4,"SUBTOTAL",$L$8:$AL$8)</f>
        <v>0.70432747582055355</v>
      </c>
      <c r="AO8" s="26">
        <f ca="1">+'TUSD BE'!$T$8+'TUSD BE'!$AB$8+'TUSD BE'!$AD$8+'TUSD BE'!$AL$8</f>
        <v>4.5805038516322689</v>
      </c>
      <c r="AP8" s="26">
        <f ca="1">+'TUSD BE'!$T$8+'TUSD BE'!$AB$8+'TUSD BE'!$AD$8+'TUSD BE'!$AL$8</f>
        <v>4.5805038516322689</v>
      </c>
    </row>
    <row r="9" spans="1:42" ht="11.25" customHeight="1" x14ac:dyDescent="0.25">
      <c r="A9" s="142"/>
      <c r="B9" s="23" t="s">
        <v>84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80</v>
      </c>
      <c r="I9" s="24">
        <f>'MERCADO TUSD'!$U$6</f>
        <v>0</v>
      </c>
      <c r="J9" s="15"/>
      <c r="L9" s="13">
        <f>'TUSD BE'!$L$9*'TUSD BF'!$L$58</f>
        <v>0</v>
      </c>
      <c r="M9" s="13">
        <f>'TUSD BE'!$M$9*'TUSD BF'!$M$58</f>
        <v>0</v>
      </c>
      <c r="N9" s="13">
        <f ca="1">'TUSD BE'!$N$9*'TUSD BF'!$N$58</f>
        <v>0</v>
      </c>
      <c r="O9" s="13">
        <f>'TUSD BE'!$O$9*'TUSD BF'!$O$58</f>
        <v>0</v>
      </c>
      <c r="P9" s="13">
        <f>'TUSD BE'!$P$9*'TUSD BF'!$P$58</f>
        <v>0</v>
      </c>
      <c r="Q9" s="13">
        <f>'TUSD BE'!$Q$9*'TUSD BF'!$Q$58</f>
        <v>0</v>
      </c>
      <c r="R9" s="13">
        <f>'TUSD BE'!$R$9*'TUSD BF'!$R$58</f>
        <v>0</v>
      </c>
      <c r="S9" s="13">
        <f>'TUSD BE'!$R$9*'TUSD BF'!$S$58</f>
        <v>0</v>
      </c>
      <c r="T9" s="13">
        <f ca="1">SUM($L$9:$S$9)</f>
        <v>0</v>
      </c>
      <c r="U9" s="13">
        <f>'TUSD BE'!$U$9*'TUSD BF'!$U$58</f>
        <v>0</v>
      </c>
      <c r="V9" s="13">
        <f>'TUSD BE'!$V$9*'TUSD BF'!$V$58</f>
        <v>0</v>
      </c>
      <c r="W9" s="13">
        <f>'TUSD BE'!$W$9*'TUSD BF'!$W$58</f>
        <v>0</v>
      </c>
      <c r="X9" s="13">
        <f>'TUSD BE'!$X$9*'TUSD BF'!$X$58</f>
        <v>0</v>
      </c>
      <c r="Y9" s="13">
        <f>'TUSD BE'!$Y$9*'TUSD BF'!$Y$58</f>
        <v>0</v>
      </c>
      <c r="Z9" s="13">
        <f>'TUSD BE'!$Z$9*'TUSD BF'!$Z$58</f>
        <v>0</v>
      </c>
      <c r="AA9" s="13">
        <f>'TUSD BE'!$AA$9*'TUSD BF'!$AA$58</f>
        <v>0</v>
      </c>
      <c r="AB9" s="13">
        <f>SUM($U$9:$AA$9)</f>
        <v>0</v>
      </c>
      <c r="AC9" s="13">
        <f>'TUSD BE'!$AC$9*'TUSD BF'!$AC$58</f>
        <v>0</v>
      </c>
      <c r="AD9" s="13">
        <f>SUM($AC$9:$AC$9)</f>
        <v>0</v>
      </c>
      <c r="AE9" s="13">
        <f ca="1">$AO$9*$AO$55</f>
        <v>0</v>
      </c>
      <c r="AF9" s="13">
        <f ca="1">$AP$9*$AP$55</f>
        <v>0</v>
      </c>
      <c r="AG9" s="13">
        <f ca="1">SUM($AE$9:$AF$9)</f>
        <v>0</v>
      </c>
      <c r="AH9" s="13">
        <f>'TUSD BE'!$AH$9*'TUSD BF'!$AH$58</f>
        <v>0</v>
      </c>
      <c r="AI9" s="13">
        <f>'TUSD BE'!$AI$9*'TUSD BF'!$AI$58</f>
        <v>0</v>
      </c>
      <c r="AJ9" s="13">
        <f ca="1">'TUSD BE'!$AJ$9*'TUSD BF'!$AJ$58</f>
        <v>0</v>
      </c>
      <c r="AK9" s="13">
        <f ca="1">'TUSD BE'!$AK$9*'TUSD BF'!$AK$58</f>
        <v>0</v>
      </c>
      <c r="AL9" s="13">
        <f ca="1">SUM($AH$9:$AK$9)</f>
        <v>0</v>
      </c>
      <c r="AM9" s="13">
        <f ca="1">SUMIF($L$4:$AL$4,"SUBTOTAL",$L$9:$AL$9)</f>
        <v>0</v>
      </c>
      <c r="AO9" s="26">
        <f ca="1">+'TUSD BE'!$T$9+'TUSD BE'!$AB$9+'TUSD BE'!$AD$9+'TUSD BE'!$AL$9</f>
        <v>7.3770248116496751</v>
      </c>
      <c r="AP9" s="26">
        <f ca="1">+'TUSD BE'!$T$9+'TUSD BE'!$AB$9+'TUSD BE'!$AD$9+'TUSD BE'!$AL$9</f>
        <v>7.3770248116496751</v>
      </c>
    </row>
    <row r="10" spans="1:42" ht="11.25" customHeight="1" x14ac:dyDescent="0.25">
      <c r="A10" s="142"/>
      <c r="B10" s="142" t="s">
        <v>39</v>
      </c>
      <c r="C10" s="142" t="s">
        <v>25</v>
      </c>
      <c r="D10" s="142" t="s">
        <v>25</v>
      </c>
      <c r="E10" s="142" t="s">
        <v>25</v>
      </c>
      <c r="F10" s="142" t="s">
        <v>25</v>
      </c>
      <c r="G10" s="24" t="s">
        <v>9</v>
      </c>
      <c r="H10" s="24" t="s">
        <v>80</v>
      </c>
      <c r="I10" s="24">
        <f>'MERCADO TUSD'!$U$7</f>
        <v>37121</v>
      </c>
      <c r="J10" s="15"/>
      <c r="L10" s="13">
        <f>'TUSD BE'!$L$10*'TUSD BF'!$L$58</f>
        <v>0</v>
      </c>
      <c r="M10" s="13">
        <f>'TUSD BE'!$M$10*'TUSD BF'!$M$58</f>
        <v>0</v>
      </c>
      <c r="N10" s="13">
        <f ca="1">'TUSD BE'!$N$10*'TUSD BF'!$N$58</f>
        <v>0</v>
      </c>
      <c r="O10" s="13">
        <f>'TUSD BE'!$O$10*'TUSD BF'!$O$58</f>
        <v>0</v>
      </c>
      <c r="P10" s="13">
        <f>'TUSD BE'!$P$10*'TUSD BF'!$P$58</f>
        <v>0</v>
      </c>
      <c r="Q10" s="13">
        <f>'TUSD BE'!$Q$10*'TUSD BF'!$Q$58</f>
        <v>0</v>
      </c>
      <c r="R10" s="13">
        <f>'TUSD BE'!$R$10*'TUSD BF'!$R$58</f>
        <v>0</v>
      </c>
      <c r="S10" s="13">
        <f>'TUSD BE'!$R$10*'TUSD BF'!$S$58</f>
        <v>0</v>
      </c>
      <c r="T10" s="13">
        <f ca="1">SUM($L$10:$S$10)</f>
        <v>0</v>
      </c>
      <c r="U10" s="13">
        <f>'TUSD BE'!$U$10*'TUSD BF'!$U$58</f>
        <v>0</v>
      </c>
      <c r="V10" s="13">
        <f>'TUSD BE'!$V$10*'TUSD BF'!$V$58</f>
        <v>0</v>
      </c>
      <c r="W10" s="13">
        <f>'TUSD BE'!$W$10*'TUSD BF'!$W$58</f>
        <v>0</v>
      </c>
      <c r="X10" s="13">
        <f>'TUSD BE'!$X$10*'TUSD BF'!$X$58</f>
        <v>0</v>
      </c>
      <c r="Y10" s="13">
        <f>'TUSD BE'!$Y$10*'TUSD BF'!$Y$58</f>
        <v>0</v>
      </c>
      <c r="Z10" s="13">
        <f>'TUSD BE'!$Z$10*'TUSD BF'!$Z$58</f>
        <v>0</v>
      </c>
      <c r="AA10" s="13">
        <f>'TUSD BE'!$AA$10*'TUSD BF'!$AA$58</f>
        <v>0</v>
      </c>
      <c r="AB10" s="13">
        <f>SUM($U$10:$AA$10)</f>
        <v>0</v>
      </c>
      <c r="AC10" s="13">
        <f>'TUSD BE'!$AC$10*'TUSD BF'!$AC$58</f>
        <v>0</v>
      </c>
      <c r="AD10" s="13">
        <f>SUM($AC$10:$AC$10)</f>
        <v>0</v>
      </c>
      <c r="AE10" s="13">
        <f ca="1">$AO$10*$AO$55</f>
        <v>0</v>
      </c>
      <c r="AF10" s="13">
        <f ca="1">$AP$10*$AP$55</f>
        <v>0</v>
      </c>
      <c r="AG10" s="13">
        <f ca="1">SUM($AE$10:$AF$10)</f>
        <v>0</v>
      </c>
      <c r="AH10" s="13">
        <f>'TUSD BE'!$AH$10*'TUSD BF'!$AH$58</f>
        <v>0</v>
      </c>
      <c r="AI10" s="13">
        <f>'TUSD BE'!$AI$10*'TUSD BF'!$AI$58</f>
        <v>0</v>
      </c>
      <c r="AJ10" s="13">
        <f ca="1">'TUSD BE'!$AJ$10*'TUSD BF'!$AJ$58</f>
        <v>0</v>
      </c>
      <c r="AK10" s="13">
        <f ca="1">'TUSD BE'!$AK$10*'TUSD BF'!$AK$58</f>
        <v>0</v>
      </c>
      <c r="AL10" s="13">
        <f ca="1">SUM($AH$10:$AK$10)</f>
        <v>0</v>
      </c>
      <c r="AM10" s="13">
        <f ca="1">SUMIF($L$4:$AL$4,"SUBTOTAL",$L$10:$AL$10)</f>
        <v>0</v>
      </c>
      <c r="AO10" s="26">
        <f ca="1">+'TUSD BE'!$T$10+'TUSD BE'!$AB$10+'TUSD BE'!$AD$10+'TUSD BE'!$AL$10</f>
        <v>18.742492961307867</v>
      </c>
      <c r="AP10" s="26">
        <f ca="1">+'TUSD BE'!$T$10+'TUSD BE'!$AB$10+'TUSD BE'!$AD$10+'TUSD BE'!$AL$10</f>
        <v>18.742492961307867</v>
      </c>
    </row>
    <row r="11" spans="1:42" ht="11.25" customHeight="1" x14ac:dyDescent="0.25">
      <c r="A11" s="142"/>
      <c r="B11" s="142"/>
      <c r="C11" s="142"/>
      <c r="D11" s="142"/>
      <c r="E11" s="142"/>
      <c r="F11" s="142"/>
      <c r="G11" s="24" t="s">
        <v>76</v>
      </c>
      <c r="H11" s="24" t="s">
        <v>75</v>
      </c>
      <c r="I11" s="24">
        <f>'MERCADO TUSD'!$U$8</f>
        <v>280.50399999999996</v>
      </c>
      <c r="J11" s="15"/>
      <c r="L11" s="13">
        <f>'TUSD BE'!$L$11*'TUSD BF'!$L$58</f>
        <v>0</v>
      </c>
      <c r="M11" s="13">
        <f>'TUSD BE'!$M$11*'TUSD BF'!$M$58</f>
        <v>0</v>
      </c>
      <c r="N11" s="13">
        <f ca="1">'TUSD BE'!$N$11*'TUSD BF'!$N$58</f>
        <v>0</v>
      </c>
      <c r="O11" s="13">
        <f>'TUSD BE'!$O$11*'TUSD BF'!$O$58</f>
        <v>0</v>
      </c>
      <c r="P11" s="13">
        <f>'TUSD BE'!$P$11*'TUSD BF'!$P$58</f>
        <v>0</v>
      </c>
      <c r="Q11" s="13">
        <f>'TUSD BE'!$Q$11*'TUSD BF'!$Q$58</f>
        <v>12.697257211893202</v>
      </c>
      <c r="R11" s="13">
        <f>'TUSD BE'!$R$11*'TUSD BF'!$R$58</f>
        <v>3.8674263187489499</v>
      </c>
      <c r="S11" s="13">
        <f>'TUSD BE'!$R$11*'TUSD BF'!$S$58</f>
        <v>0</v>
      </c>
      <c r="T11" s="13">
        <f ca="1">SUM($L$11:$S$11)</f>
        <v>16.564683530642153</v>
      </c>
      <c r="U11" s="13">
        <f>'TUSD BE'!$U$11*'TUSD BF'!$U$58</f>
        <v>0</v>
      </c>
      <c r="V11" s="13">
        <f>'TUSD BE'!$V$11*'TUSD BF'!$V$58</f>
        <v>0</v>
      </c>
      <c r="W11" s="13">
        <f>'TUSD BE'!$W$11*'TUSD BF'!$W$58</f>
        <v>0</v>
      </c>
      <c r="X11" s="13">
        <f>'TUSD BE'!$X$11*'TUSD BF'!$X$58</f>
        <v>0</v>
      </c>
      <c r="Y11" s="13">
        <f>'TUSD BE'!$Y$11*'TUSD BF'!$Y$58</f>
        <v>0</v>
      </c>
      <c r="Z11" s="13">
        <f>'TUSD BE'!$Z$11*'TUSD BF'!$Z$58</f>
        <v>0</v>
      </c>
      <c r="AA11" s="13">
        <f>'TUSD BE'!$AA$11*'TUSD BF'!$AA$58</f>
        <v>0</v>
      </c>
      <c r="AB11" s="13">
        <f>SUM($U$11:$AA$11)</f>
        <v>0</v>
      </c>
      <c r="AC11" s="13">
        <f>'TUSD BE'!$AC$11*'TUSD BF'!$AC$58</f>
        <v>0</v>
      </c>
      <c r="AD11" s="13">
        <f>SUM($AC$11:$AC$11)</f>
        <v>0</v>
      </c>
      <c r="AE11" s="13">
        <f ca="1">$AO$11*$AO$55</f>
        <v>0</v>
      </c>
      <c r="AF11" s="13">
        <f ca="1">$AP$11*$AP$55</f>
        <v>0</v>
      </c>
      <c r="AG11" s="13">
        <f ca="1">SUM($AE$11:$AF$11)</f>
        <v>0</v>
      </c>
      <c r="AH11" s="13">
        <f>'TUSD BE'!$AH$11*'TUSD BF'!$AH$58</f>
        <v>0.41034314841640107</v>
      </c>
      <c r="AI11" s="13">
        <f>'TUSD BE'!$AI$11*'TUSD BF'!$AI$58</f>
        <v>1.4078211250935729E-2</v>
      </c>
      <c r="AJ11" s="13">
        <f ca="1">'TUSD BE'!$AJ$11*'TUSD BF'!$AJ$58</f>
        <v>0.2799061161532167</v>
      </c>
      <c r="AK11" s="13">
        <f ca="1">'TUSD BE'!$AK$11*'TUSD BF'!$AK$58</f>
        <v>0</v>
      </c>
      <c r="AL11" s="13">
        <f ca="1">SUM($AH$11:$AK$11)</f>
        <v>0.70432747582055355</v>
      </c>
      <c r="AM11" s="13">
        <f ca="1">SUMIF($L$4:$AL$4,"SUBTOTAL",$L$11:$AL$11)</f>
        <v>17.269011006462705</v>
      </c>
      <c r="AO11" s="26">
        <f ca="1">+'TUSD BE'!$T$11+'TUSD BE'!$AB$11+'TUSD BE'!$AD$11+'TUSD BE'!$AL$11</f>
        <v>1419.2260886342651</v>
      </c>
      <c r="AP11" s="26">
        <f ca="1">+'TUSD BE'!$T$11+'TUSD BE'!$AB$11+'TUSD BE'!$AD$11+'TUSD BE'!$AL$11</f>
        <v>1419.2260886342651</v>
      </c>
    </row>
    <row r="12" spans="1:42" ht="11.25" customHeight="1" x14ac:dyDescent="0.25">
      <c r="A12" s="142"/>
      <c r="B12" s="142"/>
      <c r="C12" s="142"/>
      <c r="D12" s="142"/>
      <c r="E12" s="142"/>
      <c r="F12" s="142"/>
      <c r="G12" s="24" t="s">
        <v>77</v>
      </c>
      <c r="H12" s="24" t="s">
        <v>75</v>
      </c>
      <c r="I12" s="24">
        <f>'MERCADO TUSD'!$U$9</f>
        <v>7558.6610000000001</v>
      </c>
      <c r="J12" s="15"/>
      <c r="L12" s="13">
        <f>'TUSD BE'!$L$12*'TUSD BF'!$L$58</f>
        <v>0</v>
      </c>
      <c r="M12" s="13">
        <f>'TUSD BE'!$M$12*'TUSD BF'!$M$58</f>
        <v>0</v>
      </c>
      <c r="N12" s="13">
        <f ca="1">'TUSD BE'!$N$12*'TUSD BF'!$N$58</f>
        <v>0</v>
      </c>
      <c r="O12" s="13">
        <f>'TUSD BE'!$O$12*'TUSD BF'!$O$58</f>
        <v>0</v>
      </c>
      <c r="P12" s="13">
        <f>'TUSD BE'!$P$12*'TUSD BF'!$P$58</f>
        <v>0</v>
      </c>
      <c r="Q12" s="13">
        <f>'TUSD BE'!$Q$12*'TUSD BF'!$Q$58</f>
        <v>12.697257211893202</v>
      </c>
      <c r="R12" s="13">
        <f>'TUSD BE'!$R$12*'TUSD BF'!$R$58</f>
        <v>3.8674263187489499</v>
      </c>
      <c r="S12" s="13">
        <f>'TUSD BE'!$R$12*'TUSD BF'!$S$58</f>
        <v>0</v>
      </c>
      <c r="T12" s="13">
        <f ca="1">SUM($L$12:$S$12)</f>
        <v>16.564683530642153</v>
      </c>
      <c r="U12" s="13">
        <f>'TUSD BE'!$U$12*'TUSD BF'!$U$58</f>
        <v>0</v>
      </c>
      <c r="V12" s="13">
        <f>'TUSD BE'!$V$12*'TUSD BF'!$V$58</f>
        <v>0</v>
      </c>
      <c r="W12" s="13">
        <f>'TUSD BE'!$W$12*'TUSD BF'!$W$58</f>
        <v>0</v>
      </c>
      <c r="X12" s="13">
        <f>'TUSD BE'!$X$12*'TUSD BF'!$X$58</f>
        <v>0</v>
      </c>
      <c r="Y12" s="13">
        <f>'TUSD BE'!$Y$12*'TUSD BF'!$Y$58</f>
        <v>0</v>
      </c>
      <c r="Z12" s="13">
        <f>'TUSD BE'!$Z$12*'TUSD BF'!$Z$58</f>
        <v>0</v>
      </c>
      <c r="AA12" s="13">
        <f>'TUSD BE'!$AA$12*'TUSD BF'!$AA$58</f>
        <v>0</v>
      </c>
      <c r="AB12" s="13">
        <f>SUM($U$12:$AA$12)</f>
        <v>0</v>
      </c>
      <c r="AC12" s="13">
        <f>'TUSD BE'!$AC$12*'TUSD BF'!$AC$58</f>
        <v>0</v>
      </c>
      <c r="AD12" s="13">
        <f>SUM($AC$12:$AC$12)</f>
        <v>0</v>
      </c>
      <c r="AE12" s="13">
        <f ca="1">$AO$12*$AO$55</f>
        <v>0</v>
      </c>
      <c r="AF12" s="13">
        <f ca="1">$AP$12*$AP$55</f>
        <v>0</v>
      </c>
      <c r="AG12" s="13">
        <f ca="1">SUM($AE$12:$AF$12)</f>
        <v>0</v>
      </c>
      <c r="AH12" s="13">
        <f>'TUSD BE'!$AH$12*'TUSD BF'!$AH$58</f>
        <v>0.41034314841640107</v>
      </c>
      <c r="AI12" s="13">
        <f>'TUSD BE'!$AI$12*'TUSD BF'!$AI$58</f>
        <v>1.4078211250935729E-2</v>
      </c>
      <c r="AJ12" s="13">
        <f ca="1">'TUSD BE'!$AJ$12*'TUSD BF'!$AJ$58</f>
        <v>0.2799061161532167</v>
      </c>
      <c r="AK12" s="13">
        <f ca="1">'TUSD BE'!$AK$12*'TUSD BF'!$AK$58</f>
        <v>0</v>
      </c>
      <c r="AL12" s="13">
        <f ca="1">SUM($AH$12:$AK$12)</f>
        <v>0.70432747582055355</v>
      </c>
      <c r="AM12" s="13">
        <f ca="1">SUMIF($L$4:$AL$4,"SUBTOTAL",$L$12:$AL$12)</f>
        <v>17.269011006462705</v>
      </c>
      <c r="AO12" s="26">
        <f ca="1">+'TUSD BE'!$T$12+'TUSD BE'!$AB$12+'TUSD BE'!$AD$12+'TUSD BE'!$AL$12</f>
        <v>93.597253278756099</v>
      </c>
      <c r="AP12" s="26">
        <f ca="1">+'TUSD BE'!$T$12+'TUSD BE'!$AB$12+'TUSD BE'!$AD$12+'TUSD BE'!$AL$12</f>
        <v>93.597253278756099</v>
      </c>
    </row>
    <row r="13" spans="1:42" ht="11.25" customHeight="1" x14ac:dyDescent="0.25">
      <c r="A13" s="142"/>
      <c r="B13" s="142"/>
      <c r="C13" s="142"/>
      <c r="D13" s="142"/>
      <c r="E13" s="142" t="s">
        <v>83</v>
      </c>
      <c r="F13" s="142" t="s">
        <v>25</v>
      </c>
      <c r="G13" s="24" t="s">
        <v>76</v>
      </c>
      <c r="H13" s="24" t="s">
        <v>75</v>
      </c>
      <c r="I13" s="24">
        <f>'MERCADO TUSD'!$U$10</f>
        <v>0</v>
      </c>
      <c r="J13" s="15"/>
      <c r="L13" s="13">
        <f>'TUSD BE'!$L$13*'TUSD BF'!$L$58</f>
        <v>0</v>
      </c>
      <c r="M13" s="13">
        <f>'TUSD BE'!$M$13*'TUSD BF'!$M$58</f>
        <v>0</v>
      </c>
      <c r="N13" s="13">
        <f ca="1">'TUSD BE'!$N$13*'TUSD BF'!$N$58</f>
        <v>0</v>
      </c>
      <c r="O13" s="13">
        <f>'TUSD BE'!$O$13*'TUSD BF'!$O$58</f>
        <v>0</v>
      </c>
      <c r="P13" s="13">
        <f>'TUSD BE'!$P$13*'TUSD BF'!$P$58</f>
        <v>0</v>
      </c>
      <c r="Q13" s="13">
        <f>'TUSD BE'!$Q$13*'TUSD BF'!$Q$58</f>
        <v>0</v>
      </c>
      <c r="R13" s="13">
        <f>'TUSD BE'!$R$13*'TUSD BF'!$R$58</f>
        <v>0</v>
      </c>
      <c r="S13" s="13">
        <f>'TUSD BE'!$R$13*'TUSD BF'!$S$58</f>
        <v>0</v>
      </c>
      <c r="T13" s="13">
        <f ca="1">SUM($L$13:$S$13)</f>
        <v>0</v>
      </c>
      <c r="U13" s="13">
        <f>'TUSD BE'!$U$13*'TUSD BF'!$U$58</f>
        <v>0</v>
      </c>
      <c r="V13" s="13">
        <f>'TUSD BE'!$V$13*'TUSD BF'!$V$58</f>
        <v>0</v>
      </c>
      <c r="W13" s="13">
        <f>'TUSD BE'!$W$13*'TUSD BF'!$W$58</f>
        <v>0</v>
      </c>
      <c r="X13" s="13">
        <f>'TUSD BE'!$X$13*'TUSD BF'!$X$58</f>
        <v>0</v>
      </c>
      <c r="Y13" s="13">
        <f>'TUSD BE'!$Y$13*'TUSD BF'!$Y$58</f>
        <v>0</v>
      </c>
      <c r="Z13" s="13">
        <f>'TUSD BE'!$Z$13*'TUSD BF'!$Z$58</f>
        <v>0</v>
      </c>
      <c r="AA13" s="13">
        <f>'TUSD BE'!$AA$13*'TUSD BF'!$AA$58</f>
        <v>0</v>
      </c>
      <c r="AB13" s="13">
        <f>SUM($U$13:$AA$13)</f>
        <v>0</v>
      </c>
      <c r="AC13" s="13">
        <f>'TUSD BE'!$AC$13*'TUSD BF'!$AC$58</f>
        <v>0</v>
      </c>
      <c r="AD13" s="13">
        <f>SUM($AC$13:$AC$13)</f>
        <v>0</v>
      </c>
      <c r="AE13" s="13">
        <f ca="1">$AO$13*$AO$55</f>
        <v>0</v>
      </c>
      <c r="AF13" s="13">
        <f ca="1">$AP$13*$AP$55</f>
        <v>0</v>
      </c>
      <c r="AG13" s="13">
        <f ca="1">SUM($AE$13:$AF$13)</f>
        <v>0</v>
      </c>
      <c r="AH13" s="13">
        <f>'TUSD BE'!$AH$13*'TUSD BF'!$AH$58</f>
        <v>0.41034314841640107</v>
      </c>
      <c r="AI13" s="13">
        <f>'TUSD BE'!$AI$13*'TUSD BF'!$AI$58</f>
        <v>1.4078211250935729E-2</v>
      </c>
      <c r="AJ13" s="13">
        <f ca="1">'TUSD BE'!$AJ$13*'TUSD BF'!$AJ$58</f>
        <v>0.2799061161532167</v>
      </c>
      <c r="AK13" s="13">
        <f ca="1">'TUSD BE'!$AK$13*'TUSD BF'!$AK$58</f>
        <v>0</v>
      </c>
      <c r="AL13" s="13">
        <f ca="1">SUM($AH$13:$AK$13)</f>
        <v>0.70432747582055355</v>
      </c>
      <c r="AM13" s="13">
        <f ca="1">SUMIF($L$4:$AL$4,"SUBTOTAL",$L$13:$AL$13)</f>
        <v>0.70432747582055355</v>
      </c>
      <c r="AO13" s="26">
        <f ca="1">+'TUSD BE'!$T$13+'TUSD BE'!$AB$13+'TUSD BE'!$AD$13+'TUSD BE'!$AL$13</f>
        <v>1330.2093392071413</v>
      </c>
      <c r="AP13" s="26">
        <f ca="1">+'TUSD BE'!$T$13+'TUSD BE'!$AB$13+'TUSD BE'!$AD$13+'TUSD BE'!$AL$13</f>
        <v>1330.2093392071413</v>
      </c>
    </row>
    <row r="14" spans="1:42" ht="11.25" customHeight="1" x14ac:dyDescent="0.25">
      <c r="A14" s="142"/>
      <c r="B14" s="142"/>
      <c r="C14" s="142"/>
      <c r="D14" s="142"/>
      <c r="E14" s="142"/>
      <c r="F14" s="142"/>
      <c r="G14" s="24" t="s">
        <v>77</v>
      </c>
      <c r="H14" s="24" t="s">
        <v>75</v>
      </c>
      <c r="I14" s="24">
        <f>'MERCADO TUSD'!$U$11</f>
        <v>0</v>
      </c>
      <c r="J14" s="15"/>
      <c r="L14" s="13">
        <f>'TUSD BE'!$L$14*'TUSD BF'!$L$58</f>
        <v>0</v>
      </c>
      <c r="M14" s="13">
        <f>'TUSD BE'!$M$14*'TUSD BF'!$M$58</f>
        <v>0</v>
      </c>
      <c r="N14" s="13">
        <f ca="1">'TUSD BE'!$N$14*'TUSD BF'!$N$58</f>
        <v>0</v>
      </c>
      <c r="O14" s="13">
        <f>'TUSD BE'!$O$14*'TUSD BF'!$O$58</f>
        <v>0</v>
      </c>
      <c r="P14" s="13">
        <f>'TUSD BE'!$P$14*'TUSD BF'!$P$58</f>
        <v>0</v>
      </c>
      <c r="Q14" s="13">
        <f>'TUSD BE'!$Q$14*'TUSD BF'!$Q$58</f>
        <v>0</v>
      </c>
      <c r="R14" s="13">
        <f>'TUSD BE'!$R$14*'TUSD BF'!$R$58</f>
        <v>0</v>
      </c>
      <c r="S14" s="13">
        <f>'TUSD BE'!$R$14*'TUSD BF'!$S$58</f>
        <v>0</v>
      </c>
      <c r="T14" s="13">
        <f ca="1">SUM($L$14:$S$14)</f>
        <v>0</v>
      </c>
      <c r="U14" s="13">
        <f>'TUSD BE'!$U$14*'TUSD BF'!$U$58</f>
        <v>0</v>
      </c>
      <c r="V14" s="13">
        <f>'TUSD BE'!$V$14*'TUSD BF'!$V$58</f>
        <v>0</v>
      </c>
      <c r="W14" s="13">
        <f>'TUSD BE'!$W$14*'TUSD BF'!$W$58</f>
        <v>0</v>
      </c>
      <c r="X14" s="13">
        <f>'TUSD BE'!$X$14*'TUSD BF'!$X$58</f>
        <v>0</v>
      </c>
      <c r="Y14" s="13">
        <f>'TUSD BE'!$Y$14*'TUSD BF'!$Y$58</f>
        <v>0</v>
      </c>
      <c r="Z14" s="13">
        <f>'TUSD BE'!$Z$14*'TUSD BF'!$Z$58</f>
        <v>0</v>
      </c>
      <c r="AA14" s="13">
        <f>'TUSD BE'!$AA$14*'TUSD BF'!$AA$58</f>
        <v>0</v>
      </c>
      <c r="AB14" s="13">
        <f>SUM($U$14:$AA$14)</f>
        <v>0</v>
      </c>
      <c r="AC14" s="13">
        <f>'TUSD BE'!$AC$14*'TUSD BF'!$AC$58</f>
        <v>0</v>
      </c>
      <c r="AD14" s="13">
        <f>SUM($AC$14:$AC$14)</f>
        <v>0</v>
      </c>
      <c r="AE14" s="13">
        <f ca="1">$AO$14*$AO$55</f>
        <v>0</v>
      </c>
      <c r="AF14" s="13">
        <f ca="1">$AP$14*$AP$55</f>
        <v>0</v>
      </c>
      <c r="AG14" s="13">
        <f ca="1">SUM($AE$14:$AF$14)</f>
        <v>0</v>
      </c>
      <c r="AH14" s="13">
        <f>'TUSD BE'!$AH$14*'TUSD BF'!$AH$58</f>
        <v>0.41034314841640107</v>
      </c>
      <c r="AI14" s="13">
        <f>'TUSD BE'!$AI$14*'TUSD BF'!$AI$58</f>
        <v>1.4078211250935729E-2</v>
      </c>
      <c r="AJ14" s="13">
        <f ca="1">'TUSD BE'!$AJ$14*'TUSD BF'!$AJ$58</f>
        <v>0.2799061161532167</v>
      </c>
      <c r="AK14" s="13">
        <f ca="1">'TUSD BE'!$AK$14*'TUSD BF'!$AK$58</f>
        <v>0</v>
      </c>
      <c r="AL14" s="13">
        <f ca="1">SUM($AH$14:$AK$14)</f>
        <v>0.70432747582055355</v>
      </c>
      <c r="AM14" s="13">
        <f ca="1">SUMIF($L$4:$AL$4,"SUBTOTAL",$L$14:$AL$14)</f>
        <v>0.70432747582055355</v>
      </c>
      <c r="AO14" s="26">
        <f ca="1">+'TUSD BE'!$T$14+'TUSD BE'!$AB$14+'TUSD BE'!$AD$14+'TUSD BE'!$AL$14</f>
        <v>4.5805038516322689</v>
      </c>
      <c r="AP14" s="26">
        <f ca="1">+'TUSD BE'!$T$14+'TUSD BE'!$AB$14+'TUSD BE'!$AD$14+'TUSD BE'!$AL$14</f>
        <v>4.5805038516322689</v>
      </c>
    </row>
    <row r="15" spans="1:42" ht="11.25" customHeight="1" x14ac:dyDescent="0.25">
      <c r="A15" s="142" t="s">
        <v>85</v>
      </c>
      <c r="B15" s="142" t="s">
        <v>84</v>
      </c>
      <c r="C15" s="142" t="s">
        <v>25</v>
      </c>
      <c r="D15" s="142" t="s">
        <v>25</v>
      </c>
      <c r="E15" s="23" t="s">
        <v>86</v>
      </c>
      <c r="F15" s="23" t="s">
        <v>25</v>
      </c>
      <c r="G15" s="24" t="s">
        <v>9</v>
      </c>
      <c r="H15" s="24" t="s">
        <v>80</v>
      </c>
      <c r="I15" s="24">
        <f>'MERCADO TUSD'!$U$12+0.00000001</f>
        <v>1E-8</v>
      </c>
      <c r="J15" s="15"/>
      <c r="L15" s="13">
        <f>'TUSD BE'!$L$15*'TUSD BF'!$L$58</f>
        <v>0</v>
      </c>
      <c r="M15" s="13">
        <f>'TUSD BE'!$M$15*'TUSD BF'!$M$58</f>
        <v>0</v>
      </c>
      <c r="N15" s="13">
        <f ca="1">'TUSD BE'!$N$15*'TUSD BF'!$N$58</f>
        <v>0</v>
      </c>
      <c r="O15" s="13">
        <f>'TUSD BE'!$O$15*'TUSD BF'!$O$58</f>
        <v>0</v>
      </c>
      <c r="P15" s="13">
        <f>'TUSD BE'!$P$15*'TUSD BF'!$P$58</f>
        <v>0</v>
      </c>
      <c r="Q15" s="13">
        <f>'TUSD BE'!$Q$15*'TUSD BF'!$Q$58</f>
        <v>0</v>
      </c>
      <c r="R15" s="13">
        <f>'TUSD BE'!$R$15*'TUSD BF'!$R$58</f>
        <v>0</v>
      </c>
      <c r="S15" s="13">
        <f>'TUSD BE'!$R$15*'TUSD BF'!$S$58</f>
        <v>0</v>
      </c>
      <c r="T15" s="13">
        <f ca="1">SUM($L$15:$S$15)</f>
        <v>0</v>
      </c>
      <c r="U15" s="13">
        <f>'TUSD BE'!$U$15*'TUSD BF'!$U$58</f>
        <v>0</v>
      </c>
      <c r="V15" s="13">
        <f>'TUSD BE'!$V$15*'TUSD BF'!$V$58</f>
        <v>0</v>
      </c>
      <c r="W15" s="13">
        <f>'TUSD BE'!$W$15*'TUSD BF'!$W$58</f>
        <v>0</v>
      </c>
      <c r="X15" s="13">
        <f>'TUSD BE'!$X$15*'TUSD BF'!$X$58</f>
        <v>0</v>
      </c>
      <c r="Y15" s="13">
        <f>'TUSD BE'!$Y$15*'TUSD BF'!$Y$58</f>
        <v>0</v>
      </c>
      <c r="Z15" s="13">
        <f>'TUSD BE'!$Z$15*'TUSD BF'!$Z$58</f>
        <v>0</v>
      </c>
      <c r="AA15" s="13">
        <f>'TUSD BE'!$AA$15*'TUSD BF'!$AA$58</f>
        <v>0</v>
      </c>
      <c r="AB15" s="13">
        <f>SUM($U$15:$AA$15)</f>
        <v>0</v>
      </c>
      <c r="AC15" s="13">
        <f>'TUSD BE'!$AC$15*'TUSD BF'!$AC$58</f>
        <v>0</v>
      </c>
      <c r="AD15" s="13">
        <f>SUM($AC$15:$AC$15)</f>
        <v>0</v>
      </c>
      <c r="AE15" s="13">
        <f ca="1">$AO$15*$AO$55</f>
        <v>0</v>
      </c>
      <c r="AF15" s="13">
        <f ca="1">$AP$15*$AP$55</f>
        <v>0</v>
      </c>
      <c r="AG15" s="13">
        <f ca="1">SUM($AE$15:$AF$15)</f>
        <v>0</v>
      </c>
      <c r="AH15" s="13">
        <f>'TUSD BE'!$AH$15*'TUSD BF'!$AH$58</f>
        <v>0</v>
      </c>
      <c r="AI15" s="13">
        <f>'TUSD BE'!$AI$15*'TUSD BF'!$AI$58</f>
        <v>0</v>
      </c>
      <c r="AJ15" s="13">
        <f ca="1">'TUSD BE'!$AJ$15*'TUSD BF'!$AJ$58</f>
        <v>0</v>
      </c>
      <c r="AK15" s="13">
        <f ca="1">'TUSD BE'!$AK$15*'TUSD BF'!$AK$58</f>
        <v>0</v>
      </c>
      <c r="AL15" s="13">
        <f ca="1">SUM($AH$15:$AK$15)</f>
        <v>0</v>
      </c>
      <c r="AM15" s="13">
        <f ca="1">SUMIF($L$4:$AL$4,"SUBTOTAL",$L$15:$AL$15)</f>
        <v>0</v>
      </c>
      <c r="AO15" s="26">
        <f ca="1">+'TUSD BE'!$T$15+'TUSD BE'!$AB$15+'TUSD BE'!$AD$15+'TUSD BE'!$AL$15</f>
        <v>6.0195046323744208</v>
      </c>
      <c r="AP15" s="26">
        <f ca="1">+'TUSD BE'!$T$15+'TUSD BE'!$AB$15+'TUSD BE'!$AD$15+'TUSD BE'!$AL$15</f>
        <v>6.0195046323744208</v>
      </c>
    </row>
    <row r="16" spans="1:42" ht="11.25" customHeight="1" x14ac:dyDescent="0.25">
      <c r="A16" s="142"/>
      <c r="B16" s="142"/>
      <c r="C16" s="142"/>
      <c r="D16" s="142"/>
      <c r="E16" s="23" t="s">
        <v>87</v>
      </c>
      <c r="F16" s="23" t="s">
        <v>25</v>
      </c>
      <c r="G16" s="24" t="s">
        <v>9</v>
      </c>
      <c r="H16" s="24" t="s">
        <v>80</v>
      </c>
      <c r="I16" s="24">
        <f>'MERCADO TUSD'!$U$13+0.00000001</f>
        <v>1E-8</v>
      </c>
      <c r="J16" s="15"/>
      <c r="L16" s="13">
        <f>'TUSD BE'!$L$16*'TUSD BF'!$L$58</f>
        <v>0</v>
      </c>
      <c r="M16" s="13">
        <f>'TUSD BE'!$M$16*'TUSD BF'!$M$58</f>
        <v>0</v>
      </c>
      <c r="N16" s="13">
        <f ca="1">'TUSD BE'!$N$16*'TUSD BF'!$N$58</f>
        <v>0</v>
      </c>
      <c r="O16" s="13">
        <f>'TUSD BE'!$O$16*'TUSD BF'!$O$58</f>
        <v>0</v>
      </c>
      <c r="P16" s="13">
        <f>'TUSD BE'!$P$16*'TUSD BF'!$P$58</f>
        <v>0</v>
      </c>
      <c r="Q16" s="13">
        <f>'TUSD BE'!$Q$16*'TUSD BF'!$Q$58</f>
        <v>0</v>
      </c>
      <c r="R16" s="13">
        <f>'TUSD BE'!$R$16*'TUSD BF'!$R$58</f>
        <v>0</v>
      </c>
      <c r="S16" s="13">
        <f>'TUSD BE'!$R$16*'TUSD BF'!$S$58</f>
        <v>0</v>
      </c>
      <c r="T16" s="13">
        <f ca="1">SUM($L$16:$S$16)</f>
        <v>0</v>
      </c>
      <c r="U16" s="13">
        <f>'TUSD BE'!$U$16*'TUSD BF'!$U$58</f>
        <v>0</v>
      </c>
      <c r="V16" s="13">
        <f>'TUSD BE'!$V$16*'TUSD BF'!$V$58</f>
        <v>0</v>
      </c>
      <c r="W16" s="13">
        <f>'TUSD BE'!$W$16*'TUSD BF'!$W$58</f>
        <v>0</v>
      </c>
      <c r="X16" s="13">
        <f>'TUSD BE'!$X$16*'TUSD BF'!$X$58</f>
        <v>0</v>
      </c>
      <c r="Y16" s="13">
        <f>'TUSD BE'!$Y$16*'TUSD BF'!$Y$58</f>
        <v>0</v>
      </c>
      <c r="Z16" s="13">
        <f>'TUSD BE'!$Z$16*'TUSD BF'!$Z$58</f>
        <v>0</v>
      </c>
      <c r="AA16" s="13">
        <f>'TUSD BE'!$AA$16*'TUSD BF'!$AA$58</f>
        <v>0</v>
      </c>
      <c r="AB16" s="13">
        <f>SUM($U$16:$AA$16)</f>
        <v>0</v>
      </c>
      <c r="AC16" s="13">
        <f>'TUSD BE'!$AC$16*'TUSD BF'!$AC$58</f>
        <v>0</v>
      </c>
      <c r="AD16" s="13">
        <f>SUM($AC$16:$AC$16)</f>
        <v>0</v>
      </c>
      <c r="AE16" s="13">
        <f ca="1">$AO$16*$AO$55</f>
        <v>0</v>
      </c>
      <c r="AF16" s="13">
        <f ca="1">$AP$16*$AP$55</f>
        <v>0</v>
      </c>
      <c r="AG16" s="13">
        <f ca="1">SUM($AE$16:$AF$16)</f>
        <v>0</v>
      </c>
      <c r="AH16" s="13">
        <f>'TUSD BE'!$AH$16*'TUSD BF'!$AH$58</f>
        <v>0</v>
      </c>
      <c r="AI16" s="13">
        <f>'TUSD BE'!$AI$16*'TUSD BF'!$AI$58</f>
        <v>0</v>
      </c>
      <c r="AJ16" s="13">
        <f ca="1">'TUSD BE'!$AJ$16*'TUSD BF'!$AJ$58</f>
        <v>0</v>
      </c>
      <c r="AK16" s="13">
        <f ca="1">'TUSD BE'!$AK$16*'TUSD BF'!$AK$58</f>
        <v>0</v>
      </c>
      <c r="AL16" s="13">
        <f ca="1">SUM($AH$16:$AK$16)</f>
        <v>0</v>
      </c>
      <c r="AM16" s="13">
        <f ca="1">SUMIF($L$4:$AL$4,"SUBTOTAL",$L$16:$AL$16)</f>
        <v>0</v>
      </c>
      <c r="AO16" s="26">
        <f ca="1">+'TUSD BE'!$T$16+'TUSD BE'!$AB$16+'TUSD BE'!$AD$16+'TUSD BE'!$AL$16</f>
        <v>14.398689047942598</v>
      </c>
      <c r="AP16" s="26">
        <f ca="1">+'TUSD BE'!$T$16+'TUSD BE'!$AB$16+'TUSD BE'!$AD$16+'TUSD BE'!$AL$16</f>
        <v>14.398689047942598</v>
      </c>
    </row>
    <row r="17" spans="1:42" ht="11.25" customHeight="1" x14ac:dyDescent="0.25">
      <c r="A17" s="142" t="s">
        <v>22</v>
      </c>
      <c r="B17" s="142" t="s">
        <v>32</v>
      </c>
      <c r="C17" s="142" t="s">
        <v>24</v>
      </c>
      <c r="D17" s="142" t="s">
        <v>24</v>
      </c>
      <c r="E17" s="142" t="s">
        <v>25</v>
      </c>
      <c r="F17" s="142" t="s">
        <v>25</v>
      </c>
      <c r="G17" s="24" t="s">
        <v>76</v>
      </c>
      <c r="H17" s="24" t="s">
        <v>75</v>
      </c>
      <c r="I17" s="24">
        <f>'MERCADO TUSD'!$U$14</f>
        <v>0.17000000000000004</v>
      </c>
      <c r="J17" s="15"/>
      <c r="L17" s="13">
        <f>'TUSD BE'!$L$17*'TUSD BF'!$L$58</f>
        <v>0</v>
      </c>
      <c r="M17" s="13">
        <f>'TUSD BE'!$M$17*'TUSD BF'!$M$58</f>
        <v>0</v>
      </c>
      <c r="N17" s="13">
        <f ca="1">'TUSD BE'!$N$17*'TUSD BF'!$N$58</f>
        <v>0</v>
      </c>
      <c r="O17" s="13">
        <f>'TUSD BE'!$O$17*'TUSD BF'!$O$58</f>
        <v>0</v>
      </c>
      <c r="P17" s="13">
        <f>'TUSD BE'!$P$17*'TUSD BF'!$P$58</f>
        <v>0</v>
      </c>
      <c r="Q17" s="13">
        <f>'TUSD BE'!$Q$17*'TUSD BF'!$Q$58</f>
        <v>15.115782395110955</v>
      </c>
      <c r="R17" s="13">
        <f>'TUSD BE'!$R$17*'TUSD BF'!$R$58</f>
        <v>3.8674263187489499</v>
      </c>
      <c r="S17" s="13">
        <f>'TUSD BE'!$R$17*'TUSD BF'!$S$58</f>
        <v>0</v>
      </c>
      <c r="T17" s="13">
        <f ca="1">SUM($L$17:$S$17)</f>
        <v>18.983208713859906</v>
      </c>
      <c r="U17" s="13">
        <f>'TUSD BE'!$U$17*'TUSD BF'!$U$58</f>
        <v>0</v>
      </c>
      <c r="V17" s="13">
        <f>'TUSD BE'!$V$17*'TUSD BF'!$V$58</f>
        <v>0</v>
      </c>
      <c r="W17" s="13">
        <f>'TUSD BE'!$W$17*'TUSD BF'!$W$58</f>
        <v>0</v>
      </c>
      <c r="X17" s="13">
        <f>'TUSD BE'!$X$17*'TUSD BF'!$X$58</f>
        <v>0</v>
      </c>
      <c r="Y17" s="13">
        <f>'TUSD BE'!$Y$17*'TUSD BF'!$Y$58</f>
        <v>0</v>
      </c>
      <c r="Z17" s="13">
        <f>'TUSD BE'!$Z$17*'TUSD BF'!$Z$58</f>
        <v>0</v>
      </c>
      <c r="AA17" s="13">
        <f>'TUSD BE'!$AA$17*'TUSD BF'!$AA$58</f>
        <v>0</v>
      </c>
      <c r="AB17" s="13">
        <f>SUM($U$17:$AA$17)</f>
        <v>0</v>
      </c>
      <c r="AC17" s="13">
        <f>'TUSD BE'!$AC$17*'TUSD BF'!$AC$58</f>
        <v>0</v>
      </c>
      <c r="AD17" s="13">
        <f>SUM($AC$17:$AC$17)</f>
        <v>0</v>
      </c>
      <c r="AE17" s="13">
        <f ca="1">$AO$17*$AO$55</f>
        <v>0</v>
      </c>
      <c r="AF17" s="13">
        <f ca="1">$AP$17*$AP$55</f>
        <v>0</v>
      </c>
      <c r="AG17" s="13">
        <f ca="1">SUM($AE$17:$AF$17)</f>
        <v>0</v>
      </c>
      <c r="AH17" s="13">
        <f>'TUSD BE'!$AH$17*'TUSD BF'!$AH$58</f>
        <v>3.2453690829164814</v>
      </c>
      <c r="AI17" s="13">
        <f>'TUSD BE'!$AI$17*'TUSD BF'!$AI$58</f>
        <v>0.11134337617888107</v>
      </c>
      <c r="AJ17" s="13">
        <f ca="1">'TUSD BE'!$AJ$17*'TUSD BF'!$AJ$58</f>
        <v>0.62950534663476354</v>
      </c>
      <c r="AK17" s="13">
        <f ca="1">'TUSD BE'!$AK$17*'TUSD BF'!$AK$58</f>
        <v>0</v>
      </c>
      <c r="AL17" s="13">
        <f ca="1">SUM($AH$17:$AK$17)</f>
        <v>3.9862178057301261</v>
      </c>
      <c r="AM17" s="13">
        <f ca="1">SUMIF($L$4:$AL$4,"SUBTOTAL",$L$17:$AL$17)</f>
        <v>22.96942651959003</v>
      </c>
      <c r="AO17" s="26">
        <f ca="1">+'TUSD BE'!$T$17+'TUSD BE'!$AB$17+'TUSD BE'!$AD$17+'TUSD BE'!$AL$17</f>
        <v>1040.2942221332294</v>
      </c>
      <c r="AP17" s="26">
        <f ca="1">+'TUSD BE'!$T$17+'TUSD BE'!$AB$17+'TUSD BE'!$AD$17+'TUSD BE'!$AL$17</f>
        <v>1040.2942221332294</v>
      </c>
    </row>
    <row r="18" spans="1:42" ht="11.25" customHeight="1" x14ac:dyDescent="0.25">
      <c r="A18" s="142"/>
      <c r="B18" s="142"/>
      <c r="C18" s="142"/>
      <c r="D18" s="142"/>
      <c r="E18" s="142"/>
      <c r="F18" s="142"/>
      <c r="G18" s="24" t="s">
        <v>88</v>
      </c>
      <c r="H18" s="24" t="s">
        <v>75</v>
      </c>
      <c r="I18" s="24">
        <f>'MERCADO TUSD'!$U$15</f>
        <v>0.13000000000000003</v>
      </c>
      <c r="J18" s="15"/>
      <c r="L18" s="13">
        <f>'TUSD BE'!$L$18*'TUSD BF'!$L$58</f>
        <v>0</v>
      </c>
      <c r="M18" s="13">
        <f>'TUSD BE'!$M$18*'TUSD BF'!$M$58</f>
        <v>0</v>
      </c>
      <c r="N18" s="13">
        <f ca="1">'TUSD BE'!$N$18*'TUSD BF'!$N$58</f>
        <v>0</v>
      </c>
      <c r="O18" s="13">
        <f>'TUSD BE'!$O$18*'TUSD BF'!$O$58</f>
        <v>0</v>
      </c>
      <c r="P18" s="13">
        <f>'TUSD BE'!$P$18*'TUSD BF'!$P$58</f>
        <v>0</v>
      </c>
      <c r="Q18" s="13">
        <f>'TUSD BE'!$Q$18*'TUSD BF'!$Q$58</f>
        <v>15.115782395110955</v>
      </c>
      <c r="R18" s="13">
        <f>'TUSD BE'!$R$18*'TUSD BF'!$R$58</f>
        <v>3.8674263187489499</v>
      </c>
      <c r="S18" s="13">
        <f>'TUSD BE'!$R$18*'TUSD BF'!$S$58</f>
        <v>0</v>
      </c>
      <c r="T18" s="13">
        <f ca="1">SUM($L$18:$S$18)</f>
        <v>18.983208713859906</v>
      </c>
      <c r="U18" s="13">
        <f>'TUSD BE'!$U$18*'TUSD BF'!$U$58</f>
        <v>0</v>
      </c>
      <c r="V18" s="13">
        <f>'TUSD BE'!$V$18*'TUSD BF'!$V$58</f>
        <v>0</v>
      </c>
      <c r="W18" s="13">
        <f>'TUSD BE'!$W$18*'TUSD BF'!$W$58</f>
        <v>0</v>
      </c>
      <c r="X18" s="13">
        <f>'TUSD BE'!$X$18*'TUSD BF'!$X$58</f>
        <v>0</v>
      </c>
      <c r="Y18" s="13">
        <f>'TUSD BE'!$Y$18*'TUSD BF'!$Y$58</f>
        <v>0</v>
      </c>
      <c r="Z18" s="13">
        <f>'TUSD BE'!$Z$18*'TUSD BF'!$Z$58</f>
        <v>0</v>
      </c>
      <c r="AA18" s="13">
        <f>'TUSD BE'!$AA$18*'TUSD BF'!$AA$58</f>
        <v>0</v>
      </c>
      <c r="AB18" s="13">
        <f>SUM($U$18:$AA$18)</f>
        <v>0</v>
      </c>
      <c r="AC18" s="13">
        <f>'TUSD BE'!$AC$18*'TUSD BF'!$AC$58</f>
        <v>0</v>
      </c>
      <c r="AD18" s="13">
        <f>SUM($AC$18:$AC$18)</f>
        <v>0</v>
      </c>
      <c r="AE18" s="13">
        <f ca="1">$AO$18*$AO$55</f>
        <v>0</v>
      </c>
      <c r="AF18" s="13">
        <f ca="1">$AP$18*$AP$55</f>
        <v>0</v>
      </c>
      <c r="AG18" s="13">
        <f ca="1">SUM($AE$18:$AF$18)</f>
        <v>0</v>
      </c>
      <c r="AH18" s="13">
        <f>'TUSD BE'!$AH$18*'TUSD BF'!$AH$58</f>
        <v>3.2453690829164814</v>
      </c>
      <c r="AI18" s="13">
        <f>'TUSD BE'!$AI$18*'TUSD BF'!$AI$58</f>
        <v>0.11134337617888107</v>
      </c>
      <c r="AJ18" s="13">
        <f ca="1">'TUSD BE'!$AJ$18*'TUSD BF'!$AJ$58</f>
        <v>0.62950534663476354</v>
      </c>
      <c r="AK18" s="13">
        <f ca="1">'TUSD BE'!$AK$18*'TUSD BF'!$AK$58</f>
        <v>0</v>
      </c>
      <c r="AL18" s="13">
        <f ca="1">SUM($AH$18:$AK$18)</f>
        <v>3.9862178057301261</v>
      </c>
      <c r="AM18" s="13">
        <f ca="1">SUMIF($L$4:$AL$4,"SUBTOTAL",$L$18:$AL$18)</f>
        <v>22.96942651959003</v>
      </c>
      <c r="AO18" s="26">
        <f ca="1">+'TUSD BE'!$T$18+'TUSD BE'!$AB$18+'TUSD BE'!$AD$18+'TUSD BE'!$AL$18</f>
        <v>675.65570427451087</v>
      </c>
      <c r="AP18" s="26">
        <f ca="1">+'TUSD BE'!$T$18+'TUSD BE'!$AB$18+'TUSD BE'!$AD$18+'TUSD BE'!$AL$18</f>
        <v>675.65570427451087</v>
      </c>
    </row>
    <row r="19" spans="1:42" ht="11.25" customHeight="1" x14ac:dyDescent="0.25">
      <c r="A19" s="142"/>
      <c r="B19" s="142"/>
      <c r="C19" s="142"/>
      <c r="D19" s="142"/>
      <c r="E19" s="142"/>
      <c r="F19" s="142"/>
      <c r="G19" s="24" t="s">
        <v>77</v>
      </c>
      <c r="H19" s="24" t="s">
        <v>75</v>
      </c>
      <c r="I19" s="24">
        <f>'MERCADO TUSD'!$U$16</f>
        <v>2.4539999999999997</v>
      </c>
      <c r="J19" s="15"/>
      <c r="L19" s="13">
        <f>'TUSD BE'!$L$19*'TUSD BF'!$L$58</f>
        <v>0</v>
      </c>
      <c r="M19" s="13">
        <f>'TUSD BE'!$M$19*'TUSD BF'!$M$58</f>
        <v>0</v>
      </c>
      <c r="N19" s="13">
        <f ca="1">'TUSD BE'!$N$19*'TUSD BF'!$N$58</f>
        <v>0</v>
      </c>
      <c r="O19" s="13">
        <f>'TUSD BE'!$O$19*'TUSD BF'!$O$58</f>
        <v>0</v>
      </c>
      <c r="P19" s="13">
        <f>'TUSD BE'!$P$19*'TUSD BF'!$P$58</f>
        <v>0</v>
      </c>
      <c r="Q19" s="13">
        <f>'TUSD BE'!$Q$19*'TUSD BF'!$Q$58</f>
        <v>15.115782395110955</v>
      </c>
      <c r="R19" s="13">
        <f>'TUSD BE'!$R$19*'TUSD BF'!$R$58</f>
        <v>3.8674263187489499</v>
      </c>
      <c r="S19" s="13">
        <f>'TUSD BE'!$R$19*'TUSD BF'!$S$58</f>
        <v>0</v>
      </c>
      <c r="T19" s="13">
        <f ca="1">SUM($L$19:$S$19)</f>
        <v>18.983208713859906</v>
      </c>
      <c r="U19" s="13">
        <f>'TUSD BE'!$U$19*'TUSD BF'!$U$58</f>
        <v>0</v>
      </c>
      <c r="V19" s="13">
        <f>'TUSD BE'!$V$19*'TUSD BF'!$V$58</f>
        <v>0</v>
      </c>
      <c r="W19" s="13">
        <f>'TUSD BE'!$W$19*'TUSD BF'!$W$58</f>
        <v>0</v>
      </c>
      <c r="X19" s="13">
        <f>'TUSD BE'!$X$19*'TUSD BF'!$X$58</f>
        <v>0</v>
      </c>
      <c r="Y19" s="13">
        <f>'TUSD BE'!$Y$19*'TUSD BF'!$Y$58</f>
        <v>0</v>
      </c>
      <c r="Z19" s="13">
        <f>'TUSD BE'!$Z$19*'TUSD BF'!$Z$58</f>
        <v>0</v>
      </c>
      <c r="AA19" s="13">
        <f>'TUSD BE'!$AA$19*'TUSD BF'!$AA$58</f>
        <v>0</v>
      </c>
      <c r="AB19" s="13">
        <f>SUM($U$19:$AA$19)</f>
        <v>0</v>
      </c>
      <c r="AC19" s="13">
        <f>'TUSD BE'!$AC$19*'TUSD BF'!$AC$58</f>
        <v>0</v>
      </c>
      <c r="AD19" s="13">
        <f>SUM($AC$19:$AC$19)</f>
        <v>0</v>
      </c>
      <c r="AE19" s="13">
        <f ca="1">$AO$19*$AO$55</f>
        <v>0</v>
      </c>
      <c r="AF19" s="13">
        <f ca="1">$AP$19*$AP$55</f>
        <v>0</v>
      </c>
      <c r="AG19" s="13">
        <f ca="1">SUM($AE$19:$AF$19)</f>
        <v>0</v>
      </c>
      <c r="AH19" s="13">
        <f>'TUSD BE'!$AH$19*'TUSD BF'!$AH$58</f>
        <v>3.2453690829164814</v>
      </c>
      <c r="AI19" s="13">
        <f>'TUSD BE'!$AI$19*'TUSD BF'!$AI$58</f>
        <v>0.11134337617888107</v>
      </c>
      <c r="AJ19" s="13">
        <f ca="1">'TUSD BE'!$AJ$19*'TUSD BF'!$AJ$58</f>
        <v>0.62950534663476354</v>
      </c>
      <c r="AK19" s="13">
        <f ca="1">'TUSD BE'!$AK$19*'TUSD BF'!$AK$58</f>
        <v>0</v>
      </c>
      <c r="AL19" s="13">
        <f ca="1">SUM($AH$19:$AK$19)</f>
        <v>3.9862178057301261</v>
      </c>
      <c r="AM19" s="13">
        <f ca="1">SUMIF($L$4:$AL$4,"SUBTOTAL",$L$19:$AL$19)</f>
        <v>22.96942651959003</v>
      </c>
      <c r="AO19" s="26">
        <f ca="1">+'TUSD BE'!$T$19+'TUSD BE'!$AB$19+'TUSD BE'!$AD$19+'TUSD BE'!$AL$19</f>
        <v>311.01731048467019</v>
      </c>
      <c r="AP19" s="26">
        <f ca="1">+'TUSD BE'!$T$19+'TUSD BE'!$AB$19+'TUSD BE'!$AD$19+'TUSD BE'!$AL$19</f>
        <v>311.01731048467019</v>
      </c>
    </row>
    <row r="20" spans="1:42" ht="11.25" customHeight="1" x14ac:dyDescent="0.25">
      <c r="A20" s="142"/>
      <c r="B20" s="142" t="s">
        <v>23</v>
      </c>
      <c r="C20" s="142" t="s">
        <v>24</v>
      </c>
      <c r="D20" s="23" t="s">
        <v>24</v>
      </c>
      <c r="E20" s="23" t="s">
        <v>25</v>
      </c>
      <c r="F20" s="23" t="s">
        <v>25</v>
      </c>
      <c r="G20" s="24" t="s">
        <v>79</v>
      </c>
      <c r="H20" s="24" t="s">
        <v>75</v>
      </c>
      <c r="I20" s="24">
        <f>'MERCADO TUSD'!$U$17</f>
        <v>10574.981000000002</v>
      </c>
      <c r="J20" s="15"/>
      <c r="L20" s="13">
        <f>'TUSD BE'!$L$20*'TUSD BF'!$L$58</f>
        <v>0</v>
      </c>
      <c r="M20" s="13">
        <f>'TUSD BE'!$M$20*'TUSD BF'!$M$58</f>
        <v>0</v>
      </c>
      <c r="N20" s="13">
        <f ca="1">'TUSD BE'!$N$20*'TUSD BF'!$N$58</f>
        <v>0</v>
      </c>
      <c r="O20" s="13">
        <f>'TUSD BE'!$O$20*'TUSD BF'!$O$58</f>
        <v>0</v>
      </c>
      <c r="P20" s="13">
        <f>'TUSD BE'!$P$20*'TUSD BF'!$P$58</f>
        <v>0</v>
      </c>
      <c r="Q20" s="13">
        <f>'TUSD BE'!$Q$20*'TUSD BF'!$Q$58</f>
        <v>15.115782395110955</v>
      </c>
      <c r="R20" s="13">
        <f>'TUSD BE'!$R$20*'TUSD BF'!$R$58</f>
        <v>3.8674263187489499</v>
      </c>
      <c r="S20" s="13">
        <f>'TUSD BE'!$R$20*'TUSD BF'!$S$58</f>
        <v>0</v>
      </c>
      <c r="T20" s="13">
        <f ca="1">SUM($L$20:$S$20)</f>
        <v>18.983208713859906</v>
      </c>
      <c r="U20" s="13">
        <f>'TUSD BE'!$U$20*'TUSD BF'!$U$58</f>
        <v>0</v>
      </c>
      <c r="V20" s="13">
        <f>'TUSD BE'!$V$20*'TUSD BF'!$V$58</f>
        <v>0</v>
      </c>
      <c r="W20" s="13">
        <f>'TUSD BE'!$W$20*'TUSD BF'!$W$58</f>
        <v>0</v>
      </c>
      <c r="X20" s="13">
        <f>'TUSD BE'!$X$20*'TUSD BF'!$X$58</f>
        <v>0</v>
      </c>
      <c r="Y20" s="13">
        <f>'TUSD BE'!$Y$20*'TUSD BF'!$Y$58</f>
        <v>0</v>
      </c>
      <c r="Z20" s="13">
        <f>'TUSD BE'!$Z$20*'TUSD BF'!$Z$58</f>
        <v>0</v>
      </c>
      <c r="AA20" s="13">
        <f>'TUSD BE'!$AA$20*'TUSD BF'!$AA$58</f>
        <v>0</v>
      </c>
      <c r="AB20" s="13">
        <f>SUM($U$20:$AA$20)</f>
        <v>0</v>
      </c>
      <c r="AC20" s="13">
        <f>'TUSD BE'!$AC$20*'TUSD BF'!$AC$58</f>
        <v>0</v>
      </c>
      <c r="AD20" s="13">
        <f>SUM($AC$20:$AC$20)</f>
        <v>0</v>
      </c>
      <c r="AE20" s="13">
        <f ca="1">$AO$20*$AO$55</f>
        <v>0</v>
      </c>
      <c r="AF20" s="13">
        <f ca="1">$AP$20*$AP$55</f>
        <v>0</v>
      </c>
      <c r="AG20" s="13">
        <f ca="1">SUM($AE$20:$AF$20)</f>
        <v>0</v>
      </c>
      <c r="AH20" s="13">
        <f>'TUSD BE'!$AH$20*'TUSD BF'!$AH$58</f>
        <v>3.2453690829164814</v>
      </c>
      <c r="AI20" s="13">
        <f>'TUSD BE'!$AI$20*'TUSD BF'!$AI$58</f>
        <v>0.11134337617888107</v>
      </c>
      <c r="AJ20" s="13">
        <f ca="1">'TUSD BE'!$AJ$20*'TUSD BF'!$AJ$58</f>
        <v>0.62950534663476354</v>
      </c>
      <c r="AK20" s="13">
        <f ca="1">'TUSD BE'!$AK$20*'TUSD BF'!$AK$58</f>
        <v>0</v>
      </c>
      <c r="AL20" s="13">
        <f ca="1">SUM($AH$20:$AK$20)</f>
        <v>3.9862178057301261</v>
      </c>
      <c r="AM20" s="13">
        <f ca="1">SUMIF($L$4:$AL$4,"SUBTOTAL",$L$20:$AL$20)</f>
        <v>22.96942651959003</v>
      </c>
      <c r="AO20" s="26">
        <f ca="1">+'TUSD BE'!$T$20+'TUSD BE'!$AB$20+'TUSD BE'!$AD$20+'TUSD BE'!$AL$20</f>
        <v>454.26815861179813</v>
      </c>
      <c r="AP20" s="26">
        <f ca="1">+'TUSD BE'!$T$20+'TUSD BE'!$AB$20+'TUSD BE'!$AD$20+'TUSD BE'!$AL$20</f>
        <v>454.26815861179813</v>
      </c>
    </row>
    <row r="21" spans="1:42" ht="11.25" customHeight="1" x14ac:dyDescent="0.25">
      <c r="A21" s="142"/>
      <c r="B21" s="142"/>
      <c r="C21" s="142"/>
      <c r="D21" s="23" t="s">
        <v>28</v>
      </c>
      <c r="E21" s="23" t="s">
        <v>25</v>
      </c>
      <c r="F21" s="23" t="s">
        <v>25</v>
      </c>
      <c r="G21" s="24" t="s">
        <v>79</v>
      </c>
      <c r="H21" s="24" t="s">
        <v>75</v>
      </c>
      <c r="I21" s="24">
        <f>'MERCADO TUSD'!$U$18</f>
        <v>204.62</v>
      </c>
      <c r="J21" s="15"/>
      <c r="L21" s="13">
        <f>'TUSD BE'!$L$21*'TUSD BF'!$L$58</f>
        <v>0</v>
      </c>
      <c r="M21" s="13">
        <f>'TUSD BE'!$M$21*'TUSD BF'!$M$58</f>
        <v>0</v>
      </c>
      <c r="N21" s="13">
        <f ca="1">'TUSD BE'!$N$21*'TUSD BF'!$N$58</f>
        <v>0</v>
      </c>
      <c r="O21" s="13">
        <f>'TUSD BE'!$O$21*'TUSD BF'!$O$58</f>
        <v>0</v>
      </c>
      <c r="P21" s="13">
        <f>'TUSD BE'!$P$21*'TUSD BF'!$P$58</f>
        <v>0</v>
      </c>
      <c r="Q21" s="13">
        <f>'TUSD BE'!$Q$21*'TUSD BF'!$Q$58</f>
        <v>0</v>
      </c>
      <c r="R21" s="13">
        <f>'TUSD BE'!$R$21*'TUSD BF'!$R$58</f>
        <v>0</v>
      </c>
      <c r="S21" s="13">
        <f>'TUSD BE'!$R$21*'TUSD BF'!$S$58</f>
        <v>0</v>
      </c>
      <c r="T21" s="13">
        <f ca="1">SUM($L$21:$S$21)</f>
        <v>0</v>
      </c>
      <c r="U21" s="13">
        <f>'TUSD BE'!$U$21*'TUSD BF'!$U$58</f>
        <v>0</v>
      </c>
      <c r="V21" s="13">
        <f>'TUSD BE'!$V$21*'TUSD BF'!$V$58</f>
        <v>0</v>
      </c>
      <c r="W21" s="13">
        <f>'TUSD BE'!$W$21*'TUSD BF'!$W$58</f>
        <v>0</v>
      </c>
      <c r="X21" s="13">
        <f>'TUSD BE'!$X$21*'TUSD BF'!$X$58</f>
        <v>0</v>
      </c>
      <c r="Y21" s="13">
        <f>'TUSD BE'!$Y$21*'TUSD BF'!$Y$58</f>
        <v>0</v>
      </c>
      <c r="Z21" s="13">
        <f>'TUSD BE'!$Z$21*'TUSD BF'!$Z$58</f>
        <v>0</v>
      </c>
      <c r="AA21" s="13">
        <f>'TUSD BE'!$AA$21*'TUSD BF'!$AA$58</f>
        <v>0</v>
      </c>
      <c r="AB21" s="13">
        <f>SUM($U$21:$AA$21)</f>
        <v>0</v>
      </c>
      <c r="AC21" s="13">
        <f>'TUSD BE'!$AC$21*'TUSD BF'!$AC$58</f>
        <v>0</v>
      </c>
      <c r="AD21" s="13">
        <f>SUM($AC$21:$AC$21)</f>
        <v>0</v>
      </c>
      <c r="AE21" s="13">
        <f ca="1">$AO$21*$AO$55</f>
        <v>0</v>
      </c>
      <c r="AF21" s="13">
        <f ca="1">$AP$21*$AP$55</f>
        <v>0</v>
      </c>
      <c r="AG21" s="13">
        <f ca="1">SUM($AE$21:$AF$21)</f>
        <v>0</v>
      </c>
      <c r="AH21" s="13">
        <f>'TUSD BE'!$AH$21*'TUSD BF'!$AH$58</f>
        <v>3.2453690829164814</v>
      </c>
      <c r="AI21" s="13">
        <f>'TUSD BE'!$AI$21*'TUSD BF'!$AI$58</f>
        <v>0.11134337617888107</v>
      </c>
      <c r="AJ21" s="13">
        <f ca="1">'TUSD BE'!$AJ$21*'TUSD BF'!$AJ$58</f>
        <v>0.62950534663476354</v>
      </c>
      <c r="AK21" s="13">
        <f ca="1">'TUSD BE'!$AK$21*'TUSD BF'!$AK$58</f>
        <v>0</v>
      </c>
      <c r="AL21" s="13">
        <f ca="1">SUM($AH$21:$AK$21)</f>
        <v>3.9862178057301261</v>
      </c>
      <c r="AM21" s="13">
        <f ca="1">SUMIF($L$4:$AL$4,"SUBTOTAL",$L$21:$AL$21)</f>
        <v>3.9862178057301261</v>
      </c>
      <c r="AO21" s="26">
        <f ca="1">+'TUSD BE'!$T$21+'TUSD BE'!$AB$21+'TUSD BE'!$AD$21+'TUSD BE'!$AL$21</f>
        <v>351.0491038430489</v>
      </c>
      <c r="AP21" s="26">
        <f ca="1">+'TUSD BE'!$T$21+'TUSD BE'!$AB$21+'TUSD BE'!$AD$21+'TUSD BE'!$AL$21</f>
        <v>351.0491038430489</v>
      </c>
    </row>
    <row r="22" spans="1:42" ht="11.25" customHeight="1" x14ac:dyDescent="0.25">
      <c r="A22" s="142"/>
      <c r="B22" s="142"/>
      <c r="C22" s="142"/>
      <c r="D22" s="23" t="s">
        <v>29</v>
      </c>
      <c r="E22" s="23" t="s">
        <v>25</v>
      </c>
      <c r="F22" s="23" t="s">
        <v>25</v>
      </c>
      <c r="G22" s="24" t="s">
        <v>79</v>
      </c>
      <c r="H22" s="24" t="s">
        <v>75</v>
      </c>
      <c r="I22" s="24">
        <f>'MERCADO TUSD'!$U$19</f>
        <v>376.553</v>
      </c>
      <c r="J22" s="15"/>
      <c r="L22" s="13">
        <f>'TUSD BE'!$L$22*'TUSD BF'!$L$58</f>
        <v>0</v>
      </c>
      <c r="M22" s="13">
        <f>'TUSD BE'!$M$22*'TUSD BF'!$M$58</f>
        <v>0</v>
      </c>
      <c r="N22" s="13">
        <f ca="1">'TUSD BE'!$N$22*'TUSD BF'!$N$58</f>
        <v>0</v>
      </c>
      <c r="O22" s="13">
        <f>'TUSD BE'!$O$22*'TUSD BF'!$O$58</f>
        <v>0</v>
      </c>
      <c r="P22" s="13">
        <f>'TUSD BE'!$P$22*'TUSD BF'!$P$58</f>
        <v>0</v>
      </c>
      <c r="Q22" s="13">
        <f>'TUSD BE'!$Q$22*'TUSD BF'!$Q$58</f>
        <v>0</v>
      </c>
      <c r="R22" s="13">
        <f>'TUSD BE'!$R$22*'TUSD BF'!$R$58</f>
        <v>0</v>
      </c>
      <c r="S22" s="13">
        <f>'TUSD BE'!$R$22*'TUSD BF'!$S$58</f>
        <v>0</v>
      </c>
      <c r="T22" s="13">
        <f ca="1">SUM($L$22:$S$22)</f>
        <v>0</v>
      </c>
      <c r="U22" s="13">
        <f>'TUSD BE'!$U$22*'TUSD BF'!$U$58</f>
        <v>0</v>
      </c>
      <c r="V22" s="13">
        <f>'TUSD BE'!$V$22*'TUSD BF'!$V$58</f>
        <v>0</v>
      </c>
      <c r="W22" s="13">
        <f>'TUSD BE'!$W$22*'TUSD BF'!$W$58</f>
        <v>0</v>
      </c>
      <c r="X22" s="13">
        <f>'TUSD BE'!$X$22*'TUSD BF'!$X$58</f>
        <v>0</v>
      </c>
      <c r="Y22" s="13">
        <f>'TUSD BE'!$Y$22*'TUSD BF'!$Y$58</f>
        <v>0</v>
      </c>
      <c r="Z22" s="13">
        <f>'TUSD BE'!$Z$22*'TUSD BF'!$Z$58</f>
        <v>0</v>
      </c>
      <c r="AA22" s="13">
        <f>'TUSD BE'!$AA$22*'TUSD BF'!$AA$58</f>
        <v>0</v>
      </c>
      <c r="AB22" s="13">
        <f>SUM($U$22:$AA$22)</f>
        <v>0</v>
      </c>
      <c r="AC22" s="13">
        <f>'TUSD BE'!$AC$22*'TUSD BF'!$AC$58</f>
        <v>0</v>
      </c>
      <c r="AD22" s="13">
        <f>SUM($AC$22:$AC$22)</f>
        <v>0</v>
      </c>
      <c r="AE22" s="13">
        <f ca="1">$AO$22*$AO$55</f>
        <v>0</v>
      </c>
      <c r="AF22" s="13">
        <f ca="1">$AP$22*$AP$55</f>
        <v>0</v>
      </c>
      <c r="AG22" s="13">
        <f ca="1">SUM($AE$22:$AF$22)</f>
        <v>0</v>
      </c>
      <c r="AH22" s="13">
        <f>'TUSD BE'!$AH$22*'TUSD BF'!$AH$58</f>
        <v>3.2453690829164814</v>
      </c>
      <c r="AI22" s="13">
        <f>'TUSD BE'!$AI$22*'TUSD BF'!$AI$58</f>
        <v>0.11134337617888107</v>
      </c>
      <c r="AJ22" s="13">
        <f ca="1">'TUSD BE'!$AJ$22*'TUSD BF'!$AJ$58</f>
        <v>0.62950534663476354</v>
      </c>
      <c r="AK22" s="13">
        <f ca="1">'TUSD BE'!$AK$22*'TUSD BF'!$AK$58</f>
        <v>0</v>
      </c>
      <c r="AL22" s="13">
        <f ca="1">SUM($AH$22:$AK$22)</f>
        <v>3.9862178057301261</v>
      </c>
      <c r="AM22" s="13">
        <f ca="1">SUMIF($L$4:$AL$4,"SUBTOTAL",$L$22:$AL$22)</f>
        <v>3.9862178057301261</v>
      </c>
      <c r="AO22" s="26">
        <f ca="1">+'TUSD BE'!$T$22+'TUSD BE'!$AB$22+'TUSD BE'!$AD$22+'TUSD BE'!$AL$22</f>
        <v>351.0491038430489</v>
      </c>
      <c r="AP22" s="26">
        <f ca="1">+'TUSD BE'!$T$22+'TUSD BE'!$AB$22+'TUSD BE'!$AD$22+'TUSD BE'!$AL$22</f>
        <v>351.0491038430489</v>
      </c>
    </row>
    <row r="23" spans="1:42" ht="11.25" customHeight="1" x14ac:dyDescent="0.25">
      <c r="A23" s="142"/>
      <c r="B23" s="142"/>
      <c r="C23" s="142"/>
      <c r="D23" s="23" t="s">
        <v>30</v>
      </c>
      <c r="E23" s="23" t="s">
        <v>25</v>
      </c>
      <c r="F23" s="23" t="s">
        <v>25</v>
      </c>
      <c r="G23" s="24" t="s">
        <v>79</v>
      </c>
      <c r="H23" s="24" t="s">
        <v>75</v>
      </c>
      <c r="I23" s="24">
        <f>'MERCADO TUSD'!$U$20</f>
        <v>166.29699999999997</v>
      </c>
      <c r="J23" s="15"/>
      <c r="L23" s="13">
        <f>'TUSD BE'!$L$23*'TUSD BF'!$L$58</f>
        <v>0</v>
      </c>
      <c r="M23" s="13">
        <f>'TUSD BE'!$M$23*'TUSD BF'!$M$58</f>
        <v>0</v>
      </c>
      <c r="N23" s="13">
        <f ca="1">'TUSD BE'!$N$23*'TUSD BF'!$N$58</f>
        <v>0</v>
      </c>
      <c r="O23" s="13">
        <f>'TUSD BE'!$O$23*'TUSD BF'!$O$58</f>
        <v>0</v>
      </c>
      <c r="P23" s="13">
        <f>'TUSD BE'!$P$23*'TUSD BF'!$P$58</f>
        <v>0</v>
      </c>
      <c r="Q23" s="13">
        <f>'TUSD BE'!$Q$23*'TUSD BF'!$Q$58</f>
        <v>0</v>
      </c>
      <c r="R23" s="13">
        <f>'TUSD BE'!$R$23*'TUSD BF'!$R$58</f>
        <v>0</v>
      </c>
      <c r="S23" s="13">
        <f>'TUSD BE'!$R$23*'TUSD BF'!$S$58</f>
        <v>0</v>
      </c>
      <c r="T23" s="13">
        <f ca="1">SUM($L$23:$S$23)</f>
        <v>0</v>
      </c>
      <c r="U23" s="13">
        <f>'TUSD BE'!$U$23*'TUSD BF'!$U$58</f>
        <v>0</v>
      </c>
      <c r="V23" s="13">
        <f>'TUSD BE'!$V$23*'TUSD BF'!$V$58</f>
        <v>0</v>
      </c>
      <c r="W23" s="13">
        <f>'TUSD BE'!$W$23*'TUSD BF'!$W$58</f>
        <v>0</v>
      </c>
      <c r="X23" s="13">
        <f>'TUSD BE'!$X$23*'TUSD BF'!$X$58</f>
        <v>0</v>
      </c>
      <c r="Y23" s="13">
        <f>'TUSD BE'!$Y$23*'TUSD BF'!$Y$58</f>
        <v>0</v>
      </c>
      <c r="Z23" s="13">
        <f>'TUSD BE'!$Z$23*'TUSD BF'!$Z$58</f>
        <v>0</v>
      </c>
      <c r="AA23" s="13">
        <f>'TUSD BE'!$AA$23*'TUSD BF'!$AA$58</f>
        <v>0</v>
      </c>
      <c r="AB23" s="13">
        <f>SUM($U$23:$AA$23)</f>
        <v>0</v>
      </c>
      <c r="AC23" s="13">
        <f>'TUSD BE'!$AC$23*'TUSD BF'!$AC$58</f>
        <v>0</v>
      </c>
      <c r="AD23" s="13">
        <f>SUM($AC$23:$AC$23)</f>
        <v>0</v>
      </c>
      <c r="AE23" s="13">
        <f ca="1">$AO$23*$AO$55</f>
        <v>0</v>
      </c>
      <c r="AF23" s="13">
        <f ca="1">$AP$23*$AP$55</f>
        <v>0</v>
      </c>
      <c r="AG23" s="13">
        <f ca="1">SUM($AE$23:$AF$23)</f>
        <v>0</v>
      </c>
      <c r="AH23" s="13">
        <f>'TUSD BE'!$AH$23*'TUSD BF'!$AH$58</f>
        <v>3.2453690829164814</v>
      </c>
      <c r="AI23" s="13">
        <f>'TUSD BE'!$AI$23*'TUSD BF'!$AI$58</f>
        <v>0.11134337617888107</v>
      </c>
      <c r="AJ23" s="13">
        <f ca="1">'TUSD BE'!$AJ$23*'TUSD BF'!$AJ$58</f>
        <v>0.62950534663476354</v>
      </c>
      <c r="AK23" s="13">
        <f ca="1">'TUSD BE'!$AK$23*'TUSD BF'!$AK$58</f>
        <v>0</v>
      </c>
      <c r="AL23" s="13">
        <f ca="1">SUM($AH$23:$AK$23)</f>
        <v>3.9862178057301261</v>
      </c>
      <c r="AM23" s="13">
        <f ca="1">SUMIF($L$4:$AL$4,"SUBTOTAL",$L$23:$AL$23)</f>
        <v>3.9862178057301261</v>
      </c>
      <c r="AO23" s="26">
        <f ca="1">+'TUSD BE'!$T$23+'TUSD BE'!$AB$23+'TUSD BE'!$AD$23+'TUSD BE'!$AL$23</f>
        <v>351.0491038430489</v>
      </c>
      <c r="AP23" s="26">
        <f ca="1">+'TUSD BE'!$T$23+'TUSD BE'!$AB$23+'TUSD BE'!$AD$23+'TUSD BE'!$AL$23</f>
        <v>351.0491038430489</v>
      </c>
    </row>
    <row r="24" spans="1:42" ht="11.25" customHeight="1" x14ac:dyDescent="0.25">
      <c r="A24" s="142"/>
      <c r="B24" s="142"/>
      <c r="C24" s="142"/>
      <c r="D24" s="23" t="s">
        <v>31</v>
      </c>
      <c r="E24" s="23" t="s">
        <v>25</v>
      </c>
      <c r="F24" s="23" t="s">
        <v>25</v>
      </c>
      <c r="G24" s="24" t="s">
        <v>79</v>
      </c>
      <c r="H24" s="24" t="s">
        <v>75</v>
      </c>
      <c r="I24" s="24">
        <f>'MERCADO TUSD'!$U$21</f>
        <v>17.806999999999999</v>
      </c>
      <c r="J24" s="15"/>
      <c r="L24" s="13">
        <f>'TUSD BE'!$L$24*'TUSD BF'!$L$58</f>
        <v>0</v>
      </c>
      <c r="M24" s="13">
        <f>'TUSD BE'!$M$24*'TUSD BF'!$M$58</f>
        <v>0</v>
      </c>
      <c r="N24" s="13">
        <f ca="1">'TUSD BE'!$N$24*'TUSD BF'!$N$58</f>
        <v>0</v>
      </c>
      <c r="O24" s="13">
        <f>'TUSD BE'!$O$24*'TUSD BF'!$O$58</f>
        <v>0</v>
      </c>
      <c r="P24" s="13">
        <f>'TUSD BE'!$P$24*'TUSD BF'!$P$58</f>
        <v>0</v>
      </c>
      <c r="Q24" s="13">
        <f>'TUSD BE'!$Q$24*'TUSD BF'!$Q$58</f>
        <v>0</v>
      </c>
      <c r="R24" s="13">
        <f>'TUSD BE'!$R$24*'TUSD BF'!$R$58</f>
        <v>0</v>
      </c>
      <c r="S24" s="13">
        <f>'TUSD BE'!$R$24*'TUSD BF'!$S$58</f>
        <v>0</v>
      </c>
      <c r="T24" s="13">
        <f ca="1">SUM($L$24:$S$24)</f>
        <v>0</v>
      </c>
      <c r="U24" s="13">
        <f>'TUSD BE'!$U$24*'TUSD BF'!$U$58</f>
        <v>0</v>
      </c>
      <c r="V24" s="13">
        <f>'TUSD BE'!$V$24*'TUSD BF'!$V$58</f>
        <v>0</v>
      </c>
      <c r="W24" s="13">
        <f>'TUSD BE'!$W$24*'TUSD BF'!$W$58</f>
        <v>0</v>
      </c>
      <c r="X24" s="13">
        <f>'TUSD BE'!$X$24*'TUSD BF'!$X$58</f>
        <v>0</v>
      </c>
      <c r="Y24" s="13">
        <f>'TUSD BE'!$Y$24*'TUSD BF'!$Y$58</f>
        <v>0</v>
      </c>
      <c r="Z24" s="13">
        <f>'TUSD BE'!$Z$24*'TUSD BF'!$Z$58</f>
        <v>0</v>
      </c>
      <c r="AA24" s="13">
        <f>'TUSD BE'!$AA$24*'TUSD BF'!$AA$58</f>
        <v>0</v>
      </c>
      <c r="AB24" s="13">
        <f>SUM($U$24:$AA$24)</f>
        <v>0</v>
      </c>
      <c r="AC24" s="13">
        <f>'TUSD BE'!$AC$24*'TUSD BF'!$AC$58</f>
        <v>0</v>
      </c>
      <c r="AD24" s="13">
        <f>SUM($AC$24:$AC$24)</f>
        <v>0</v>
      </c>
      <c r="AE24" s="13">
        <f ca="1">$AO$24*$AO$55</f>
        <v>0</v>
      </c>
      <c r="AF24" s="13">
        <f ca="1">$AP$24*$AP$55</f>
        <v>0</v>
      </c>
      <c r="AG24" s="13">
        <f ca="1">SUM($AE$24:$AF$24)</f>
        <v>0</v>
      </c>
      <c r="AH24" s="13">
        <f>'TUSD BE'!$AH$24*'TUSD BF'!$AH$58</f>
        <v>3.2453690829164814</v>
      </c>
      <c r="AI24" s="13">
        <f>'TUSD BE'!$AI$24*'TUSD BF'!$AI$58</f>
        <v>0.11134337617888107</v>
      </c>
      <c r="AJ24" s="13">
        <f ca="1">'TUSD BE'!$AJ$24*'TUSD BF'!$AJ$58</f>
        <v>0.62950534663476354</v>
      </c>
      <c r="AK24" s="13">
        <f ca="1">'TUSD BE'!$AK$24*'TUSD BF'!$AK$58</f>
        <v>0</v>
      </c>
      <c r="AL24" s="13">
        <f ca="1">SUM($AH$24:$AK$24)</f>
        <v>3.9862178057301261</v>
      </c>
      <c r="AM24" s="13">
        <f ca="1">SUMIF($L$4:$AL$4,"SUBTOTAL",$L$24:$AL$24)</f>
        <v>3.9862178057301261</v>
      </c>
      <c r="AO24" s="26">
        <f ca="1">+'TUSD BE'!$T$24+'TUSD BE'!$AB$24+'TUSD BE'!$AD$24+'TUSD BE'!$AL$24</f>
        <v>351.0491038430489</v>
      </c>
      <c r="AP24" s="26">
        <f ca="1">+'TUSD BE'!$T$24+'TUSD BE'!$AB$24+'TUSD BE'!$AD$24+'TUSD BE'!$AL$24</f>
        <v>351.0491038430489</v>
      </c>
    </row>
    <row r="25" spans="1:42" ht="11.25" customHeight="1" x14ac:dyDescent="0.25">
      <c r="A25" s="142"/>
      <c r="B25" s="142" t="s">
        <v>90</v>
      </c>
      <c r="C25" s="142" t="s">
        <v>24</v>
      </c>
      <c r="D25" s="23" t="s">
        <v>24</v>
      </c>
      <c r="E25" s="23" t="s">
        <v>25</v>
      </c>
      <c r="F25" s="23" t="s">
        <v>25</v>
      </c>
      <c r="G25" s="24" t="s">
        <v>79</v>
      </c>
      <c r="H25" s="24" t="s">
        <v>75</v>
      </c>
      <c r="I25" s="24">
        <f>'MERCADO TUSD'!$U$22</f>
        <v>0</v>
      </c>
      <c r="J25" s="15"/>
      <c r="L25" s="13">
        <f>'TUSD BE'!$L$25*'TUSD BF'!$L$58</f>
        <v>0</v>
      </c>
      <c r="M25" s="13">
        <f>'TUSD BE'!$M$25*'TUSD BF'!$M$58</f>
        <v>0</v>
      </c>
      <c r="N25" s="13">
        <f ca="1">'TUSD BE'!$N$25*'TUSD BF'!$N$58</f>
        <v>0</v>
      </c>
      <c r="O25" s="13">
        <f>'TUSD BE'!$O$25*'TUSD BF'!$O$58</f>
        <v>0</v>
      </c>
      <c r="P25" s="13">
        <f>'TUSD BE'!$P$25*'TUSD BF'!$P$58</f>
        <v>0</v>
      </c>
      <c r="Q25" s="13">
        <f>'TUSD BE'!$Q$25*'TUSD BF'!$Q$58</f>
        <v>15.115782395110955</v>
      </c>
      <c r="R25" s="13">
        <f>'TUSD BE'!$R$25*'TUSD BF'!$R$58</f>
        <v>3.8674263187489499</v>
      </c>
      <c r="S25" s="13">
        <f>'TUSD BE'!$R$25*'TUSD BF'!$S$58</f>
        <v>0</v>
      </c>
      <c r="T25" s="13">
        <f ca="1">SUM($L$25:$S$25)</f>
        <v>18.983208713859906</v>
      </c>
      <c r="U25" s="13">
        <f>'TUSD BE'!$U$25*'TUSD BF'!$U$58</f>
        <v>0</v>
      </c>
      <c r="V25" s="13">
        <f>'TUSD BE'!$V$25*'TUSD BF'!$V$58</f>
        <v>0</v>
      </c>
      <c r="W25" s="13">
        <f>'TUSD BE'!$W$25*'TUSD BF'!$W$58</f>
        <v>0</v>
      </c>
      <c r="X25" s="13">
        <f>'TUSD BE'!$X$25*'TUSD BF'!$X$58</f>
        <v>0</v>
      </c>
      <c r="Y25" s="13">
        <f>'TUSD BE'!$Y$25*'TUSD BF'!$Y$58</f>
        <v>0</v>
      </c>
      <c r="Z25" s="13">
        <f>'TUSD BE'!$Z$25*'TUSD BF'!$Z$58</f>
        <v>0</v>
      </c>
      <c r="AA25" s="13">
        <f>'TUSD BE'!$AA$25*'TUSD BF'!$AA$58</f>
        <v>0</v>
      </c>
      <c r="AB25" s="13">
        <f>SUM($U$25:$AA$25)</f>
        <v>0</v>
      </c>
      <c r="AC25" s="13">
        <f>'TUSD BE'!$AC$25*'TUSD BF'!$AC$58</f>
        <v>0</v>
      </c>
      <c r="AD25" s="13">
        <f>SUM($AC$25:$AC$25)</f>
        <v>0</v>
      </c>
      <c r="AE25" s="13">
        <f ca="1">$AO$25*$AO$55</f>
        <v>0</v>
      </c>
      <c r="AF25" s="13">
        <f ca="1">$AP$25*$AP$55</f>
        <v>0</v>
      </c>
      <c r="AG25" s="13">
        <f ca="1">SUM($AE$25:$AF$25)</f>
        <v>0</v>
      </c>
      <c r="AH25" s="13">
        <f>'TUSD BE'!$AH$25*'TUSD BF'!$AH$58</f>
        <v>3.2453690829164814</v>
      </c>
      <c r="AI25" s="13">
        <f>'TUSD BE'!$AI$25*'TUSD BF'!$AI$58</f>
        <v>0.11134337617888107</v>
      </c>
      <c r="AJ25" s="13">
        <f ca="1">'TUSD BE'!$AJ$25*'TUSD BF'!$AJ$58</f>
        <v>0.62950534663476354</v>
      </c>
      <c r="AK25" s="13">
        <f ca="1">'TUSD BE'!$AK$25*'TUSD BF'!$AK$58</f>
        <v>0</v>
      </c>
      <c r="AL25" s="13">
        <f ca="1">SUM($AH$25:$AK$25)</f>
        <v>3.9862178057301261</v>
      </c>
      <c r="AM25" s="13">
        <f ca="1">SUMIF($L$4:$AL$4,"SUBTOTAL",$L$25:$AL$25)</f>
        <v>22.96942651959003</v>
      </c>
      <c r="AO25" s="26">
        <f ca="1">+'TUSD BE'!$T$25+'TUSD BE'!$AB$25+'TUSD BE'!$AD$25+'TUSD BE'!$AL$25</f>
        <v>454.26815861179813</v>
      </c>
      <c r="AP25" s="26">
        <f ca="1">+'TUSD BE'!$T$25+'TUSD BE'!$AB$25+'TUSD BE'!$AD$25+'TUSD BE'!$AL$25</f>
        <v>454.26815861179813</v>
      </c>
    </row>
    <row r="26" spans="1:42" ht="11.25" customHeight="1" x14ac:dyDescent="0.25">
      <c r="A26" s="142"/>
      <c r="B26" s="142"/>
      <c r="C26" s="142"/>
      <c r="D26" s="23" t="s">
        <v>28</v>
      </c>
      <c r="E26" s="23" t="s">
        <v>25</v>
      </c>
      <c r="F26" s="23" t="s">
        <v>25</v>
      </c>
      <c r="G26" s="24" t="s">
        <v>79</v>
      </c>
      <c r="H26" s="24" t="s">
        <v>75</v>
      </c>
      <c r="I26" s="24">
        <f>'MERCADO TUSD'!$U$23</f>
        <v>0</v>
      </c>
      <c r="J26" s="15"/>
      <c r="L26" s="13">
        <f>'TUSD BE'!$L$26*'TUSD BF'!$L$58</f>
        <v>0</v>
      </c>
      <c r="M26" s="13">
        <f>'TUSD BE'!$M$26*'TUSD BF'!$M$58</f>
        <v>0</v>
      </c>
      <c r="N26" s="13">
        <f ca="1">'TUSD BE'!$N$26*'TUSD BF'!$N$58</f>
        <v>0</v>
      </c>
      <c r="O26" s="13">
        <f>'TUSD BE'!$O$26*'TUSD BF'!$O$58</f>
        <v>0</v>
      </c>
      <c r="P26" s="13">
        <f>'TUSD BE'!$P$26*'TUSD BF'!$P$58</f>
        <v>0</v>
      </c>
      <c r="Q26" s="13">
        <f>'TUSD BE'!$Q$26*'TUSD BF'!$Q$58</f>
        <v>0</v>
      </c>
      <c r="R26" s="13">
        <f>'TUSD BE'!$R$26*'TUSD BF'!$R$58</f>
        <v>0</v>
      </c>
      <c r="S26" s="13">
        <f>'TUSD BE'!$R$26*'TUSD BF'!$S$58</f>
        <v>0</v>
      </c>
      <c r="T26" s="13">
        <f ca="1">SUM($L$26:$S$26)</f>
        <v>0</v>
      </c>
      <c r="U26" s="13">
        <f>'TUSD BE'!$U$26*'TUSD BF'!$U$58</f>
        <v>0</v>
      </c>
      <c r="V26" s="13">
        <f>'TUSD BE'!$V$26*'TUSD BF'!$V$58</f>
        <v>0</v>
      </c>
      <c r="W26" s="13">
        <f>'TUSD BE'!$W$26*'TUSD BF'!$W$58</f>
        <v>0</v>
      </c>
      <c r="X26" s="13">
        <f>'TUSD BE'!$X$26*'TUSD BF'!$X$58</f>
        <v>0</v>
      </c>
      <c r="Y26" s="13">
        <f>'TUSD BE'!$Y$26*'TUSD BF'!$Y$58</f>
        <v>0</v>
      </c>
      <c r="Z26" s="13">
        <f>'TUSD BE'!$Z$26*'TUSD BF'!$Z$58</f>
        <v>0</v>
      </c>
      <c r="AA26" s="13">
        <f>'TUSD BE'!$AA$26*'TUSD BF'!$AA$58</f>
        <v>0</v>
      </c>
      <c r="AB26" s="13">
        <f>SUM($U$26:$AA$26)</f>
        <v>0</v>
      </c>
      <c r="AC26" s="13">
        <f>'TUSD BE'!$AC$26*'TUSD BF'!$AC$58</f>
        <v>0</v>
      </c>
      <c r="AD26" s="13">
        <f>SUM($AC$26:$AC$26)</f>
        <v>0</v>
      </c>
      <c r="AE26" s="13">
        <f ca="1">$AO$26*$AO$55</f>
        <v>0</v>
      </c>
      <c r="AF26" s="13">
        <f ca="1">$AP$26*$AP$55</f>
        <v>0</v>
      </c>
      <c r="AG26" s="13">
        <f ca="1">SUM($AE$26:$AF$26)</f>
        <v>0</v>
      </c>
      <c r="AH26" s="13">
        <f>'TUSD BE'!$AH$26*'TUSD BF'!$AH$58</f>
        <v>3.2453690829164814</v>
      </c>
      <c r="AI26" s="13">
        <f>'TUSD BE'!$AI$26*'TUSD BF'!$AI$58</f>
        <v>0.11134337617888107</v>
      </c>
      <c r="AJ26" s="13">
        <f ca="1">'TUSD BE'!$AJ$26*'TUSD BF'!$AJ$58</f>
        <v>0.62950534663476354</v>
      </c>
      <c r="AK26" s="13">
        <f ca="1">'TUSD BE'!$AK$26*'TUSD BF'!$AK$58</f>
        <v>0</v>
      </c>
      <c r="AL26" s="13">
        <f ca="1">SUM($AH$26:$AK$26)</f>
        <v>3.9862178057301261</v>
      </c>
      <c r="AM26" s="13">
        <f ca="1">SUMIF($L$4:$AL$4,"SUBTOTAL",$L$26:$AL$26)</f>
        <v>3.9862178057301261</v>
      </c>
      <c r="AO26" s="26">
        <f ca="1">+'TUSD BE'!$T$26+'TUSD BE'!$AB$26+'TUSD BE'!$AD$26+'TUSD BE'!$AL$26</f>
        <v>351.0491038430489</v>
      </c>
      <c r="AP26" s="26">
        <f ca="1">+'TUSD BE'!$T$26+'TUSD BE'!$AB$26+'TUSD BE'!$AD$26+'TUSD BE'!$AL$26</f>
        <v>351.0491038430489</v>
      </c>
    </row>
    <row r="27" spans="1:42" ht="11.25" customHeight="1" x14ac:dyDescent="0.25">
      <c r="A27" s="142"/>
      <c r="B27" s="142"/>
      <c r="C27" s="142"/>
      <c r="D27" s="23" t="s">
        <v>29</v>
      </c>
      <c r="E27" s="23" t="s">
        <v>25</v>
      </c>
      <c r="F27" s="23" t="s">
        <v>25</v>
      </c>
      <c r="G27" s="24" t="s">
        <v>79</v>
      </c>
      <c r="H27" s="24" t="s">
        <v>75</v>
      </c>
      <c r="I27" s="24">
        <f>'MERCADO TUSD'!$U$24</f>
        <v>0</v>
      </c>
      <c r="J27" s="15"/>
      <c r="L27" s="13">
        <f>'TUSD BE'!$L$27*'TUSD BF'!$L$58</f>
        <v>0</v>
      </c>
      <c r="M27" s="13">
        <f>'TUSD BE'!$M$27*'TUSD BF'!$M$58</f>
        <v>0</v>
      </c>
      <c r="N27" s="13">
        <f ca="1">'TUSD BE'!$N$27*'TUSD BF'!$N$58</f>
        <v>0</v>
      </c>
      <c r="O27" s="13">
        <f>'TUSD BE'!$O$27*'TUSD BF'!$O$58</f>
        <v>0</v>
      </c>
      <c r="P27" s="13">
        <f>'TUSD BE'!$P$27*'TUSD BF'!$P$58</f>
        <v>0</v>
      </c>
      <c r="Q27" s="13">
        <f>'TUSD BE'!$Q$27*'TUSD BF'!$Q$58</f>
        <v>0</v>
      </c>
      <c r="R27" s="13">
        <f>'TUSD BE'!$R$27*'TUSD BF'!$R$58</f>
        <v>0</v>
      </c>
      <c r="S27" s="13">
        <f>'TUSD BE'!$R$27*'TUSD BF'!$S$58</f>
        <v>0</v>
      </c>
      <c r="T27" s="13">
        <f ca="1">SUM($L$27:$S$27)</f>
        <v>0</v>
      </c>
      <c r="U27" s="13">
        <f>'TUSD BE'!$U$27*'TUSD BF'!$U$58</f>
        <v>0</v>
      </c>
      <c r="V27" s="13">
        <f>'TUSD BE'!$V$27*'TUSD BF'!$V$58</f>
        <v>0</v>
      </c>
      <c r="W27" s="13">
        <f>'TUSD BE'!$W$27*'TUSD BF'!$W$58</f>
        <v>0</v>
      </c>
      <c r="X27" s="13">
        <f>'TUSD BE'!$X$27*'TUSD BF'!$X$58</f>
        <v>0</v>
      </c>
      <c r="Y27" s="13">
        <f>'TUSD BE'!$Y$27*'TUSD BF'!$Y$58</f>
        <v>0</v>
      </c>
      <c r="Z27" s="13">
        <f>'TUSD BE'!$Z$27*'TUSD BF'!$Z$58</f>
        <v>0</v>
      </c>
      <c r="AA27" s="13">
        <f>'TUSD BE'!$AA$27*'TUSD BF'!$AA$58</f>
        <v>0</v>
      </c>
      <c r="AB27" s="13">
        <f>SUM($U$27:$AA$27)</f>
        <v>0</v>
      </c>
      <c r="AC27" s="13">
        <f>'TUSD BE'!$AC$27*'TUSD BF'!$AC$58</f>
        <v>0</v>
      </c>
      <c r="AD27" s="13">
        <f>SUM($AC$27:$AC$27)</f>
        <v>0</v>
      </c>
      <c r="AE27" s="13">
        <f ca="1">$AO$27*$AO$55</f>
        <v>0</v>
      </c>
      <c r="AF27" s="13">
        <f ca="1">$AP$27*$AP$55</f>
        <v>0</v>
      </c>
      <c r="AG27" s="13">
        <f ca="1">SUM($AE$27:$AF$27)</f>
        <v>0</v>
      </c>
      <c r="AH27" s="13">
        <f>'TUSD BE'!$AH$27*'TUSD BF'!$AH$58</f>
        <v>3.2453690829164814</v>
      </c>
      <c r="AI27" s="13">
        <f>'TUSD BE'!$AI$27*'TUSD BF'!$AI$58</f>
        <v>0.11134337617888107</v>
      </c>
      <c r="AJ27" s="13">
        <f ca="1">'TUSD BE'!$AJ$27*'TUSD BF'!$AJ$58</f>
        <v>0.62950534663476354</v>
      </c>
      <c r="AK27" s="13">
        <f ca="1">'TUSD BE'!$AK$27*'TUSD BF'!$AK$58</f>
        <v>0</v>
      </c>
      <c r="AL27" s="13">
        <f ca="1">SUM($AH$27:$AK$27)</f>
        <v>3.9862178057301261</v>
      </c>
      <c r="AM27" s="13">
        <f ca="1">SUMIF($L$4:$AL$4,"SUBTOTAL",$L$27:$AL$27)</f>
        <v>3.9862178057301261</v>
      </c>
      <c r="AO27" s="26">
        <f ca="1">+'TUSD BE'!$T$27+'TUSD BE'!$AB$27+'TUSD BE'!$AD$27+'TUSD BE'!$AL$27</f>
        <v>351.0491038430489</v>
      </c>
      <c r="AP27" s="26">
        <f ca="1">+'TUSD BE'!$T$27+'TUSD BE'!$AB$27+'TUSD BE'!$AD$27+'TUSD BE'!$AL$27</f>
        <v>351.0491038430489</v>
      </c>
    </row>
    <row r="28" spans="1:42" ht="11.25" customHeight="1" x14ac:dyDescent="0.25">
      <c r="A28" s="142"/>
      <c r="B28" s="142"/>
      <c r="C28" s="142"/>
      <c r="D28" s="23" t="s">
        <v>30</v>
      </c>
      <c r="E28" s="23" t="s">
        <v>25</v>
      </c>
      <c r="F28" s="23" t="s">
        <v>25</v>
      </c>
      <c r="G28" s="24" t="s">
        <v>79</v>
      </c>
      <c r="H28" s="24" t="s">
        <v>75</v>
      </c>
      <c r="I28" s="24">
        <f>'MERCADO TUSD'!$U$25</f>
        <v>0</v>
      </c>
      <c r="J28" s="15"/>
      <c r="L28" s="13">
        <f>'TUSD BE'!$L$28*'TUSD BF'!$L$58</f>
        <v>0</v>
      </c>
      <c r="M28" s="13">
        <f>'TUSD BE'!$M$28*'TUSD BF'!$M$58</f>
        <v>0</v>
      </c>
      <c r="N28" s="13">
        <f ca="1">'TUSD BE'!$N$28*'TUSD BF'!$N$58</f>
        <v>0</v>
      </c>
      <c r="O28" s="13">
        <f>'TUSD BE'!$O$28*'TUSD BF'!$O$58</f>
        <v>0</v>
      </c>
      <c r="P28" s="13">
        <f>'TUSD BE'!$P$28*'TUSD BF'!$P$58</f>
        <v>0</v>
      </c>
      <c r="Q28" s="13">
        <f>'TUSD BE'!$Q$28*'TUSD BF'!$Q$58</f>
        <v>0</v>
      </c>
      <c r="R28" s="13">
        <f>'TUSD BE'!$R$28*'TUSD BF'!$R$58</f>
        <v>0</v>
      </c>
      <c r="S28" s="13">
        <f>'TUSD BE'!$R$28*'TUSD BF'!$S$58</f>
        <v>0</v>
      </c>
      <c r="T28" s="13">
        <f ca="1">SUM($L$28:$S$28)</f>
        <v>0</v>
      </c>
      <c r="U28" s="13">
        <f>'TUSD BE'!$U$28*'TUSD BF'!$U$58</f>
        <v>0</v>
      </c>
      <c r="V28" s="13">
        <f>'TUSD BE'!$V$28*'TUSD BF'!$V$58</f>
        <v>0</v>
      </c>
      <c r="W28" s="13">
        <f>'TUSD BE'!$W$28*'TUSD BF'!$W$58</f>
        <v>0</v>
      </c>
      <c r="X28" s="13">
        <f>'TUSD BE'!$X$28*'TUSD BF'!$X$58</f>
        <v>0</v>
      </c>
      <c r="Y28" s="13">
        <f>'TUSD BE'!$Y$28*'TUSD BF'!$Y$58</f>
        <v>0</v>
      </c>
      <c r="Z28" s="13">
        <f>'TUSD BE'!$Z$28*'TUSD BF'!$Z$58</f>
        <v>0</v>
      </c>
      <c r="AA28" s="13">
        <f>'TUSD BE'!$AA$28*'TUSD BF'!$AA$58</f>
        <v>0</v>
      </c>
      <c r="AB28" s="13">
        <f>SUM($U$28:$AA$28)</f>
        <v>0</v>
      </c>
      <c r="AC28" s="13">
        <f>'TUSD BE'!$AC$28*'TUSD BF'!$AC$58</f>
        <v>0</v>
      </c>
      <c r="AD28" s="13">
        <f>SUM($AC$28:$AC$28)</f>
        <v>0</v>
      </c>
      <c r="AE28" s="13">
        <f ca="1">$AO$28*$AO$55</f>
        <v>0</v>
      </c>
      <c r="AF28" s="13">
        <f ca="1">$AP$28*$AP$55</f>
        <v>0</v>
      </c>
      <c r="AG28" s="13">
        <f ca="1">SUM($AE$28:$AF$28)</f>
        <v>0</v>
      </c>
      <c r="AH28" s="13">
        <f>'TUSD BE'!$AH$28*'TUSD BF'!$AH$58</f>
        <v>3.2453690829164814</v>
      </c>
      <c r="AI28" s="13">
        <f>'TUSD BE'!$AI$28*'TUSD BF'!$AI$58</f>
        <v>0.11134337617888107</v>
      </c>
      <c r="AJ28" s="13">
        <f ca="1">'TUSD BE'!$AJ$28*'TUSD BF'!$AJ$58</f>
        <v>0.62950534663476354</v>
      </c>
      <c r="AK28" s="13">
        <f ca="1">'TUSD BE'!$AK$28*'TUSD BF'!$AK$58</f>
        <v>0</v>
      </c>
      <c r="AL28" s="13">
        <f ca="1">SUM($AH$28:$AK$28)</f>
        <v>3.9862178057301261</v>
      </c>
      <c r="AM28" s="13">
        <f ca="1">SUMIF($L$4:$AL$4,"SUBTOTAL",$L$28:$AL$28)</f>
        <v>3.9862178057301261</v>
      </c>
      <c r="AO28" s="26">
        <f ca="1">+'TUSD BE'!$T$28+'TUSD BE'!$AB$28+'TUSD BE'!$AD$28+'TUSD BE'!$AL$28</f>
        <v>351.0491038430489</v>
      </c>
      <c r="AP28" s="26">
        <f ca="1">+'TUSD BE'!$T$28+'TUSD BE'!$AB$28+'TUSD BE'!$AD$28+'TUSD BE'!$AL$28</f>
        <v>351.0491038430489</v>
      </c>
    </row>
    <row r="29" spans="1:42" ht="11.25" customHeight="1" x14ac:dyDescent="0.25">
      <c r="A29" s="142"/>
      <c r="B29" s="142"/>
      <c r="C29" s="142"/>
      <c r="D29" s="23" t="s">
        <v>31</v>
      </c>
      <c r="E29" s="23" t="s">
        <v>25</v>
      </c>
      <c r="F29" s="23" t="s">
        <v>25</v>
      </c>
      <c r="G29" s="24" t="s">
        <v>79</v>
      </c>
      <c r="H29" s="24" t="s">
        <v>75</v>
      </c>
      <c r="I29" s="24">
        <f>'MERCADO TUSD'!$U$26</f>
        <v>0</v>
      </c>
      <c r="J29" s="15"/>
      <c r="L29" s="13">
        <f>'TUSD BE'!$L$29*'TUSD BF'!$L$58</f>
        <v>0</v>
      </c>
      <c r="M29" s="13">
        <f>'TUSD BE'!$M$29*'TUSD BF'!$M$58</f>
        <v>0</v>
      </c>
      <c r="N29" s="13">
        <f ca="1">'TUSD BE'!$N$29*'TUSD BF'!$N$58</f>
        <v>0</v>
      </c>
      <c r="O29" s="13">
        <f>'TUSD BE'!$O$29*'TUSD BF'!$O$58</f>
        <v>0</v>
      </c>
      <c r="P29" s="13">
        <f>'TUSD BE'!$P$29*'TUSD BF'!$P$58</f>
        <v>0</v>
      </c>
      <c r="Q29" s="13">
        <f>'TUSD BE'!$Q$29*'TUSD BF'!$Q$58</f>
        <v>0</v>
      </c>
      <c r="R29" s="13">
        <f>'TUSD BE'!$R$29*'TUSD BF'!$R$58</f>
        <v>0</v>
      </c>
      <c r="S29" s="13">
        <f>'TUSD BE'!$R$29*'TUSD BF'!$S$58</f>
        <v>0</v>
      </c>
      <c r="T29" s="13">
        <f ca="1">SUM($L$29:$S$29)</f>
        <v>0</v>
      </c>
      <c r="U29" s="13">
        <f>'TUSD BE'!$U$29*'TUSD BF'!$U$58</f>
        <v>0</v>
      </c>
      <c r="V29" s="13">
        <f>'TUSD BE'!$V$29*'TUSD BF'!$V$58</f>
        <v>0</v>
      </c>
      <c r="W29" s="13">
        <f>'TUSD BE'!$W$29*'TUSD BF'!$W$58</f>
        <v>0</v>
      </c>
      <c r="X29" s="13">
        <f>'TUSD BE'!$X$29*'TUSD BF'!$X$58</f>
        <v>0</v>
      </c>
      <c r="Y29" s="13">
        <f>'TUSD BE'!$Y$29*'TUSD BF'!$Y$58</f>
        <v>0</v>
      </c>
      <c r="Z29" s="13">
        <f>'TUSD BE'!$Z$29*'TUSD BF'!$Z$58</f>
        <v>0</v>
      </c>
      <c r="AA29" s="13">
        <f>'TUSD BE'!$AA$29*'TUSD BF'!$AA$58</f>
        <v>0</v>
      </c>
      <c r="AB29" s="13">
        <f>SUM($U$29:$AA$29)</f>
        <v>0</v>
      </c>
      <c r="AC29" s="13">
        <f>'TUSD BE'!$AC$29*'TUSD BF'!$AC$58</f>
        <v>0</v>
      </c>
      <c r="AD29" s="13">
        <f>SUM($AC$29:$AC$29)</f>
        <v>0</v>
      </c>
      <c r="AE29" s="13">
        <f ca="1">$AO$29*$AO$55</f>
        <v>0</v>
      </c>
      <c r="AF29" s="13">
        <f ca="1">$AP$29*$AP$55</f>
        <v>0</v>
      </c>
      <c r="AG29" s="13">
        <f ca="1">SUM($AE$29:$AF$29)</f>
        <v>0</v>
      </c>
      <c r="AH29" s="13">
        <f>'TUSD BE'!$AH$29*'TUSD BF'!$AH$58</f>
        <v>3.2453690829164814</v>
      </c>
      <c r="AI29" s="13">
        <f>'TUSD BE'!$AI$29*'TUSD BF'!$AI$58</f>
        <v>0.11134337617888107</v>
      </c>
      <c r="AJ29" s="13">
        <f ca="1">'TUSD BE'!$AJ$29*'TUSD BF'!$AJ$58</f>
        <v>0.62950534663476354</v>
      </c>
      <c r="AK29" s="13">
        <f ca="1">'TUSD BE'!$AK$29*'TUSD BF'!$AK$58</f>
        <v>0</v>
      </c>
      <c r="AL29" s="13">
        <f ca="1">SUM($AH$29:$AK$29)</f>
        <v>3.9862178057301261</v>
      </c>
      <c r="AM29" s="13">
        <f ca="1">SUMIF($L$4:$AL$4,"SUBTOTAL",$L$29:$AL$29)</f>
        <v>3.9862178057301261</v>
      </c>
      <c r="AO29" s="26">
        <f ca="1">+'TUSD BE'!$T$29+'TUSD BE'!$AB$29+'TUSD BE'!$AD$29+'TUSD BE'!$AL$29</f>
        <v>351.0491038430489</v>
      </c>
      <c r="AP29" s="26">
        <f ca="1">+'TUSD BE'!$T$29+'TUSD BE'!$AB$29+'TUSD BE'!$AD$29+'TUSD BE'!$AL$29</f>
        <v>351.0491038430489</v>
      </c>
    </row>
    <row r="30" spans="1:42" ht="11.25" customHeight="1" x14ac:dyDescent="0.25">
      <c r="A30" s="142" t="s">
        <v>41</v>
      </c>
      <c r="B30" s="142" t="s">
        <v>32</v>
      </c>
      <c r="C30" s="142" t="s">
        <v>42</v>
      </c>
      <c r="D30" s="142" t="s">
        <v>25</v>
      </c>
      <c r="E30" s="142" t="s">
        <v>25</v>
      </c>
      <c r="F30" s="142" t="s">
        <v>25</v>
      </c>
      <c r="G30" s="24" t="s">
        <v>76</v>
      </c>
      <c r="H30" s="24" t="s">
        <v>75</v>
      </c>
      <c r="I30" s="24">
        <f>'MERCADO TUSD'!$U$27</f>
        <v>0</v>
      </c>
      <c r="J30" s="15"/>
      <c r="L30" s="13">
        <f>'TUSD BE'!$L$30*'TUSD BF'!$L$58</f>
        <v>0</v>
      </c>
      <c r="M30" s="13">
        <f>'TUSD BE'!$M$30*'TUSD BF'!$M$58</f>
        <v>0</v>
      </c>
      <c r="N30" s="13">
        <f ca="1">'TUSD BE'!$N$30*'TUSD BF'!$N$58</f>
        <v>0</v>
      </c>
      <c r="O30" s="13">
        <f>'TUSD BE'!$O$30*'TUSD BF'!$O$58</f>
        <v>0</v>
      </c>
      <c r="P30" s="13">
        <f>'TUSD BE'!$P$30*'TUSD BF'!$P$58</f>
        <v>0</v>
      </c>
      <c r="Q30" s="13">
        <f>'TUSD BE'!$Q$30*'TUSD BF'!$Q$58</f>
        <v>15.115782395110955</v>
      </c>
      <c r="R30" s="13">
        <f>'TUSD BE'!$R$30*'TUSD BF'!$R$58</f>
        <v>3.8674263187489499</v>
      </c>
      <c r="S30" s="13">
        <f>'TUSD BE'!$R$30*'TUSD BF'!$S$58</f>
        <v>0</v>
      </c>
      <c r="T30" s="13">
        <f ca="1">SUM($L$30:$S$30)</f>
        <v>18.983208713859906</v>
      </c>
      <c r="U30" s="13">
        <f>'TUSD BE'!$U$30*'TUSD BF'!$U$58</f>
        <v>0</v>
      </c>
      <c r="V30" s="13">
        <f>'TUSD BE'!$V$30*'TUSD BF'!$V$58</f>
        <v>0</v>
      </c>
      <c r="W30" s="13">
        <f>'TUSD BE'!$W$30*'TUSD BF'!$W$58</f>
        <v>0</v>
      </c>
      <c r="X30" s="13">
        <f>'TUSD BE'!$X$30*'TUSD BF'!$X$58</f>
        <v>0</v>
      </c>
      <c r="Y30" s="13">
        <f>'TUSD BE'!$Y$30*'TUSD BF'!$Y$58</f>
        <v>0</v>
      </c>
      <c r="Z30" s="13">
        <f>'TUSD BE'!$Z$30*'TUSD BF'!$Z$58</f>
        <v>0</v>
      </c>
      <c r="AA30" s="13">
        <f>'TUSD BE'!$AA$30*'TUSD BF'!$AA$58</f>
        <v>0</v>
      </c>
      <c r="AB30" s="13">
        <f>SUM($U$30:$AA$30)</f>
        <v>0</v>
      </c>
      <c r="AC30" s="13">
        <f>'TUSD BE'!$AC$30*'TUSD BF'!$AC$58</f>
        <v>0</v>
      </c>
      <c r="AD30" s="13">
        <f>SUM($AC$30:$AC$30)</f>
        <v>0</v>
      </c>
      <c r="AE30" s="13">
        <f ca="1">$AO$30*$AO$55</f>
        <v>0</v>
      </c>
      <c r="AF30" s="13">
        <f ca="1">$AP$30*$AP$55</f>
        <v>0</v>
      </c>
      <c r="AG30" s="13">
        <f ca="1">SUM($AE$30:$AF$30)</f>
        <v>0</v>
      </c>
      <c r="AH30" s="13">
        <f>'TUSD BE'!$AH$30*'TUSD BF'!$AH$58</f>
        <v>3.2453690829164814</v>
      </c>
      <c r="AI30" s="13">
        <f>'TUSD BE'!$AI$30*'TUSD BF'!$AI$58</f>
        <v>0.11134337617888107</v>
      </c>
      <c r="AJ30" s="13">
        <f ca="1">'TUSD BE'!$AJ$30*'TUSD BF'!$AJ$58</f>
        <v>0.62950534663476354</v>
      </c>
      <c r="AK30" s="13">
        <f ca="1">'TUSD BE'!$AK$30*'TUSD BF'!$AK$58</f>
        <v>0</v>
      </c>
      <c r="AL30" s="13">
        <f ca="1">SUM($AH$30:$AK$30)</f>
        <v>3.9862178057301261</v>
      </c>
      <c r="AM30" s="13">
        <f ca="1">SUMIF($L$4:$AL$4,"SUBTOTAL",$L$30:$AL$30)</f>
        <v>22.96942651959003</v>
      </c>
      <c r="AO30" s="26">
        <f ca="1">+'TUSD BE'!$T$30+'TUSD BE'!$AB$30+'TUSD BE'!$AD$30+'TUSD BE'!$AL$30</f>
        <v>1056.5727053917467</v>
      </c>
      <c r="AP30" s="26">
        <f ca="1">+'TUSD BE'!$T$30+'TUSD BE'!$AB$30+'TUSD BE'!$AD$30+'TUSD BE'!$AL$30</f>
        <v>1056.5727053917467</v>
      </c>
    </row>
    <row r="31" spans="1:42" ht="11.25" customHeight="1" x14ac:dyDescent="0.25">
      <c r="A31" s="142"/>
      <c r="B31" s="142"/>
      <c r="C31" s="142"/>
      <c r="D31" s="142"/>
      <c r="E31" s="142"/>
      <c r="F31" s="142"/>
      <c r="G31" s="24" t="s">
        <v>88</v>
      </c>
      <c r="H31" s="24" t="s">
        <v>75</v>
      </c>
      <c r="I31" s="24">
        <f>'MERCADO TUSD'!$U$28</f>
        <v>0</v>
      </c>
      <c r="J31" s="15"/>
      <c r="L31" s="13">
        <f>'TUSD BE'!$L$31*'TUSD BF'!$L$58</f>
        <v>0</v>
      </c>
      <c r="M31" s="13">
        <f>'TUSD BE'!$M$31*'TUSD BF'!$M$58</f>
        <v>0</v>
      </c>
      <c r="N31" s="13">
        <f ca="1">'TUSD BE'!$N$31*'TUSD BF'!$N$58</f>
        <v>0</v>
      </c>
      <c r="O31" s="13">
        <f>'TUSD BE'!$O$31*'TUSD BF'!$O$58</f>
        <v>0</v>
      </c>
      <c r="P31" s="13">
        <f>'TUSD BE'!$P$31*'TUSD BF'!$P$58</f>
        <v>0</v>
      </c>
      <c r="Q31" s="13">
        <f>'TUSD BE'!$Q$31*'TUSD BF'!$Q$58</f>
        <v>15.115782395110955</v>
      </c>
      <c r="R31" s="13">
        <f>'TUSD BE'!$R$31*'TUSD BF'!$R$58</f>
        <v>3.8674263187489499</v>
      </c>
      <c r="S31" s="13">
        <f>'TUSD BE'!$R$31*'TUSD BF'!$S$58</f>
        <v>0</v>
      </c>
      <c r="T31" s="13">
        <f ca="1">SUM($L$31:$S$31)</f>
        <v>18.983208713859906</v>
      </c>
      <c r="U31" s="13">
        <f>'TUSD BE'!$U$31*'TUSD BF'!$U$58</f>
        <v>0</v>
      </c>
      <c r="V31" s="13">
        <f>'TUSD BE'!$V$31*'TUSD BF'!$V$58</f>
        <v>0</v>
      </c>
      <c r="W31" s="13">
        <f>'TUSD BE'!$W$31*'TUSD BF'!$W$58</f>
        <v>0</v>
      </c>
      <c r="X31" s="13">
        <f>'TUSD BE'!$X$31*'TUSD BF'!$X$58</f>
        <v>0</v>
      </c>
      <c r="Y31" s="13">
        <f>'TUSD BE'!$Y$31*'TUSD BF'!$Y$58</f>
        <v>0</v>
      </c>
      <c r="Z31" s="13">
        <f>'TUSD BE'!$Z$31*'TUSD BF'!$Z$58</f>
        <v>0</v>
      </c>
      <c r="AA31" s="13">
        <f>'TUSD BE'!$AA$31*'TUSD BF'!$AA$58</f>
        <v>0</v>
      </c>
      <c r="AB31" s="13">
        <f>SUM($U$31:$AA$31)</f>
        <v>0</v>
      </c>
      <c r="AC31" s="13">
        <f>'TUSD BE'!$AC$31*'TUSD BF'!$AC$58</f>
        <v>0</v>
      </c>
      <c r="AD31" s="13">
        <f>SUM($AC$31:$AC$31)</f>
        <v>0</v>
      </c>
      <c r="AE31" s="13">
        <f ca="1">$AO$31*$AO$55</f>
        <v>0</v>
      </c>
      <c r="AF31" s="13">
        <f ca="1">$AP$31*$AP$55</f>
        <v>0</v>
      </c>
      <c r="AG31" s="13">
        <f ca="1">SUM($AE$31:$AF$31)</f>
        <v>0</v>
      </c>
      <c r="AH31" s="13">
        <f>'TUSD BE'!$AH$31*'TUSD BF'!$AH$58</f>
        <v>3.2453690829164814</v>
      </c>
      <c r="AI31" s="13">
        <f>'TUSD BE'!$AI$31*'TUSD BF'!$AI$58</f>
        <v>0.11134337617888107</v>
      </c>
      <c r="AJ31" s="13">
        <f ca="1">'TUSD BE'!$AJ$31*'TUSD BF'!$AJ$58</f>
        <v>0.62950534663476354</v>
      </c>
      <c r="AK31" s="13">
        <f ca="1">'TUSD BE'!$AK$31*'TUSD BF'!$AK$58</f>
        <v>0</v>
      </c>
      <c r="AL31" s="13">
        <f ca="1">SUM($AH$31:$AK$31)</f>
        <v>3.9862178057301261</v>
      </c>
      <c r="AM31" s="13">
        <f ca="1">SUMIF($L$4:$AL$4,"SUBTOTAL",$L$31:$AL$31)</f>
        <v>22.96942651959003</v>
      </c>
      <c r="AO31" s="26">
        <f ca="1">+'TUSD BE'!$T$31+'TUSD BE'!$AB$31+'TUSD BE'!$AD$31+'TUSD BE'!$AL$31</f>
        <v>685.42281292734049</v>
      </c>
      <c r="AP31" s="26">
        <f ca="1">+'TUSD BE'!$T$31+'TUSD BE'!$AB$31+'TUSD BE'!$AD$31+'TUSD BE'!$AL$31</f>
        <v>685.42281292734049</v>
      </c>
    </row>
    <row r="32" spans="1:42" ht="11.25" customHeight="1" x14ac:dyDescent="0.25">
      <c r="A32" s="142"/>
      <c r="B32" s="142"/>
      <c r="C32" s="142"/>
      <c r="D32" s="142"/>
      <c r="E32" s="142"/>
      <c r="F32" s="142"/>
      <c r="G32" s="24" t="s">
        <v>77</v>
      </c>
      <c r="H32" s="24" t="s">
        <v>75</v>
      </c>
      <c r="I32" s="24">
        <f>'MERCADO TUSD'!$U$29</f>
        <v>0</v>
      </c>
      <c r="J32" s="15"/>
      <c r="L32" s="13">
        <f>'TUSD BE'!$L$32*'TUSD BF'!$L$58</f>
        <v>0</v>
      </c>
      <c r="M32" s="13">
        <f>'TUSD BE'!$M$32*'TUSD BF'!$M$58</f>
        <v>0</v>
      </c>
      <c r="N32" s="13">
        <f ca="1">'TUSD BE'!$N$32*'TUSD BF'!$N$58</f>
        <v>0</v>
      </c>
      <c r="O32" s="13">
        <f>'TUSD BE'!$O$32*'TUSD BF'!$O$58</f>
        <v>0</v>
      </c>
      <c r="P32" s="13">
        <f>'TUSD BE'!$P$32*'TUSD BF'!$P$58</f>
        <v>0</v>
      </c>
      <c r="Q32" s="13">
        <f>'TUSD BE'!$Q$32*'TUSD BF'!$Q$58</f>
        <v>15.115782395110955</v>
      </c>
      <c r="R32" s="13">
        <f>'TUSD BE'!$R$32*'TUSD BF'!$R$58</f>
        <v>3.8674263187489499</v>
      </c>
      <c r="S32" s="13">
        <f>'TUSD BE'!$R$32*'TUSD BF'!$S$58</f>
        <v>0</v>
      </c>
      <c r="T32" s="13">
        <f ca="1">SUM($L$32:$S$32)</f>
        <v>18.983208713859906</v>
      </c>
      <c r="U32" s="13">
        <f>'TUSD BE'!$U$32*'TUSD BF'!$U$58</f>
        <v>0</v>
      </c>
      <c r="V32" s="13">
        <f>'TUSD BE'!$V$32*'TUSD BF'!$V$58</f>
        <v>0</v>
      </c>
      <c r="W32" s="13">
        <f>'TUSD BE'!$W$32*'TUSD BF'!$W$58</f>
        <v>0</v>
      </c>
      <c r="X32" s="13">
        <f>'TUSD BE'!$X$32*'TUSD BF'!$X$58</f>
        <v>0</v>
      </c>
      <c r="Y32" s="13">
        <f>'TUSD BE'!$Y$32*'TUSD BF'!$Y$58</f>
        <v>0</v>
      </c>
      <c r="Z32" s="13">
        <f>'TUSD BE'!$Z$32*'TUSD BF'!$Z$58</f>
        <v>0</v>
      </c>
      <c r="AA32" s="13">
        <f>'TUSD BE'!$AA$32*'TUSD BF'!$AA$58</f>
        <v>0</v>
      </c>
      <c r="AB32" s="13">
        <f>SUM($U$32:$AA$32)</f>
        <v>0</v>
      </c>
      <c r="AC32" s="13">
        <f>'TUSD BE'!$AC$32*'TUSD BF'!$AC$58</f>
        <v>0</v>
      </c>
      <c r="AD32" s="13">
        <f>SUM($AC$32:$AC$32)</f>
        <v>0</v>
      </c>
      <c r="AE32" s="13">
        <f ca="1">$AO$32*$AO$55</f>
        <v>0</v>
      </c>
      <c r="AF32" s="13">
        <f ca="1">$AP$32*$AP$55</f>
        <v>0</v>
      </c>
      <c r="AG32" s="13">
        <f ca="1">SUM($AE$32:$AF$32)</f>
        <v>0</v>
      </c>
      <c r="AH32" s="13">
        <f>'TUSD BE'!$AH$32*'TUSD BF'!$AH$58</f>
        <v>3.2453690829164814</v>
      </c>
      <c r="AI32" s="13">
        <f>'TUSD BE'!$AI$32*'TUSD BF'!$AI$58</f>
        <v>0.11134337617888107</v>
      </c>
      <c r="AJ32" s="13">
        <f ca="1">'TUSD BE'!$AJ$32*'TUSD BF'!$AJ$58</f>
        <v>0.62950534663476354</v>
      </c>
      <c r="AK32" s="13">
        <f ca="1">'TUSD BE'!$AK$32*'TUSD BF'!$AK$58</f>
        <v>0</v>
      </c>
      <c r="AL32" s="13">
        <f ca="1">SUM($AH$32:$AK$32)</f>
        <v>3.9862178057301261</v>
      </c>
      <c r="AM32" s="13">
        <f ca="1">SUMIF($L$4:$AL$4,"SUBTOTAL",$L$32:$AL$32)</f>
        <v>22.96942651959003</v>
      </c>
      <c r="AO32" s="26">
        <f ca="1">+'TUSD BE'!$T$32+'TUSD BE'!$AB$32+'TUSD BE'!$AD$32+'TUSD BE'!$AL$32</f>
        <v>314.27304453181222</v>
      </c>
      <c r="AP32" s="26">
        <f ca="1">+'TUSD BE'!$T$32+'TUSD BE'!$AB$32+'TUSD BE'!$AD$32+'TUSD BE'!$AL$32</f>
        <v>314.27304453181222</v>
      </c>
    </row>
    <row r="33" spans="1:42" ht="11.25" customHeight="1" x14ac:dyDescent="0.25">
      <c r="A33" s="142"/>
      <c r="B33" s="23" t="s">
        <v>23</v>
      </c>
      <c r="C33" s="23" t="s">
        <v>42</v>
      </c>
      <c r="D33" s="23" t="s">
        <v>25</v>
      </c>
      <c r="E33" s="23" t="s">
        <v>25</v>
      </c>
      <c r="F33" s="23" t="s">
        <v>25</v>
      </c>
      <c r="G33" s="24" t="s">
        <v>79</v>
      </c>
      <c r="H33" s="24" t="s">
        <v>75</v>
      </c>
      <c r="I33" s="24">
        <f>'MERCADO TUSD'!$U$30</f>
        <v>3335.7969999999996</v>
      </c>
      <c r="J33" s="15"/>
      <c r="L33" s="13">
        <f>'TUSD BE'!$L$33*'TUSD BF'!$L$58</f>
        <v>0</v>
      </c>
      <c r="M33" s="13">
        <f>'TUSD BE'!$M$33*'TUSD BF'!$M$58</f>
        <v>0</v>
      </c>
      <c r="N33" s="13">
        <f ca="1">'TUSD BE'!$N$33*'TUSD BF'!$N$58</f>
        <v>0</v>
      </c>
      <c r="O33" s="13">
        <f>'TUSD BE'!$O$33*'TUSD BF'!$O$58</f>
        <v>0</v>
      </c>
      <c r="P33" s="13">
        <f>'TUSD BE'!$P$33*'TUSD BF'!$P$58</f>
        <v>0</v>
      </c>
      <c r="Q33" s="13">
        <f>'TUSD BE'!$Q$33*'TUSD BF'!$Q$58</f>
        <v>15.115782395110955</v>
      </c>
      <c r="R33" s="13">
        <f>'TUSD BE'!$R$33*'TUSD BF'!$R$58</f>
        <v>3.8674263187489499</v>
      </c>
      <c r="S33" s="13">
        <f>'TUSD BE'!$R$33*'TUSD BF'!$S$58</f>
        <v>0</v>
      </c>
      <c r="T33" s="13">
        <f ca="1">SUM($L$33:$S$33)</f>
        <v>18.983208713859906</v>
      </c>
      <c r="U33" s="13">
        <f>'TUSD BE'!$U$33*'TUSD BF'!$U$58</f>
        <v>0</v>
      </c>
      <c r="V33" s="13">
        <f>'TUSD BE'!$V$33*'TUSD BF'!$V$58</f>
        <v>0</v>
      </c>
      <c r="W33" s="13">
        <f>'TUSD BE'!$W$33*'TUSD BF'!$W$58</f>
        <v>0</v>
      </c>
      <c r="X33" s="13">
        <f>'TUSD BE'!$X$33*'TUSD BF'!$X$58</f>
        <v>0</v>
      </c>
      <c r="Y33" s="13">
        <f>'TUSD BE'!$Y$33*'TUSD BF'!$Y$58</f>
        <v>0</v>
      </c>
      <c r="Z33" s="13">
        <f>'TUSD BE'!$Z$33*'TUSD BF'!$Z$58</f>
        <v>0</v>
      </c>
      <c r="AA33" s="13">
        <f>'TUSD BE'!$AA$33*'TUSD BF'!$AA$58</f>
        <v>0</v>
      </c>
      <c r="AB33" s="13">
        <f>SUM($U$33:$AA$33)</f>
        <v>0</v>
      </c>
      <c r="AC33" s="13">
        <f>'TUSD BE'!$AC$33*'TUSD BF'!$AC$58</f>
        <v>0</v>
      </c>
      <c r="AD33" s="13">
        <f>SUM($AC$33:$AC$33)</f>
        <v>0</v>
      </c>
      <c r="AE33" s="13">
        <f ca="1">$AO$33*$AO$55</f>
        <v>0</v>
      </c>
      <c r="AF33" s="13">
        <f ca="1">$AP$33*$AP$55</f>
        <v>0</v>
      </c>
      <c r="AG33" s="13">
        <f ca="1">SUM($AE$33:$AF$33)</f>
        <v>0</v>
      </c>
      <c r="AH33" s="13">
        <f>'TUSD BE'!$AH$33*'TUSD BF'!$AH$58</f>
        <v>3.2453690829164814</v>
      </c>
      <c r="AI33" s="13">
        <f>'TUSD BE'!$AI$33*'TUSD BF'!$AI$58</f>
        <v>0.11134337617888107</v>
      </c>
      <c r="AJ33" s="13">
        <f ca="1">'TUSD BE'!$AJ$33*'TUSD BF'!$AJ$58</f>
        <v>0.62950534663476354</v>
      </c>
      <c r="AK33" s="13">
        <f ca="1">'TUSD BE'!$AK$33*'TUSD BF'!$AK$58</f>
        <v>0</v>
      </c>
      <c r="AL33" s="13">
        <f ca="1">SUM($AH$33:$AK$33)</f>
        <v>3.9862178057301261</v>
      </c>
      <c r="AM33" s="13">
        <f ca="1">SUMIF($L$4:$AL$4,"SUBTOTAL",$L$33:$AL$33)</f>
        <v>22.96942651959003</v>
      </c>
      <c r="AO33" s="26">
        <f ca="1">+'TUSD BE'!$T$33+'TUSD BE'!$AB$33+'TUSD BE'!$AD$33+'TUSD BE'!$AL$33</f>
        <v>454.26815861179813</v>
      </c>
      <c r="AP33" s="26">
        <f ca="1">+'TUSD BE'!$T$33+'TUSD BE'!$AB$33+'TUSD BE'!$AD$33+'TUSD BE'!$AL$33</f>
        <v>454.26815861179813</v>
      </c>
    </row>
    <row r="34" spans="1:42" ht="11.25" customHeight="1" x14ac:dyDescent="0.25">
      <c r="A34" s="142"/>
      <c r="B34" s="142" t="s">
        <v>32</v>
      </c>
      <c r="C34" s="142" t="s">
        <v>42</v>
      </c>
      <c r="D34" s="142" t="s">
        <v>91</v>
      </c>
      <c r="E34" s="142" t="s">
        <v>25</v>
      </c>
      <c r="F34" s="142" t="s">
        <v>25</v>
      </c>
      <c r="G34" s="24" t="s">
        <v>76</v>
      </c>
      <c r="H34" s="24" t="s">
        <v>75</v>
      </c>
      <c r="I34" s="24">
        <f>'MERCADO TUSD'!$U$31</f>
        <v>0</v>
      </c>
      <c r="J34" s="15"/>
      <c r="L34" s="13">
        <f>'TUSD BE'!$L$34*'TUSD BF'!$L$58</f>
        <v>0</v>
      </c>
      <c r="M34" s="13">
        <f>'TUSD BE'!$M$34*'TUSD BF'!$M$58</f>
        <v>0</v>
      </c>
      <c r="N34" s="13">
        <f ca="1">'TUSD BE'!$N$34*'TUSD BF'!$N$58</f>
        <v>0</v>
      </c>
      <c r="O34" s="13">
        <f>'TUSD BE'!$O$34*'TUSD BF'!$O$58</f>
        <v>0</v>
      </c>
      <c r="P34" s="13">
        <f>'TUSD BE'!$P$34*'TUSD BF'!$P$58</f>
        <v>0</v>
      </c>
      <c r="Q34" s="13">
        <f>'TUSD BE'!$Q$34*'TUSD BF'!$Q$58</f>
        <v>15.115782395110955</v>
      </c>
      <c r="R34" s="13">
        <f>'TUSD BE'!$R$34*'TUSD BF'!$R$58</f>
        <v>3.8674263187489499</v>
      </c>
      <c r="S34" s="13">
        <f>'TUSD BE'!$R$34*'TUSD BF'!$S$58</f>
        <v>0</v>
      </c>
      <c r="T34" s="13">
        <f ca="1">SUM($L$34:$S$34)</f>
        <v>18.983208713859906</v>
      </c>
      <c r="U34" s="13">
        <f>'TUSD BE'!$U$34*'TUSD BF'!$U$58</f>
        <v>0</v>
      </c>
      <c r="V34" s="13">
        <f>'TUSD BE'!$V$34*'TUSD BF'!$V$58</f>
        <v>0</v>
      </c>
      <c r="W34" s="13">
        <f>'TUSD BE'!$W$34*'TUSD BF'!$W$58</f>
        <v>0</v>
      </c>
      <c r="X34" s="13">
        <f>'TUSD BE'!$X$34*'TUSD BF'!$X$58</f>
        <v>0</v>
      </c>
      <c r="Y34" s="13">
        <f>'TUSD BE'!$Y$34*'TUSD BF'!$Y$58</f>
        <v>0</v>
      </c>
      <c r="Z34" s="13">
        <f>'TUSD BE'!$Z$34*'TUSD BF'!$Z$58</f>
        <v>0</v>
      </c>
      <c r="AA34" s="13">
        <f>'TUSD BE'!$AA$34*'TUSD BF'!$AA$58</f>
        <v>0</v>
      </c>
      <c r="AB34" s="13">
        <f>SUM($U$34:$AA$34)</f>
        <v>0</v>
      </c>
      <c r="AC34" s="13">
        <f>'TUSD BE'!$AC$34*'TUSD BF'!$AC$58</f>
        <v>0</v>
      </c>
      <c r="AD34" s="13">
        <f>SUM($AC$34:$AC$34)</f>
        <v>0</v>
      </c>
      <c r="AE34" s="13">
        <f ca="1">$AO$34*$AO$55</f>
        <v>0</v>
      </c>
      <c r="AF34" s="13">
        <f ca="1">$AP$34*$AP$55</f>
        <v>0</v>
      </c>
      <c r="AG34" s="13">
        <f ca="1">SUM($AE$34:$AF$34)</f>
        <v>0</v>
      </c>
      <c r="AH34" s="13">
        <f>'TUSD BE'!$AH$34*'TUSD BF'!$AH$58</f>
        <v>3.2453690829164814</v>
      </c>
      <c r="AI34" s="13">
        <f>'TUSD BE'!$AI$34*'TUSD BF'!$AI$58</f>
        <v>0.11134337617888107</v>
      </c>
      <c r="AJ34" s="13">
        <f ca="1">'TUSD BE'!$AJ$34*'TUSD BF'!$AJ$58</f>
        <v>0.62950534663476354</v>
      </c>
      <c r="AK34" s="13">
        <f ca="1">'TUSD BE'!$AK$34*'TUSD BF'!$AK$58</f>
        <v>0</v>
      </c>
      <c r="AL34" s="13">
        <f ca="1">SUM($AH$34:$AK$34)</f>
        <v>3.9862178057301261</v>
      </c>
      <c r="AM34" s="13">
        <f ca="1">SUMIF($L$4:$AL$4,"SUBTOTAL",$L$34:$AL$34)</f>
        <v>22.96942651959003</v>
      </c>
      <c r="AO34" s="26">
        <f ca="1">+'TUSD BE'!$T$34+'TUSD BE'!$AB$34+'TUSD BE'!$AD$34+'TUSD BE'!$AL$34</f>
        <v>1056.5727053917467</v>
      </c>
      <c r="AP34" s="26">
        <f ca="1">+'TUSD BE'!$T$34+'TUSD BE'!$AB$34+'TUSD BE'!$AD$34+'TUSD BE'!$AL$34</f>
        <v>1056.5727053917467</v>
      </c>
    </row>
    <row r="35" spans="1:42" ht="11.25" customHeight="1" x14ac:dyDescent="0.25">
      <c r="A35" s="142"/>
      <c r="B35" s="142"/>
      <c r="C35" s="142"/>
      <c r="D35" s="142"/>
      <c r="E35" s="142"/>
      <c r="F35" s="142"/>
      <c r="G35" s="24" t="s">
        <v>88</v>
      </c>
      <c r="H35" s="24" t="s">
        <v>75</v>
      </c>
      <c r="I35" s="24">
        <f>'MERCADO TUSD'!$U$32</f>
        <v>0</v>
      </c>
      <c r="J35" s="15"/>
      <c r="L35" s="13">
        <f>'TUSD BE'!$L$35*'TUSD BF'!$L$58</f>
        <v>0</v>
      </c>
      <c r="M35" s="13">
        <f>'TUSD BE'!$M$35*'TUSD BF'!$M$58</f>
        <v>0</v>
      </c>
      <c r="N35" s="13">
        <f ca="1">'TUSD BE'!$N$35*'TUSD BF'!$N$58</f>
        <v>0</v>
      </c>
      <c r="O35" s="13">
        <f>'TUSD BE'!$O$35*'TUSD BF'!$O$58</f>
        <v>0</v>
      </c>
      <c r="P35" s="13">
        <f>'TUSD BE'!$P$35*'TUSD BF'!$P$58</f>
        <v>0</v>
      </c>
      <c r="Q35" s="13">
        <f>'TUSD BE'!$Q$35*'TUSD BF'!$Q$58</f>
        <v>15.115782395110955</v>
      </c>
      <c r="R35" s="13">
        <f>'TUSD BE'!$R$35*'TUSD BF'!$R$58</f>
        <v>3.8674263187489499</v>
      </c>
      <c r="S35" s="13">
        <f>'TUSD BE'!$R$35*'TUSD BF'!$S$58</f>
        <v>0</v>
      </c>
      <c r="T35" s="13">
        <f ca="1">SUM($L$35:$S$35)</f>
        <v>18.983208713859906</v>
      </c>
      <c r="U35" s="13">
        <f>'TUSD BE'!$U$35*'TUSD BF'!$U$58</f>
        <v>0</v>
      </c>
      <c r="V35" s="13">
        <f>'TUSD BE'!$V$35*'TUSD BF'!$V$58</f>
        <v>0</v>
      </c>
      <c r="W35" s="13">
        <f>'TUSD BE'!$W$35*'TUSD BF'!$W$58</f>
        <v>0</v>
      </c>
      <c r="X35" s="13">
        <f>'TUSD BE'!$X$35*'TUSD BF'!$X$58</f>
        <v>0</v>
      </c>
      <c r="Y35" s="13">
        <f>'TUSD BE'!$Y$35*'TUSD BF'!$Y$58</f>
        <v>0</v>
      </c>
      <c r="Z35" s="13">
        <f>'TUSD BE'!$Z$35*'TUSD BF'!$Z$58</f>
        <v>0</v>
      </c>
      <c r="AA35" s="13">
        <f>'TUSD BE'!$AA$35*'TUSD BF'!$AA$58</f>
        <v>0</v>
      </c>
      <c r="AB35" s="13">
        <f>SUM($U$35:$AA$35)</f>
        <v>0</v>
      </c>
      <c r="AC35" s="13">
        <f>'TUSD BE'!$AC$35*'TUSD BF'!$AC$58</f>
        <v>0</v>
      </c>
      <c r="AD35" s="13">
        <f>SUM($AC$35:$AC$35)</f>
        <v>0</v>
      </c>
      <c r="AE35" s="13">
        <f ca="1">$AO$35*$AO$55</f>
        <v>0</v>
      </c>
      <c r="AF35" s="13">
        <f ca="1">$AP$35*$AP$55</f>
        <v>0</v>
      </c>
      <c r="AG35" s="13">
        <f ca="1">SUM($AE$35:$AF$35)</f>
        <v>0</v>
      </c>
      <c r="AH35" s="13">
        <f>'TUSD BE'!$AH$35*'TUSD BF'!$AH$58</f>
        <v>3.2453690829164814</v>
      </c>
      <c r="AI35" s="13">
        <f>'TUSD BE'!$AI$35*'TUSD BF'!$AI$58</f>
        <v>0.11134337617888107</v>
      </c>
      <c r="AJ35" s="13">
        <f ca="1">'TUSD BE'!$AJ$35*'TUSD BF'!$AJ$58</f>
        <v>0.62950534663476354</v>
      </c>
      <c r="AK35" s="13">
        <f ca="1">'TUSD BE'!$AK$35*'TUSD BF'!$AK$58</f>
        <v>0</v>
      </c>
      <c r="AL35" s="13">
        <f ca="1">SUM($AH$35:$AK$35)</f>
        <v>3.9862178057301261</v>
      </c>
      <c r="AM35" s="13">
        <f ca="1">SUMIF($L$4:$AL$4,"SUBTOTAL",$L$35:$AL$35)</f>
        <v>22.96942651959003</v>
      </c>
      <c r="AO35" s="26">
        <f ca="1">+'TUSD BE'!$T$35+'TUSD BE'!$AB$35+'TUSD BE'!$AD$35+'TUSD BE'!$AL$35</f>
        <v>685.42281292734049</v>
      </c>
      <c r="AP35" s="26">
        <f ca="1">+'TUSD BE'!$T$35+'TUSD BE'!$AB$35+'TUSD BE'!$AD$35+'TUSD BE'!$AL$35</f>
        <v>685.42281292734049</v>
      </c>
    </row>
    <row r="36" spans="1:42" ht="11.25" customHeight="1" x14ac:dyDescent="0.25">
      <c r="A36" s="142"/>
      <c r="B36" s="142"/>
      <c r="C36" s="142"/>
      <c r="D36" s="142"/>
      <c r="E36" s="142"/>
      <c r="F36" s="142"/>
      <c r="G36" s="24" t="s">
        <v>77</v>
      </c>
      <c r="H36" s="24" t="s">
        <v>75</v>
      </c>
      <c r="I36" s="24">
        <f>'MERCADO TUSD'!$U$33</f>
        <v>0</v>
      </c>
      <c r="J36" s="15"/>
      <c r="L36" s="13">
        <f>'TUSD BE'!$L$36*'TUSD BF'!$L$58</f>
        <v>0</v>
      </c>
      <c r="M36" s="13">
        <f>'TUSD BE'!$M$36*'TUSD BF'!$M$58</f>
        <v>0</v>
      </c>
      <c r="N36" s="13">
        <f ca="1">'TUSD BE'!$N$36*'TUSD BF'!$N$58</f>
        <v>0</v>
      </c>
      <c r="O36" s="13">
        <f>'TUSD BE'!$O$36*'TUSD BF'!$O$58</f>
        <v>0</v>
      </c>
      <c r="P36" s="13">
        <f>'TUSD BE'!$P$36*'TUSD BF'!$P$58</f>
        <v>0</v>
      </c>
      <c r="Q36" s="13">
        <f>'TUSD BE'!$Q$36*'TUSD BF'!$Q$58</f>
        <v>15.115782395110955</v>
      </c>
      <c r="R36" s="13">
        <f>'TUSD BE'!$R$36*'TUSD BF'!$R$58</f>
        <v>3.8674263187489499</v>
      </c>
      <c r="S36" s="13">
        <f>'TUSD BE'!$R$36*'TUSD BF'!$S$58</f>
        <v>0</v>
      </c>
      <c r="T36" s="13">
        <f ca="1">SUM($L$36:$S$36)</f>
        <v>18.983208713859906</v>
      </c>
      <c r="U36" s="13">
        <f>'TUSD BE'!$U$36*'TUSD BF'!$U$58</f>
        <v>0</v>
      </c>
      <c r="V36" s="13">
        <f>'TUSD BE'!$V$36*'TUSD BF'!$V$58</f>
        <v>0</v>
      </c>
      <c r="W36" s="13">
        <f>'TUSD BE'!$W$36*'TUSD BF'!$W$58</f>
        <v>0</v>
      </c>
      <c r="X36" s="13">
        <f>'TUSD BE'!$X$36*'TUSD BF'!$X$58</f>
        <v>0</v>
      </c>
      <c r="Y36" s="13">
        <f>'TUSD BE'!$Y$36*'TUSD BF'!$Y$58</f>
        <v>0</v>
      </c>
      <c r="Z36" s="13">
        <f>'TUSD BE'!$Z$36*'TUSD BF'!$Z$58</f>
        <v>0</v>
      </c>
      <c r="AA36" s="13">
        <f>'TUSD BE'!$AA$36*'TUSD BF'!$AA$58</f>
        <v>0</v>
      </c>
      <c r="AB36" s="13">
        <f>SUM($U$36:$AA$36)</f>
        <v>0</v>
      </c>
      <c r="AC36" s="13">
        <f>'TUSD BE'!$AC$36*'TUSD BF'!$AC$58</f>
        <v>0</v>
      </c>
      <c r="AD36" s="13">
        <f>SUM($AC$36:$AC$36)</f>
        <v>0</v>
      </c>
      <c r="AE36" s="13">
        <f ca="1">$AO$36*$AO$55</f>
        <v>0</v>
      </c>
      <c r="AF36" s="13">
        <f ca="1">$AP$36*$AP$55</f>
        <v>0</v>
      </c>
      <c r="AG36" s="13">
        <f ca="1">SUM($AE$36:$AF$36)</f>
        <v>0</v>
      </c>
      <c r="AH36" s="13">
        <f>'TUSD BE'!$AH$36*'TUSD BF'!$AH$58</f>
        <v>3.2453690829164814</v>
      </c>
      <c r="AI36" s="13">
        <f>'TUSD BE'!$AI$36*'TUSD BF'!$AI$58</f>
        <v>0.11134337617888107</v>
      </c>
      <c r="AJ36" s="13">
        <f ca="1">'TUSD BE'!$AJ$36*'TUSD BF'!$AJ$58</f>
        <v>0.62950534663476354</v>
      </c>
      <c r="AK36" s="13">
        <f ca="1">'TUSD BE'!$AK$36*'TUSD BF'!$AK$58</f>
        <v>0</v>
      </c>
      <c r="AL36" s="13">
        <f ca="1">SUM($AH$36:$AK$36)</f>
        <v>3.9862178057301261</v>
      </c>
      <c r="AM36" s="13">
        <f ca="1">SUMIF($L$4:$AL$4,"SUBTOTAL",$L$36:$AL$36)</f>
        <v>22.96942651959003</v>
      </c>
      <c r="AO36" s="26">
        <f ca="1">+'TUSD BE'!$T$36+'TUSD BE'!$AB$36+'TUSD BE'!$AD$36+'TUSD BE'!$AL$36</f>
        <v>314.27304453181222</v>
      </c>
      <c r="AP36" s="26">
        <f ca="1">+'TUSD BE'!$T$36+'TUSD BE'!$AB$36+'TUSD BE'!$AD$36+'TUSD BE'!$AL$36</f>
        <v>314.27304453181222</v>
      </c>
    </row>
    <row r="37" spans="1:42" ht="11.25" customHeight="1" x14ac:dyDescent="0.25">
      <c r="A37" s="142"/>
      <c r="B37" s="23" t="s">
        <v>23</v>
      </c>
      <c r="C37" s="23" t="s">
        <v>42</v>
      </c>
      <c r="D37" s="23" t="s">
        <v>91</v>
      </c>
      <c r="E37" s="23" t="s">
        <v>25</v>
      </c>
      <c r="F37" s="23" t="s">
        <v>25</v>
      </c>
      <c r="G37" s="24" t="s">
        <v>79</v>
      </c>
      <c r="H37" s="24" t="s">
        <v>75</v>
      </c>
      <c r="I37" s="24">
        <f>'MERCADO TUSD'!$U$34</f>
        <v>0</v>
      </c>
      <c r="J37" s="15"/>
      <c r="L37" s="13">
        <f>'TUSD BE'!$L$37*'TUSD BF'!$L$58</f>
        <v>0</v>
      </c>
      <c r="M37" s="13">
        <f>'TUSD BE'!$M$37*'TUSD BF'!$M$58</f>
        <v>0</v>
      </c>
      <c r="N37" s="13">
        <f ca="1">'TUSD BE'!$N$37*'TUSD BF'!$N$58</f>
        <v>0</v>
      </c>
      <c r="O37" s="13">
        <f>'TUSD BE'!$O$37*'TUSD BF'!$O$58</f>
        <v>0</v>
      </c>
      <c r="P37" s="13">
        <f>'TUSD BE'!$P$37*'TUSD BF'!$P$58</f>
        <v>0</v>
      </c>
      <c r="Q37" s="13">
        <f>'TUSD BE'!$Q$37*'TUSD BF'!$Q$58</f>
        <v>15.115782395110955</v>
      </c>
      <c r="R37" s="13">
        <f>'TUSD BE'!$R$37*'TUSD BF'!$R$58</f>
        <v>3.8674263187489499</v>
      </c>
      <c r="S37" s="13">
        <f>'TUSD BE'!$R$37*'TUSD BF'!$S$58</f>
        <v>0</v>
      </c>
      <c r="T37" s="13">
        <f ca="1">SUM($L$37:$S$37)</f>
        <v>18.983208713859906</v>
      </c>
      <c r="U37" s="13">
        <f>'TUSD BE'!$U$37*'TUSD BF'!$U$58</f>
        <v>0</v>
      </c>
      <c r="V37" s="13">
        <f>'TUSD BE'!$V$37*'TUSD BF'!$V$58</f>
        <v>0</v>
      </c>
      <c r="W37" s="13">
        <f>'TUSD BE'!$W$37*'TUSD BF'!$W$58</f>
        <v>0</v>
      </c>
      <c r="X37" s="13">
        <f>'TUSD BE'!$X$37*'TUSD BF'!$X$58</f>
        <v>0</v>
      </c>
      <c r="Y37" s="13">
        <f>'TUSD BE'!$Y$37*'TUSD BF'!$Y$58</f>
        <v>0</v>
      </c>
      <c r="Z37" s="13">
        <f>'TUSD BE'!$Z$37*'TUSD BF'!$Z$58</f>
        <v>0</v>
      </c>
      <c r="AA37" s="13">
        <f>'TUSD BE'!$AA$37*'TUSD BF'!$AA$58</f>
        <v>0</v>
      </c>
      <c r="AB37" s="13">
        <f>SUM($U$37:$AA$37)</f>
        <v>0</v>
      </c>
      <c r="AC37" s="13">
        <f>'TUSD BE'!$AC$37*'TUSD BF'!$AC$58</f>
        <v>0</v>
      </c>
      <c r="AD37" s="13">
        <f>SUM($AC$37:$AC$37)</f>
        <v>0</v>
      </c>
      <c r="AE37" s="13">
        <f ca="1">$AO$37*$AO$55</f>
        <v>0</v>
      </c>
      <c r="AF37" s="13">
        <f ca="1">$AP$37*$AP$55</f>
        <v>0</v>
      </c>
      <c r="AG37" s="13">
        <f ca="1">SUM($AE$37:$AF$37)</f>
        <v>0</v>
      </c>
      <c r="AH37" s="13">
        <f>'TUSD BE'!$AH$37*'TUSD BF'!$AH$58</f>
        <v>3.2453690829164814</v>
      </c>
      <c r="AI37" s="13">
        <f>'TUSD BE'!$AI$37*'TUSD BF'!$AI$58</f>
        <v>0.11134337617888107</v>
      </c>
      <c r="AJ37" s="13">
        <f ca="1">'TUSD BE'!$AJ$37*'TUSD BF'!$AJ$58</f>
        <v>0.62950534663476354</v>
      </c>
      <c r="AK37" s="13">
        <f ca="1">'TUSD BE'!$AK$37*'TUSD BF'!$AK$58</f>
        <v>0</v>
      </c>
      <c r="AL37" s="13">
        <f ca="1">SUM($AH$37:$AK$37)</f>
        <v>3.9862178057301261</v>
      </c>
      <c r="AM37" s="13">
        <f ca="1">SUMIF($L$4:$AL$4,"SUBTOTAL",$L$37:$AL$37)</f>
        <v>22.96942651959003</v>
      </c>
      <c r="AO37" s="26">
        <f ca="1">+'TUSD BE'!$T$37+'TUSD BE'!$AB$37+'TUSD BE'!$AD$37+'TUSD BE'!$AL$37</f>
        <v>454.26815861179813</v>
      </c>
      <c r="AP37" s="26">
        <f ca="1">+'TUSD BE'!$T$37+'TUSD BE'!$AB$37+'TUSD BE'!$AD$37+'TUSD BE'!$AL$37</f>
        <v>454.26815861179813</v>
      </c>
    </row>
    <row r="38" spans="1:42" ht="11.25" customHeight="1" x14ac:dyDescent="0.25">
      <c r="A38" s="142"/>
      <c r="B38" s="142" t="s">
        <v>32</v>
      </c>
      <c r="C38" s="142" t="s">
        <v>42</v>
      </c>
      <c r="D38" s="142" t="s">
        <v>92</v>
      </c>
      <c r="E38" s="142" t="s">
        <v>25</v>
      </c>
      <c r="F38" s="142" t="s">
        <v>25</v>
      </c>
      <c r="G38" s="24" t="s">
        <v>76</v>
      </c>
      <c r="H38" s="24" t="s">
        <v>75</v>
      </c>
      <c r="I38" s="24">
        <f>'MERCADO TUSD'!$U$35</f>
        <v>0</v>
      </c>
      <c r="J38" s="15"/>
      <c r="L38" s="13">
        <f>'TUSD BE'!$L$38*'TUSD BF'!$L$58</f>
        <v>0</v>
      </c>
      <c r="M38" s="13">
        <f>'TUSD BE'!$M$38*'TUSD BF'!$M$58</f>
        <v>0</v>
      </c>
      <c r="N38" s="13">
        <f ca="1">'TUSD BE'!$N$38*'TUSD BF'!$N$58</f>
        <v>0</v>
      </c>
      <c r="O38" s="13">
        <f>'TUSD BE'!$O$38*'TUSD BF'!$O$58</f>
        <v>0</v>
      </c>
      <c r="P38" s="13">
        <f>'TUSD BE'!$P$38*'TUSD BF'!$P$58</f>
        <v>0</v>
      </c>
      <c r="Q38" s="13">
        <f>'TUSD BE'!$Q$38*'TUSD BF'!$Q$58</f>
        <v>15.115782395110955</v>
      </c>
      <c r="R38" s="13">
        <f>'TUSD BE'!$R$38*'TUSD BF'!$R$58</f>
        <v>3.8674263187489499</v>
      </c>
      <c r="S38" s="13">
        <f>'TUSD BE'!$R$38*'TUSD BF'!$S$58</f>
        <v>0</v>
      </c>
      <c r="T38" s="13">
        <f ca="1">SUM($L$38:$S$38)</f>
        <v>18.983208713859906</v>
      </c>
      <c r="U38" s="13">
        <f>'TUSD BE'!$U$38*'TUSD BF'!$U$58</f>
        <v>0</v>
      </c>
      <c r="V38" s="13">
        <f>'TUSD BE'!$V$38*'TUSD BF'!$V$58</f>
        <v>0</v>
      </c>
      <c r="W38" s="13">
        <f>'TUSD BE'!$W$38*'TUSD BF'!$W$58</f>
        <v>0</v>
      </c>
      <c r="X38" s="13">
        <f>'TUSD BE'!$X$38*'TUSD BF'!$X$58</f>
        <v>0</v>
      </c>
      <c r="Y38" s="13">
        <f>'TUSD BE'!$Y$38*'TUSD BF'!$Y$58</f>
        <v>0</v>
      </c>
      <c r="Z38" s="13">
        <f>'TUSD BE'!$Z$38*'TUSD BF'!$Z$58</f>
        <v>0</v>
      </c>
      <c r="AA38" s="13">
        <f>'TUSD BE'!$AA$38*'TUSD BF'!$AA$58</f>
        <v>0</v>
      </c>
      <c r="AB38" s="13">
        <f>SUM($U$38:$AA$38)</f>
        <v>0</v>
      </c>
      <c r="AC38" s="13">
        <f>'TUSD BE'!$AC$38*'TUSD BF'!$AC$58</f>
        <v>0</v>
      </c>
      <c r="AD38" s="13">
        <f>SUM($AC$38:$AC$38)</f>
        <v>0</v>
      </c>
      <c r="AE38" s="13">
        <f ca="1">$AO$38*$AO$55</f>
        <v>0</v>
      </c>
      <c r="AF38" s="13">
        <f ca="1">$AP$38*$AP$55</f>
        <v>0</v>
      </c>
      <c r="AG38" s="13">
        <f ca="1">SUM($AE$38:$AF$38)</f>
        <v>0</v>
      </c>
      <c r="AH38" s="13">
        <f>'TUSD BE'!$AH$38*'TUSD BF'!$AH$58</f>
        <v>3.2453690829164814</v>
      </c>
      <c r="AI38" s="13">
        <f>'TUSD BE'!$AI$38*'TUSD BF'!$AI$58</f>
        <v>0.11134337617888107</v>
      </c>
      <c r="AJ38" s="13">
        <f ca="1">'TUSD BE'!$AJ$38*'TUSD BF'!$AJ$58</f>
        <v>0.62950534663476354</v>
      </c>
      <c r="AK38" s="13">
        <f ca="1">'TUSD BE'!$AK$38*'TUSD BF'!$AK$58</f>
        <v>0</v>
      </c>
      <c r="AL38" s="13">
        <f ca="1">SUM($AH$38:$AK$38)</f>
        <v>3.9862178057301261</v>
      </c>
      <c r="AM38" s="13">
        <f ca="1">SUMIF($L$4:$AL$4,"SUBTOTAL",$L$38:$AL$38)</f>
        <v>22.96942651959003</v>
      </c>
      <c r="AO38" s="26">
        <f ca="1">+'TUSD BE'!$T$38+'TUSD BE'!$AB$38+'TUSD BE'!$AD$38+'TUSD BE'!$AL$38</f>
        <v>1056.5727053917467</v>
      </c>
      <c r="AP38" s="26">
        <f ca="1">+'TUSD BE'!$T$38+'TUSD BE'!$AB$38+'TUSD BE'!$AD$38+'TUSD BE'!$AL$38</f>
        <v>1056.5727053917467</v>
      </c>
    </row>
    <row r="39" spans="1:42" ht="11.25" customHeight="1" x14ac:dyDescent="0.25">
      <c r="A39" s="142"/>
      <c r="B39" s="142"/>
      <c r="C39" s="142"/>
      <c r="D39" s="142"/>
      <c r="E39" s="142"/>
      <c r="F39" s="142"/>
      <c r="G39" s="24" t="s">
        <v>88</v>
      </c>
      <c r="H39" s="24" t="s">
        <v>75</v>
      </c>
      <c r="I39" s="24">
        <f>'MERCADO TUSD'!$U$36</f>
        <v>0</v>
      </c>
      <c r="J39" s="15"/>
      <c r="L39" s="13">
        <f>'TUSD BE'!$L$39*'TUSD BF'!$L$58</f>
        <v>0</v>
      </c>
      <c r="M39" s="13">
        <f>'TUSD BE'!$M$39*'TUSD BF'!$M$58</f>
        <v>0</v>
      </c>
      <c r="N39" s="13">
        <f ca="1">'TUSD BE'!$N$39*'TUSD BF'!$N$58</f>
        <v>0</v>
      </c>
      <c r="O39" s="13">
        <f>'TUSD BE'!$O$39*'TUSD BF'!$O$58</f>
        <v>0</v>
      </c>
      <c r="P39" s="13">
        <f>'TUSD BE'!$P$39*'TUSD BF'!$P$58</f>
        <v>0</v>
      </c>
      <c r="Q39" s="13">
        <f>'TUSD BE'!$Q$39*'TUSD BF'!$Q$58</f>
        <v>15.115782395110955</v>
      </c>
      <c r="R39" s="13">
        <f>'TUSD BE'!$R$39*'TUSD BF'!$R$58</f>
        <v>3.8674263187489499</v>
      </c>
      <c r="S39" s="13">
        <f>'TUSD BE'!$R$39*'TUSD BF'!$S$58</f>
        <v>0</v>
      </c>
      <c r="T39" s="13">
        <f ca="1">SUM($L$39:$S$39)</f>
        <v>18.983208713859906</v>
      </c>
      <c r="U39" s="13">
        <f>'TUSD BE'!$U$39*'TUSD BF'!$U$58</f>
        <v>0</v>
      </c>
      <c r="V39" s="13">
        <f>'TUSD BE'!$V$39*'TUSD BF'!$V$58</f>
        <v>0</v>
      </c>
      <c r="W39" s="13">
        <f>'TUSD BE'!$W$39*'TUSD BF'!$W$58</f>
        <v>0</v>
      </c>
      <c r="X39" s="13">
        <f>'TUSD BE'!$X$39*'TUSD BF'!$X$58</f>
        <v>0</v>
      </c>
      <c r="Y39" s="13">
        <f>'TUSD BE'!$Y$39*'TUSD BF'!$Y$58</f>
        <v>0</v>
      </c>
      <c r="Z39" s="13">
        <f>'TUSD BE'!$Z$39*'TUSD BF'!$Z$58</f>
        <v>0</v>
      </c>
      <c r="AA39" s="13">
        <f>'TUSD BE'!$AA$39*'TUSD BF'!$AA$58</f>
        <v>0</v>
      </c>
      <c r="AB39" s="13">
        <f>SUM($U$39:$AA$39)</f>
        <v>0</v>
      </c>
      <c r="AC39" s="13">
        <f>'TUSD BE'!$AC$39*'TUSD BF'!$AC$58</f>
        <v>0</v>
      </c>
      <c r="AD39" s="13">
        <f>SUM($AC$39:$AC$39)</f>
        <v>0</v>
      </c>
      <c r="AE39" s="13">
        <f ca="1">$AO$39*$AO$55</f>
        <v>0</v>
      </c>
      <c r="AF39" s="13">
        <f ca="1">$AP$39*$AP$55</f>
        <v>0</v>
      </c>
      <c r="AG39" s="13">
        <f ca="1">SUM($AE$39:$AF$39)</f>
        <v>0</v>
      </c>
      <c r="AH39" s="13">
        <f>'TUSD BE'!$AH$39*'TUSD BF'!$AH$58</f>
        <v>3.2453690829164814</v>
      </c>
      <c r="AI39" s="13">
        <f>'TUSD BE'!$AI$39*'TUSD BF'!$AI$58</f>
        <v>0.11134337617888107</v>
      </c>
      <c r="AJ39" s="13">
        <f ca="1">'TUSD BE'!$AJ$39*'TUSD BF'!$AJ$58</f>
        <v>0.62950534663476354</v>
      </c>
      <c r="AK39" s="13">
        <f ca="1">'TUSD BE'!$AK$39*'TUSD BF'!$AK$58</f>
        <v>0</v>
      </c>
      <c r="AL39" s="13">
        <f ca="1">SUM($AH$39:$AK$39)</f>
        <v>3.9862178057301261</v>
      </c>
      <c r="AM39" s="13">
        <f ca="1">SUMIF($L$4:$AL$4,"SUBTOTAL",$L$39:$AL$39)</f>
        <v>22.96942651959003</v>
      </c>
      <c r="AO39" s="26">
        <f ca="1">+'TUSD BE'!$T$39+'TUSD BE'!$AB$39+'TUSD BE'!$AD$39+'TUSD BE'!$AL$39</f>
        <v>685.42281292734049</v>
      </c>
      <c r="AP39" s="26">
        <f ca="1">+'TUSD BE'!$T$39+'TUSD BE'!$AB$39+'TUSD BE'!$AD$39+'TUSD BE'!$AL$39</f>
        <v>685.42281292734049</v>
      </c>
    </row>
    <row r="40" spans="1:42" ht="11.25" customHeight="1" x14ac:dyDescent="0.25">
      <c r="A40" s="142"/>
      <c r="B40" s="142"/>
      <c r="C40" s="142"/>
      <c r="D40" s="142"/>
      <c r="E40" s="142"/>
      <c r="F40" s="142"/>
      <c r="G40" s="24" t="s">
        <v>77</v>
      </c>
      <c r="H40" s="24" t="s">
        <v>75</v>
      </c>
      <c r="I40" s="24">
        <f>'MERCADO TUSD'!$U$37</f>
        <v>0</v>
      </c>
      <c r="J40" s="15"/>
      <c r="L40" s="13">
        <f>'TUSD BE'!$L$40*'TUSD BF'!$L$58</f>
        <v>0</v>
      </c>
      <c r="M40" s="13">
        <f>'TUSD BE'!$M$40*'TUSD BF'!$M$58</f>
        <v>0</v>
      </c>
      <c r="N40" s="13">
        <f ca="1">'TUSD BE'!$N$40*'TUSD BF'!$N$58</f>
        <v>0</v>
      </c>
      <c r="O40" s="13">
        <f>'TUSD BE'!$O$40*'TUSD BF'!$O$58</f>
        <v>0</v>
      </c>
      <c r="P40" s="13">
        <f>'TUSD BE'!$P$40*'TUSD BF'!$P$58</f>
        <v>0</v>
      </c>
      <c r="Q40" s="13">
        <f>'TUSD BE'!$Q$40*'TUSD BF'!$Q$58</f>
        <v>15.115782395110955</v>
      </c>
      <c r="R40" s="13">
        <f>'TUSD BE'!$R$40*'TUSD BF'!$R$58</f>
        <v>3.8674263187489499</v>
      </c>
      <c r="S40" s="13">
        <f>'TUSD BE'!$R$40*'TUSD BF'!$S$58</f>
        <v>0</v>
      </c>
      <c r="T40" s="13">
        <f ca="1">SUM($L$40:$S$40)</f>
        <v>18.983208713859906</v>
      </c>
      <c r="U40" s="13">
        <f>'TUSD BE'!$U$40*'TUSD BF'!$U$58</f>
        <v>0</v>
      </c>
      <c r="V40" s="13">
        <f>'TUSD BE'!$V$40*'TUSD BF'!$V$58</f>
        <v>0</v>
      </c>
      <c r="W40" s="13">
        <f>'TUSD BE'!$W$40*'TUSD BF'!$W$58</f>
        <v>0</v>
      </c>
      <c r="X40" s="13">
        <f>'TUSD BE'!$X$40*'TUSD BF'!$X$58</f>
        <v>0</v>
      </c>
      <c r="Y40" s="13">
        <f>'TUSD BE'!$Y$40*'TUSD BF'!$Y$58</f>
        <v>0</v>
      </c>
      <c r="Z40" s="13">
        <f>'TUSD BE'!$Z$40*'TUSD BF'!$Z$58</f>
        <v>0</v>
      </c>
      <c r="AA40" s="13">
        <f>'TUSD BE'!$AA$40*'TUSD BF'!$AA$58</f>
        <v>0</v>
      </c>
      <c r="AB40" s="13">
        <f>SUM($U$40:$AA$40)</f>
        <v>0</v>
      </c>
      <c r="AC40" s="13">
        <f>'TUSD BE'!$AC$40*'TUSD BF'!$AC$58</f>
        <v>0</v>
      </c>
      <c r="AD40" s="13">
        <f>SUM($AC$40:$AC$40)</f>
        <v>0</v>
      </c>
      <c r="AE40" s="13">
        <f ca="1">$AO$40*$AO$55</f>
        <v>0</v>
      </c>
      <c r="AF40" s="13">
        <f ca="1">$AP$40*$AP$55</f>
        <v>0</v>
      </c>
      <c r="AG40" s="13">
        <f ca="1">SUM($AE$40:$AF$40)</f>
        <v>0</v>
      </c>
      <c r="AH40" s="13">
        <f>'TUSD BE'!$AH$40*'TUSD BF'!$AH$58</f>
        <v>3.2453690829164814</v>
      </c>
      <c r="AI40" s="13">
        <f>'TUSD BE'!$AI$40*'TUSD BF'!$AI$58</f>
        <v>0.11134337617888107</v>
      </c>
      <c r="AJ40" s="13">
        <f ca="1">'TUSD BE'!$AJ$40*'TUSD BF'!$AJ$58</f>
        <v>0.62950534663476354</v>
      </c>
      <c r="AK40" s="13">
        <f ca="1">'TUSD BE'!$AK$40*'TUSD BF'!$AK$58</f>
        <v>0</v>
      </c>
      <c r="AL40" s="13">
        <f ca="1">SUM($AH$40:$AK$40)</f>
        <v>3.9862178057301261</v>
      </c>
      <c r="AM40" s="13">
        <f ca="1">SUMIF($L$4:$AL$4,"SUBTOTAL",$L$40:$AL$40)</f>
        <v>22.96942651959003</v>
      </c>
      <c r="AO40" s="26">
        <f ca="1">+'TUSD BE'!$T$40+'TUSD BE'!$AB$40+'TUSD BE'!$AD$40+'TUSD BE'!$AL$40</f>
        <v>314.27304453181222</v>
      </c>
      <c r="AP40" s="26">
        <f ca="1">+'TUSD BE'!$T$40+'TUSD BE'!$AB$40+'TUSD BE'!$AD$40+'TUSD BE'!$AL$40</f>
        <v>314.27304453181222</v>
      </c>
    </row>
    <row r="41" spans="1:42" ht="11.25" customHeight="1" x14ac:dyDescent="0.25">
      <c r="A41" s="142"/>
      <c r="B41" s="23" t="s">
        <v>23</v>
      </c>
      <c r="C41" s="23" t="s">
        <v>42</v>
      </c>
      <c r="D41" s="23" t="s">
        <v>92</v>
      </c>
      <c r="E41" s="23" t="s">
        <v>25</v>
      </c>
      <c r="F41" s="23" t="s">
        <v>25</v>
      </c>
      <c r="G41" s="24" t="s">
        <v>79</v>
      </c>
      <c r="H41" s="24" t="s">
        <v>75</v>
      </c>
      <c r="I41" s="24">
        <f>'MERCADO TUSD'!$U$38</f>
        <v>0</v>
      </c>
      <c r="J41" s="15"/>
      <c r="L41" s="13">
        <f>'TUSD BE'!$L$41*'TUSD BF'!$L$58</f>
        <v>0</v>
      </c>
      <c r="M41" s="13">
        <f>'TUSD BE'!$M$41*'TUSD BF'!$M$58</f>
        <v>0</v>
      </c>
      <c r="N41" s="13">
        <f ca="1">'TUSD BE'!$N$41*'TUSD BF'!$N$58</f>
        <v>0</v>
      </c>
      <c r="O41" s="13">
        <f>'TUSD BE'!$O$41*'TUSD BF'!$O$58</f>
        <v>0</v>
      </c>
      <c r="P41" s="13">
        <f>'TUSD BE'!$P$41*'TUSD BF'!$P$58</f>
        <v>0</v>
      </c>
      <c r="Q41" s="13">
        <f>'TUSD BE'!$Q$41*'TUSD BF'!$Q$58</f>
        <v>15.115782395110955</v>
      </c>
      <c r="R41" s="13">
        <f>'TUSD BE'!$R$41*'TUSD BF'!$R$58</f>
        <v>3.8674263187489499</v>
      </c>
      <c r="S41" s="13">
        <f>'TUSD BE'!$R$41*'TUSD BF'!$S$58</f>
        <v>0</v>
      </c>
      <c r="T41" s="13">
        <f ca="1">SUM($L$41:$S$41)</f>
        <v>18.983208713859906</v>
      </c>
      <c r="U41" s="13">
        <f>'TUSD BE'!$U$41*'TUSD BF'!$U$58</f>
        <v>0</v>
      </c>
      <c r="V41" s="13">
        <f>'TUSD BE'!$V$41*'TUSD BF'!$V$58</f>
        <v>0</v>
      </c>
      <c r="W41" s="13">
        <f>'TUSD BE'!$W$41*'TUSD BF'!$W$58</f>
        <v>0</v>
      </c>
      <c r="X41" s="13">
        <f>'TUSD BE'!$X$41*'TUSD BF'!$X$58</f>
        <v>0</v>
      </c>
      <c r="Y41" s="13">
        <f>'TUSD BE'!$Y$41*'TUSD BF'!$Y$58</f>
        <v>0</v>
      </c>
      <c r="Z41" s="13">
        <f>'TUSD BE'!$Z$41*'TUSD BF'!$Z$58</f>
        <v>0</v>
      </c>
      <c r="AA41" s="13">
        <f>'TUSD BE'!$AA$41*'TUSD BF'!$AA$58</f>
        <v>0</v>
      </c>
      <c r="AB41" s="13">
        <f>SUM($U$41:$AA$41)</f>
        <v>0</v>
      </c>
      <c r="AC41" s="13">
        <f>'TUSD BE'!$AC$41*'TUSD BF'!$AC$58</f>
        <v>0</v>
      </c>
      <c r="AD41" s="13">
        <f>SUM($AC$41:$AC$41)</f>
        <v>0</v>
      </c>
      <c r="AE41" s="13">
        <f ca="1">$AO$41*$AO$55</f>
        <v>0</v>
      </c>
      <c r="AF41" s="13">
        <f ca="1">$AP$41*$AP$55</f>
        <v>0</v>
      </c>
      <c r="AG41" s="13">
        <f ca="1">SUM($AE$41:$AF$41)</f>
        <v>0</v>
      </c>
      <c r="AH41" s="13">
        <f>'TUSD BE'!$AH$41*'TUSD BF'!$AH$58</f>
        <v>3.2453690829164814</v>
      </c>
      <c r="AI41" s="13">
        <f>'TUSD BE'!$AI$41*'TUSD BF'!$AI$58</f>
        <v>0.11134337617888107</v>
      </c>
      <c r="AJ41" s="13">
        <f ca="1">'TUSD BE'!$AJ$41*'TUSD BF'!$AJ$58</f>
        <v>0.62950534663476354</v>
      </c>
      <c r="AK41" s="13">
        <f ca="1">'TUSD BE'!$AK$41*'TUSD BF'!$AK$58</f>
        <v>0</v>
      </c>
      <c r="AL41" s="13">
        <f ca="1">SUM($AH$41:$AK$41)</f>
        <v>3.9862178057301261</v>
      </c>
      <c r="AM41" s="13">
        <f ca="1">SUMIF($L$4:$AL$4,"SUBTOTAL",$L$41:$AL$41)</f>
        <v>22.96942651959003</v>
      </c>
      <c r="AO41" s="26">
        <f ca="1">+'TUSD BE'!$T$41+'TUSD BE'!$AB$41+'TUSD BE'!$AD$41+'TUSD BE'!$AL$41</f>
        <v>454.26815861179813</v>
      </c>
      <c r="AP41" s="26">
        <f ca="1">+'TUSD BE'!$T$41+'TUSD BE'!$AB$41+'TUSD BE'!$AD$41+'TUSD BE'!$AL$41</f>
        <v>454.26815861179813</v>
      </c>
    </row>
    <row r="42" spans="1:42" ht="11.25" customHeight="1" x14ac:dyDescent="0.25">
      <c r="A42" s="142"/>
      <c r="B42" s="142" t="s">
        <v>90</v>
      </c>
      <c r="C42" s="142" t="s">
        <v>42</v>
      </c>
      <c r="D42" s="23" t="s">
        <v>25</v>
      </c>
      <c r="E42" s="23" t="s">
        <v>25</v>
      </c>
      <c r="F42" s="23" t="s">
        <v>25</v>
      </c>
      <c r="G42" s="24" t="s">
        <v>79</v>
      </c>
      <c r="H42" s="24" t="s">
        <v>75</v>
      </c>
      <c r="I42" s="24">
        <f>'MERCADO TUSD'!$U$39</f>
        <v>0</v>
      </c>
      <c r="J42" s="15"/>
      <c r="L42" s="13">
        <f>'TUSD BE'!$L$42*'TUSD BF'!$L$58</f>
        <v>0</v>
      </c>
      <c r="M42" s="13">
        <f>'TUSD BE'!$M$42*'TUSD BF'!$M$58</f>
        <v>0</v>
      </c>
      <c r="N42" s="13">
        <f ca="1">'TUSD BE'!$N$42*'TUSD BF'!$N$58</f>
        <v>0</v>
      </c>
      <c r="O42" s="13">
        <f>'TUSD BE'!$O$42*'TUSD BF'!$O$58</f>
        <v>0</v>
      </c>
      <c r="P42" s="13">
        <f>'TUSD BE'!$P$42*'TUSD BF'!$P$58</f>
        <v>0</v>
      </c>
      <c r="Q42" s="13">
        <f>'TUSD BE'!$Q$42*'TUSD BF'!$Q$58</f>
        <v>15.115782395110955</v>
      </c>
      <c r="R42" s="13">
        <f>'TUSD BE'!$R$42*'TUSD BF'!$R$58</f>
        <v>3.8674263187489499</v>
      </c>
      <c r="S42" s="13">
        <f>'TUSD BE'!$R$42*'TUSD BF'!$S$58</f>
        <v>0</v>
      </c>
      <c r="T42" s="13">
        <f ca="1">SUM($L$42:$S$42)</f>
        <v>18.983208713859906</v>
      </c>
      <c r="U42" s="13">
        <f>'TUSD BE'!$U$42*'TUSD BF'!$U$58</f>
        <v>0</v>
      </c>
      <c r="V42" s="13">
        <f>'TUSD BE'!$V$42*'TUSD BF'!$V$58</f>
        <v>0</v>
      </c>
      <c r="W42" s="13">
        <f>'TUSD BE'!$W$42*'TUSD BF'!$W$58</f>
        <v>0</v>
      </c>
      <c r="X42" s="13">
        <f>'TUSD BE'!$X$42*'TUSD BF'!$X$58</f>
        <v>0</v>
      </c>
      <c r="Y42" s="13">
        <f>'TUSD BE'!$Y$42*'TUSD BF'!$Y$58</f>
        <v>0</v>
      </c>
      <c r="Z42" s="13">
        <f>'TUSD BE'!$Z$42*'TUSD BF'!$Z$58</f>
        <v>0</v>
      </c>
      <c r="AA42" s="13">
        <f>'TUSD BE'!$AA$42*'TUSD BF'!$AA$58</f>
        <v>0</v>
      </c>
      <c r="AB42" s="13">
        <f>SUM($U$42:$AA$42)</f>
        <v>0</v>
      </c>
      <c r="AC42" s="13">
        <f>'TUSD BE'!$AC$42*'TUSD BF'!$AC$58</f>
        <v>0</v>
      </c>
      <c r="AD42" s="13">
        <f>SUM($AC$42:$AC$42)</f>
        <v>0</v>
      </c>
      <c r="AE42" s="13">
        <f ca="1">$AO$42*$AO$55</f>
        <v>0</v>
      </c>
      <c r="AF42" s="13">
        <f ca="1">$AP$42*$AP$55</f>
        <v>0</v>
      </c>
      <c r="AG42" s="13">
        <f ca="1">SUM($AE$42:$AF$42)</f>
        <v>0</v>
      </c>
      <c r="AH42" s="13">
        <f>'TUSD BE'!$AH$42*'TUSD BF'!$AH$58</f>
        <v>3.2453690829164814</v>
      </c>
      <c r="AI42" s="13">
        <f>'TUSD BE'!$AI$42*'TUSD BF'!$AI$58</f>
        <v>0.11134337617888107</v>
      </c>
      <c r="AJ42" s="13">
        <f ca="1">'TUSD BE'!$AJ$42*'TUSD BF'!$AJ$58</f>
        <v>0.62950534663476354</v>
      </c>
      <c r="AK42" s="13">
        <f ca="1">'TUSD BE'!$AK$42*'TUSD BF'!$AK$58</f>
        <v>0</v>
      </c>
      <c r="AL42" s="13">
        <f ca="1">SUM($AH$42:$AK$42)</f>
        <v>3.9862178057301261</v>
      </c>
      <c r="AM42" s="13">
        <f ca="1">SUMIF($L$4:$AL$4,"SUBTOTAL",$L$42:$AL$42)</f>
        <v>22.96942651959003</v>
      </c>
      <c r="AO42" s="26">
        <f ca="1">+'TUSD BE'!$T$42+'TUSD BE'!$AB$42+'TUSD BE'!$AD$42+'TUSD BE'!$AL$42</f>
        <v>454.26815861179813</v>
      </c>
      <c r="AP42" s="26">
        <f ca="1">+'TUSD BE'!$T$42+'TUSD BE'!$AB$42+'TUSD BE'!$AD$42+'TUSD BE'!$AL$42</f>
        <v>454.26815861179813</v>
      </c>
    </row>
    <row r="43" spans="1:42" ht="11.25" customHeight="1" x14ac:dyDescent="0.25">
      <c r="A43" s="142"/>
      <c r="B43" s="142"/>
      <c r="C43" s="142"/>
      <c r="D43" s="23" t="s">
        <v>91</v>
      </c>
      <c r="E43" s="23" t="s">
        <v>25</v>
      </c>
      <c r="F43" s="23" t="s">
        <v>25</v>
      </c>
      <c r="G43" s="24" t="s">
        <v>79</v>
      </c>
      <c r="H43" s="24" t="s">
        <v>75</v>
      </c>
      <c r="I43" s="24">
        <f>'MERCADO TUSD'!$U$40</f>
        <v>0</v>
      </c>
      <c r="J43" s="15"/>
      <c r="L43" s="13">
        <f>'TUSD BE'!$L$43*'TUSD BF'!$L$58</f>
        <v>0</v>
      </c>
      <c r="M43" s="13">
        <f>'TUSD BE'!$M$43*'TUSD BF'!$M$58</f>
        <v>0</v>
      </c>
      <c r="N43" s="13">
        <f ca="1">'TUSD BE'!$N$43*'TUSD BF'!$N$58</f>
        <v>0</v>
      </c>
      <c r="O43" s="13">
        <f>'TUSD BE'!$O$43*'TUSD BF'!$O$58</f>
        <v>0</v>
      </c>
      <c r="P43" s="13">
        <f>'TUSD BE'!$P$43*'TUSD BF'!$P$58</f>
        <v>0</v>
      </c>
      <c r="Q43" s="13">
        <f>'TUSD BE'!$Q$43*'TUSD BF'!$Q$58</f>
        <v>15.115782395110955</v>
      </c>
      <c r="R43" s="13">
        <f>'TUSD BE'!$R$43*'TUSD BF'!$R$58</f>
        <v>3.8674263187489499</v>
      </c>
      <c r="S43" s="13">
        <f>'TUSD BE'!$R$43*'TUSD BF'!$S$58</f>
        <v>0</v>
      </c>
      <c r="T43" s="13">
        <f ca="1">SUM($L$43:$S$43)</f>
        <v>18.983208713859906</v>
      </c>
      <c r="U43" s="13">
        <f>'TUSD BE'!$U$43*'TUSD BF'!$U$58</f>
        <v>0</v>
      </c>
      <c r="V43" s="13">
        <f>'TUSD BE'!$V$43*'TUSD BF'!$V$58</f>
        <v>0</v>
      </c>
      <c r="W43" s="13">
        <f>'TUSD BE'!$W$43*'TUSD BF'!$W$58</f>
        <v>0</v>
      </c>
      <c r="X43" s="13">
        <f>'TUSD BE'!$X$43*'TUSD BF'!$X$58</f>
        <v>0</v>
      </c>
      <c r="Y43" s="13">
        <f>'TUSD BE'!$Y$43*'TUSD BF'!$Y$58</f>
        <v>0</v>
      </c>
      <c r="Z43" s="13">
        <f>'TUSD BE'!$Z$43*'TUSD BF'!$Z$58</f>
        <v>0</v>
      </c>
      <c r="AA43" s="13">
        <f>'TUSD BE'!$AA$43*'TUSD BF'!$AA$58</f>
        <v>0</v>
      </c>
      <c r="AB43" s="13">
        <f>SUM($U$43:$AA$43)</f>
        <v>0</v>
      </c>
      <c r="AC43" s="13">
        <f>'TUSD BE'!$AC$43*'TUSD BF'!$AC$58</f>
        <v>0</v>
      </c>
      <c r="AD43" s="13">
        <f>SUM($AC$43:$AC$43)</f>
        <v>0</v>
      </c>
      <c r="AE43" s="13">
        <f ca="1">$AO$43*$AO$55</f>
        <v>0</v>
      </c>
      <c r="AF43" s="13">
        <f ca="1">$AP$43*$AP$55</f>
        <v>0</v>
      </c>
      <c r="AG43" s="13">
        <f ca="1">SUM($AE$43:$AF$43)</f>
        <v>0</v>
      </c>
      <c r="AH43" s="13">
        <f>'TUSD BE'!$AH$43*'TUSD BF'!$AH$58</f>
        <v>3.2453690829164814</v>
      </c>
      <c r="AI43" s="13">
        <f>'TUSD BE'!$AI$43*'TUSD BF'!$AI$58</f>
        <v>0.11134337617888107</v>
      </c>
      <c r="AJ43" s="13">
        <f ca="1">'TUSD BE'!$AJ$43*'TUSD BF'!$AJ$58</f>
        <v>0.62950534663476354</v>
      </c>
      <c r="AK43" s="13">
        <f ca="1">'TUSD BE'!$AK$43*'TUSD BF'!$AK$58</f>
        <v>0</v>
      </c>
      <c r="AL43" s="13">
        <f ca="1">SUM($AH$43:$AK$43)</f>
        <v>3.9862178057301261</v>
      </c>
      <c r="AM43" s="13">
        <f ca="1">SUMIF($L$4:$AL$4,"SUBTOTAL",$L$43:$AL$43)</f>
        <v>22.96942651959003</v>
      </c>
      <c r="AO43" s="26">
        <f ca="1">+'TUSD BE'!$T$43+'TUSD BE'!$AB$43+'TUSD BE'!$AD$43+'TUSD BE'!$AL$43</f>
        <v>454.26815861179813</v>
      </c>
      <c r="AP43" s="26">
        <f ca="1">+'TUSD BE'!$T$43+'TUSD BE'!$AB$43+'TUSD BE'!$AD$43+'TUSD BE'!$AL$43</f>
        <v>454.26815861179813</v>
      </c>
    </row>
    <row r="44" spans="1:42" ht="11.25" customHeight="1" x14ac:dyDescent="0.25">
      <c r="A44" s="142"/>
      <c r="B44" s="142"/>
      <c r="C44" s="142"/>
      <c r="D44" s="23" t="s">
        <v>92</v>
      </c>
      <c r="E44" s="23" t="s">
        <v>25</v>
      </c>
      <c r="F44" s="23" t="s">
        <v>25</v>
      </c>
      <c r="G44" s="24" t="s">
        <v>79</v>
      </c>
      <c r="H44" s="24" t="s">
        <v>75</v>
      </c>
      <c r="I44" s="24">
        <f>'MERCADO TUSD'!$U$41</f>
        <v>0</v>
      </c>
      <c r="J44" s="15"/>
      <c r="L44" s="13">
        <f>'TUSD BE'!$L$44*'TUSD BF'!$L$58</f>
        <v>0</v>
      </c>
      <c r="M44" s="13">
        <f>'TUSD BE'!$M$44*'TUSD BF'!$M$58</f>
        <v>0</v>
      </c>
      <c r="N44" s="13">
        <f ca="1">'TUSD BE'!$N$44*'TUSD BF'!$N$58</f>
        <v>0</v>
      </c>
      <c r="O44" s="13">
        <f>'TUSD BE'!$O$44*'TUSD BF'!$O$58</f>
        <v>0</v>
      </c>
      <c r="P44" s="13">
        <f>'TUSD BE'!$P$44*'TUSD BF'!$P$58</f>
        <v>0</v>
      </c>
      <c r="Q44" s="13">
        <f>'TUSD BE'!$Q$44*'TUSD BF'!$Q$58</f>
        <v>15.115782395110955</v>
      </c>
      <c r="R44" s="13">
        <f>'TUSD BE'!$R$44*'TUSD BF'!$R$58</f>
        <v>3.8674263187489499</v>
      </c>
      <c r="S44" s="13">
        <f>'TUSD BE'!$R$44*'TUSD BF'!$S$58</f>
        <v>0</v>
      </c>
      <c r="T44" s="13">
        <f ca="1">SUM($L$44:$S$44)</f>
        <v>18.983208713859906</v>
      </c>
      <c r="U44" s="13">
        <f>'TUSD BE'!$U$44*'TUSD BF'!$U$58</f>
        <v>0</v>
      </c>
      <c r="V44" s="13">
        <f>'TUSD BE'!$V$44*'TUSD BF'!$V$58</f>
        <v>0</v>
      </c>
      <c r="W44" s="13">
        <f>'TUSD BE'!$W$44*'TUSD BF'!$W$58</f>
        <v>0</v>
      </c>
      <c r="X44" s="13">
        <f>'TUSD BE'!$X$44*'TUSD BF'!$X$58</f>
        <v>0</v>
      </c>
      <c r="Y44" s="13">
        <f>'TUSD BE'!$Y$44*'TUSD BF'!$Y$58</f>
        <v>0</v>
      </c>
      <c r="Z44" s="13">
        <f>'TUSD BE'!$Z$44*'TUSD BF'!$Z$58</f>
        <v>0</v>
      </c>
      <c r="AA44" s="13">
        <f>'TUSD BE'!$AA$44*'TUSD BF'!$AA$58</f>
        <v>0</v>
      </c>
      <c r="AB44" s="13">
        <f>SUM($U$44:$AA$44)</f>
        <v>0</v>
      </c>
      <c r="AC44" s="13">
        <f>'TUSD BE'!$AC$44*'TUSD BF'!$AC$58</f>
        <v>0</v>
      </c>
      <c r="AD44" s="13">
        <f>SUM($AC$44:$AC$44)</f>
        <v>0</v>
      </c>
      <c r="AE44" s="13">
        <f ca="1">$AO$44*$AO$55</f>
        <v>0</v>
      </c>
      <c r="AF44" s="13">
        <f ca="1">$AP$44*$AP$55</f>
        <v>0</v>
      </c>
      <c r="AG44" s="13">
        <f ca="1">SUM($AE$44:$AF$44)</f>
        <v>0</v>
      </c>
      <c r="AH44" s="13">
        <f>'TUSD BE'!$AH$44*'TUSD BF'!$AH$58</f>
        <v>3.2453690829164814</v>
      </c>
      <c r="AI44" s="13">
        <f>'TUSD BE'!$AI$44*'TUSD BF'!$AI$58</f>
        <v>0.11134337617888107</v>
      </c>
      <c r="AJ44" s="13">
        <f ca="1">'TUSD BE'!$AJ$44*'TUSD BF'!$AJ$58</f>
        <v>0.62950534663476354</v>
      </c>
      <c r="AK44" s="13">
        <f ca="1">'TUSD BE'!$AK$44*'TUSD BF'!$AK$58</f>
        <v>0</v>
      </c>
      <c r="AL44" s="13">
        <f ca="1">SUM($AH$44:$AK$44)</f>
        <v>3.9862178057301261</v>
      </c>
      <c r="AM44" s="13">
        <f ca="1">SUMIF($L$4:$AL$4,"SUBTOTAL",$L$44:$AL$44)</f>
        <v>22.96942651959003</v>
      </c>
      <c r="AO44" s="26">
        <f ca="1">+'TUSD BE'!$T$44+'TUSD BE'!$AB$44+'TUSD BE'!$AD$44+'TUSD BE'!$AL$44</f>
        <v>454.26815861179813</v>
      </c>
      <c r="AP44" s="26">
        <f ca="1">+'TUSD BE'!$T$44+'TUSD BE'!$AB$44+'TUSD BE'!$AD$44+'TUSD BE'!$AL$44</f>
        <v>454.26815861179813</v>
      </c>
    </row>
    <row r="45" spans="1:42" ht="11.25" customHeight="1" x14ac:dyDescent="0.25">
      <c r="A45" s="142" t="s">
        <v>36</v>
      </c>
      <c r="B45" s="142" t="s">
        <v>32</v>
      </c>
      <c r="C45" s="142" t="s">
        <v>25</v>
      </c>
      <c r="D45" s="142" t="s">
        <v>25</v>
      </c>
      <c r="E45" s="142" t="s">
        <v>25</v>
      </c>
      <c r="F45" s="142" t="s">
        <v>25</v>
      </c>
      <c r="G45" s="24" t="s">
        <v>76</v>
      </c>
      <c r="H45" s="24" t="s">
        <v>75</v>
      </c>
      <c r="I45" s="24">
        <f>'MERCADO TUSD'!$U$42</f>
        <v>0.33600000000000008</v>
      </c>
      <c r="J45" s="15"/>
      <c r="L45" s="13">
        <f>'TUSD BE'!$L$45*'TUSD BF'!$L$58</f>
        <v>0</v>
      </c>
      <c r="M45" s="13">
        <f>'TUSD BE'!$M$45*'TUSD BF'!$M$58</f>
        <v>0</v>
      </c>
      <c r="N45" s="13">
        <f ca="1">'TUSD BE'!$N$45*'TUSD BF'!$N$58</f>
        <v>0</v>
      </c>
      <c r="O45" s="13">
        <f>'TUSD BE'!$O$45*'TUSD BF'!$O$58</f>
        <v>0</v>
      </c>
      <c r="P45" s="13">
        <f>'TUSD BE'!$P$45*'TUSD BF'!$P$58</f>
        <v>0</v>
      </c>
      <c r="Q45" s="13">
        <f>'TUSD BE'!$Q$45*'TUSD BF'!$Q$58</f>
        <v>15.115782395110955</v>
      </c>
      <c r="R45" s="13">
        <f>'TUSD BE'!$R$45*'TUSD BF'!$R$58</f>
        <v>3.8674263187489499</v>
      </c>
      <c r="S45" s="13">
        <f>'TUSD BE'!$R$45*'TUSD BF'!$S$58</f>
        <v>0</v>
      </c>
      <c r="T45" s="13">
        <f ca="1">SUM($L$45:$S$45)</f>
        <v>18.983208713859906</v>
      </c>
      <c r="U45" s="13">
        <f>'TUSD BE'!$U$45*'TUSD BF'!$U$58</f>
        <v>0</v>
      </c>
      <c r="V45" s="13">
        <f>'TUSD BE'!$V$45*'TUSD BF'!$V$58</f>
        <v>0</v>
      </c>
      <c r="W45" s="13">
        <f>'TUSD BE'!$W$45*'TUSD BF'!$W$58</f>
        <v>0</v>
      </c>
      <c r="X45" s="13">
        <f>'TUSD BE'!$X$45*'TUSD BF'!$X$58</f>
        <v>0</v>
      </c>
      <c r="Y45" s="13">
        <f>'TUSD BE'!$Y$45*'TUSD BF'!$Y$58</f>
        <v>0</v>
      </c>
      <c r="Z45" s="13">
        <f>'TUSD BE'!$Z$45*'TUSD BF'!$Z$58</f>
        <v>0</v>
      </c>
      <c r="AA45" s="13">
        <f>'TUSD BE'!$AA$45*'TUSD BF'!$AA$58</f>
        <v>0</v>
      </c>
      <c r="AB45" s="13">
        <f>SUM($U$45:$AA$45)</f>
        <v>0</v>
      </c>
      <c r="AC45" s="13">
        <f>'TUSD BE'!$AC$45*'TUSD BF'!$AC$58</f>
        <v>0</v>
      </c>
      <c r="AD45" s="13">
        <f>SUM($AC$45:$AC$45)</f>
        <v>0</v>
      </c>
      <c r="AE45" s="13">
        <f ca="1">$AO$45*$AO$55</f>
        <v>0</v>
      </c>
      <c r="AF45" s="13">
        <f ca="1">$AP$45*$AP$55</f>
        <v>0</v>
      </c>
      <c r="AG45" s="13">
        <f ca="1">SUM($AE$45:$AF$45)</f>
        <v>0</v>
      </c>
      <c r="AH45" s="13">
        <f>'TUSD BE'!$AH$45*'TUSD BF'!$AH$58</f>
        <v>3.2453690829164814</v>
      </c>
      <c r="AI45" s="13">
        <f>'TUSD BE'!$AI$45*'TUSD BF'!$AI$58</f>
        <v>0.11134337617888107</v>
      </c>
      <c r="AJ45" s="13">
        <f ca="1">'TUSD BE'!$AJ$45*'TUSD BF'!$AJ$58</f>
        <v>0.62950534663476354</v>
      </c>
      <c r="AK45" s="13">
        <f ca="1">'TUSD BE'!$AK$45*'TUSD BF'!$AK$58</f>
        <v>0</v>
      </c>
      <c r="AL45" s="13">
        <f ca="1">SUM($AH$45:$AK$45)</f>
        <v>3.9862178057301261</v>
      </c>
      <c r="AM45" s="13">
        <f ca="1">SUMIF($L$4:$AL$4,"SUBTOTAL",$L$45:$AL$45)</f>
        <v>22.96942651959003</v>
      </c>
      <c r="AO45" s="26">
        <f ca="1">+'TUSD BE'!$T$45+'TUSD BE'!$AB$45+'TUSD BE'!$AD$45+'TUSD BE'!$AL$45</f>
        <v>1203.0793028561573</v>
      </c>
      <c r="AP45" s="26">
        <f ca="1">+'TUSD BE'!$T$45+'TUSD BE'!$AB$45+'TUSD BE'!$AD$45+'TUSD BE'!$AL$45</f>
        <v>1203.0793028561573</v>
      </c>
    </row>
    <row r="46" spans="1:42" ht="11.25" customHeight="1" x14ac:dyDescent="0.25">
      <c r="A46" s="142"/>
      <c r="B46" s="142"/>
      <c r="C46" s="142"/>
      <c r="D46" s="142"/>
      <c r="E46" s="142"/>
      <c r="F46" s="142"/>
      <c r="G46" s="24" t="s">
        <v>88</v>
      </c>
      <c r="H46" s="24" t="s">
        <v>75</v>
      </c>
      <c r="I46" s="24">
        <f>'MERCADO TUSD'!$U$43</f>
        <v>0.45900000000000007</v>
      </c>
      <c r="J46" s="15"/>
      <c r="L46" s="13">
        <f>'TUSD BE'!$L$46*'TUSD BF'!$L$58</f>
        <v>0</v>
      </c>
      <c r="M46" s="13">
        <f>'TUSD BE'!$M$46*'TUSD BF'!$M$58</f>
        <v>0</v>
      </c>
      <c r="N46" s="13">
        <f ca="1">'TUSD BE'!$N$46*'TUSD BF'!$N$58</f>
        <v>0</v>
      </c>
      <c r="O46" s="13">
        <f>'TUSD BE'!$O$46*'TUSD BF'!$O$58</f>
        <v>0</v>
      </c>
      <c r="P46" s="13">
        <f>'TUSD BE'!$P$46*'TUSD BF'!$P$58</f>
        <v>0</v>
      </c>
      <c r="Q46" s="13">
        <f>'TUSD BE'!$Q$46*'TUSD BF'!$Q$58</f>
        <v>15.115782395110955</v>
      </c>
      <c r="R46" s="13">
        <f>'TUSD BE'!$R$46*'TUSD BF'!$R$58</f>
        <v>3.8674263187489499</v>
      </c>
      <c r="S46" s="13">
        <f>'TUSD BE'!$R$46*'TUSD BF'!$S$58</f>
        <v>0</v>
      </c>
      <c r="T46" s="13">
        <f ca="1">SUM($L$46:$S$46)</f>
        <v>18.983208713859906</v>
      </c>
      <c r="U46" s="13">
        <f>'TUSD BE'!$U$46*'TUSD BF'!$U$58</f>
        <v>0</v>
      </c>
      <c r="V46" s="13">
        <f>'TUSD BE'!$V$46*'TUSD BF'!$V$58</f>
        <v>0</v>
      </c>
      <c r="W46" s="13">
        <f>'TUSD BE'!$W$46*'TUSD BF'!$W$58</f>
        <v>0</v>
      </c>
      <c r="X46" s="13">
        <f>'TUSD BE'!$X$46*'TUSD BF'!$X$58</f>
        <v>0</v>
      </c>
      <c r="Y46" s="13">
        <f>'TUSD BE'!$Y$46*'TUSD BF'!$Y$58</f>
        <v>0</v>
      </c>
      <c r="Z46" s="13">
        <f>'TUSD BE'!$Z$46*'TUSD BF'!$Z$58</f>
        <v>0</v>
      </c>
      <c r="AA46" s="13">
        <f>'TUSD BE'!$AA$46*'TUSD BF'!$AA$58</f>
        <v>0</v>
      </c>
      <c r="AB46" s="13">
        <f>SUM($U$46:$AA$46)</f>
        <v>0</v>
      </c>
      <c r="AC46" s="13">
        <f>'TUSD BE'!$AC$46*'TUSD BF'!$AC$58</f>
        <v>0</v>
      </c>
      <c r="AD46" s="13">
        <f>SUM($AC$46:$AC$46)</f>
        <v>0</v>
      </c>
      <c r="AE46" s="13">
        <f ca="1">$AO$46*$AO$55</f>
        <v>0</v>
      </c>
      <c r="AF46" s="13">
        <f ca="1">$AP$46*$AP$55</f>
        <v>0</v>
      </c>
      <c r="AG46" s="13">
        <f ca="1">SUM($AE$46:$AF$46)</f>
        <v>0</v>
      </c>
      <c r="AH46" s="13">
        <f>'TUSD BE'!$AH$46*'TUSD BF'!$AH$58</f>
        <v>3.2453690829164814</v>
      </c>
      <c r="AI46" s="13">
        <f>'TUSD BE'!$AI$46*'TUSD BF'!$AI$58</f>
        <v>0.11134337617888107</v>
      </c>
      <c r="AJ46" s="13">
        <f ca="1">'TUSD BE'!$AJ$46*'TUSD BF'!$AJ$58</f>
        <v>0.62950534663476354</v>
      </c>
      <c r="AK46" s="13">
        <f ca="1">'TUSD BE'!$AK$46*'TUSD BF'!$AK$58</f>
        <v>0</v>
      </c>
      <c r="AL46" s="13">
        <f ca="1">SUM($AH$46:$AK$46)</f>
        <v>3.9862178057301261</v>
      </c>
      <c r="AM46" s="13">
        <f ca="1">SUMIF($L$4:$AL$4,"SUBTOTAL",$L$46:$AL$46)</f>
        <v>22.96942651959003</v>
      </c>
      <c r="AO46" s="26">
        <f ca="1">+'TUSD BE'!$T$46+'TUSD BE'!$AB$46+'TUSD BE'!$AD$46+'TUSD BE'!$AL$46</f>
        <v>773.32672789449191</v>
      </c>
      <c r="AP46" s="26">
        <f ca="1">+'TUSD BE'!$T$46+'TUSD BE'!$AB$46+'TUSD BE'!$AD$46+'TUSD BE'!$AL$46</f>
        <v>773.32672789449191</v>
      </c>
    </row>
    <row r="47" spans="1:42" ht="11.25" customHeight="1" x14ac:dyDescent="0.25">
      <c r="A47" s="142"/>
      <c r="B47" s="142"/>
      <c r="C47" s="142"/>
      <c r="D47" s="142"/>
      <c r="E47" s="142"/>
      <c r="F47" s="142"/>
      <c r="G47" s="24" t="s">
        <v>77</v>
      </c>
      <c r="H47" s="24" t="s">
        <v>75</v>
      </c>
      <c r="I47" s="24">
        <f>'MERCADO TUSD'!$U$44</f>
        <v>10.576000000000001</v>
      </c>
      <c r="J47" s="15"/>
      <c r="L47" s="13">
        <f>'TUSD BE'!$L$47*'TUSD BF'!$L$58</f>
        <v>0</v>
      </c>
      <c r="M47" s="13">
        <f>'TUSD BE'!$M$47*'TUSD BF'!$M$58</f>
        <v>0</v>
      </c>
      <c r="N47" s="13">
        <f ca="1">'TUSD BE'!$N$47*'TUSD BF'!$N$58</f>
        <v>0</v>
      </c>
      <c r="O47" s="13">
        <f>'TUSD BE'!$O$47*'TUSD BF'!$O$58</f>
        <v>0</v>
      </c>
      <c r="P47" s="13">
        <f>'TUSD BE'!$P$47*'TUSD BF'!$P$58</f>
        <v>0</v>
      </c>
      <c r="Q47" s="13">
        <f>'TUSD BE'!$Q$47*'TUSD BF'!$Q$58</f>
        <v>15.115782395110955</v>
      </c>
      <c r="R47" s="13">
        <f>'TUSD BE'!$R$47*'TUSD BF'!$R$58</f>
        <v>3.8674263187489499</v>
      </c>
      <c r="S47" s="13">
        <f>'TUSD BE'!$R$47*'TUSD BF'!$S$58</f>
        <v>0</v>
      </c>
      <c r="T47" s="13">
        <f ca="1">SUM($L$47:$S$47)</f>
        <v>18.983208713859906</v>
      </c>
      <c r="U47" s="13">
        <f>'TUSD BE'!$U$47*'TUSD BF'!$U$58</f>
        <v>0</v>
      </c>
      <c r="V47" s="13">
        <f>'TUSD BE'!$V$47*'TUSD BF'!$V$58</f>
        <v>0</v>
      </c>
      <c r="W47" s="13">
        <f>'TUSD BE'!$W$47*'TUSD BF'!$W$58</f>
        <v>0</v>
      </c>
      <c r="X47" s="13">
        <f>'TUSD BE'!$X$47*'TUSD BF'!$X$58</f>
        <v>0</v>
      </c>
      <c r="Y47" s="13">
        <f>'TUSD BE'!$Y$47*'TUSD BF'!$Y$58</f>
        <v>0</v>
      </c>
      <c r="Z47" s="13">
        <f>'TUSD BE'!$Z$47*'TUSD BF'!$Z$58</f>
        <v>0</v>
      </c>
      <c r="AA47" s="13">
        <f>'TUSD BE'!$AA$47*'TUSD BF'!$AA$58</f>
        <v>0</v>
      </c>
      <c r="AB47" s="13">
        <f>SUM($U$47:$AA$47)</f>
        <v>0</v>
      </c>
      <c r="AC47" s="13">
        <f>'TUSD BE'!$AC$47*'TUSD BF'!$AC$58</f>
        <v>0</v>
      </c>
      <c r="AD47" s="13">
        <f>SUM($AC$47:$AC$47)</f>
        <v>0</v>
      </c>
      <c r="AE47" s="13">
        <f ca="1">$AO$47*$AO$55</f>
        <v>0</v>
      </c>
      <c r="AF47" s="13">
        <f ca="1">$AP$47*$AP$55</f>
        <v>0</v>
      </c>
      <c r="AG47" s="13">
        <f ca="1">SUM($AE$47:$AF$47)</f>
        <v>0</v>
      </c>
      <c r="AH47" s="13">
        <f>'TUSD BE'!$AH$47*'TUSD BF'!$AH$58</f>
        <v>3.2453690829164814</v>
      </c>
      <c r="AI47" s="13">
        <f>'TUSD BE'!$AI$47*'TUSD BF'!$AI$58</f>
        <v>0.11134337617888107</v>
      </c>
      <c r="AJ47" s="13">
        <f ca="1">'TUSD BE'!$AJ$47*'TUSD BF'!$AJ$58</f>
        <v>0.62950534663476354</v>
      </c>
      <c r="AK47" s="13">
        <f ca="1">'TUSD BE'!$AK$47*'TUSD BF'!$AK$58</f>
        <v>0</v>
      </c>
      <c r="AL47" s="13">
        <f ca="1">SUM($AH$47:$AK$47)</f>
        <v>3.9862178057301261</v>
      </c>
      <c r="AM47" s="13">
        <f ca="1">SUMIF($L$4:$AL$4,"SUBTOTAL",$L$47:$AL$47)</f>
        <v>22.96942651959003</v>
      </c>
      <c r="AO47" s="26">
        <f ca="1">+'TUSD BE'!$T$47+'TUSD BE'!$AB$47+'TUSD BE'!$AD$47+'TUSD BE'!$AL$47</f>
        <v>343.57427700170462</v>
      </c>
      <c r="AP47" s="26">
        <f ca="1">+'TUSD BE'!$T$47+'TUSD BE'!$AB$47+'TUSD BE'!$AD$47+'TUSD BE'!$AL$47</f>
        <v>343.57427700170462</v>
      </c>
    </row>
    <row r="48" spans="1:42" ht="11.25" customHeight="1" x14ac:dyDescent="0.25">
      <c r="A48" s="142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79</v>
      </c>
      <c r="H48" s="24" t="s">
        <v>75</v>
      </c>
      <c r="I48" s="24">
        <f>'MERCADO TUSD'!$U$45</f>
        <v>6532.424</v>
      </c>
      <c r="J48" s="15"/>
      <c r="L48" s="13">
        <f>'TUSD BE'!$L$48*'TUSD BF'!$L$58</f>
        <v>0</v>
      </c>
      <c r="M48" s="13">
        <f>'TUSD BE'!$M$48*'TUSD BF'!$M$58</f>
        <v>0</v>
      </c>
      <c r="N48" s="13">
        <f ca="1">'TUSD BE'!$N$48*'TUSD BF'!$N$58</f>
        <v>0</v>
      </c>
      <c r="O48" s="13">
        <f>'TUSD BE'!$O$48*'TUSD BF'!$O$58</f>
        <v>0</v>
      </c>
      <c r="P48" s="13">
        <f>'TUSD BE'!$P$48*'TUSD BF'!$P$58</f>
        <v>0</v>
      </c>
      <c r="Q48" s="13">
        <f>'TUSD BE'!$Q$48*'TUSD BF'!$Q$58</f>
        <v>15.115782395110955</v>
      </c>
      <c r="R48" s="13">
        <f>'TUSD BE'!$R$48*'TUSD BF'!$R$58</f>
        <v>3.8674263187489499</v>
      </c>
      <c r="S48" s="13">
        <f>'TUSD BE'!$R$48*'TUSD BF'!$S$58</f>
        <v>0</v>
      </c>
      <c r="T48" s="13">
        <f ca="1">SUM($L$48:$S$48)</f>
        <v>18.983208713859906</v>
      </c>
      <c r="U48" s="13">
        <f>'TUSD BE'!$U$48*'TUSD BF'!$U$58</f>
        <v>0</v>
      </c>
      <c r="V48" s="13">
        <f>'TUSD BE'!$V$48*'TUSD BF'!$V$58</f>
        <v>0</v>
      </c>
      <c r="W48" s="13">
        <f>'TUSD BE'!$W$48*'TUSD BF'!$W$58</f>
        <v>0</v>
      </c>
      <c r="X48" s="13">
        <f>'TUSD BE'!$X$48*'TUSD BF'!$X$58</f>
        <v>0</v>
      </c>
      <c r="Y48" s="13">
        <f>'TUSD BE'!$Y$48*'TUSD BF'!$Y$58</f>
        <v>0</v>
      </c>
      <c r="Z48" s="13">
        <f>'TUSD BE'!$Z$48*'TUSD BF'!$Z$58</f>
        <v>0</v>
      </c>
      <c r="AA48" s="13">
        <f>'TUSD BE'!$AA$48*'TUSD BF'!$AA$58</f>
        <v>0</v>
      </c>
      <c r="AB48" s="13">
        <f>SUM($U$48:$AA$48)</f>
        <v>0</v>
      </c>
      <c r="AC48" s="13">
        <f>'TUSD BE'!$AC$48*'TUSD BF'!$AC$58</f>
        <v>0</v>
      </c>
      <c r="AD48" s="13">
        <f>SUM($AC$48:$AC$48)</f>
        <v>0</v>
      </c>
      <c r="AE48" s="13">
        <f ca="1">$AO$48*$AO$55</f>
        <v>0</v>
      </c>
      <c r="AF48" s="13">
        <f ca="1">$AP$48*$AP$55</f>
        <v>0</v>
      </c>
      <c r="AG48" s="13">
        <f ca="1">SUM($AE$48:$AF$48)</f>
        <v>0</v>
      </c>
      <c r="AH48" s="13">
        <f>'TUSD BE'!$AH$48*'TUSD BF'!$AH$58</f>
        <v>3.2453690829164814</v>
      </c>
      <c r="AI48" s="13">
        <f>'TUSD BE'!$AI$48*'TUSD BF'!$AI$58</f>
        <v>0.11134337617888107</v>
      </c>
      <c r="AJ48" s="13">
        <f ca="1">'TUSD BE'!$AJ$48*'TUSD BF'!$AJ$58</f>
        <v>0.62950534663476354</v>
      </c>
      <c r="AK48" s="13">
        <f ca="1">'TUSD BE'!$AK$48*'TUSD BF'!$AK$58</f>
        <v>0</v>
      </c>
      <c r="AL48" s="13">
        <f ca="1">SUM($AH$48:$AK$48)</f>
        <v>3.9862178057301261</v>
      </c>
      <c r="AM48" s="13">
        <f ca="1">SUMIF($L$4:$AL$4,"SUBTOTAL",$L$48:$AL$48)</f>
        <v>22.96942651959003</v>
      </c>
      <c r="AO48" s="26">
        <f ca="1">+'TUSD BE'!$T$48+'TUSD BE'!$AB$48+'TUSD BE'!$AD$48+'TUSD BE'!$AL$48</f>
        <v>454.26815861179813</v>
      </c>
      <c r="AP48" s="26">
        <f ca="1">+'TUSD BE'!$T$48+'TUSD BE'!$AB$48+'TUSD BE'!$AD$48+'TUSD BE'!$AL$48</f>
        <v>454.26815861179813</v>
      </c>
    </row>
    <row r="49" spans="1:42" ht="11.25" customHeight="1" x14ac:dyDescent="0.25">
      <c r="A49" s="142"/>
      <c r="B49" s="23" t="s">
        <v>90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79</v>
      </c>
      <c r="H49" s="24" t="s">
        <v>75</v>
      </c>
      <c r="I49" s="24">
        <f>'MERCADO TUSD'!$U$46</f>
        <v>0</v>
      </c>
      <c r="J49" s="15"/>
      <c r="L49" s="13">
        <f>'TUSD BE'!$L$49*'TUSD BF'!$L$58</f>
        <v>0</v>
      </c>
      <c r="M49" s="13">
        <f>'TUSD BE'!$M$49*'TUSD BF'!$M$58</f>
        <v>0</v>
      </c>
      <c r="N49" s="13">
        <f ca="1">'TUSD BE'!$N$49*'TUSD BF'!$N$58</f>
        <v>0</v>
      </c>
      <c r="O49" s="13">
        <f>'TUSD BE'!$O$49*'TUSD BF'!$O$58</f>
        <v>0</v>
      </c>
      <c r="P49" s="13">
        <f>'TUSD BE'!$P$49*'TUSD BF'!$P$58</f>
        <v>0</v>
      </c>
      <c r="Q49" s="13">
        <f>'TUSD BE'!$Q$49*'TUSD BF'!$Q$58</f>
        <v>15.115782395110955</v>
      </c>
      <c r="R49" s="13">
        <f>'TUSD BE'!$R$49*'TUSD BF'!$R$58</f>
        <v>3.8674263187489499</v>
      </c>
      <c r="S49" s="13">
        <f>'TUSD BE'!$R$49*'TUSD BF'!$S$58</f>
        <v>0</v>
      </c>
      <c r="T49" s="13">
        <f ca="1">SUM($L$49:$S$49)</f>
        <v>18.983208713859906</v>
      </c>
      <c r="U49" s="13">
        <f>'TUSD BE'!$U$49*'TUSD BF'!$U$58</f>
        <v>0</v>
      </c>
      <c r="V49" s="13">
        <f>'TUSD BE'!$V$49*'TUSD BF'!$V$58</f>
        <v>0</v>
      </c>
      <c r="W49" s="13">
        <f>'TUSD BE'!$W$49*'TUSD BF'!$W$58</f>
        <v>0</v>
      </c>
      <c r="X49" s="13">
        <f>'TUSD BE'!$X$49*'TUSD BF'!$X$58</f>
        <v>0</v>
      </c>
      <c r="Y49" s="13">
        <f>'TUSD BE'!$Y$49*'TUSD BF'!$Y$58</f>
        <v>0</v>
      </c>
      <c r="Z49" s="13">
        <f>'TUSD BE'!$Z$49*'TUSD BF'!$Z$58</f>
        <v>0</v>
      </c>
      <c r="AA49" s="13">
        <f>'TUSD BE'!$AA$49*'TUSD BF'!$AA$58</f>
        <v>0</v>
      </c>
      <c r="AB49" s="13">
        <f>SUM($U$49:$AA$49)</f>
        <v>0</v>
      </c>
      <c r="AC49" s="13">
        <f>'TUSD BE'!$AC$49*'TUSD BF'!$AC$58</f>
        <v>0</v>
      </c>
      <c r="AD49" s="13">
        <f>SUM($AC$49:$AC$49)</f>
        <v>0</v>
      </c>
      <c r="AE49" s="13">
        <f ca="1">$AO$49*$AO$55</f>
        <v>0</v>
      </c>
      <c r="AF49" s="13">
        <f ca="1">$AP$49*$AP$55</f>
        <v>0</v>
      </c>
      <c r="AG49" s="13">
        <f ca="1">SUM($AE$49:$AF$49)</f>
        <v>0</v>
      </c>
      <c r="AH49" s="13">
        <f>'TUSD BE'!$AH$49*'TUSD BF'!$AH$58</f>
        <v>3.2453690829164814</v>
      </c>
      <c r="AI49" s="13">
        <f>'TUSD BE'!$AI$49*'TUSD BF'!$AI$58</f>
        <v>0.11134337617888107</v>
      </c>
      <c r="AJ49" s="13">
        <f ca="1">'TUSD BE'!$AJ$49*'TUSD BF'!$AJ$58</f>
        <v>0.62950534663476354</v>
      </c>
      <c r="AK49" s="13">
        <f ca="1">'TUSD BE'!$AK$49*'TUSD BF'!$AK$58</f>
        <v>0</v>
      </c>
      <c r="AL49" s="13">
        <f ca="1">SUM($AH$49:$AK$49)</f>
        <v>3.9862178057301261</v>
      </c>
      <c r="AM49" s="13">
        <f ca="1">SUMIF($L$4:$AL$4,"SUBTOTAL",$L$49:$AL$49)</f>
        <v>22.96942651959003</v>
      </c>
      <c r="AO49" s="26">
        <f ca="1">+'TUSD BE'!$T$49+'TUSD BE'!$AB$49+'TUSD BE'!$AD$49+'TUSD BE'!$AL$49</f>
        <v>454.26815861179813</v>
      </c>
      <c r="AP49" s="26">
        <f ca="1">+'TUSD BE'!$T$49+'TUSD BE'!$AB$49+'TUSD BE'!$AD$49+'TUSD BE'!$AL$49</f>
        <v>454.26815861179813</v>
      </c>
    </row>
    <row r="50" spans="1:42" ht="11.25" customHeight="1" x14ac:dyDescent="0.25">
      <c r="A50" s="142" t="s">
        <v>44</v>
      </c>
      <c r="B50" s="142" t="s">
        <v>23</v>
      </c>
      <c r="C50" s="142" t="s">
        <v>45</v>
      </c>
      <c r="D50" s="23" t="s">
        <v>93</v>
      </c>
      <c r="E50" s="23" t="s">
        <v>25</v>
      </c>
      <c r="F50" s="23" t="s">
        <v>25</v>
      </c>
      <c r="G50" s="24" t="s">
        <v>79</v>
      </c>
      <c r="H50" s="24" t="s">
        <v>75</v>
      </c>
      <c r="I50" s="24">
        <f>'MERCADO TUSD'!$U$47</f>
        <v>0</v>
      </c>
      <c r="J50" s="15"/>
      <c r="L50" s="13">
        <f>'TUSD BE'!$L$50*'TUSD BF'!$L$58</f>
        <v>0</v>
      </c>
      <c r="M50" s="13">
        <f>'TUSD BE'!$M$50*'TUSD BF'!$M$58</f>
        <v>0</v>
      </c>
      <c r="N50" s="13">
        <f ca="1">'TUSD BE'!$N$50*'TUSD BF'!$N$58</f>
        <v>0</v>
      </c>
      <c r="O50" s="13">
        <f>'TUSD BE'!$O$50*'TUSD BF'!$O$58</f>
        <v>0</v>
      </c>
      <c r="P50" s="13">
        <f>'TUSD BE'!$P$50*'TUSD BF'!$P$58</f>
        <v>0</v>
      </c>
      <c r="Q50" s="13">
        <f>'TUSD BE'!$Q$50*'TUSD BF'!$Q$58</f>
        <v>8.3136803173110252</v>
      </c>
      <c r="R50" s="13">
        <f>'TUSD BE'!$R$50*'TUSD BF'!$R$58</f>
        <v>2.1270844753119227</v>
      </c>
      <c r="S50" s="13">
        <f>'TUSD BE'!$R$50*'TUSD BF'!$S$58</f>
        <v>0</v>
      </c>
      <c r="T50" s="13">
        <f ca="1">SUM($L$50:$S$50)</f>
        <v>10.440764792622948</v>
      </c>
      <c r="U50" s="13">
        <f>'TUSD BE'!$U$50*'TUSD BF'!$U$58</f>
        <v>0</v>
      </c>
      <c r="V50" s="13">
        <f>'TUSD BE'!$V$50*'TUSD BF'!$V$58</f>
        <v>0</v>
      </c>
      <c r="W50" s="13">
        <f>'TUSD BE'!$W$50*'TUSD BF'!$W$58</f>
        <v>0</v>
      </c>
      <c r="X50" s="13">
        <f>'TUSD BE'!$X$50*'TUSD BF'!$X$58</f>
        <v>0</v>
      </c>
      <c r="Y50" s="13">
        <f>'TUSD BE'!$Y$50*'TUSD BF'!$Y$58</f>
        <v>0</v>
      </c>
      <c r="Z50" s="13">
        <f>'TUSD BE'!$Z$50*'TUSD BF'!$Z$58</f>
        <v>0</v>
      </c>
      <c r="AA50" s="13">
        <f>'TUSD BE'!$AA$50*'TUSD BF'!$AA$58</f>
        <v>0</v>
      </c>
      <c r="AB50" s="13">
        <f>SUM($U$50:$AA$50)</f>
        <v>0</v>
      </c>
      <c r="AC50" s="13">
        <f>'TUSD BE'!$AC$50*'TUSD BF'!$AC$58</f>
        <v>0</v>
      </c>
      <c r="AD50" s="13">
        <f>SUM($AC$50:$AC$50)</f>
        <v>0</v>
      </c>
      <c r="AE50" s="13">
        <f ca="1">$AO$50*$AO$55</f>
        <v>0</v>
      </c>
      <c r="AF50" s="13">
        <f ca="1">$AP$50*$AP$55</f>
        <v>0</v>
      </c>
      <c r="AG50" s="13">
        <f ca="1">SUM($AE$50:$AF$50)</f>
        <v>0</v>
      </c>
      <c r="AH50" s="13">
        <f>'TUSD BE'!$AH$50*'TUSD BF'!$AH$58</f>
        <v>1.7849529956040648</v>
      </c>
      <c r="AI50" s="13">
        <f>'TUSD BE'!$AI$50*'TUSD BF'!$AI$58</f>
        <v>6.1238856898384597E-2</v>
      </c>
      <c r="AJ50" s="13">
        <f ca="1">'TUSD BE'!$AJ$50*'TUSD BF'!$AJ$58</f>
        <v>0.34622794064911994</v>
      </c>
      <c r="AK50" s="13">
        <f ca="1">'TUSD BE'!$AK$50*'TUSD BF'!$AK$58</f>
        <v>0</v>
      </c>
      <c r="AL50" s="13">
        <f ca="1">SUM($AH$50:$AK$50)</f>
        <v>2.1924197931515694</v>
      </c>
      <c r="AM50" s="13">
        <f ca="1">SUMIF($L$4:$AL$4,"SUBTOTAL",$L$50:$AL$50)</f>
        <v>12.633184585774519</v>
      </c>
      <c r="AO50" s="26">
        <f ca="1">+'TUSD BE'!$T$50+'TUSD BE'!$AB$50+'TUSD BE'!$AD$50+'TUSD BE'!$AL$50</f>
        <v>249.84748723648894</v>
      </c>
      <c r="AP50" s="26">
        <f ca="1">+'TUSD BE'!$T$50+'TUSD BE'!$AB$50+'TUSD BE'!$AD$50+'TUSD BE'!$AL$50</f>
        <v>249.84748723648894</v>
      </c>
    </row>
    <row r="51" spans="1:42" ht="11.25" customHeight="1" x14ac:dyDescent="0.25">
      <c r="A51" s="142"/>
      <c r="B51" s="142"/>
      <c r="C51" s="142"/>
      <c r="D51" s="24" t="s">
        <v>46</v>
      </c>
      <c r="E51" s="24" t="s">
        <v>25</v>
      </c>
      <c r="F51" s="24" t="s">
        <v>25</v>
      </c>
      <c r="G51" s="24" t="s">
        <v>79</v>
      </c>
      <c r="H51" s="24" t="s">
        <v>75</v>
      </c>
      <c r="I51" s="24">
        <f>'MERCADO TUSD'!$U$48</f>
        <v>1655.8650000000002</v>
      </c>
      <c r="J51" s="15"/>
      <c r="L51" s="13">
        <f>'TUSD BE'!$L$51*'TUSD BF'!$L$58</f>
        <v>0</v>
      </c>
      <c r="M51" s="13">
        <f>'TUSD BE'!$M$51*'TUSD BF'!$M$58</f>
        <v>0</v>
      </c>
      <c r="N51" s="13">
        <f ca="1">'TUSD BE'!$N$51*'TUSD BF'!$N$58</f>
        <v>0</v>
      </c>
      <c r="O51" s="13">
        <f>'TUSD BE'!$O$51*'TUSD BF'!$O$58</f>
        <v>0</v>
      </c>
      <c r="P51" s="13">
        <f>'TUSD BE'!$P$51*'TUSD BF'!$P$58</f>
        <v>0</v>
      </c>
      <c r="Q51" s="13">
        <f>'TUSD BE'!$Q$51*'TUSD BF'!$Q$58</f>
        <v>9.0694694370665729</v>
      </c>
      <c r="R51" s="13">
        <f>'TUSD BE'!$R$51*'TUSD BF'!$R$58</f>
        <v>2.32045579124937</v>
      </c>
      <c r="S51" s="13">
        <f>'TUSD BE'!$R$51*'TUSD BF'!$S$58</f>
        <v>0</v>
      </c>
      <c r="T51" s="13">
        <f ca="1">SUM($L$51:$S$51)</f>
        <v>11.389925228315942</v>
      </c>
      <c r="U51" s="13">
        <f>'TUSD BE'!$U$51*'TUSD BF'!$U$58</f>
        <v>0</v>
      </c>
      <c r="V51" s="13">
        <f>'TUSD BE'!$V$51*'TUSD BF'!$V$58</f>
        <v>0</v>
      </c>
      <c r="W51" s="13">
        <f>'TUSD BE'!$W$51*'TUSD BF'!$W$58</f>
        <v>0</v>
      </c>
      <c r="X51" s="13">
        <f>'TUSD BE'!$X$51*'TUSD BF'!$X$58</f>
        <v>0</v>
      </c>
      <c r="Y51" s="13">
        <f>'TUSD BE'!$Y$51*'TUSD BF'!$Y$58</f>
        <v>0</v>
      </c>
      <c r="Z51" s="13">
        <f>'TUSD BE'!$Z$51*'TUSD BF'!$Z$58</f>
        <v>0</v>
      </c>
      <c r="AA51" s="13">
        <f>'TUSD BE'!$AA$51*'TUSD BF'!$AA$58</f>
        <v>0</v>
      </c>
      <c r="AB51" s="13">
        <f>SUM($U$51:$AA$51)</f>
        <v>0</v>
      </c>
      <c r="AC51" s="13">
        <f>'TUSD BE'!$AC$51*'TUSD BF'!$AC$58</f>
        <v>0</v>
      </c>
      <c r="AD51" s="13">
        <f>SUM($AC$51:$AC$51)</f>
        <v>0</v>
      </c>
      <c r="AE51" s="13">
        <f ca="1">$AO$51*$AO$55</f>
        <v>0</v>
      </c>
      <c r="AF51" s="13">
        <f ca="1">$AP$51*$AP$55</f>
        <v>0</v>
      </c>
      <c r="AG51" s="13">
        <f ca="1">SUM($AE$51:$AF$51)</f>
        <v>0</v>
      </c>
      <c r="AH51" s="13">
        <f>'TUSD BE'!$AH$51*'TUSD BF'!$AH$58</f>
        <v>1.9472214497498888</v>
      </c>
      <c r="AI51" s="13">
        <f>'TUSD BE'!$AI$51*'TUSD BF'!$AI$58</f>
        <v>6.6806025707328645E-2</v>
      </c>
      <c r="AJ51" s="13">
        <f ca="1">'TUSD BE'!$AJ$51*'TUSD BF'!$AJ$58</f>
        <v>0.3777032079808581</v>
      </c>
      <c r="AK51" s="13">
        <f ca="1">'TUSD BE'!$AK$51*'TUSD BF'!$AK$58</f>
        <v>0</v>
      </c>
      <c r="AL51" s="13">
        <f ca="1">SUM($AH$51:$AK$51)</f>
        <v>2.3917306834380758</v>
      </c>
      <c r="AM51" s="13">
        <f ca="1">SUMIF($L$4:$AL$4,"SUBTOTAL",$L$51:$AL$51)</f>
        <v>13.781655911754019</v>
      </c>
      <c r="AO51" s="26">
        <f ca="1">+'TUSD BE'!$T$51+'TUSD BE'!$AB$51+'TUSD BE'!$AD$51+'TUSD BE'!$AL$51</f>
        <v>272.56089516707885</v>
      </c>
      <c r="AP51" s="26">
        <f ca="1">+'TUSD BE'!$T$51+'TUSD BE'!$AB$51+'TUSD BE'!$AD$51+'TUSD BE'!$AL$51</f>
        <v>272.56089516707885</v>
      </c>
    </row>
    <row r="53" spans="1:42" ht="11.25" customHeight="1" x14ac:dyDescent="0.25">
      <c r="K53" s="16" t="s">
        <v>643</v>
      </c>
      <c r="L53" s="13">
        <f>SUMPRODUCT($I$5:$I51,$L$5:$L51)</f>
        <v>0</v>
      </c>
      <c r="M53" s="13">
        <f>SUMPRODUCT($I$5:$I51,$M$5:$M51)</f>
        <v>0</v>
      </c>
      <c r="N53" s="13">
        <f ca="1">SUMPRODUCT($I$5:$I51,$N$5:$N51)</f>
        <v>0</v>
      </c>
      <c r="O53" s="13">
        <f>SUMPRODUCT($I$5:$I51,$O$5:$O51)</f>
        <v>0</v>
      </c>
      <c r="P53" s="13">
        <f>SUMPRODUCT($I$5:$I51,$P$5:$P51)</f>
        <v>0</v>
      </c>
      <c r="Q53" s="13">
        <f>SUMPRODUCT($I$5:$I51,$Q$5:$Q51)</f>
        <v>938744.41830000025</v>
      </c>
      <c r="R53" s="13">
        <f>SUMPRODUCT($I$5:$I51,$R$5:$R51)</f>
        <v>270128.02939999994</v>
      </c>
      <c r="S53" s="13">
        <f>SUMPRODUCT($I$5:$I51,$S$5:$S51)</f>
        <v>0</v>
      </c>
      <c r="T53" s="13">
        <f ca="1">SUMPRODUCT($I$5:$I51,$T$5:$T51)</f>
        <v>1208872.4477000001</v>
      </c>
      <c r="U53" s="13">
        <f>SUMPRODUCT($I$5:$I51,$U$5:$U51)</f>
        <v>0</v>
      </c>
      <c r="V53" s="13">
        <f>SUMPRODUCT($I$5:$I51,$V$5:$V51)</f>
        <v>0</v>
      </c>
      <c r="W53" s="13">
        <f>SUMPRODUCT($I$5:$I51,$W$5:$W51)</f>
        <v>0</v>
      </c>
      <c r="X53" s="13">
        <f>SUMPRODUCT($I$5:$I51,$X$5:$X51)</f>
        <v>0</v>
      </c>
      <c r="Y53" s="13">
        <f>SUMPRODUCT($I$5:$I51,$Y$5:$Y51)</f>
        <v>0</v>
      </c>
      <c r="Z53" s="13">
        <f>SUMPRODUCT($I$5:$I51,$Z$5:$Z51)</f>
        <v>0</v>
      </c>
      <c r="AA53" s="13">
        <f>SUMPRODUCT($I$5:$I51,$AA$5:$AA51)</f>
        <v>0</v>
      </c>
      <c r="AB53" s="13">
        <f>SUMPRODUCT($I$5:$I51,$AB$5:$AB51)</f>
        <v>0</v>
      </c>
      <c r="AC53" s="13">
        <f>SUMPRODUCT($I$5:$I51,$AC$5:$AC51)</f>
        <v>0</v>
      </c>
      <c r="AD53" s="13">
        <f>SUMPRODUCT($I$5:$I51,$AD$5:$AD51)</f>
        <v>0</v>
      </c>
      <c r="AE53" s="13">
        <f ca="1">SUMPRODUCT($I$5:$I51,$AE$5:$AE51)</f>
        <v>0</v>
      </c>
      <c r="AF53" s="13">
        <f ca="1">SUMPRODUCT($I$5:$I51,$AF$5:$AF51)</f>
        <v>0</v>
      </c>
      <c r="AG53" s="13">
        <f ca="1">SUMPRODUCT($I$5:$I51,$AG$5:$AG51)</f>
        <v>0</v>
      </c>
      <c r="AH53" s="13">
        <f>SUMPRODUCT($I$5:$I51,$AH$5:$AH51)</f>
        <v>91958.538671496048</v>
      </c>
      <c r="AI53" s="13">
        <f>SUMPRODUCT($I$5:$I51,$AI$5:$AI51)</f>
        <v>3154.9490682148289</v>
      </c>
      <c r="AJ53" s="13">
        <f ca="1">SUMPRODUCT($I$5:$I51,$AJ$5:$AJ51)</f>
        <v>27531.540715235598</v>
      </c>
      <c r="AK53" s="13">
        <f ca="1">SUMPRODUCT($I$5:$I51,$AK$5:$AK51)</f>
        <v>0</v>
      </c>
      <c r="AL53" s="13">
        <f ca="1">SUMPRODUCT($I$5:$I51,$AL$5:$AL51)</f>
        <v>122645.02845494646</v>
      </c>
      <c r="AM53" s="13">
        <f ca="1">SUMPRODUCT($I$5:$I51,$AM$5:$AM51)</f>
        <v>1331517.4761549465</v>
      </c>
      <c r="AO53" s="24">
        <f ca="1">SUMPRODUCT($I$5:$I51,$AO$5:$AO51)</f>
        <v>19431779.951427709</v>
      </c>
      <c r="AP53" s="24">
        <f ca="1">SUMPRODUCT($I$5:$I51,$AP$5:$AP51)</f>
        <v>19431779.951427709</v>
      </c>
    </row>
    <row r="54" spans="1:42" ht="11.25" customHeight="1" x14ac:dyDescent="0.25">
      <c r="K54" s="16" t="s">
        <v>575</v>
      </c>
      <c r="L54" s="13">
        <f>'TR TUSD'!$L$56</f>
        <v>0</v>
      </c>
      <c r="M54" s="13">
        <f>'TR TUSD'!$M$56</f>
        <v>27365.997860554216</v>
      </c>
      <c r="N54" s="13">
        <f>'TR TUSD'!$N$56</f>
        <v>83815.458027374334</v>
      </c>
      <c r="O54" s="13">
        <f>'TR TUSD'!$O$56</f>
        <v>0</v>
      </c>
      <c r="P54" s="13">
        <f>'TR TUSD'!$P$56</f>
        <v>0</v>
      </c>
      <c r="Q54" s="13">
        <f>'TR TUSD'!$Q$56</f>
        <v>5512588.8119572811</v>
      </c>
      <c r="R54" s="13">
        <f>'TR TUSD'!$R$56</f>
        <v>1008889.0274199464</v>
      </c>
      <c r="S54" s="13">
        <f>'TR TUSD'!$S$56</f>
        <v>0</v>
      </c>
      <c r="T54" s="13">
        <f>'TR TUSD'!$T$56</f>
        <v>6632659.2952651558</v>
      </c>
      <c r="U54" s="13">
        <f>'TR TUSD'!$U$56</f>
        <v>0</v>
      </c>
      <c r="V54" s="13">
        <f>'TR TUSD'!$V$56</f>
        <v>0</v>
      </c>
      <c r="W54" s="13">
        <f>'TR TUSD'!$W$56</f>
        <v>0</v>
      </c>
      <c r="X54" s="13">
        <f>'TR TUSD'!$X$56</f>
        <v>0</v>
      </c>
      <c r="Y54" s="13">
        <f>'TR TUSD'!$Y$56</f>
        <v>6012295.3953999998</v>
      </c>
      <c r="Z54" s="13">
        <f>'TR TUSD'!$Z$56</f>
        <v>0</v>
      </c>
      <c r="AA54" s="13">
        <f>'TR TUSD'!$AA$56</f>
        <v>0</v>
      </c>
      <c r="AB54" s="13">
        <f>'TR TUSD'!$AB$56</f>
        <v>6012295.3953999998</v>
      </c>
      <c r="AC54" s="13">
        <f>'TR TUSD'!$AC$56</f>
        <v>6040700.2605260396</v>
      </c>
      <c r="AD54" s="13">
        <f>'TR TUSD'!$AD$56</f>
        <v>6040700.2605260396</v>
      </c>
      <c r="AE54" s="13">
        <f>'TR TUSD'!$AE$56</f>
        <v>0</v>
      </c>
      <c r="AF54" s="13">
        <f>'TR TUSD'!$AF$56</f>
        <v>0</v>
      </c>
      <c r="AG54" s="13">
        <f>'TR TUSD'!$AG$56</f>
        <v>0</v>
      </c>
      <c r="AH54" s="13">
        <f>'TR TUSD'!$AH$56</f>
        <v>551804.93985913182</v>
      </c>
      <c r="AI54" s="13">
        <f>'TR TUSD'!$AI$56</f>
        <v>18931.537038273214</v>
      </c>
      <c r="AJ54" s="13">
        <f>'TR TUSD'!$AJ$56</f>
        <v>165205.32392179928</v>
      </c>
      <c r="AK54" s="13">
        <f>'TR TUSD'!$AK$56</f>
        <v>10183.199417314685</v>
      </c>
      <c r="AL54" s="13">
        <f>'TR TUSD'!$AL$56</f>
        <v>746125.00023651903</v>
      </c>
      <c r="AM54" s="13">
        <f>CUSTOS!$D$29</f>
        <v>19431779.951427713</v>
      </c>
      <c r="AO54" s="24">
        <f>$AE$56</f>
        <v>0</v>
      </c>
      <c r="AP54" s="24">
        <f>$AF$56</f>
        <v>0</v>
      </c>
    </row>
    <row r="55" spans="1:42" ht="11.25" customHeight="1" x14ac:dyDescent="0.25">
      <c r="K55" s="16" t="s">
        <v>576</v>
      </c>
      <c r="L55" s="13">
        <f>CUSTOS!$E$2</f>
        <v>0</v>
      </c>
      <c r="M55" s="13">
        <f>CUSTOS!$E$3</f>
        <v>-457.71495656638444</v>
      </c>
      <c r="N55" s="13">
        <f>CUSTOS!$E$4</f>
        <v>8.5761777002605968E-2</v>
      </c>
      <c r="O55" s="13">
        <f>CUSTOS!$E$5</f>
        <v>0</v>
      </c>
      <c r="P55" s="13">
        <f>CUSTOS!$E$6</f>
        <v>0</v>
      </c>
      <c r="Q55" s="13">
        <f>CUSTOS!$E$7</f>
        <v>-105958.4652364559</v>
      </c>
      <c r="R55" s="13">
        <f>CUSTOS!$E$8</f>
        <v>-17941.336094698403</v>
      </c>
      <c r="S55" s="13">
        <f>CUSTOS!$E$9</f>
        <v>0</v>
      </c>
      <c r="T55" s="13">
        <f>CUSTOS!$E$10</f>
        <v>-124357.43052594368</v>
      </c>
      <c r="U55" s="13">
        <f>CUSTOS!$E$11</f>
        <v>0</v>
      </c>
      <c r="V55" s="13">
        <f>CUSTOS!$E$12</f>
        <v>0</v>
      </c>
      <c r="W55" s="13">
        <f>CUSTOS!$E$13</f>
        <v>0</v>
      </c>
      <c r="X55" s="13">
        <f>CUSTOS!$E$14</f>
        <v>0</v>
      </c>
      <c r="Y55" s="13">
        <f>CUSTOS!$E$15</f>
        <v>42588.727591660594</v>
      </c>
      <c r="Z55" s="13">
        <f>CUSTOS!$E$16</f>
        <v>0</v>
      </c>
      <c r="AA55" s="13">
        <f>CUSTOS!$E$17</f>
        <v>0</v>
      </c>
      <c r="AB55" s="13">
        <f>CUSTOS!$E$18</f>
        <v>42588.727591660594</v>
      </c>
      <c r="AC55" s="13">
        <f>CUSTOS!$E$19</f>
        <v>0</v>
      </c>
      <c r="AD55" s="13">
        <f>CUSTOS!$E$20</f>
        <v>0</v>
      </c>
      <c r="AE55" s="13">
        <f>CUSTOS!$E$21</f>
        <v>-5364684.1037082169</v>
      </c>
      <c r="AF55" s="13">
        <f>CUSTOS!$E$22</f>
        <v>0</v>
      </c>
      <c r="AG55" s="13">
        <f>CUSTOS!$E$23</f>
        <v>-5364684.1037082169</v>
      </c>
      <c r="AH55" s="13">
        <f>CUSTOS!$E$24</f>
        <v>-8045.6987564560177</v>
      </c>
      <c r="AI55" s="13">
        <f>CUSTOS!$E$25</f>
        <v>-276.03494098026817</v>
      </c>
      <c r="AJ55" s="13">
        <f>CUSTOS!$E$26</f>
        <v>-2408.8082096127278</v>
      </c>
      <c r="AK55" s="13">
        <f>CUSTOS!$E$27</f>
        <v>366.44006796318683</v>
      </c>
      <c r="AL55" s="13">
        <f>CUSTOS!$E$28</f>
        <v>-10364.101839085826</v>
      </c>
      <c r="AM55" s="13">
        <f>CUSTOS!$E$29</f>
        <v>-5456816.9084815858</v>
      </c>
      <c r="AO55" s="24">
        <f ca="1">IF(AO53&lt;&gt;0,AO54/AO53,0)</f>
        <v>0</v>
      </c>
      <c r="AP55" s="24">
        <f ca="1">IF(AP53&lt;&gt;0,AP54/AP53,0)</f>
        <v>0</v>
      </c>
    </row>
    <row r="56" spans="1:42" ht="11.25" customHeight="1" x14ac:dyDescent="0.25">
      <c r="K56" s="16" t="s">
        <v>577</v>
      </c>
      <c r="L56" s="13">
        <f>CUSTOS!$F$2</f>
        <v>0</v>
      </c>
      <c r="M56" s="13">
        <f>CUSTOS!$F$3</f>
        <v>0</v>
      </c>
      <c r="N56" s="13">
        <f>CUSTOS!$F$4</f>
        <v>0</v>
      </c>
      <c r="O56" s="13">
        <f>CUSTOS!$F$5</f>
        <v>0</v>
      </c>
      <c r="P56" s="13">
        <f>CUSTOS!$F$6</f>
        <v>0</v>
      </c>
      <c r="Q56" s="13">
        <f>CUSTOS!$F$7</f>
        <v>938744.41830000002</v>
      </c>
      <c r="R56" s="13">
        <f>CUSTOS!$F$8</f>
        <v>270128.0294</v>
      </c>
      <c r="S56" s="13">
        <f>CUSTOS!$F$9</f>
        <v>0</v>
      </c>
      <c r="T56" s="13">
        <f>CUSTOS!$F$10</f>
        <v>1208872.4476999999</v>
      </c>
      <c r="U56" s="13">
        <f>CUSTOS!$F$11</f>
        <v>0</v>
      </c>
      <c r="V56" s="13">
        <f>CUSTOS!$F$12</f>
        <v>0</v>
      </c>
      <c r="W56" s="13">
        <f>CUSTOS!$F$13</f>
        <v>0</v>
      </c>
      <c r="X56" s="13">
        <f>CUSTOS!$F$14</f>
        <v>0</v>
      </c>
      <c r="Y56" s="13">
        <f>CUSTOS!$F$15</f>
        <v>0</v>
      </c>
      <c r="Z56" s="13">
        <f>CUSTOS!$F$16</f>
        <v>0</v>
      </c>
      <c r="AA56" s="13">
        <f>CUSTOS!$F$17</f>
        <v>0</v>
      </c>
      <c r="AB56" s="13">
        <f>CUSTOS!$F$18</f>
        <v>0</v>
      </c>
      <c r="AC56" s="13">
        <f>CUSTOS!$F$19</f>
        <v>0</v>
      </c>
      <c r="AD56" s="13">
        <f>CUSTOS!$F$20</f>
        <v>0</v>
      </c>
      <c r="AE56" s="13">
        <f>CUSTOS!$F$21</f>
        <v>0</v>
      </c>
      <c r="AF56" s="13">
        <f>CUSTOS!$F$22</f>
        <v>0</v>
      </c>
      <c r="AG56" s="13">
        <f>CUSTOS!$F$23</f>
        <v>0</v>
      </c>
      <c r="AH56" s="13">
        <f>CUSTOS!$F$24</f>
        <v>91958.538671496077</v>
      </c>
      <c r="AI56" s="13">
        <f>CUSTOS!$F$25</f>
        <v>3154.9490682148294</v>
      </c>
      <c r="AJ56" s="13">
        <f>CUSTOS!$F$26</f>
        <v>27531.540715235598</v>
      </c>
      <c r="AK56" s="13">
        <f>CUSTOS!$F$27</f>
        <v>0</v>
      </c>
      <c r="AL56" s="13">
        <f>CUSTOS!$F$28</f>
        <v>122645.0284549465</v>
      </c>
      <c r="AM56" s="13">
        <f>CUSTOS!$F$29</f>
        <v>1331517.4761549465</v>
      </c>
    </row>
    <row r="57" spans="1:42" ht="11.25" customHeight="1" x14ac:dyDescent="0.25">
      <c r="K57" s="16" t="s">
        <v>640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/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/>
      <c r="AC57" s="13">
        <v>0</v>
      </c>
      <c r="AD57" s="13"/>
      <c r="AE57" s="13">
        <v>0</v>
      </c>
      <c r="AF57" s="13">
        <v>0</v>
      </c>
      <c r="AG57" s="13"/>
      <c r="AH57" s="13">
        <v>0</v>
      </c>
      <c r="AI57" s="13">
        <v>0</v>
      </c>
      <c r="AJ57" s="13">
        <v>0</v>
      </c>
      <c r="AK57" s="13">
        <v>0</v>
      </c>
      <c r="AL57" s="13"/>
      <c r="AM57" s="13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961" priority="55" operator="notEqual">
      <formula>$L$56</formula>
    </cfRule>
    <cfRule type="cellIs" dxfId="960" priority="56" operator="equal">
      <formula>$L$56</formula>
    </cfRule>
  </conditionalFormatting>
  <conditionalFormatting sqref="M53">
    <cfRule type="cellIs" dxfId="959" priority="53" operator="notEqual">
      <formula>$M$56</formula>
    </cfRule>
    <cfRule type="cellIs" dxfId="958" priority="54" operator="equal">
      <formula>$M$56</formula>
    </cfRule>
  </conditionalFormatting>
  <conditionalFormatting sqref="N53">
    <cfRule type="cellIs" dxfId="957" priority="51" operator="notEqual">
      <formula>$N$56</formula>
    </cfRule>
    <cfRule type="cellIs" dxfId="956" priority="52" operator="equal">
      <formula>$N$56</formula>
    </cfRule>
  </conditionalFormatting>
  <conditionalFormatting sqref="O53">
    <cfRule type="cellIs" dxfId="955" priority="49" operator="notEqual">
      <formula>$O$56</formula>
    </cfRule>
    <cfRule type="cellIs" dxfId="954" priority="50" operator="equal">
      <formula>$O$56</formula>
    </cfRule>
  </conditionalFormatting>
  <conditionalFormatting sqref="P53">
    <cfRule type="cellIs" dxfId="953" priority="47" operator="notEqual">
      <formula>$P$56</formula>
    </cfRule>
    <cfRule type="cellIs" dxfId="952" priority="48" operator="equal">
      <formula>$P$56</formula>
    </cfRule>
  </conditionalFormatting>
  <conditionalFormatting sqref="Q53">
    <cfRule type="cellIs" dxfId="951" priority="45" operator="notEqual">
      <formula>$Q$56</formula>
    </cfRule>
    <cfRule type="cellIs" dxfId="950" priority="46" operator="equal">
      <formula>$Q$56</formula>
    </cfRule>
  </conditionalFormatting>
  <conditionalFormatting sqref="R53">
    <cfRule type="cellIs" dxfId="949" priority="43" operator="notEqual">
      <formula>$R$56</formula>
    </cfRule>
    <cfRule type="cellIs" dxfId="948" priority="44" operator="equal">
      <formula>$R$56</formula>
    </cfRule>
  </conditionalFormatting>
  <conditionalFormatting sqref="S53">
    <cfRule type="cellIs" dxfId="947" priority="41" operator="notEqual">
      <formula>$S$56</formula>
    </cfRule>
    <cfRule type="cellIs" dxfId="946" priority="42" operator="equal">
      <formula>$S$56</formula>
    </cfRule>
  </conditionalFormatting>
  <conditionalFormatting sqref="T53">
    <cfRule type="cellIs" dxfId="945" priority="39" operator="notEqual">
      <formula>$T$56</formula>
    </cfRule>
    <cfRule type="cellIs" dxfId="944" priority="40" operator="equal">
      <formula>$T$56</formula>
    </cfRule>
  </conditionalFormatting>
  <conditionalFormatting sqref="U53">
    <cfRule type="cellIs" dxfId="943" priority="37" operator="notEqual">
      <formula>$U$56</formula>
    </cfRule>
    <cfRule type="cellIs" dxfId="942" priority="38" operator="equal">
      <formula>$U$56</formula>
    </cfRule>
  </conditionalFormatting>
  <conditionalFormatting sqref="V53">
    <cfRule type="cellIs" dxfId="941" priority="35" operator="notEqual">
      <formula>$V$56</formula>
    </cfRule>
    <cfRule type="cellIs" dxfId="940" priority="36" operator="equal">
      <formula>$V$56</formula>
    </cfRule>
  </conditionalFormatting>
  <conditionalFormatting sqref="W53">
    <cfRule type="cellIs" dxfId="939" priority="33" operator="notEqual">
      <formula>$W$56</formula>
    </cfRule>
    <cfRule type="cellIs" dxfId="938" priority="34" operator="equal">
      <formula>$W$56</formula>
    </cfRule>
  </conditionalFormatting>
  <conditionalFormatting sqref="X53">
    <cfRule type="cellIs" dxfId="937" priority="31" operator="notEqual">
      <formula>$X$56</formula>
    </cfRule>
    <cfRule type="cellIs" dxfId="936" priority="32" operator="equal">
      <formula>$X$56</formula>
    </cfRule>
  </conditionalFormatting>
  <conditionalFormatting sqref="Y53">
    <cfRule type="cellIs" dxfId="935" priority="29" operator="notEqual">
      <formula>$Y$56</formula>
    </cfRule>
    <cfRule type="cellIs" dxfId="934" priority="30" operator="equal">
      <formula>$Y$56</formula>
    </cfRule>
  </conditionalFormatting>
  <conditionalFormatting sqref="Z53">
    <cfRule type="cellIs" dxfId="933" priority="27" operator="notEqual">
      <formula>$Z$56</formula>
    </cfRule>
    <cfRule type="cellIs" dxfId="932" priority="28" operator="equal">
      <formula>$Z$56</formula>
    </cfRule>
  </conditionalFormatting>
  <conditionalFormatting sqref="AA53">
    <cfRule type="cellIs" dxfId="931" priority="25" operator="notEqual">
      <formula>$AA$56</formula>
    </cfRule>
    <cfRule type="cellIs" dxfId="930" priority="26" operator="equal">
      <formula>$AA$56</formula>
    </cfRule>
  </conditionalFormatting>
  <conditionalFormatting sqref="AB53">
    <cfRule type="cellIs" dxfId="929" priority="23" operator="notEqual">
      <formula>$AB$56</formula>
    </cfRule>
    <cfRule type="cellIs" dxfId="928" priority="24" operator="equal">
      <formula>$AB$56</formula>
    </cfRule>
  </conditionalFormatting>
  <conditionalFormatting sqref="AC53">
    <cfRule type="cellIs" dxfId="927" priority="21" operator="notEqual">
      <formula>$AC$56</formula>
    </cfRule>
    <cfRule type="cellIs" dxfId="926" priority="22" operator="equal">
      <formula>$AC$56</formula>
    </cfRule>
  </conditionalFormatting>
  <conditionalFormatting sqref="AD53">
    <cfRule type="cellIs" dxfId="925" priority="19" operator="notEqual">
      <formula>$AD$56</formula>
    </cfRule>
    <cfRule type="cellIs" dxfId="924" priority="20" operator="equal">
      <formula>$AD$56</formula>
    </cfRule>
  </conditionalFormatting>
  <conditionalFormatting sqref="AE53">
    <cfRule type="cellIs" dxfId="923" priority="17" operator="notEqual">
      <formula>$AE$56</formula>
    </cfRule>
    <cfRule type="cellIs" dxfId="922" priority="18" operator="equal">
      <formula>$AE$56</formula>
    </cfRule>
  </conditionalFormatting>
  <conditionalFormatting sqref="AF53">
    <cfRule type="cellIs" dxfId="921" priority="16" operator="equal">
      <formula>$AF$56</formula>
    </cfRule>
  </conditionalFormatting>
  <conditionalFormatting sqref="AF53">
    <cfRule type="cellIs" dxfId="920" priority="15" operator="notEqual">
      <formula>$AF$56</formula>
    </cfRule>
  </conditionalFormatting>
  <conditionalFormatting sqref="AG53">
    <cfRule type="cellIs" dxfId="919" priority="14" operator="equal">
      <formula>$AG$56</formula>
    </cfRule>
  </conditionalFormatting>
  <conditionalFormatting sqref="AG53">
    <cfRule type="cellIs" dxfId="918" priority="13" operator="notEqual">
      <formula>$AG$56</formula>
    </cfRule>
  </conditionalFormatting>
  <conditionalFormatting sqref="AH53">
    <cfRule type="cellIs" dxfId="917" priority="12" operator="equal">
      <formula>$AH$56</formula>
    </cfRule>
  </conditionalFormatting>
  <conditionalFormatting sqref="AH53">
    <cfRule type="cellIs" dxfId="916" priority="11" operator="notEqual">
      <formula>$AH$56</formula>
    </cfRule>
  </conditionalFormatting>
  <conditionalFormatting sqref="AI53">
    <cfRule type="cellIs" dxfId="915" priority="10" operator="equal">
      <formula>$AI$56</formula>
    </cfRule>
  </conditionalFormatting>
  <conditionalFormatting sqref="AI53">
    <cfRule type="cellIs" dxfId="914" priority="9" operator="notEqual">
      <formula>$AI$56</formula>
    </cfRule>
  </conditionalFormatting>
  <conditionalFormatting sqref="AJ53">
    <cfRule type="cellIs" dxfId="913" priority="8" operator="equal">
      <formula>$AJ$56</formula>
    </cfRule>
  </conditionalFormatting>
  <conditionalFormatting sqref="AJ53">
    <cfRule type="cellIs" dxfId="912" priority="7" operator="notEqual">
      <formula>$AJ$56</formula>
    </cfRule>
  </conditionalFormatting>
  <conditionalFormatting sqref="AK53">
    <cfRule type="cellIs" dxfId="911" priority="6" operator="equal">
      <formula>$AK$56</formula>
    </cfRule>
  </conditionalFormatting>
  <conditionalFormatting sqref="AK53">
    <cfRule type="cellIs" dxfId="910" priority="5" operator="notEqual">
      <formula>$AK$56</formula>
    </cfRule>
  </conditionalFormatting>
  <conditionalFormatting sqref="AL53">
    <cfRule type="cellIs" dxfId="909" priority="4" operator="equal">
      <formula>$AL$56</formula>
    </cfRule>
  </conditionalFormatting>
  <conditionalFormatting sqref="AL53">
    <cfRule type="cellIs" dxfId="908" priority="3" operator="notEqual">
      <formula>$AL$56</formula>
    </cfRule>
  </conditionalFormatting>
  <conditionalFormatting sqref="AM53">
    <cfRule type="cellIs" dxfId="907" priority="2" operator="equal">
      <formula>$AM$56</formula>
    </cfRule>
  </conditionalFormatting>
  <conditionalFormatting sqref="AM53">
    <cfRule type="cellIs" dxfId="906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CCC4C-0D1E-4252-8201-F926982A55A2}">
  <dimension ref="A1:AB50"/>
  <sheetViews>
    <sheetView showGridLines="0" topLeftCell="A31" workbookViewId="0">
      <selection activeCell="K44" sqref="K44:AB5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7.85546875" style="9" bestFit="1" customWidth="1"/>
    <col min="13" max="13" width="8.7109375" style="9" bestFit="1" customWidth="1"/>
    <col min="14" max="14" width="7.85546875" style="9" bestFit="1" customWidth="1"/>
    <col min="15" max="15" width="11.140625" style="9" bestFit="1" customWidth="1"/>
    <col min="16" max="17" width="9.28515625" style="9" bestFit="1" customWidth="1"/>
    <col min="18" max="18" width="15" style="9" bestFit="1" customWidth="1"/>
    <col min="19" max="19" width="10" style="9" bestFit="1" customWidth="1"/>
    <col min="20" max="20" width="8.71093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5703125" style="9" bestFit="1" customWidth="1"/>
    <col min="29" max="16384" width="9.140625" style="9"/>
  </cols>
  <sheetData>
    <row r="1" spans="1:28" ht="11.25" customHeight="1" x14ac:dyDescent="0.25">
      <c r="A1" s="147" t="s">
        <v>65</v>
      </c>
      <c r="B1" s="147" t="s">
        <v>66</v>
      </c>
      <c r="C1" s="147" t="s">
        <v>67</v>
      </c>
      <c r="D1" s="147" t="s">
        <v>68</v>
      </c>
      <c r="E1" s="147" t="s">
        <v>69</v>
      </c>
      <c r="F1" s="147" t="s">
        <v>15</v>
      </c>
      <c r="G1" s="147" t="s">
        <v>71</v>
      </c>
      <c r="H1" s="147" t="s">
        <v>72</v>
      </c>
      <c r="I1" s="147" t="s">
        <v>634</v>
      </c>
      <c r="J1" s="131"/>
      <c r="L1" s="148" t="s">
        <v>655</v>
      </c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</row>
    <row r="2" spans="1:28" ht="11.25" customHeight="1" x14ac:dyDescent="0.25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8" t="s">
        <v>561</v>
      </c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</row>
    <row r="3" spans="1:28" ht="11.25" customHeight="1" x14ac:dyDescent="0.25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8" t="s">
        <v>534</v>
      </c>
      <c r="M3" s="148"/>
      <c r="N3" s="148"/>
      <c r="O3" s="148"/>
      <c r="P3" s="148"/>
      <c r="Q3" s="148"/>
      <c r="R3" s="148" t="s">
        <v>565</v>
      </c>
      <c r="S3" s="148"/>
      <c r="T3" s="148" t="s">
        <v>543</v>
      </c>
      <c r="U3" s="148"/>
      <c r="V3" s="148"/>
      <c r="W3" s="148"/>
      <c r="X3" s="148" t="s">
        <v>553</v>
      </c>
      <c r="Y3" s="148"/>
      <c r="Z3" s="148" t="s">
        <v>556</v>
      </c>
      <c r="AA3" s="148"/>
      <c r="AB3" s="148" t="s">
        <v>542</v>
      </c>
    </row>
    <row r="4" spans="1:28" ht="11.25" customHeight="1" x14ac:dyDescent="0.25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30" t="s">
        <v>536</v>
      </c>
      <c r="M4" s="30" t="s">
        <v>562</v>
      </c>
      <c r="N4" s="30" t="s">
        <v>563</v>
      </c>
      <c r="O4" s="30" t="s">
        <v>622</v>
      </c>
      <c r="P4" s="30" t="s">
        <v>564</v>
      </c>
      <c r="Q4" s="30" t="s">
        <v>542</v>
      </c>
      <c r="R4" s="30" t="s">
        <v>566</v>
      </c>
      <c r="S4" s="30" t="s">
        <v>542</v>
      </c>
      <c r="T4" s="30" t="s">
        <v>567</v>
      </c>
      <c r="U4" s="30" t="s">
        <v>568</v>
      </c>
      <c r="V4" s="30" t="s">
        <v>569</v>
      </c>
      <c r="W4" s="30" t="s">
        <v>542</v>
      </c>
      <c r="X4" s="30" t="s">
        <v>554</v>
      </c>
      <c r="Y4" s="30" t="s">
        <v>542</v>
      </c>
      <c r="Z4" s="30" t="s">
        <v>570</v>
      </c>
      <c r="AA4" s="30" t="s">
        <v>542</v>
      </c>
      <c r="AB4" s="149"/>
    </row>
    <row r="5" spans="1:28" ht="11.25" customHeight="1" x14ac:dyDescent="0.25">
      <c r="A5" s="146" t="s">
        <v>38</v>
      </c>
      <c r="B5" s="146" t="s">
        <v>74</v>
      </c>
      <c r="C5" s="146" t="s">
        <v>25</v>
      </c>
      <c r="D5" s="146" t="s">
        <v>25</v>
      </c>
      <c r="E5" s="146" t="s">
        <v>25</v>
      </c>
      <c r="F5" s="146" t="s">
        <v>25</v>
      </c>
      <c r="G5" s="29" t="s">
        <v>76</v>
      </c>
      <c r="H5" s="29" t="s">
        <v>75</v>
      </c>
      <c r="I5" s="29">
        <f>'MERCADO TE'!$U$2</f>
        <v>280.50399999999996</v>
      </c>
      <c r="J5" s="15"/>
      <c r="L5" s="26">
        <v>1</v>
      </c>
      <c r="M5" s="26">
        <v>1</v>
      </c>
      <c r="N5" s="26">
        <v>1</v>
      </c>
      <c r="O5" s="26">
        <v>1</v>
      </c>
      <c r="P5" s="26">
        <v>1</v>
      </c>
      <c r="Q5" s="26"/>
      <c r="R5" s="26">
        <v>1.72</v>
      </c>
      <c r="S5" s="26"/>
      <c r="T5" s="26">
        <v>1</v>
      </c>
      <c r="U5" s="26">
        <v>1</v>
      </c>
      <c r="V5" s="26">
        <v>1</v>
      </c>
      <c r="W5" s="26"/>
      <c r="X5" s="26"/>
      <c r="Y5" s="26"/>
      <c r="Z5" s="26">
        <v>1</v>
      </c>
      <c r="AA5" s="26"/>
      <c r="AB5" s="26"/>
    </row>
    <row r="6" spans="1:28" ht="11.25" customHeight="1" x14ac:dyDescent="0.25">
      <c r="A6" s="146"/>
      <c r="B6" s="146"/>
      <c r="C6" s="146"/>
      <c r="D6" s="146"/>
      <c r="E6" s="146"/>
      <c r="F6" s="146"/>
      <c r="G6" s="29" t="s">
        <v>77</v>
      </c>
      <c r="H6" s="29" t="s">
        <v>75</v>
      </c>
      <c r="I6" s="29">
        <f>'MERCADO TE'!$U$3</f>
        <v>7558.6610000000001</v>
      </c>
      <c r="J6" s="15"/>
      <c r="L6" s="26">
        <v>1</v>
      </c>
      <c r="M6" s="26">
        <v>1</v>
      </c>
      <c r="N6" s="26">
        <v>1</v>
      </c>
      <c r="O6" s="26">
        <v>1</v>
      </c>
      <c r="P6" s="26">
        <v>1</v>
      </c>
      <c r="Q6" s="26"/>
      <c r="R6" s="26">
        <v>1</v>
      </c>
      <c r="S6" s="26"/>
      <c r="T6" s="26">
        <v>1</v>
      </c>
      <c r="U6" s="26">
        <v>1</v>
      </c>
      <c r="V6" s="26">
        <v>1</v>
      </c>
      <c r="W6" s="26"/>
      <c r="X6" s="26"/>
      <c r="Y6" s="26"/>
      <c r="Z6" s="26">
        <v>1</v>
      </c>
      <c r="AA6" s="26"/>
      <c r="AB6" s="26"/>
    </row>
    <row r="7" spans="1:28" ht="11.25" customHeight="1" x14ac:dyDescent="0.25">
      <c r="A7" s="146"/>
      <c r="B7" s="28" t="s">
        <v>78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79</v>
      </c>
      <c r="H7" s="29" t="s">
        <v>75</v>
      </c>
      <c r="I7" s="29">
        <f>'MERCADO TE'!$U$4</f>
        <v>0</v>
      </c>
      <c r="J7" s="15"/>
      <c r="L7" s="26">
        <v>1</v>
      </c>
      <c r="M7" s="26">
        <v>1</v>
      </c>
      <c r="N7" s="26">
        <v>1</v>
      </c>
      <c r="O7" s="26">
        <v>1</v>
      </c>
      <c r="P7" s="26">
        <v>1</v>
      </c>
      <c r="Q7" s="26"/>
      <c r="R7" s="26">
        <v>1.06</v>
      </c>
      <c r="S7" s="26"/>
      <c r="T7" s="26">
        <v>1</v>
      </c>
      <c r="U7" s="26">
        <v>1</v>
      </c>
      <c r="V7" s="26">
        <v>1</v>
      </c>
      <c r="W7" s="26"/>
      <c r="X7" s="26"/>
      <c r="Y7" s="26"/>
      <c r="Z7" s="26">
        <v>1</v>
      </c>
      <c r="AA7" s="26"/>
      <c r="AB7" s="26"/>
    </row>
    <row r="8" spans="1:28" ht="11.25" customHeight="1" x14ac:dyDescent="0.25">
      <c r="A8" s="146" t="s">
        <v>22</v>
      </c>
      <c r="B8" s="146" t="s">
        <v>74</v>
      </c>
      <c r="C8" s="146" t="s">
        <v>24</v>
      </c>
      <c r="D8" s="146" t="s">
        <v>24</v>
      </c>
      <c r="E8" s="146" t="s">
        <v>25</v>
      </c>
      <c r="F8" s="146" t="s">
        <v>25</v>
      </c>
      <c r="G8" s="29" t="s">
        <v>76</v>
      </c>
      <c r="H8" s="29" t="s">
        <v>75</v>
      </c>
      <c r="I8" s="29">
        <f>'MERCADO TE'!$U$5</f>
        <v>0.17000000000000004</v>
      </c>
      <c r="J8" s="15"/>
      <c r="L8" s="26">
        <v>1</v>
      </c>
      <c r="M8" s="26">
        <v>1</v>
      </c>
      <c r="N8" s="26">
        <v>1</v>
      </c>
      <c r="O8" s="26">
        <v>1</v>
      </c>
      <c r="P8" s="26">
        <v>1</v>
      </c>
      <c r="Q8" s="26"/>
      <c r="R8" s="26">
        <v>1.72</v>
      </c>
      <c r="S8" s="26"/>
      <c r="T8" s="26">
        <v>1</v>
      </c>
      <c r="U8" s="26">
        <v>1</v>
      </c>
      <c r="V8" s="26">
        <v>1</v>
      </c>
      <c r="W8" s="26"/>
      <c r="X8" s="26"/>
      <c r="Y8" s="26"/>
      <c r="Z8" s="26">
        <v>1</v>
      </c>
      <c r="AA8" s="26"/>
      <c r="AB8" s="26"/>
    </row>
    <row r="9" spans="1:28" ht="11.25" customHeight="1" x14ac:dyDescent="0.25">
      <c r="A9" s="146"/>
      <c r="B9" s="146"/>
      <c r="C9" s="146"/>
      <c r="D9" s="146"/>
      <c r="E9" s="146"/>
      <c r="F9" s="146"/>
      <c r="G9" s="29" t="s">
        <v>88</v>
      </c>
      <c r="H9" s="29" t="s">
        <v>75</v>
      </c>
      <c r="I9" s="29">
        <f>'MERCADO TE'!$U$6</f>
        <v>0.13000000000000003</v>
      </c>
      <c r="J9" s="15"/>
      <c r="L9" s="26">
        <v>1</v>
      </c>
      <c r="M9" s="26">
        <v>1</v>
      </c>
      <c r="N9" s="26">
        <v>1</v>
      </c>
      <c r="O9" s="26">
        <v>1</v>
      </c>
      <c r="P9" s="26">
        <v>1</v>
      </c>
      <c r="Q9" s="26"/>
      <c r="R9" s="26">
        <v>1</v>
      </c>
      <c r="S9" s="26"/>
      <c r="T9" s="26">
        <v>1</v>
      </c>
      <c r="U9" s="26">
        <v>1</v>
      </c>
      <c r="V9" s="26">
        <v>1</v>
      </c>
      <c r="W9" s="26"/>
      <c r="X9" s="26"/>
      <c r="Y9" s="26"/>
      <c r="Z9" s="26">
        <v>1</v>
      </c>
      <c r="AA9" s="26"/>
      <c r="AB9" s="26"/>
    </row>
    <row r="10" spans="1:28" ht="11.25" customHeight="1" x14ac:dyDescent="0.25">
      <c r="A10" s="146"/>
      <c r="B10" s="146"/>
      <c r="C10" s="146"/>
      <c r="D10" s="146"/>
      <c r="E10" s="146"/>
      <c r="F10" s="146"/>
      <c r="G10" s="29" t="s">
        <v>77</v>
      </c>
      <c r="H10" s="29" t="s">
        <v>75</v>
      </c>
      <c r="I10" s="29">
        <f>'MERCADO TE'!$U$7</f>
        <v>2.4539999999999997</v>
      </c>
      <c r="J10" s="15"/>
      <c r="L10" s="26">
        <v>1</v>
      </c>
      <c r="M10" s="26">
        <v>1</v>
      </c>
      <c r="N10" s="26">
        <v>1</v>
      </c>
      <c r="O10" s="26">
        <v>1</v>
      </c>
      <c r="P10" s="26">
        <v>1</v>
      </c>
      <c r="Q10" s="26"/>
      <c r="R10" s="26">
        <v>1</v>
      </c>
      <c r="S10" s="26"/>
      <c r="T10" s="26">
        <v>1</v>
      </c>
      <c r="U10" s="26">
        <v>1</v>
      </c>
      <c r="V10" s="26">
        <v>1</v>
      </c>
      <c r="W10" s="26"/>
      <c r="X10" s="26"/>
      <c r="Y10" s="26"/>
      <c r="Z10" s="26">
        <v>1</v>
      </c>
      <c r="AA10" s="26"/>
      <c r="AB10" s="26"/>
    </row>
    <row r="11" spans="1:28" ht="11.25" customHeight="1" x14ac:dyDescent="0.25">
      <c r="A11" s="146"/>
      <c r="B11" s="146" t="s">
        <v>78</v>
      </c>
      <c r="C11" s="146" t="s">
        <v>24</v>
      </c>
      <c r="D11" s="28" t="s">
        <v>24</v>
      </c>
      <c r="E11" s="28" t="s">
        <v>25</v>
      </c>
      <c r="F11" s="28" t="s">
        <v>25</v>
      </c>
      <c r="G11" s="29" t="s">
        <v>79</v>
      </c>
      <c r="H11" s="29" t="s">
        <v>75</v>
      </c>
      <c r="I11" s="29">
        <f>'MERCADO TE'!$U$8</f>
        <v>10574.981000000002</v>
      </c>
      <c r="J11" s="15"/>
      <c r="L11" s="26">
        <v>1</v>
      </c>
      <c r="M11" s="26">
        <v>1</v>
      </c>
      <c r="N11" s="26">
        <v>1</v>
      </c>
      <c r="O11" s="26">
        <v>1</v>
      </c>
      <c r="P11" s="26">
        <v>1</v>
      </c>
      <c r="Q11" s="26"/>
      <c r="R11" s="26">
        <v>1.06</v>
      </c>
      <c r="S11" s="26"/>
      <c r="T11" s="26">
        <v>1</v>
      </c>
      <c r="U11" s="26">
        <v>1</v>
      </c>
      <c r="V11" s="26">
        <v>1</v>
      </c>
      <c r="W11" s="26"/>
      <c r="X11" s="26"/>
      <c r="Y11" s="26"/>
      <c r="Z11" s="26">
        <v>1</v>
      </c>
      <c r="AA11" s="26"/>
      <c r="AB11" s="26"/>
    </row>
    <row r="12" spans="1:28" ht="11.25" customHeight="1" x14ac:dyDescent="0.25">
      <c r="A12" s="146"/>
      <c r="B12" s="146"/>
      <c r="C12" s="146"/>
      <c r="D12" s="28" t="s">
        <v>28</v>
      </c>
      <c r="E12" s="28" t="s">
        <v>25</v>
      </c>
      <c r="F12" s="28" t="s">
        <v>25</v>
      </c>
      <c r="G12" s="29" t="s">
        <v>79</v>
      </c>
      <c r="H12" s="29" t="s">
        <v>75</v>
      </c>
      <c r="I12" s="29">
        <f>'MERCADO TE'!$U$9</f>
        <v>204.62</v>
      </c>
      <c r="J12" s="15"/>
      <c r="L12" s="26">
        <f>1 - CUSTOS!$M$24</f>
        <v>1</v>
      </c>
      <c r="M12" s="26">
        <f>1 - CUSTOS!$M$24</f>
        <v>1</v>
      </c>
      <c r="N12" s="26">
        <f>1 - CUSTOS!$M$24</f>
        <v>1</v>
      </c>
      <c r="O12" s="26">
        <f>1 - CUSTOS!$M$24</f>
        <v>1</v>
      </c>
      <c r="P12" s="26">
        <f>1 - CUSTOS!$M$24</f>
        <v>1</v>
      </c>
      <c r="Q12" s="26"/>
      <c r="R12" s="26">
        <f>(1 - CUSTOS!$M$24)*1.06</f>
        <v>1.06</v>
      </c>
      <c r="S12" s="26"/>
      <c r="T12" s="26">
        <f>1 - CUSTOS!$M$24</f>
        <v>1</v>
      </c>
      <c r="U12" s="26">
        <f>1 - CUSTOS!$M$24</f>
        <v>1</v>
      </c>
      <c r="V12" s="26">
        <f>1 - CUSTOS!$M$24</f>
        <v>1</v>
      </c>
      <c r="W12" s="26"/>
      <c r="X12" s="26"/>
      <c r="Y12" s="26"/>
      <c r="Z12" s="26">
        <f>1 - CUSTOS!$M$24</f>
        <v>1</v>
      </c>
      <c r="AA12" s="26"/>
      <c r="AB12" s="26"/>
    </row>
    <row r="13" spans="1:28" ht="11.25" customHeight="1" x14ac:dyDescent="0.25">
      <c r="A13" s="146"/>
      <c r="B13" s="146"/>
      <c r="C13" s="146"/>
      <c r="D13" s="28" t="s">
        <v>29</v>
      </c>
      <c r="E13" s="28" t="s">
        <v>25</v>
      </c>
      <c r="F13" s="28" t="s">
        <v>25</v>
      </c>
      <c r="G13" s="29" t="s">
        <v>79</v>
      </c>
      <c r="H13" s="29" t="s">
        <v>75</v>
      </c>
      <c r="I13" s="29">
        <f>'MERCADO TE'!$U$10</f>
        <v>376.553</v>
      </c>
      <c r="J13" s="15"/>
      <c r="L13" s="26">
        <f>1 - CUSTOS!$M$25</f>
        <v>1</v>
      </c>
      <c r="M13" s="26">
        <f>1 - CUSTOS!$M$25</f>
        <v>1</v>
      </c>
      <c r="N13" s="26">
        <f>1 - CUSTOS!$M$25</f>
        <v>1</v>
      </c>
      <c r="O13" s="26">
        <f>1 - CUSTOS!$M$25</f>
        <v>1</v>
      </c>
      <c r="P13" s="26">
        <f>1 - CUSTOS!$M$25</f>
        <v>1</v>
      </c>
      <c r="Q13" s="26"/>
      <c r="R13" s="26">
        <f>(1 - CUSTOS!$M$25)*1.06</f>
        <v>1.06</v>
      </c>
      <c r="S13" s="26"/>
      <c r="T13" s="26">
        <f>1 - CUSTOS!$M$25</f>
        <v>1</v>
      </c>
      <c r="U13" s="26">
        <f>1 - CUSTOS!$M$25</f>
        <v>1</v>
      </c>
      <c r="V13" s="26">
        <f>1 - CUSTOS!$M$25</f>
        <v>1</v>
      </c>
      <c r="W13" s="26"/>
      <c r="X13" s="26"/>
      <c r="Y13" s="26"/>
      <c r="Z13" s="26">
        <f>1 - CUSTOS!$M$25</f>
        <v>1</v>
      </c>
      <c r="AA13" s="26"/>
      <c r="AB13" s="26"/>
    </row>
    <row r="14" spans="1:28" ht="11.25" customHeight="1" x14ac:dyDescent="0.25">
      <c r="A14" s="146"/>
      <c r="B14" s="146"/>
      <c r="C14" s="146"/>
      <c r="D14" s="28" t="s">
        <v>30</v>
      </c>
      <c r="E14" s="28" t="s">
        <v>25</v>
      </c>
      <c r="F14" s="28" t="s">
        <v>25</v>
      </c>
      <c r="G14" s="29" t="s">
        <v>79</v>
      </c>
      <c r="H14" s="29" t="s">
        <v>75</v>
      </c>
      <c r="I14" s="29">
        <f>'MERCADO TE'!$U$11</f>
        <v>166.29699999999997</v>
      </c>
      <c r="J14" s="15"/>
      <c r="L14" s="26">
        <f>1 - CUSTOS!$M$26</f>
        <v>1</v>
      </c>
      <c r="M14" s="26">
        <f>1 - CUSTOS!$M$26</f>
        <v>1</v>
      </c>
      <c r="N14" s="26">
        <f>1 - CUSTOS!$M$26</f>
        <v>1</v>
      </c>
      <c r="O14" s="26">
        <f>1 - CUSTOS!$M$26</f>
        <v>1</v>
      </c>
      <c r="P14" s="26">
        <f>1 - CUSTOS!$M$26</f>
        <v>1</v>
      </c>
      <c r="Q14" s="26"/>
      <c r="R14" s="26">
        <f>(1 - CUSTOS!$M$26)*1.06</f>
        <v>1.06</v>
      </c>
      <c r="S14" s="26"/>
      <c r="T14" s="26">
        <f>1 - CUSTOS!$M$26</f>
        <v>1</v>
      </c>
      <c r="U14" s="26">
        <f>1 - CUSTOS!$M$26</f>
        <v>1</v>
      </c>
      <c r="V14" s="26">
        <f>1 - CUSTOS!$M$26</f>
        <v>1</v>
      </c>
      <c r="W14" s="26"/>
      <c r="X14" s="26"/>
      <c r="Y14" s="26"/>
      <c r="Z14" s="26">
        <f>1 - CUSTOS!$M$26</f>
        <v>1</v>
      </c>
      <c r="AA14" s="26"/>
      <c r="AB14" s="26"/>
    </row>
    <row r="15" spans="1:28" ht="11.25" customHeight="1" x14ac:dyDescent="0.25">
      <c r="A15" s="146"/>
      <c r="B15" s="146"/>
      <c r="C15" s="146"/>
      <c r="D15" s="28" t="s">
        <v>31</v>
      </c>
      <c r="E15" s="28" t="s">
        <v>25</v>
      </c>
      <c r="F15" s="28" t="s">
        <v>25</v>
      </c>
      <c r="G15" s="29" t="s">
        <v>79</v>
      </c>
      <c r="H15" s="29" t="s">
        <v>75</v>
      </c>
      <c r="I15" s="29">
        <f>'MERCADO TE'!$U$12</f>
        <v>17.806999999999999</v>
      </c>
      <c r="J15" s="15"/>
      <c r="L15" s="26">
        <f>1 - CUSTOS!$M$27</f>
        <v>1</v>
      </c>
      <c r="M15" s="26">
        <f>1 - CUSTOS!$M$27</f>
        <v>1</v>
      </c>
      <c r="N15" s="26">
        <f>1 - CUSTOS!$M$27</f>
        <v>1</v>
      </c>
      <c r="O15" s="26">
        <f>1 - CUSTOS!$M$27</f>
        <v>1</v>
      </c>
      <c r="P15" s="26">
        <f>1 - CUSTOS!$M$27</f>
        <v>1</v>
      </c>
      <c r="Q15" s="26"/>
      <c r="R15" s="26">
        <f>(1 - CUSTOS!$M$27)*1.06</f>
        <v>1.06</v>
      </c>
      <c r="S15" s="26"/>
      <c r="T15" s="26">
        <f>1 - CUSTOS!$M$27</f>
        <v>1</v>
      </c>
      <c r="U15" s="26">
        <f>1 - CUSTOS!$M$27</f>
        <v>1</v>
      </c>
      <c r="V15" s="26">
        <f>1 - CUSTOS!$M$27</f>
        <v>1</v>
      </c>
      <c r="W15" s="26"/>
      <c r="X15" s="26"/>
      <c r="Y15" s="26"/>
      <c r="Z15" s="26">
        <f>1 - CUSTOS!$M$27</f>
        <v>1</v>
      </c>
      <c r="AA15" s="26"/>
      <c r="AB15" s="26"/>
    </row>
    <row r="16" spans="1:28" ht="11.25" customHeight="1" x14ac:dyDescent="0.25">
      <c r="A16" s="146"/>
      <c r="B16" s="146" t="s">
        <v>89</v>
      </c>
      <c r="C16" s="146" t="s">
        <v>24</v>
      </c>
      <c r="D16" s="28" t="s">
        <v>24</v>
      </c>
      <c r="E16" s="28" t="s">
        <v>25</v>
      </c>
      <c r="F16" s="28" t="s">
        <v>25</v>
      </c>
      <c r="G16" s="29" t="s">
        <v>79</v>
      </c>
      <c r="H16" s="29" t="s">
        <v>75</v>
      </c>
      <c r="I16" s="29">
        <f>'MERCADO TE'!$U$13</f>
        <v>0</v>
      </c>
      <c r="J16" s="15"/>
      <c r="L16" s="26">
        <v>1</v>
      </c>
      <c r="M16" s="26">
        <v>1</v>
      </c>
      <c r="N16" s="26">
        <v>1</v>
      </c>
      <c r="O16" s="26">
        <v>1</v>
      </c>
      <c r="P16" s="26">
        <v>1</v>
      </c>
      <c r="Q16" s="26"/>
      <c r="R16" s="26">
        <v>1.06</v>
      </c>
      <c r="S16" s="26"/>
      <c r="T16" s="26">
        <v>1</v>
      </c>
      <c r="U16" s="26">
        <v>1</v>
      </c>
      <c r="V16" s="26">
        <v>1</v>
      </c>
      <c r="W16" s="26"/>
      <c r="X16" s="26"/>
      <c r="Y16" s="26"/>
      <c r="Z16" s="26">
        <v>1</v>
      </c>
      <c r="AA16" s="26"/>
      <c r="AB16" s="26"/>
    </row>
    <row r="17" spans="1:28" ht="11.25" customHeight="1" x14ac:dyDescent="0.25">
      <c r="A17" s="146"/>
      <c r="B17" s="146"/>
      <c r="C17" s="146"/>
      <c r="D17" s="28" t="s">
        <v>28</v>
      </c>
      <c r="E17" s="28" t="s">
        <v>25</v>
      </c>
      <c r="F17" s="28" t="s">
        <v>25</v>
      </c>
      <c r="G17" s="29" t="s">
        <v>79</v>
      </c>
      <c r="H17" s="29" t="s">
        <v>75</v>
      </c>
      <c r="I17" s="29">
        <f>'MERCADO TE'!$U$14</f>
        <v>0</v>
      </c>
      <c r="J17" s="15"/>
      <c r="L17" s="26">
        <f>1 - CUSTOS!$M$24</f>
        <v>1</v>
      </c>
      <c r="M17" s="26">
        <f>1 - CUSTOS!$M$24</f>
        <v>1</v>
      </c>
      <c r="N17" s="26">
        <f>1 - CUSTOS!$M$24</f>
        <v>1</v>
      </c>
      <c r="O17" s="26">
        <f>1 - CUSTOS!$M$24</f>
        <v>1</v>
      </c>
      <c r="P17" s="26">
        <f>1 - CUSTOS!$M$24</f>
        <v>1</v>
      </c>
      <c r="Q17" s="26"/>
      <c r="R17" s="26">
        <f>(1 - CUSTOS!$M$24)*1.06</f>
        <v>1.06</v>
      </c>
      <c r="S17" s="26"/>
      <c r="T17" s="26">
        <f>1 - CUSTOS!$M$24</f>
        <v>1</v>
      </c>
      <c r="U17" s="26">
        <f>1 - CUSTOS!$M$24</f>
        <v>1</v>
      </c>
      <c r="V17" s="26">
        <f>1 - CUSTOS!$M$24</f>
        <v>1</v>
      </c>
      <c r="W17" s="26"/>
      <c r="X17" s="26"/>
      <c r="Y17" s="26"/>
      <c r="Z17" s="26">
        <f>1 - CUSTOS!$M$24</f>
        <v>1</v>
      </c>
      <c r="AA17" s="26"/>
      <c r="AB17" s="26"/>
    </row>
    <row r="18" spans="1:28" ht="11.25" customHeight="1" x14ac:dyDescent="0.25">
      <c r="A18" s="146"/>
      <c r="B18" s="146"/>
      <c r="C18" s="146"/>
      <c r="D18" s="28" t="s">
        <v>29</v>
      </c>
      <c r="E18" s="28" t="s">
        <v>25</v>
      </c>
      <c r="F18" s="28" t="s">
        <v>25</v>
      </c>
      <c r="G18" s="29" t="s">
        <v>79</v>
      </c>
      <c r="H18" s="29" t="s">
        <v>75</v>
      </c>
      <c r="I18" s="29">
        <f>'MERCADO TE'!$U$15</f>
        <v>0</v>
      </c>
      <c r="J18" s="15"/>
      <c r="L18" s="26">
        <f>1 - CUSTOS!$M$25</f>
        <v>1</v>
      </c>
      <c r="M18" s="26">
        <f>1 - CUSTOS!$M$25</f>
        <v>1</v>
      </c>
      <c r="N18" s="26">
        <f>1 - CUSTOS!$M$25</f>
        <v>1</v>
      </c>
      <c r="O18" s="26">
        <f>1 - CUSTOS!$M$25</f>
        <v>1</v>
      </c>
      <c r="P18" s="26">
        <f>1 - CUSTOS!$M$25</f>
        <v>1</v>
      </c>
      <c r="Q18" s="26"/>
      <c r="R18" s="26">
        <f>(1 - CUSTOS!$M$25)*1.06</f>
        <v>1.06</v>
      </c>
      <c r="S18" s="26"/>
      <c r="T18" s="26">
        <f>1 - CUSTOS!$M$25</f>
        <v>1</v>
      </c>
      <c r="U18" s="26">
        <f>1 - CUSTOS!$M$25</f>
        <v>1</v>
      </c>
      <c r="V18" s="26">
        <f>1 - CUSTOS!$M$25</f>
        <v>1</v>
      </c>
      <c r="W18" s="26"/>
      <c r="X18" s="26"/>
      <c r="Y18" s="26"/>
      <c r="Z18" s="26">
        <f>1 - CUSTOS!$M$25</f>
        <v>1</v>
      </c>
      <c r="AA18" s="26"/>
      <c r="AB18" s="26"/>
    </row>
    <row r="19" spans="1:28" ht="11.25" customHeight="1" x14ac:dyDescent="0.25">
      <c r="A19" s="146"/>
      <c r="B19" s="146"/>
      <c r="C19" s="146"/>
      <c r="D19" s="28" t="s">
        <v>30</v>
      </c>
      <c r="E19" s="28" t="s">
        <v>25</v>
      </c>
      <c r="F19" s="28" t="s">
        <v>25</v>
      </c>
      <c r="G19" s="29" t="s">
        <v>79</v>
      </c>
      <c r="H19" s="29" t="s">
        <v>75</v>
      </c>
      <c r="I19" s="29">
        <f>'MERCADO TE'!$U$16</f>
        <v>0</v>
      </c>
      <c r="J19" s="15"/>
      <c r="L19" s="26">
        <f>1 - CUSTOS!$M$26</f>
        <v>1</v>
      </c>
      <c r="M19" s="26">
        <f>1 - CUSTOS!$M$26</f>
        <v>1</v>
      </c>
      <c r="N19" s="26">
        <f>1 - CUSTOS!$M$26</f>
        <v>1</v>
      </c>
      <c r="O19" s="26">
        <f>1 - CUSTOS!$M$26</f>
        <v>1</v>
      </c>
      <c r="P19" s="26">
        <f>1 - CUSTOS!$M$26</f>
        <v>1</v>
      </c>
      <c r="Q19" s="26"/>
      <c r="R19" s="26">
        <f>(1 - CUSTOS!$M$26)*1.06</f>
        <v>1.06</v>
      </c>
      <c r="S19" s="26"/>
      <c r="T19" s="26">
        <f>1 - CUSTOS!$M$26</f>
        <v>1</v>
      </c>
      <c r="U19" s="26">
        <f>1 - CUSTOS!$M$26</f>
        <v>1</v>
      </c>
      <c r="V19" s="26">
        <f>1 - CUSTOS!$M$26</f>
        <v>1</v>
      </c>
      <c r="W19" s="26"/>
      <c r="X19" s="26"/>
      <c r="Y19" s="26"/>
      <c r="Z19" s="26">
        <f>1 - CUSTOS!$M$26</f>
        <v>1</v>
      </c>
      <c r="AA19" s="26"/>
      <c r="AB19" s="26"/>
    </row>
    <row r="20" spans="1:28" ht="11.25" customHeight="1" x14ac:dyDescent="0.25">
      <c r="A20" s="146"/>
      <c r="B20" s="146"/>
      <c r="C20" s="146"/>
      <c r="D20" s="28" t="s">
        <v>31</v>
      </c>
      <c r="E20" s="28" t="s">
        <v>25</v>
      </c>
      <c r="F20" s="28" t="s">
        <v>25</v>
      </c>
      <c r="G20" s="29" t="s">
        <v>79</v>
      </c>
      <c r="H20" s="29" t="s">
        <v>75</v>
      </c>
      <c r="I20" s="29">
        <f>'MERCADO TE'!$U$17</f>
        <v>0</v>
      </c>
      <c r="J20" s="15"/>
      <c r="L20" s="26">
        <f>1 - CUSTOS!$M$27</f>
        <v>1</v>
      </c>
      <c r="M20" s="26">
        <f>1 - CUSTOS!$M$27</f>
        <v>1</v>
      </c>
      <c r="N20" s="26">
        <f>1 - CUSTOS!$M$27</f>
        <v>1</v>
      </c>
      <c r="O20" s="26">
        <f>1 - CUSTOS!$M$27</f>
        <v>1</v>
      </c>
      <c r="P20" s="26">
        <f>1 - CUSTOS!$M$27</f>
        <v>1</v>
      </c>
      <c r="Q20" s="26"/>
      <c r="R20" s="26">
        <f>(1 - CUSTOS!$M$27)*1.06</f>
        <v>1.06</v>
      </c>
      <c r="S20" s="26"/>
      <c r="T20" s="26">
        <f>1 - CUSTOS!$M$27</f>
        <v>1</v>
      </c>
      <c r="U20" s="26">
        <f>1 - CUSTOS!$M$27</f>
        <v>1</v>
      </c>
      <c r="V20" s="26">
        <f>1 - CUSTOS!$M$27</f>
        <v>1</v>
      </c>
      <c r="W20" s="26"/>
      <c r="X20" s="26"/>
      <c r="Y20" s="26"/>
      <c r="Z20" s="26">
        <f>1 - CUSTOS!$M$27</f>
        <v>1</v>
      </c>
      <c r="AA20" s="26"/>
      <c r="AB20" s="26"/>
    </row>
    <row r="21" spans="1:28" ht="11.25" customHeight="1" x14ac:dyDescent="0.25">
      <c r="A21" s="146" t="s">
        <v>41</v>
      </c>
      <c r="B21" s="146" t="s">
        <v>74</v>
      </c>
      <c r="C21" s="146" t="s">
        <v>42</v>
      </c>
      <c r="D21" s="146" t="s">
        <v>25</v>
      </c>
      <c r="E21" s="146" t="s">
        <v>25</v>
      </c>
      <c r="F21" s="146" t="s">
        <v>25</v>
      </c>
      <c r="G21" s="29" t="s">
        <v>76</v>
      </c>
      <c r="H21" s="29" t="s">
        <v>75</v>
      </c>
      <c r="I21" s="29">
        <f>'MERCADO TE'!$U$18</f>
        <v>0</v>
      </c>
      <c r="J21" s="15"/>
      <c r="L21" s="26">
        <f>1 - CUSTOS!$M$28</f>
        <v>1</v>
      </c>
      <c r="M21" s="26">
        <f>1 - CUSTOS!$M$28</f>
        <v>1</v>
      </c>
      <c r="N21" s="26">
        <f>1 - CUSTOS!$M$28</f>
        <v>1</v>
      </c>
      <c r="O21" s="26">
        <f>1 - CUSTOS!$M$28</f>
        <v>1</v>
      </c>
      <c r="P21" s="26">
        <f>1 - CUSTOS!$M$28</f>
        <v>1</v>
      </c>
      <c r="Q21" s="26"/>
      <c r="R21" s="26">
        <f>(1 - CUSTOS!$M$28)*1.72</f>
        <v>1.72</v>
      </c>
      <c r="S21" s="26"/>
      <c r="T21" s="26">
        <f>1 - CUSTOS!$M$28</f>
        <v>1</v>
      </c>
      <c r="U21" s="26">
        <f>1 - CUSTOS!$M$28</f>
        <v>1</v>
      </c>
      <c r="V21" s="26">
        <f>1 - CUSTOS!$M$28</f>
        <v>1</v>
      </c>
      <c r="W21" s="26"/>
      <c r="X21" s="26"/>
      <c r="Y21" s="26"/>
      <c r="Z21" s="26">
        <f>1 - CUSTOS!$M$28</f>
        <v>1</v>
      </c>
      <c r="AA21" s="26"/>
      <c r="AB21" s="26"/>
    </row>
    <row r="22" spans="1:28" ht="11.25" customHeight="1" x14ac:dyDescent="0.25">
      <c r="A22" s="146"/>
      <c r="B22" s="146"/>
      <c r="C22" s="146"/>
      <c r="D22" s="146"/>
      <c r="E22" s="146"/>
      <c r="F22" s="146"/>
      <c r="G22" s="29" t="s">
        <v>88</v>
      </c>
      <c r="H22" s="29" t="s">
        <v>75</v>
      </c>
      <c r="I22" s="29">
        <f>'MERCADO TE'!$U$19</f>
        <v>0</v>
      </c>
      <c r="J22" s="15"/>
      <c r="L22" s="26">
        <f>1 - CUSTOS!$M$28</f>
        <v>1</v>
      </c>
      <c r="M22" s="26">
        <f>1 - CUSTOS!$M$28</f>
        <v>1</v>
      </c>
      <c r="N22" s="26">
        <f>1 - CUSTOS!$M$28</f>
        <v>1</v>
      </c>
      <c r="O22" s="26">
        <f>1 - CUSTOS!$M$28</f>
        <v>1</v>
      </c>
      <c r="P22" s="26">
        <f>1 - CUSTOS!$M$28</f>
        <v>1</v>
      </c>
      <c r="Q22" s="26"/>
      <c r="R22" s="26">
        <f>(1 - CUSTOS!$M$28)*1</f>
        <v>1</v>
      </c>
      <c r="S22" s="26"/>
      <c r="T22" s="26">
        <f>1 - CUSTOS!$M$28</f>
        <v>1</v>
      </c>
      <c r="U22" s="26">
        <f>1 - CUSTOS!$M$28</f>
        <v>1</v>
      </c>
      <c r="V22" s="26">
        <f>1 - CUSTOS!$M$28</f>
        <v>1</v>
      </c>
      <c r="W22" s="26"/>
      <c r="X22" s="26"/>
      <c r="Y22" s="26"/>
      <c r="Z22" s="26">
        <f>1 - CUSTOS!$M$28</f>
        <v>1</v>
      </c>
      <c r="AA22" s="26"/>
      <c r="AB22" s="26"/>
    </row>
    <row r="23" spans="1:28" ht="11.25" customHeight="1" x14ac:dyDescent="0.25">
      <c r="A23" s="146"/>
      <c r="B23" s="146"/>
      <c r="C23" s="146"/>
      <c r="D23" s="146"/>
      <c r="E23" s="146"/>
      <c r="F23" s="146"/>
      <c r="G23" s="29" t="s">
        <v>77</v>
      </c>
      <c r="H23" s="29" t="s">
        <v>75</v>
      </c>
      <c r="I23" s="29">
        <f>'MERCADO TE'!$U$20</f>
        <v>0</v>
      </c>
      <c r="J23" s="15"/>
      <c r="L23" s="26">
        <f>1 - CUSTOS!$M$28</f>
        <v>1</v>
      </c>
      <c r="M23" s="26">
        <f>1 - CUSTOS!$M$28</f>
        <v>1</v>
      </c>
      <c r="N23" s="26">
        <f>1 - CUSTOS!$M$28</f>
        <v>1</v>
      </c>
      <c r="O23" s="26">
        <f>1 - CUSTOS!$M$28</f>
        <v>1</v>
      </c>
      <c r="P23" s="26">
        <f>1 - CUSTOS!$M$28</f>
        <v>1</v>
      </c>
      <c r="Q23" s="26"/>
      <c r="R23" s="26">
        <f>(1 - CUSTOS!$M$28)*1</f>
        <v>1</v>
      </c>
      <c r="S23" s="26"/>
      <c r="T23" s="26">
        <f>1 - CUSTOS!$M$28</f>
        <v>1</v>
      </c>
      <c r="U23" s="26">
        <f>1 - CUSTOS!$M$28</f>
        <v>1</v>
      </c>
      <c r="V23" s="26">
        <f>1 - CUSTOS!$M$28</f>
        <v>1</v>
      </c>
      <c r="W23" s="26"/>
      <c r="X23" s="26"/>
      <c r="Y23" s="26"/>
      <c r="Z23" s="26">
        <f>1 - CUSTOS!$M$28</f>
        <v>1</v>
      </c>
      <c r="AA23" s="26"/>
      <c r="AB23" s="26"/>
    </row>
    <row r="24" spans="1:28" ht="11.25" customHeight="1" x14ac:dyDescent="0.25">
      <c r="A24" s="146"/>
      <c r="B24" s="28" t="s">
        <v>78</v>
      </c>
      <c r="C24" s="28" t="s">
        <v>42</v>
      </c>
      <c r="D24" s="28" t="s">
        <v>25</v>
      </c>
      <c r="E24" s="28" t="s">
        <v>25</v>
      </c>
      <c r="F24" s="28" t="s">
        <v>25</v>
      </c>
      <c r="G24" s="29" t="s">
        <v>79</v>
      </c>
      <c r="H24" s="29" t="s">
        <v>75</v>
      </c>
      <c r="I24" s="29">
        <f>'MERCADO TE'!$U$21</f>
        <v>3335.7969999999996</v>
      </c>
      <c r="J24" s="15"/>
      <c r="L24" s="26">
        <f>1 - CUSTOS!$M$28</f>
        <v>1</v>
      </c>
      <c r="M24" s="26">
        <f>1 - CUSTOS!$M$28</f>
        <v>1</v>
      </c>
      <c r="N24" s="26">
        <f>1 - CUSTOS!$M$28</f>
        <v>1</v>
      </c>
      <c r="O24" s="26">
        <f>1 - CUSTOS!$M$28</f>
        <v>1</v>
      </c>
      <c r="P24" s="26">
        <f>1 - CUSTOS!$M$28</f>
        <v>1</v>
      </c>
      <c r="Q24" s="26"/>
      <c r="R24" s="26">
        <f>(1 - CUSTOS!$M$28)*1.06</f>
        <v>1.06</v>
      </c>
      <c r="S24" s="26"/>
      <c r="T24" s="26">
        <f>1 - CUSTOS!$M$28</f>
        <v>1</v>
      </c>
      <c r="U24" s="26">
        <f>1 - CUSTOS!$M$28</f>
        <v>1</v>
      </c>
      <c r="V24" s="26">
        <f>1 - CUSTOS!$M$28</f>
        <v>1</v>
      </c>
      <c r="W24" s="26"/>
      <c r="X24" s="26"/>
      <c r="Y24" s="26"/>
      <c r="Z24" s="26">
        <f>1 - CUSTOS!$M$28</f>
        <v>1</v>
      </c>
      <c r="AA24" s="26"/>
      <c r="AB24" s="26"/>
    </row>
    <row r="25" spans="1:28" ht="11.25" customHeight="1" x14ac:dyDescent="0.25">
      <c r="A25" s="146"/>
      <c r="B25" s="146" t="s">
        <v>74</v>
      </c>
      <c r="C25" s="146" t="s">
        <v>42</v>
      </c>
      <c r="D25" s="146" t="s">
        <v>91</v>
      </c>
      <c r="E25" s="146" t="s">
        <v>25</v>
      </c>
      <c r="F25" s="146" t="s">
        <v>25</v>
      </c>
      <c r="G25" s="29" t="s">
        <v>76</v>
      </c>
      <c r="H25" s="29" t="s">
        <v>75</v>
      </c>
      <c r="I25" s="29">
        <f>'MERCADO TE'!$U$22</f>
        <v>0</v>
      </c>
      <c r="J25" s="15"/>
      <c r="L25" s="26">
        <f>1 - CUSTOS!$M$29</f>
        <v>1</v>
      </c>
      <c r="M25" s="26">
        <f>1 - CUSTOS!$M$29</f>
        <v>1</v>
      </c>
      <c r="N25" s="26">
        <f>1 - CUSTOS!$M$29</f>
        <v>1</v>
      </c>
      <c r="O25" s="26">
        <f>1 - CUSTOS!$M$29</f>
        <v>1</v>
      </c>
      <c r="P25" s="26">
        <f>1 - CUSTOS!$M$29</f>
        <v>1</v>
      </c>
      <c r="Q25" s="26"/>
      <c r="R25" s="26">
        <f>(1 - CUSTOS!$M$29)*1.72</f>
        <v>1.72</v>
      </c>
      <c r="S25" s="26"/>
      <c r="T25" s="26">
        <f>1 - CUSTOS!$M$29</f>
        <v>1</v>
      </c>
      <c r="U25" s="26">
        <f>1 - CUSTOS!$M$29</f>
        <v>1</v>
      </c>
      <c r="V25" s="26">
        <f>1 - CUSTOS!$M$29</f>
        <v>1</v>
      </c>
      <c r="W25" s="26"/>
      <c r="X25" s="26"/>
      <c r="Y25" s="26"/>
      <c r="Z25" s="26">
        <f>1 - CUSTOS!$M$29</f>
        <v>1</v>
      </c>
      <c r="AA25" s="26"/>
      <c r="AB25" s="26"/>
    </row>
    <row r="26" spans="1:28" ht="11.25" customHeight="1" x14ac:dyDescent="0.25">
      <c r="A26" s="146"/>
      <c r="B26" s="146"/>
      <c r="C26" s="146"/>
      <c r="D26" s="146"/>
      <c r="E26" s="146"/>
      <c r="F26" s="146"/>
      <c r="G26" s="29" t="s">
        <v>88</v>
      </c>
      <c r="H26" s="29" t="s">
        <v>75</v>
      </c>
      <c r="I26" s="29">
        <f>'MERCADO TE'!$U$23</f>
        <v>0</v>
      </c>
      <c r="J26" s="15"/>
      <c r="L26" s="26">
        <f>1 - CUSTOS!$M$29</f>
        <v>1</v>
      </c>
      <c r="M26" s="26">
        <f>1 - CUSTOS!$M$29</f>
        <v>1</v>
      </c>
      <c r="N26" s="26">
        <f>1 - CUSTOS!$M$29</f>
        <v>1</v>
      </c>
      <c r="O26" s="26">
        <f>1 - CUSTOS!$M$29</f>
        <v>1</v>
      </c>
      <c r="P26" s="26">
        <f>1 - CUSTOS!$M$29</f>
        <v>1</v>
      </c>
      <c r="Q26" s="26"/>
      <c r="R26" s="26">
        <f>(1 - CUSTOS!$M$29)*1</f>
        <v>1</v>
      </c>
      <c r="S26" s="26"/>
      <c r="T26" s="26">
        <f>1 - CUSTOS!$M$29</f>
        <v>1</v>
      </c>
      <c r="U26" s="26">
        <f>1 - CUSTOS!$M$29</f>
        <v>1</v>
      </c>
      <c r="V26" s="26">
        <f>1 - CUSTOS!$M$29</f>
        <v>1</v>
      </c>
      <c r="W26" s="26"/>
      <c r="X26" s="26"/>
      <c r="Y26" s="26"/>
      <c r="Z26" s="26">
        <f>1 - CUSTOS!$M$29</f>
        <v>1</v>
      </c>
      <c r="AA26" s="26"/>
      <c r="AB26" s="26"/>
    </row>
    <row r="27" spans="1:28" ht="11.25" customHeight="1" x14ac:dyDescent="0.25">
      <c r="A27" s="146"/>
      <c r="B27" s="146"/>
      <c r="C27" s="146"/>
      <c r="D27" s="146"/>
      <c r="E27" s="146"/>
      <c r="F27" s="146"/>
      <c r="G27" s="29" t="s">
        <v>77</v>
      </c>
      <c r="H27" s="29" t="s">
        <v>75</v>
      </c>
      <c r="I27" s="29">
        <f>'MERCADO TE'!$U$24</f>
        <v>0</v>
      </c>
      <c r="J27" s="15"/>
      <c r="L27" s="26">
        <f>1 - CUSTOS!$M$29</f>
        <v>1</v>
      </c>
      <c r="M27" s="26">
        <f>1 - CUSTOS!$M$29</f>
        <v>1</v>
      </c>
      <c r="N27" s="26">
        <f>1 - CUSTOS!$M$29</f>
        <v>1</v>
      </c>
      <c r="O27" s="26">
        <f>1 - CUSTOS!$M$29</f>
        <v>1</v>
      </c>
      <c r="P27" s="26">
        <f>1 - CUSTOS!$M$29</f>
        <v>1</v>
      </c>
      <c r="Q27" s="26"/>
      <c r="R27" s="26">
        <f>(1 - CUSTOS!$M$29)*1</f>
        <v>1</v>
      </c>
      <c r="S27" s="26"/>
      <c r="T27" s="26">
        <f>1 - CUSTOS!$M$29</f>
        <v>1</v>
      </c>
      <c r="U27" s="26">
        <f>1 - CUSTOS!$M$29</f>
        <v>1</v>
      </c>
      <c r="V27" s="26">
        <f>1 - CUSTOS!$M$29</f>
        <v>1</v>
      </c>
      <c r="W27" s="26"/>
      <c r="X27" s="26"/>
      <c r="Y27" s="26"/>
      <c r="Z27" s="26">
        <f>1 - CUSTOS!$M$29</f>
        <v>1</v>
      </c>
      <c r="AA27" s="26"/>
      <c r="AB27" s="26"/>
    </row>
    <row r="28" spans="1:28" ht="11.25" customHeight="1" x14ac:dyDescent="0.25">
      <c r="A28" s="146"/>
      <c r="B28" s="28" t="s">
        <v>78</v>
      </c>
      <c r="C28" s="28" t="s">
        <v>42</v>
      </c>
      <c r="D28" s="28" t="s">
        <v>91</v>
      </c>
      <c r="E28" s="28" t="s">
        <v>25</v>
      </c>
      <c r="F28" s="28" t="s">
        <v>25</v>
      </c>
      <c r="G28" s="29" t="s">
        <v>79</v>
      </c>
      <c r="H28" s="29" t="s">
        <v>75</v>
      </c>
      <c r="I28" s="29">
        <f>'MERCADO TE'!$U$25</f>
        <v>0</v>
      </c>
      <c r="J28" s="15"/>
      <c r="L28" s="26">
        <f>1 - CUSTOS!$M$29</f>
        <v>1</v>
      </c>
      <c r="M28" s="26">
        <f>1 - CUSTOS!$M$29</f>
        <v>1</v>
      </c>
      <c r="N28" s="26">
        <f>1 - CUSTOS!$M$29</f>
        <v>1</v>
      </c>
      <c r="O28" s="26">
        <f>1 - CUSTOS!$M$29</f>
        <v>1</v>
      </c>
      <c r="P28" s="26">
        <f>1 - CUSTOS!$M$29</f>
        <v>1</v>
      </c>
      <c r="Q28" s="26"/>
      <c r="R28" s="26">
        <f>(1 - CUSTOS!$M$29)*1.06</f>
        <v>1.06</v>
      </c>
      <c r="S28" s="26"/>
      <c r="T28" s="26">
        <f>1 - CUSTOS!$M$29</f>
        <v>1</v>
      </c>
      <c r="U28" s="26">
        <f>1 - CUSTOS!$M$29</f>
        <v>1</v>
      </c>
      <c r="V28" s="26">
        <f>1 - CUSTOS!$M$29</f>
        <v>1</v>
      </c>
      <c r="W28" s="26"/>
      <c r="X28" s="26"/>
      <c r="Y28" s="26"/>
      <c r="Z28" s="26">
        <f>1 - CUSTOS!$M$29</f>
        <v>1</v>
      </c>
      <c r="AA28" s="26"/>
      <c r="AB28" s="26"/>
    </row>
    <row r="29" spans="1:28" ht="11.25" customHeight="1" x14ac:dyDescent="0.25">
      <c r="A29" s="146"/>
      <c r="B29" s="146" t="s">
        <v>74</v>
      </c>
      <c r="C29" s="146" t="s">
        <v>42</v>
      </c>
      <c r="D29" s="146" t="s">
        <v>92</v>
      </c>
      <c r="E29" s="146" t="s">
        <v>25</v>
      </c>
      <c r="F29" s="146" t="s">
        <v>25</v>
      </c>
      <c r="G29" s="29" t="s">
        <v>76</v>
      </c>
      <c r="H29" s="29" t="s">
        <v>75</v>
      </c>
      <c r="I29" s="29">
        <f>'MERCADO TE'!$U$26</f>
        <v>0</v>
      </c>
      <c r="J29" s="15"/>
      <c r="L29" s="26">
        <f>1 - CUSTOS!$M$30</f>
        <v>1</v>
      </c>
      <c r="M29" s="26">
        <f>1 - CUSTOS!$M$30</f>
        <v>1</v>
      </c>
      <c r="N29" s="26">
        <f>1 - CUSTOS!$M$30</f>
        <v>1</v>
      </c>
      <c r="O29" s="26">
        <f>1 - CUSTOS!$M$30</f>
        <v>1</v>
      </c>
      <c r="P29" s="26">
        <f>1 - CUSTOS!$M$30</f>
        <v>1</v>
      </c>
      <c r="Q29" s="26"/>
      <c r="R29" s="26">
        <f>(1 - CUSTOS!$M$30)*1.72</f>
        <v>1.72</v>
      </c>
      <c r="S29" s="26"/>
      <c r="T29" s="26">
        <f>1 - CUSTOS!$M$30</f>
        <v>1</v>
      </c>
      <c r="U29" s="26">
        <f>1 - CUSTOS!$M$30</f>
        <v>1</v>
      </c>
      <c r="V29" s="26">
        <f>1 - CUSTOS!$M$30</f>
        <v>1</v>
      </c>
      <c r="W29" s="26"/>
      <c r="X29" s="26"/>
      <c r="Y29" s="26"/>
      <c r="Z29" s="26">
        <f>1 - CUSTOS!$M$30</f>
        <v>1</v>
      </c>
      <c r="AA29" s="26"/>
      <c r="AB29" s="26"/>
    </row>
    <row r="30" spans="1:28" ht="11.25" customHeight="1" x14ac:dyDescent="0.25">
      <c r="A30" s="146"/>
      <c r="B30" s="146"/>
      <c r="C30" s="146"/>
      <c r="D30" s="146"/>
      <c r="E30" s="146"/>
      <c r="F30" s="146"/>
      <c r="G30" s="29" t="s">
        <v>88</v>
      </c>
      <c r="H30" s="29" t="s">
        <v>75</v>
      </c>
      <c r="I30" s="29">
        <f>'MERCADO TE'!$U$27</f>
        <v>0</v>
      </c>
      <c r="J30" s="15"/>
      <c r="L30" s="26">
        <f>1 - CUSTOS!$M$30</f>
        <v>1</v>
      </c>
      <c r="M30" s="26">
        <f>1 - CUSTOS!$M$30</f>
        <v>1</v>
      </c>
      <c r="N30" s="26">
        <f>1 - CUSTOS!$M$30</f>
        <v>1</v>
      </c>
      <c r="O30" s="26">
        <f>1 - CUSTOS!$M$30</f>
        <v>1</v>
      </c>
      <c r="P30" s="26">
        <f>1 - CUSTOS!$M$30</f>
        <v>1</v>
      </c>
      <c r="Q30" s="26"/>
      <c r="R30" s="26">
        <f>(1 - CUSTOS!$M$30)*1</f>
        <v>1</v>
      </c>
      <c r="S30" s="26"/>
      <c r="T30" s="26">
        <f>1 - CUSTOS!$M$30</f>
        <v>1</v>
      </c>
      <c r="U30" s="26">
        <f>1 - CUSTOS!$M$30</f>
        <v>1</v>
      </c>
      <c r="V30" s="26">
        <f>1 - CUSTOS!$M$30</f>
        <v>1</v>
      </c>
      <c r="W30" s="26"/>
      <c r="X30" s="26"/>
      <c r="Y30" s="26"/>
      <c r="Z30" s="26">
        <f>1 - CUSTOS!$M$30</f>
        <v>1</v>
      </c>
      <c r="AA30" s="26"/>
      <c r="AB30" s="26"/>
    </row>
    <row r="31" spans="1:28" ht="11.25" customHeight="1" x14ac:dyDescent="0.25">
      <c r="A31" s="146"/>
      <c r="B31" s="146"/>
      <c r="C31" s="146"/>
      <c r="D31" s="146"/>
      <c r="E31" s="146"/>
      <c r="F31" s="146"/>
      <c r="G31" s="29" t="s">
        <v>77</v>
      </c>
      <c r="H31" s="29" t="s">
        <v>75</v>
      </c>
      <c r="I31" s="29">
        <f>'MERCADO TE'!$U$28</f>
        <v>0</v>
      </c>
      <c r="J31" s="15"/>
      <c r="L31" s="26">
        <f>1 - CUSTOS!$M$30</f>
        <v>1</v>
      </c>
      <c r="M31" s="26">
        <f>1 - CUSTOS!$M$30</f>
        <v>1</v>
      </c>
      <c r="N31" s="26">
        <f>1 - CUSTOS!$M$30</f>
        <v>1</v>
      </c>
      <c r="O31" s="26">
        <f>1 - CUSTOS!$M$30</f>
        <v>1</v>
      </c>
      <c r="P31" s="26">
        <f>1 - CUSTOS!$M$30</f>
        <v>1</v>
      </c>
      <c r="Q31" s="26"/>
      <c r="R31" s="26">
        <f>(1 - CUSTOS!$M$30)*1</f>
        <v>1</v>
      </c>
      <c r="S31" s="26"/>
      <c r="T31" s="26">
        <f>1 - CUSTOS!$M$30</f>
        <v>1</v>
      </c>
      <c r="U31" s="26">
        <f>1 - CUSTOS!$M$30</f>
        <v>1</v>
      </c>
      <c r="V31" s="26">
        <f>1 - CUSTOS!$M$30</f>
        <v>1</v>
      </c>
      <c r="W31" s="26"/>
      <c r="X31" s="26"/>
      <c r="Y31" s="26"/>
      <c r="Z31" s="26">
        <f>1 - CUSTOS!$M$30</f>
        <v>1</v>
      </c>
      <c r="AA31" s="26"/>
      <c r="AB31" s="26"/>
    </row>
    <row r="32" spans="1:28" ht="11.25" customHeight="1" x14ac:dyDescent="0.25">
      <c r="A32" s="146"/>
      <c r="B32" s="28" t="s">
        <v>78</v>
      </c>
      <c r="C32" s="28" t="s">
        <v>42</v>
      </c>
      <c r="D32" s="28" t="s">
        <v>92</v>
      </c>
      <c r="E32" s="28" t="s">
        <v>25</v>
      </c>
      <c r="F32" s="28" t="s">
        <v>25</v>
      </c>
      <c r="G32" s="29" t="s">
        <v>79</v>
      </c>
      <c r="H32" s="29" t="s">
        <v>75</v>
      </c>
      <c r="I32" s="29">
        <f>'MERCADO TE'!$U$29</f>
        <v>0</v>
      </c>
      <c r="J32" s="15"/>
      <c r="L32" s="26">
        <f>1 - CUSTOS!$M$30</f>
        <v>1</v>
      </c>
      <c r="M32" s="26">
        <f>1 - CUSTOS!$M$30</f>
        <v>1</v>
      </c>
      <c r="N32" s="26">
        <f>1 - CUSTOS!$M$30</f>
        <v>1</v>
      </c>
      <c r="O32" s="26">
        <f>1 - CUSTOS!$M$30</f>
        <v>1</v>
      </c>
      <c r="P32" s="26">
        <f>1 - CUSTOS!$M$30</f>
        <v>1</v>
      </c>
      <c r="Q32" s="26"/>
      <c r="R32" s="26">
        <f>(1 - CUSTOS!$M$30)*1.06</f>
        <v>1.06</v>
      </c>
      <c r="S32" s="26"/>
      <c r="T32" s="26">
        <f>1 - CUSTOS!$M$30</f>
        <v>1</v>
      </c>
      <c r="U32" s="26">
        <f>1 - CUSTOS!$M$30</f>
        <v>1</v>
      </c>
      <c r="V32" s="26">
        <f>1 - CUSTOS!$M$30</f>
        <v>1</v>
      </c>
      <c r="W32" s="26"/>
      <c r="X32" s="26"/>
      <c r="Y32" s="26"/>
      <c r="Z32" s="26">
        <f>1 - CUSTOS!$M$30</f>
        <v>1</v>
      </c>
      <c r="AA32" s="26"/>
      <c r="AB32" s="26"/>
    </row>
    <row r="33" spans="1:28" ht="11.25" customHeight="1" x14ac:dyDescent="0.25">
      <c r="A33" s="146"/>
      <c r="B33" s="146" t="s">
        <v>89</v>
      </c>
      <c r="C33" s="146" t="s">
        <v>42</v>
      </c>
      <c r="D33" s="28" t="s">
        <v>25</v>
      </c>
      <c r="E33" s="28" t="s">
        <v>25</v>
      </c>
      <c r="F33" s="28" t="s">
        <v>25</v>
      </c>
      <c r="G33" s="29" t="s">
        <v>79</v>
      </c>
      <c r="H33" s="29" t="s">
        <v>75</v>
      </c>
      <c r="I33" s="29">
        <f>'MERCADO TE'!$U$30</f>
        <v>0</v>
      </c>
      <c r="J33" s="15"/>
      <c r="L33" s="26">
        <f>1 - CUSTOS!$M$28</f>
        <v>1</v>
      </c>
      <c r="M33" s="26">
        <f>1 - CUSTOS!$M$28</f>
        <v>1</v>
      </c>
      <c r="N33" s="26">
        <f>1 - CUSTOS!$M$28</f>
        <v>1</v>
      </c>
      <c r="O33" s="26">
        <f>1 - CUSTOS!$M$28</f>
        <v>1</v>
      </c>
      <c r="P33" s="26">
        <f>1 - CUSTOS!$M$28</f>
        <v>1</v>
      </c>
      <c r="Q33" s="26"/>
      <c r="R33" s="26">
        <f>(1 - CUSTOS!$M$28)*1.06</f>
        <v>1.06</v>
      </c>
      <c r="S33" s="26"/>
      <c r="T33" s="26">
        <f>1 - CUSTOS!$M$28</f>
        <v>1</v>
      </c>
      <c r="U33" s="26">
        <f>1 - CUSTOS!$M$28</f>
        <v>1</v>
      </c>
      <c r="V33" s="26">
        <f>1 - CUSTOS!$M$28</f>
        <v>1</v>
      </c>
      <c r="W33" s="26"/>
      <c r="X33" s="26"/>
      <c r="Y33" s="26"/>
      <c r="Z33" s="26">
        <f>1 - CUSTOS!$M$28</f>
        <v>1</v>
      </c>
      <c r="AA33" s="26"/>
      <c r="AB33" s="26"/>
    </row>
    <row r="34" spans="1:28" ht="11.25" customHeight="1" x14ac:dyDescent="0.25">
      <c r="A34" s="146"/>
      <c r="B34" s="146"/>
      <c r="C34" s="146"/>
      <c r="D34" s="28" t="s">
        <v>91</v>
      </c>
      <c r="E34" s="28" t="s">
        <v>25</v>
      </c>
      <c r="F34" s="28" t="s">
        <v>25</v>
      </c>
      <c r="G34" s="29" t="s">
        <v>79</v>
      </c>
      <c r="H34" s="29" t="s">
        <v>75</v>
      </c>
      <c r="I34" s="29">
        <f>'MERCADO TE'!$U$31</f>
        <v>0</v>
      </c>
      <c r="J34" s="15"/>
      <c r="L34" s="26">
        <f>1 - CUSTOS!$M$29</f>
        <v>1</v>
      </c>
      <c r="M34" s="26">
        <f>1 - CUSTOS!$M$29</f>
        <v>1</v>
      </c>
      <c r="N34" s="26">
        <f>1 - CUSTOS!$M$29</f>
        <v>1</v>
      </c>
      <c r="O34" s="26">
        <f>1 - CUSTOS!$M$29</f>
        <v>1</v>
      </c>
      <c r="P34" s="26">
        <f>1 - CUSTOS!$M$29</f>
        <v>1</v>
      </c>
      <c r="Q34" s="26"/>
      <c r="R34" s="26">
        <f>(1 - CUSTOS!$M$29)*1.06</f>
        <v>1.06</v>
      </c>
      <c r="S34" s="26"/>
      <c r="T34" s="26">
        <f>1 - CUSTOS!$M$29</f>
        <v>1</v>
      </c>
      <c r="U34" s="26">
        <f>1 - CUSTOS!$M$29</f>
        <v>1</v>
      </c>
      <c r="V34" s="26">
        <f>1 - CUSTOS!$M$29</f>
        <v>1</v>
      </c>
      <c r="W34" s="26"/>
      <c r="X34" s="26"/>
      <c r="Y34" s="26"/>
      <c r="Z34" s="26">
        <f>1 - CUSTOS!$M$29</f>
        <v>1</v>
      </c>
      <c r="AA34" s="26"/>
      <c r="AB34" s="26"/>
    </row>
    <row r="35" spans="1:28" ht="11.25" customHeight="1" x14ac:dyDescent="0.25">
      <c r="A35" s="146"/>
      <c r="B35" s="146"/>
      <c r="C35" s="146"/>
      <c r="D35" s="28" t="s">
        <v>92</v>
      </c>
      <c r="E35" s="28" t="s">
        <v>25</v>
      </c>
      <c r="F35" s="28" t="s">
        <v>25</v>
      </c>
      <c r="G35" s="29" t="s">
        <v>79</v>
      </c>
      <c r="H35" s="29" t="s">
        <v>75</v>
      </c>
      <c r="I35" s="29">
        <f>'MERCADO TE'!$U$32</f>
        <v>0</v>
      </c>
      <c r="J35" s="15"/>
      <c r="L35" s="26">
        <f>1 - CUSTOS!$M$30</f>
        <v>1</v>
      </c>
      <c r="M35" s="26">
        <f>1 - CUSTOS!$M$30</f>
        <v>1</v>
      </c>
      <c r="N35" s="26">
        <f>1 - CUSTOS!$M$30</f>
        <v>1</v>
      </c>
      <c r="O35" s="26">
        <f>1 - CUSTOS!$M$30</f>
        <v>1</v>
      </c>
      <c r="P35" s="26">
        <f>1 - CUSTOS!$M$30</f>
        <v>1</v>
      </c>
      <c r="Q35" s="26"/>
      <c r="R35" s="26">
        <f>(1 - CUSTOS!$M$30)*1.06</f>
        <v>1.06</v>
      </c>
      <c r="S35" s="26"/>
      <c r="T35" s="26">
        <f>1 - CUSTOS!$M$30</f>
        <v>1</v>
      </c>
      <c r="U35" s="26">
        <f>1 - CUSTOS!$M$30</f>
        <v>1</v>
      </c>
      <c r="V35" s="26">
        <f>1 - CUSTOS!$M$30</f>
        <v>1</v>
      </c>
      <c r="W35" s="26"/>
      <c r="X35" s="26"/>
      <c r="Y35" s="26"/>
      <c r="Z35" s="26">
        <f>1 - CUSTOS!$M$30</f>
        <v>1</v>
      </c>
      <c r="AA35" s="26"/>
      <c r="AB35" s="26"/>
    </row>
    <row r="36" spans="1:28" ht="11.25" customHeight="1" x14ac:dyDescent="0.25">
      <c r="A36" s="146" t="s">
        <v>36</v>
      </c>
      <c r="B36" s="146" t="s">
        <v>74</v>
      </c>
      <c r="C36" s="146" t="s">
        <v>25</v>
      </c>
      <c r="D36" s="146" t="s">
        <v>25</v>
      </c>
      <c r="E36" s="146" t="s">
        <v>25</v>
      </c>
      <c r="F36" s="146" t="s">
        <v>25</v>
      </c>
      <c r="G36" s="29" t="s">
        <v>76</v>
      </c>
      <c r="H36" s="29" t="s">
        <v>75</v>
      </c>
      <c r="I36" s="29">
        <f>'MERCADO TE'!$U$33</f>
        <v>0.33600000000000008</v>
      </c>
      <c r="J36" s="15"/>
      <c r="L36" s="26">
        <f>1 - CUSTOS!$M$31</f>
        <v>1</v>
      </c>
      <c r="M36" s="26">
        <f>1 - CUSTOS!$M$31</f>
        <v>1</v>
      </c>
      <c r="N36" s="26">
        <f>1 - CUSTOS!$M$31</f>
        <v>1</v>
      </c>
      <c r="O36" s="26">
        <f>1 - CUSTOS!$M$31</f>
        <v>1</v>
      </c>
      <c r="P36" s="26">
        <f>1 - CUSTOS!$M$31</f>
        <v>1</v>
      </c>
      <c r="Q36" s="26"/>
      <c r="R36" s="26">
        <f>(1 - CUSTOS!$M$31)*1.72</f>
        <v>1.72</v>
      </c>
      <c r="S36" s="26"/>
      <c r="T36" s="26">
        <f>1 - CUSTOS!$M$31</f>
        <v>1</v>
      </c>
      <c r="U36" s="26">
        <f>1 - CUSTOS!$M$31</f>
        <v>1</v>
      </c>
      <c r="V36" s="26">
        <f>1 - CUSTOS!$M$31</f>
        <v>1</v>
      </c>
      <c r="W36" s="26"/>
      <c r="X36" s="26"/>
      <c r="Y36" s="26"/>
      <c r="Z36" s="26">
        <f>1 - CUSTOS!$M$31</f>
        <v>1</v>
      </c>
      <c r="AA36" s="26"/>
      <c r="AB36" s="26"/>
    </row>
    <row r="37" spans="1:28" ht="11.25" customHeight="1" x14ac:dyDescent="0.25">
      <c r="A37" s="146"/>
      <c r="B37" s="146"/>
      <c r="C37" s="146"/>
      <c r="D37" s="146"/>
      <c r="E37" s="146"/>
      <c r="F37" s="146"/>
      <c r="G37" s="29" t="s">
        <v>88</v>
      </c>
      <c r="H37" s="29" t="s">
        <v>75</v>
      </c>
      <c r="I37" s="29">
        <f>'MERCADO TE'!$U$34</f>
        <v>0.45900000000000007</v>
      </c>
      <c r="J37" s="15"/>
      <c r="L37" s="26">
        <f>1 - CUSTOS!$M$31</f>
        <v>1</v>
      </c>
      <c r="M37" s="26">
        <f>1 - CUSTOS!$M$31</f>
        <v>1</v>
      </c>
      <c r="N37" s="26">
        <f>1 - CUSTOS!$M$31</f>
        <v>1</v>
      </c>
      <c r="O37" s="26">
        <f>1 - CUSTOS!$M$31</f>
        <v>1</v>
      </c>
      <c r="P37" s="26">
        <f>1 - CUSTOS!$M$31</f>
        <v>1</v>
      </c>
      <c r="Q37" s="26"/>
      <c r="R37" s="26">
        <f>(1 - CUSTOS!$M$31)*1</f>
        <v>1</v>
      </c>
      <c r="S37" s="26"/>
      <c r="T37" s="26">
        <f>1 - CUSTOS!$M$31</f>
        <v>1</v>
      </c>
      <c r="U37" s="26">
        <f>1 - CUSTOS!$M$31</f>
        <v>1</v>
      </c>
      <c r="V37" s="26">
        <f>1 - CUSTOS!$M$31</f>
        <v>1</v>
      </c>
      <c r="W37" s="26"/>
      <c r="X37" s="26"/>
      <c r="Y37" s="26"/>
      <c r="Z37" s="26">
        <f>1 - CUSTOS!$M$31</f>
        <v>1</v>
      </c>
      <c r="AA37" s="26"/>
      <c r="AB37" s="26"/>
    </row>
    <row r="38" spans="1:28" ht="11.25" customHeight="1" x14ac:dyDescent="0.25">
      <c r="A38" s="146"/>
      <c r="B38" s="146"/>
      <c r="C38" s="146"/>
      <c r="D38" s="146"/>
      <c r="E38" s="146"/>
      <c r="F38" s="146"/>
      <c r="G38" s="29" t="s">
        <v>77</v>
      </c>
      <c r="H38" s="29" t="s">
        <v>75</v>
      </c>
      <c r="I38" s="29">
        <f>'MERCADO TE'!$U$35</f>
        <v>10.576000000000001</v>
      </c>
      <c r="J38" s="15"/>
      <c r="L38" s="26">
        <f>1 - CUSTOS!$M$31</f>
        <v>1</v>
      </c>
      <c r="M38" s="26">
        <f>1 - CUSTOS!$M$31</f>
        <v>1</v>
      </c>
      <c r="N38" s="26">
        <f>1 - CUSTOS!$M$31</f>
        <v>1</v>
      </c>
      <c r="O38" s="26">
        <f>1 - CUSTOS!$M$31</f>
        <v>1</v>
      </c>
      <c r="P38" s="26">
        <f>1 - CUSTOS!$M$31</f>
        <v>1</v>
      </c>
      <c r="Q38" s="26"/>
      <c r="R38" s="26">
        <f>(1 - CUSTOS!$M$31)*1</f>
        <v>1</v>
      </c>
      <c r="S38" s="26"/>
      <c r="T38" s="26">
        <f>1 - CUSTOS!$M$31</f>
        <v>1</v>
      </c>
      <c r="U38" s="26">
        <f>1 - CUSTOS!$M$31</f>
        <v>1</v>
      </c>
      <c r="V38" s="26">
        <f>1 - CUSTOS!$M$31</f>
        <v>1</v>
      </c>
      <c r="W38" s="26"/>
      <c r="X38" s="26"/>
      <c r="Y38" s="26"/>
      <c r="Z38" s="26">
        <f>1 - CUSTOS!$M$31</f>
        <v>1</v>
      </c>
      <c r="AA38" s="26"/>
      <c r="AB38" s="26"/>
    </row>
    <row r="39" spans="1:28" ht="11.25" customHeight="1" x14ac:dyDescent="0.25">
      <c r="A39" s="146"/>
      <c r="B39" s="28" t="s">
        <v>78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79</v>
      </c>
      <c r="H39" s="29" t="s">
        <v>75</v>
      </c>
      <c r="I39" s="29">
        <f>'MERCADO TE'!$U$36</f>
        <v>6532.424</v>
      </c>
      <c r="J39" s="15"/>
      <c r="L39" s="26">
        <f>1 - CUSTOS!$M$31</f>
        <v>1</v>
      </c>
      <c r="M39" s="26">
        <f>1 - CUSTOS!$M$31</f>
        <v>1</v>
      </c>
      <c r="N39" s="26">
        <f>1 - CUSTOS!$M$31</f>
        <v>1</v>
      </c>
      <c r="O39" s="26">
        <f>1 - CUSTOS!$M$31</f>
        <v>1</v>
      </c>
      <c r="P39" s="26">
        <f>1 - CUSTOS!$M$31</f>
        <v>1</v>
      </c>
      <c r="Q39" s="26"/>
      <c r="R39" s="26">
        <f>(1 - CUSTOS!$M$31)*1.06</f>
        <v>1.06</v>
      </c>
      <c r="S39" s="26"/>
      <c r="T39" s="26">
        <f>1 - CUSTOS!$M$31</f>
        <v>1</v>
      </c>
      <c r="U39" s="26">
        <f>1 - CUSTOS!$M$31</f>
        <v>1</v>
      </c>
      <c r="V39" s="26">
        <f>1 - CUSTOS!$M$31</f>
        <v>1</v>
      </c>
      <c r="W39" s="26"/>
      <c r="X39" s="26"/>
      <c r="Y39" s="26"/>
      <c r="Z39" s="26">
        <f>1 - CUSTOS!$M$31</f>
        <v>1</v>
      </c>
      <c r="AA39" s="26"/>
      <c r="AB39" s="26"/>
    </row>
    <row r="40" spans="1:28" ht="11.25" customHeight="1" x14ac:dyDescent="0.25">
      <c r="A40" s="146"/>
      <c r="B40" s="28" t="s">
        <v>89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79</v>
      </c>
      <c r="H40" s="29" t="s">
        <v>75</v>
      </c>
      <c r="I40" s="29">
        <f>'MERCADO TE'!$U$37</f>
        <v>0</v>
      </c>
      <c r="J40" s="15"/>
      <c r="L40" s="26">
        <f>1 - CUSTOS!$M$31</f>
        <v>1</v>
      </c>
      <c r="M40" s="26">
        <f>1 - CUSTOS!$M$31</f>
        <v>1</v>
      </c>
      <c r="N40" s="26">
        <f>1 - CUSTOS!$M$31</f>
        <v>1</v>
      </c>
      <c r="O40" s="26">
        <f>1 - CUSTOS!$M$31</f>
        <v>1</v>
      </c>
      <c r="P40" s="26">
        <f>1 - CUSTOS!$M$31</f>
        <v>1</v>
      </c>
      <c r="Q40" s="26"/>
      <c r="R40" s="26">
        <f>(1 - CUSTOS!$M$31)*1.06</f>
        <v>1.06</v>
      </c>
      <c r="S40" s="26"/>
      <c r="T40" s="26">
        <f>1 - CUSTOS!$M$31</f>
        <v>1</v>
      </c>
      <c r="U40" s="26">
        <f>1 - CUSTOS!$M$31</f>
        <v>1</v>
      </c>
      <c r="V40" s="26">
        <f>1 - CUSTOS!$M$31</f>
        <v>1</v>
      </c>
      <c r="W40" s="26"/>
      <c r="X40" s="26"/>
      <c r="Y40" s="26"/>
      <c r="Z40" s="26">
        <f>1 - CUSTOS!$M$31</f>
        <v>1</v>
      </c>
      <c r="AA40" s="26"/>
      <c r="AB40" s="26"/>
    </row>
    <row r="41" spans="1:28" ht="11.25" customHeight="1" x14ac:dyDescent="0.25">
      <c r="A41" s="146" t="s">
        <v>44</v>
      </c>
      <c r="B41" s="146" t="s">
        <v>78</v>
      </c>
      <c r="C41" s="146" t="s">
        <v>45</v>
      </c>
      <c r="D41" s="28" t="s">
        <v>93</v>
      </c>
      <c r="E41" s="28" t="s">
        <v>25</v>
      </c>
      <c r="F41" s="28" t="s">
        <v>25</v>
      </c>
      <c r="G41" s="29" t="s">
        <v>79</v>
      </c>
      <c r="H41" s="29" t="s">
        <v>75</v>
      </c>
      <c r="I41" s="29">
        <f>'MERCADO TE'!$U$38</f>
        <v>0</v>
      </c>
      <c r="J41" s="15"/>
      <c r="L41" s="26">
        <f>1 - CUSTOS!$M$32</f>
        <v>0.55000000000000004</v>
      </c>
      <c r="M41" s="26">
        <f>1 - CUSTOS!$M$32</f>
        <v>0.55000000000000004</v>
      </c>
      <c r="N41" s="26">
        <f>1 - CUSTOS!$M$32</f>
        <v>0.55000000000000004</v>
      </c>
      <c r="O41" s="26">
        <f>1 - CUSTOS!$M$32</f>
        <v>0.55000000000000004</v>
      </c>
      <c r="P41" s="26">
        <f>1 - CUSTOS!$M$32</f>
        <v>0.55000000000000004</v>
      </c>
      <c r="Q41" s="26"/>
      <c r="R41" s="26">
        <f>(1 - CUSTOS!$M$32)*1.06</f>
        <v>0.58300000000000007</v>
      </c>
      <c r="S41" s="26"/>
      <c r="T41" s="26">
        <f>1 - CUSTOS!$M$32</f>
        <v>0.55000000000000004</v>
      </c>
      <c r="U41" s="26">
        <f>1 - CUSTOS!$M$32</f>
        <v>0.55000000000000004</v>
      </c>
      <c r="V41" s="26">
        <f>1 - CUSTOS!$M$32</f>
        <v>0.55000000000000004</v>
      </c>
      <c r="W41" s="26"/>
      <c r="X41" s="26"/>
      <c r="Y41" s="26"/>
      <c r="Z41" s="26">
        <f>1 - CUSTOS!$M$32</f>
        <v>0.55000000000000004</v>
      </c>
      <c r="AA41" s="26"/>
      <c r="AB41" s="26"/>
    </row>
    <row r="42" spans="1:28" ht="11.25" customHeight="1" x14ac:dyDescent="0.25">
      <c r="A42" s="146"/>
      <c r="B42" s="146"/>
      <c r="C42" s="146"/>
      <c r="D42" s="29" t="s">
        <v>46</v>
      </c>
      <c r="E42" s="29" t="s">
        <v>25</v>
      </c>
      <c r="F42" s="29" t="s">
        <v>25</v>
      </c>
      <c r="G42" s="29" t="s">
        <v>79</v>
      </c>
      <c r="H42" s="29" t="s">
        <v>75</v>
      </c>
      <c r="I42" s="29">
        <f>'MERCADO TE'!$U$39</f>
        <v>1655.8650000000002</v>
      </c>
      <c r="J42" s="15"/>
      <c r="L42" s="26">
        <f>1 - CUSTOS!$M$33</f>
        <v>0.6</v>
      </c>
      <c r="M42" s="26">
        <f>1 - CUSTOS!$M$33</f>
        <v>0.6</v>
      </c>
      <c r="N42" s="26">
        <f>1 - CUSTOS!$M$33</f>
        <v>0.6</v>
      </c>
      <c r="O42" s="26">
        <f>1 - CUSTOS!$M$33</f>
        <v>0.6</v>
      </c>
      <c r="P42" s="26">
        <f>1 - CUSTOS!$M$33</f>
        <v>0.6</v>
      </c>
      <c r="Q42" s="26"/>
      <c r="R42" s="26">
        <f>(1 - CUSTOS!$M$33)*1.06</f>
        <v>0.63600000000000001</v>
      </c>
      <c r="S42" s="26"/>
      <c r="T42" s="26">
        <f>1 - CUSTOS!$M$33</f>
        <v>0.6</v>
      </c>
      <c r="U42" s="26">
        <f>1 - CUSTOS!$M$33</f>
        <v>0.6</v>
      </c>
      <c r="V42" s="26">
        <f>1 - CUSTOS!$M$33</f>
        <v>0.6</v>
      </c>
      <c r="W42" s="26"/>
      <c r="X42" s="26"/>
      <c r="Y42" s="26"/>
      <c r="Z42" s="26">
        <f>1 - CUSTOS!$M$33</f>
        <v>0.6</v>
      </c>
      <c r="AA42" s="26"/>
      <c r="AB42" s="26"/>
    </row>
    <row r="44" spans="1:28" ht="11.25" customHeight="1" x14ac:dyDescent="0.25">
      <c r="K44" s="31" t="s">
        <v>656</v>
      </c>
      <c r="L44" s="26">
        <f t="shared" ref="L44:AB44" si="0">SUMPRODUCT($I$5:$I$42,L$5:L$42)</f>
        <v>30055.287999999997</v>
      </c>
      <c r="M44" s="26">
        <f t="shared" si="0"/>
        <v>30055.287999999997</v>
      </c>
      <c r="N44" s="26">
        <f t="shared" si="0"/>
        <v>30055.287999999997</v>
      </c>
      <c r="O44" s="26">
        <f t="shared" si="0"/>
        <v>30055.287999999997</v>
      </c>
      <c r="P44" s="26">
        <f t="shared" si="0"/>
        <v>30055.287999999997</v>
      </c>
      <c r="Q44" s="26">
        <f t="shared" si="0"/>
        <v>0</v>
      </c>
      <c r="R44" s="26">
        <f t="shared" si="0"/>
        <v>31589.735080000006</v>
      </c>
      <c r="S44" s="26">
        <f t="shared" si="0"/>
        <v>0</v>
      </c>
      <c r="T44" s="26">
        <f t="shared" si="0"/>
        <v>30055.287999999997</v>
      </c>
      <c r="U44" s="26">
        <f t="shared" si="0"/>
        <v>30055.287999999997</v>
      </c>
      <c r="V44" s="26">
        <f t="shared" si="0"/>
        <v>30055.287999999997</v>
      </c>
      <c r="W44" s="26">
        <f t="shared" si="0"/>
        <v>0</v>
      </c>
      <c r="X44" s="26">
        <f t="shared" si="0"/>
        <v>0</v>
      </c>
      <c r="Y44" s="26">
        <f t="shared" si="0"/>
        <v>0</v>
      </c>
      <c r="Z44" s="26">
        <f t="shared" si="0"/>
        <v>30055.287999999997</v>
      </c>
      <c r="AA44" s="26">
        <f t="shared" si="0"/>
        <v>0</v>
      </c>
      <c r="AB44" s="26">
        <f t="shared" si="0"/>
        <v>0</v>
      </c>
    </row>
    <row r="45" spans="1:28" ht="11.25" customHeight="1" x14ac:dyDescent="0.25">
      <c r="K45" s="31" t="s">
        <v>575</v>
      </c>
      <c r="L45" s="26">
        <f>CUSTOS!$D$30</f>
        <v>73198.785302957069</v>
      </c>
      <c r="M45" s="26">
        <f>CUSTOS!$D$31</f>
        <v>631086.40869767964</v>
      </c>
      <c r="N45" s="26">
        <f>CUSTOS!$D$32</f>
        <v>0</v>
      </c>
      <c r="O45" s="26">
        <f>CUSTOS!$D$33</f>
        <v>0</v>
      </c>
      <c r="P45" s="26">
        <f>CUSTOS!$D$34</f>
        <v>-701487.35</v>
      </c>
      <c r="Q45" s="26">
        <f>CUSTOS!$D$35</f>
        <v>2797.8440006367164</v>
      </c>
      <c r="R45" s="26">
        <f>CUSTOS!$D$36</f>
        <v>5974731.309717196</v>
      </c>
      <c r="S45" s="26">
        <f>CUSTOS!$D$37</f>
        <v>5974731.309717196</v>
      </c>
      <c r="T45" s="26">
        <f>CUSTOS!$D$38</f>
        <v>300438.78378876136</v>
      </c>
      <c r="U45" s="26">
        <f>CUSTOS!$D$39</f>
        <v>206871.02282621071</v>
      </c>
      <c r="V45" s="26">
        <f>CUSTOS!$D$40</f>
        <v>0</v>
      </c>
      <c r="W45" s="26">
        <f>CUSTOS!$D$41</f>
        <v>507309.80661497207</v>
      </c>
      <c r="X45" s="26">
        <f>CUSTOS!$D$42</f>
        <v>0</v>
      </c>
      <c r="Y45" s="26">
        <f>CUSTOS!$D$43</f>
        <v>0</v>
      </c>
      <c r="Z45" s="26">
        <f>CUSTOS!$D$44</f>
        <v>157753.45597870075</v>
      </c>
      <c r="AA45" s="26">
        <f>CUSTOS!$D$45</f>
        <v>157753.45597870075</v>
      </c>
      <c r="AB45" s="26">
        <f>CUSTOS!$D$46</f>
        <v>6642592.4163115053</v>
      </c>
    </row>
    <row r="46" spans="1:28" ht="11.25" customHeight="1" x14ac:dyDescent="0.25">
      <c r="K46" s="31" t="s">
        <v>576</v>
      </c>
      <c r="L46" s="26">
        <f>CUSTOS!$E$30</f>
        <v>7.4898569425744063E-2</v>
      </c>
      <c r="M46" s="26">
        <f>CUSTOS!$E$31</f>
        <v>36452.39382646844</v>
      </c>
      <c r="N46" s="26">
        <f>CUSTOS!$E$32</f>
        <v>0</v>
      </c>
      <c r="O46" s="26">
        <f>CUSTOS!$E$33</f>
        <v>-9.4234900844694225E-19</v>
      </c>
      <c r="P46" s="26">
        <f>CUSTOS!$E$34</f>
        <v>0</v>
      </c>
      <c r="Q46" s="26">
        <f>CUSTOS!$E$35</f>
        <v>36452.468725037863</v>
      </c>
      <c r="R46" s="26">
        <f>CUSTOS!$E$36</f>
        <v>-87115.726584510674</v>
      </c>
      <c r="S46" s="26">
        <f>CUSTOS!$E$37</f>
        <v>-87115.726584510674</v>
      </c>
      <c r="T46" s="26">
        <f>CUSTOS!$E$38</f>
        <v>26649.726315666448</v>
      </c>
      <c r="U46" s="26">
        <f>CUSTOS!$E$39</f>
        <v>28930.848428573499</v>
      </c>
      <c r="V46" s="26">
        <f>CUSTOS!$E$40</f>
        <v>0</v>
      </c>
      <c r="W46" s="26">
        <f>CUSTOS!$E$41</f>
        <v>55580.574744239944</v>
      </c>
      <c r="X46" s="26">
        <f>CUSTOS!$E$42</f>
        <v>-1833872.6576913935</v>
      </c>
      <c r="Y46" s="26">
        <f>CUSTOS!$E$43</f>
        <v>-1833872.6576913935</v>
      </c>
      <c r="Z46" s="26">
        <f>CUSTOS!$E$44</f>
        <v>-2300.154806367791</v>
      </c>
      <c r="AA46" s="26">
        <f>CUSTOS!$E$45</f>
        <v>-2300.154806367791</v>
      </c>
      <c r="AB46" s="26">
        <f>CUSTOS!$E$46</f>
        <v>-1831255.4956129943</v>
      </c>
    </row>
    <row r="47" spans="1:28" ht="11.25" customHeight="1" x14ac:dyDescent="0.25">
      <c r="K47" s="31" t="s">
        <v>577</v>
      </c>
      <c r="L47" s="26">
        <f>CUSTOS!$F$30</f>
        <v>0</v>
      </c>
      <c r="M47" s="26">
        <f>CUSTOS!$F$31</f>
        <v>290820.58199999999</v>
      </c>
      <c r="N47" s="26">
        <f>CUSTOS!$F$32</f>
        <v>0</v>
      </c>
      <c r="O47" s="26">
        <f>CUSTOS!$F$33</f>
        <v>0</v>
      </c>
      <c r="P47" s="26">
        <f>CUSTOS!$F$34</f>
        <v>0</v>
      </c>
      <c r="Q47" s="26">
        <f>CUSTOS!$F$35</f>
        <v>290820.58199999999</v>
      </c>
      <c r="R47" s="26">
        <f>CUSTOS!$F$36</f>
        <v>995691.63033714134</v>
      </c>
      <c r="S47" s="26">
        <f>CUSTOS!$F$37</f>
        <v>995691.63033714134</v>
      </c>
      <c r="T47" s="26">
        <f>CUSTOS!$F$38</f>
        <v>63621.552600000003</v>
      </c>
      <c r="U47" s="26">
        <f>CUSTOS!$F$39</f>
        <v>8085.2637000000004</v>
      </c>
      <c r="V47" s="26">
        <f>CUSTOS!$F$40</f>
        <v>0</v>
      </c>
      <c r="W47" s="26">
        <f>CUSTOS!$F$41</f>
        <v>71706.816300000006</v>
      </c>
      <c r="X47" s="26">
        <f>CUSTOS!$F$42</f>
        <v>0</v>
      </c>
      <c r="Y47" s="26">
        <f>CUSTOS!$F$43</f>
        <v>0</v>
      </c>
      <c r="Z47" s="26">
        <f>CUSTOS!$F$44</f>
        <v>26289.68360791204</v>
      </c>
      <c r="AA47" s="26">
        <f>CUSTOS!$F$45</f>
        <v>26289.68360791204</v>
      </c>
      <c r="AB47" s="26">
        <f>CUSTOS!$F$46</f>
        <v>1384508.7122450536</v>
      </c>
    </row>
    <row r="48" spans="1:28" ht="11.25" customHeight="1" x14ac:dyDescent="0.25">
      <c r="K48" s="31" t="s">
        <v>657</v>
      </c>
      <c r="L48" s="26">
        <f>IF(SUMPRODUCT($I$5:$I$42,$L$5:$L$42)&lt;&gt;0,L45/SUMPRODUCT($I$5:$I$42,$L$5:$L$42),0)</f>
        <v>2.4354710992274331</v>
      </c>
      <c r="M48" s="26">
        <f>IF(SUMPRODUCT($I$5:$I$42,$M$5:$M$42)&lt;&gt;0,M45/SUMPRODUCT($I$5:$I$42,$M$5:$M$42),0)</f>
        <v>20.997516599996636</v>
      </c>
      <c r="N48" s="26">
        <f>IF(SUMPRODUCT($I$5:$I$42,$N$5:$N$42)&lt;&gt;0,N45/SUMPRODUCT($I$5:$I$42,$N$5:$N$42),0)</f>
        <v>0</v>
      </c>
      <c r="O48" s="26">
        <f>IF(SUMPRODUCT($I$5:$I$42,$O$5:$O$42)&lt;&gt;0,O45/SUMPRODUCT($I$5:$I$42,$O$5:$O$42),0)</f>
        <v>0</v>
      </c>
      <c r="P48" s="26">
        <f>IF(SUMPRODUCT($I$5:$I$42,$P$5:$P$42)&lt;&gt;0,P45/SUMPRODUCT($I$5:$I$42,$P$5:$P$42),0)</f>
        <v>-23.339897791030985</v>
      </c>
      <c r="Q48" s="26"/>
      <c r="R48" s="26">
        <f>IF((CUSTOS!$M$12-CUSTOS!$M$13)&lt;&gt;0,(CUSTOS!$M$12*CUSTOS!$M$14)/(CUSTOS!$M$12-CUSTOS!$M$13),0)</f>
        <v>198.82477540455355</v>
      </c>
      <c r="S48" s="26"/>
      <c r="T48" s="26">
        <f>IF(SUMPRODUCT($I$5:$I$42,$T$5:$T$42)&lt;&gt;0,T45/SUMPRODUCT($I$5:$I$42,$T$5:$T$42),0)</f>
        <v>9.9962037891222799</v>
      </c>
      <c r="U48" s="26">
        <f>IF(SUMPRODUCT($I$5:$I$42,$U$5:$U$42)&lt;&gt;0,U45/SUMPRODUCT($I$5:$I$42,$U$5:$U$42),0)</f>
        <v>6.8830158215822363</v>
      </c>
      <c r="V48" s="26">
        <f>IF(SUMPRODUCT($I$5:$I$42,$V$5:$V$42)&lt;&gt;0,V45/SUMPRODUCT($I$5:$I$42,$V$5:$V$42),0)</f>
        <v>0</v>
      </c>
      <c r="W48" s="26"/>
      <c r="X48" s="26">
        <f>IF(SUMPRODUCT($I$5:$I$42,$X$5:$X$42)&lt;&gt;0,X45/SUMPRODUCT($I$5:$I$42,$X$5:$X$42),0)</f>
        <v>0</v>
      </c>
      <c r="Y48" s="26"/>
      <c r="Z48" s="26">
        <f>IF(SUMPRODUCT($I$5:$I$42,$Z$5:$Z$42)&lt;&gt;0,Z45/SUMPRODUCT($I$5:$I$42,$Z$5:$Z$42),0)</f>
        <v>5.2487753894988716</v>
      </c>
      <c r="AA48" s="26"/>
      <c r="AB48" s="26"/>
    </row>
    <row r="49" spans="11:28" ht="11.25" customHeight="1" x14ac:dyDescent="0.25">
      <c r="K49" s="31" t="s">
        <v>658</v>
      </c>
      <c r="L49" s="26">
        <f>IF(L44&lt;&gt;0,(L45-L48*0)/(L44-0),0)</f>
        <v>2.4354710992274331</v>
      </c>
      <c r="M49" s="26">
        <f>IF(M44&lt;&gt;0,(M45-M48*0)/(M44-0),0)</f>
        <v>20.997516599996636</v>
      </c>
      <c r="N49" s="26">
        <f>IF(N44&lt;&gt;0,(N45-N48*0)/(N44-0),0)</f>
        <v>0</v>
      </c>
      <c r="O49" s="26">
        <f>IF(O44&lt;&gt;0,(O45-O48*0)/(O44-0),0)</f>
        <v>0</v>
      </c>
      <c r="P49" s="26">
        <f>IF(P44&lt;&gt;0,(P45-P48*0)/(P44-0),0)</f>
        <v>-23.339897791030985</v>
      </c>
      <c r="Q49" s="26"/>
      <c r="R49" s="26">
        <f>IF(R44&lt;&gt;0,(R45-R48*0)/(R44-0),0)</f>
        <v>189.13521416328368</v>
      </c>
      <c r="S49" s="26"/>
      <c r="T49" s="26">
        <f>IF(T44&lt;&gt;0,(T45-T48*0)/(T44-0),0)</f>
        <v>9.9962037891222799</v>
      </c>
      <c r="U49" s="26">
        <f>IF(U44&lt;&gt;0,(U45-U48*0)/(U44-0),0)</f>
        <v>6.8830158215822363</v>
      </c>
      <c r="V49" s="26">
        <f>IF(V44&lt;&gt;0,(V45-V48*0)/(V44-0),0)</f>
        <v>0</v>
      </c>
      <c r="W49" s="26"/>
      <c r="X49" s="26">
        <f>IF(X44&lt;&gt;0,(X45-X48*0)/(X44-0),0)</f>
        <v>0</v>
      </c>
      <c r="Y49" s="26"/>
      <c r="Z49" s="26">
        <f>IF(Z44&lt;&gt;0,(Z45-Z48*0)/(Z44-0),0)</f>
        <v>5.2487753894988716</v>
      </c>
      <c r="AA49" s="26"/>
      <c r="AB49" s="26"/>
    </row>
    <row r="50" spans="11:28" ht="11.25" customHeight="1" x14ac:dyDescent="0.25">
      <c r="K50" s="31" t="s">
        <v>659</v>
      </c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</row>
  </sheetData>
  <mergeCells count="61"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E36:E38"/>
    <mergeCell ref="F36:F38"/>
    <mergeCell ref="A41:A42"/>
    <mergeCell ref="B41:B42"/>
    <mergeCell ref="C41:C42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F5:F6"/>
    <mergeCell ref="A5:A7"/>
    <mergeCell ref="B5:B6"/>
    <mergeCell ref="C5:C6"/>
    <mergeCell ref="D5:D6"/>
    <mergeCell ref="E5:E6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8A28A-064F-4552-A2A9-2B763E50B81E}">
  <dimension ref="A1:AB50"/>
  <sheetViews>
    <sheetView showGridLines="0" topLeftCell="Q3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7.85546875" style="9" bestFit="1" customWidth="1"/>
    <col min="13" max="13" width="8.7109375" style="9" bestFit="1" customWidth="1"/>
    <col min="14" max="14" width="7.85546875" style="9" bestFit="1" customWidth="1"/>
    <col min="15" max="15" width="11.140625" style="9" bestFit="1" customWidth="1"/>
    <col min="16" max="17" width="9.28515625" style="9" bestFit="1" customWidth="1"/>
    <col min="18" max="18" width="15" style="9" bestFit="1" customWidth="1"/>
    <col min="19" max="19" width="10" style="9" bestFit="1" customWidth="1"/>
    <col min="20" max="20" width="8.71093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5703125" style="9" bestFit="1" customWidth="1"/>
    <col min="29" max="16384" width="9.140625" style="9"/>
  </cols>
  <sheetData>
    <row r="1" spans="1:28" ht="11.25" customHeight="1" x14ac:dyDescent="0.25">
      <c r="A1" s="147" t="s">
        <v>65</v>
      </c>
      <c r="B1" s="147" t="s">
        <v>66</v>
      </c>
      <c r="C1" s="147" t="s">
        <v>67</v>
      </c>
      <c r="D1" s="147" t="s">
        <v>68</v>
      </c>
      <c r="E1" s="147" t="s">
        <v>69</v>
      </c>
      <c r="F1" s="147" t="s">
        <v>15</v>
      </c>
      <c r="G1" s="147" t="s">
        <v>71</v>
      </c>
      <c r="H1" s="147" t="s">
        <v>72</v>
      </c>
      <c r="I1" s="147" t="s">
        <v>634</v>
      </c>
      <c r="J1" s="131"/>
      <c r="L1" s="148" t="s">
        <v>660</v>
      </c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</row>
    <row r="2" spans="1:28" ht="11.25" customHeight="1" x14ac:dyDescent="0.25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8" t="s">
        <v>561</v>
      </c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</row>
    <row r="3" spans="1:28" ht="11.25" customHeight="1" x14ac:dyDescent="0.25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8" t="s">
        <v>534</v>
      </c>
      <c r="M3" s="148"/>
      <c r="N3" s="148"/>
      <c r="O3" s="148"/>
      <c r="P3" s="148"/>
      <c r="Q3" s="148"/>
      <c r="R3" s="148" t="s">
        <v>565</v>
      </c>
      <c r="S3" s="148"/>
      <c r="T3" s="148" t="s">
        <v>543</v>
      </c>
      <c r="U3" s="148"/>
      <c r="V3" s="148"/>
      <c r="W3" s="148"/>
      <c r="X3" s="148" t="s">
        <v>553</v>
      </c>
      <c r="Y3" s="148"/>
      <c r="Z3" s="148" t="s">
        <v>556</v>
      </c>
      <c r="AA3" s="148"/>
      <c r="AB3" s="148" t="s">
        <v>542</v>
      </c>
    </row>
    <row r="4" spans="1:28" ht="11.25" customHeight="1" x14ac:dyDescent="0.25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30" t="s">
        <v>536</v>
      </c>
      <c r="M4" s="30" t="s">
        <v>562</v>
      </c>
      <c r="N4" s="30" t="s">
        <v>563</v>
      </c>
      <c r="O4" s="30" t="s">
        <v>622</v>
      </c>
      <c r="P4" s="30" t="s">
        <v>564</v>
      </c>
      <c r="Q4" s="30" t="s">
        <v>542</v>
      </c>
      <c r="R4" s="30" t="s">
        <v>566</v>
      </c>
      <c r="S4" s="30" t="s">
        <v>542</v>
      </c>
      <c r="T4" s="30" t="s">
        <v>567</v>
      </c>
      <c r="U4" s="30" t="s">
        <v>568</v>
      </c>
      <c r="V4" s="30" t="s">
        <v>569</v>
      </c>
      <c r="W4" s="30" t="s">
        <v>542</v>
      </c>
      <c r="X4" s="30" t="s">
        <v>554</v>
      </c>
      <c r="Y4" s="30" t="s">
        <v>542</v>
      </c>
      <c r="Z4" s="30" t="s">
        <v>570</v>
      </c>
      <c r="AA4" s="30" t="s">
        <v>542</v>
      </c>
      <c r="AB4" s="149"/>
    </row>
    <row r="5" spans="1:28" ht="11.25" customHeight="1" x14ac:dyDescent="0.25">
      <c r="A5" s="146" t="s">
        <v>38</v>
      </c>
      <c r="B5" s="146" t="s">
        <v>74</v>
      </c>
      <c r="C5" s="146" t="s">
        <v>25</v>
      </c>
      <c r="D5" s="146" t="s">
        <v>25</v>
      </c>
      <c r="E5" s="146" t="s">
        <v>25</v>
      </c>
      <c r="F5" s="146" t="s">
        <v>25</v>
      </c>
      <c r="G5" s="29" t="s">
        <v>76</v>
      </c>
      <c r="H5" s="29" t="s">
        <v>75</v>
      </c>
      <c r="I5" s="29">
        <f>'MERCADO TE'!$U$2</f>
        <v>280.50399999999996</v>
      </c>
      <c r="J5" s="15"/>
      <c r="L5" s="26">
        <f>'TR TE'!$L$5*'TR TE'!$L$49</f>
        <v>2.4354710992274331</v>
      </c>
      <c r="M5" s="26">
        <f>'TR TE'!$M$5*'TR TE'!$M$49</f>
        <v>20.997516599996636</v>
      </c>
      <c r="N5" s="26">
        <f>'TR TE'!$N$5*'TR TE'!$N$49</f>
        <v>0</v>
      </c>
      <c r="O5" s="26">
        <f>'TR TE'!$O$5*'TR TE'!$O$49</f>
        <v>0</v>
      </c>
      <c r="P5" s="26">
        <f>'TR TE'!$P$5*'TR TE'!$P$49</f>
        <v>-23.339897791030985</v>
      </c>
      <c r="Q5" s="26">
        <f>SUM($L$5:$P$5)</f>
        <v>9.3089908193086046E-2</v>
      </c>
      <c r="R5" s="26">
        <f>'TR TE'!$R$5*'TR TE'!$R$49</f>
        <v>325.31256836084793</v>
      </c>
      <c r="S5" s="26">
        <f>SUM($R$5:$R$5)</f>
        <v>325.31256836084793</v>
      </c>
      <c r="T5" s="26">
        <f>'TR TE'!$T$5*'TR TE'!$T$49</f>
        <v>9.9962037891222799</v>
      </c>
      <c r="U5" s="26">
        <f>'TR TE'!$U$5*'TR TE'!$U$49</f>
        <v>6.8830158215822363</v>
      </c>
      <c r="V5" s="26">
        <f>'TR TE'!$V$5*'TR TE'!$V$49</f>
        <v>0</v>
      </c>
      <c r="W5" s="26">
        <f>SUM($T$5:$V$5)</f>
        <v>16.879219610704517</v>
      </c>
      <c r="X5" s="26"/>
      <c r="Y5" s="26">
        <f>SUM($X$5:$X$5)</f>
        <v>0</v>
      </c>
      <c r="Z5" s="26">
        <f>'TR TE'!$Z$5*'TR TE'!$Z$49</f>
        <v>5.2487753894988716</v>
      </c>
      <c r="AA5" s="26">
        <f>SUM($Z$5:$Z$5)</f>
        <v>5.2487753894988716</v>
      </c>
      <c r="AB5" s="26">
        <f>SUMIF($L$4:$AA$4,"SUBTOTAL",$L$5:$AA$5)</f>
        <v>347.53365326924438</v>
      </c>
    </row>
    <row r="6" spans="1:28" ht="11.25" customHeight="1" x14ac:dyDescent="0.25">
      <c r="A6" s="146"/>
      <c r="B6" s="146"/>
      <c r="C6" s="146"/>
      <c r="D6" s="146"/>
      <c r="E6" s="146"/>
      <c r="F6" s="146"/>
      <c r="G6" s="29" t="s">
        <v>77</v>
      </c>
      <c r="H6" s="29" t="s">
        <v>75</v>
      </c>
      <c r="I6" s="29">
        <f>'MERCADO TE'!$U$3</f>
        <v>7558.6610000000001</v>
      </c>
      <c r="J6" s="15"/>
      <c r="L6" s="26">
        <f>'TR TE'!$L$6*'TR TE'!$L$49</f>
        <v>2.4354710992274331</v>
      </c>
      <c r="M6" s="26">
        <f>'TR TE'!$M$6*'TR TE'!$M$49</f>
        <v>20.997516599996636</v>
      </c>
      <c r="N6" s="26">
        <f>'TR TE'!$N$6*'TR TE'!$N$49</f>
        <v>0</v>
      </c>
      <c r="O6" s="26">
        <f>'TR TE'!$O$6*'TR TE'!$O$49</f>
        <v>0</v>
      </c>
      <c r="P6" s="26">
        <f>'TR TE'!$P$6*'TR TE'!$P$49</f>
        <v>-23.339897791030985</v>
      </c>
      <c r="Q6" s="26">
        <f>SUM($L$6:$P$6)</f>
        <v>9.3089908193086046E-2</v>
      </c>
      <c r="R6" s="26">
        <f>'TR TE'!$R$6*'TR TE'!$R$49</f>
        <v>189.13521416328368</v>
      </c>
      <c r="S6" s="26">
        <f>SUM($R$6:$R$6)</f>
        <v>189.13521416328368</v>
      </c>
      <c r="T6" s="26">
        <f>'TR TE'!$T$6*'TR TE'!$T$49</f>
        <v>9.9962037891222799</v>
      </c>
      <c r="U6" s="26">
        <f>'TR TE'!$U$6*'TR TE'!$U$49</f>
        <v>6.8830158215822363</v>
      </c>
      <c r="V6" s="26">
        <f>'TR TE'!$V$6*'TR TE'!$V$49</f>
        <v>0</v>
      </c>
      <c r="W6" s="26">
        <f>SUM($T$6:$V$6)</f>
        <v>16.879219610704517</v>
      </c>
      <c r="X6" s="26"/>
      <c r="Y6" s="26">
        <f>SUM($X$6:$X$6)</f>
        <v>0</v>
      </c>
      <c r="Z6" s="26">
        <f>'TR TE'!$Z$6*'TR TE'!$Z$49</f>
        <v>5.2487753894988716</v>
      </c>
      <c r="AA6" s="26">
        <f>SUM($Z$6:$Z$6)</f>
        <v>5.2487753894988716</v>
      </c>
      <c r="AB6" s="26">
        <f>SUMIF($L$4:$AA$4,"SUBTOTAL",$L$6:$AA$6)</f>
        <v>211.35629907168016</v>
      </c>
    </row>
    <row r="7" spans="1:28" ht="11.25" customHeight="1" x14ac:dyDescent="0.25">
      <c r="A7" s="146"/>
      <c r="B7" s="28" t="s">
        <v>78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79</v>
      </c>
      <c r="H7" s="29" t="s">
        <v>75</v>
      </c>
      <c r="I7" s="29">
        <f>'MERCADO TE'!$U$4</f>
        <v>0</v>
      </c>
      <c r="J7" s="15"/>
      <c r="L7" s="26">
        <f>'TR TE'!$L$7*'TR TE'!$L$49</f>
        <v>2.4354710992274331</v>
      </c>
      <c r="M7" s="26">
        <f>'TR TE'!$M$7*'TR TE'!$M$49</f>
        <v>20.997516599996636</v>
      </c>
      <c r="N7" s="26">
        <f>'TR TE'!$N$7*'TR TE'!$N$49</f>
        <v>0</v>
      </c>
      <c r="O7" s="26">
        <f>'TR TE'!$O$7*'TR TE'!$O$49</f>
        <v>0</v>
      </c>
      <c r="P7" s="26">
        <f>'TR TE'!$P$7*'TR TE'!$P$49</f>
        <v>-23.339897791030985</v>
      </c>
      <c r="Q7" s="26">
        <f>SUM($L$7:$P$7)</f>
        <v>9.3089908193086046E-2</v>
      </c>
      <c r="R7" s="26">
        <f>'TR TE'!$R$7*'TR TE'!$R$49</f>
        <v>200.4833270130807</v>
      </c>
      <c r="S7" s="26">
        <f>SUM($R$7:$R$7)</f>
        <v>200.4833270130807</v>
      </c>
      <c r="T7" s="26">
        <f>'TR TE'!$T$7*'TR TE'!$T$49</f>
        <v>9.9962037891222799</v>
      </c>
      <c r="U7" s="26">
        <f>'TR TE'!$U$7*'TR TE'!$U$49</f>
        <v>6.8830158215822363</v>
      </c>
      <c r="V7" s="26">
        <f>'TR TE'!$V$7*'TR TE'!$V$49</f>
        <v>0</v>
      </c>
      <c r="W7" s="26">
        <f>SUM($T$7:$V$7)</f>
        <v>16.879219610704517</v>
      </c>
      <c r="X7" s="26"/>
      <c r="Y7" s="26">
        <f>SUM($X$7:$X$7)</f>
        <v>0</v>
      </c>
      <c r="Z7" s="26">
        <f>'TR TE'!$Z$7*'TR TE'!$Z$49</f>
        <v>5.2487753894988716</v>
      </c>
      <c r="AA7" s="26">
        <f>SUM($Z$7:$Z$7)</f>
        <v>5.2487753894988716</v>
      </c>
      <c r="AB7" s="26">
        <f>SUMIF($L$4:$AA$4,"SUBTOTAL",$L$7:$AA$7)</f>
        <v>222.70441192147717</v>
      </c>
    </row>
    <row r="8" spans="1:28" ht="11.25" customHeight="1" x14ac:dyDescent="0.25">
      <c r="A8" s="146" t="s">
        <v>22</v>
      </c>
      <c r="B8" s="146" t="s">
        <v>74</v>
      </c>
      <c r="C8" s="146" t="s">
        <v>24</v>
      </c>
      <c r="D8" s="146" t="s">
        <v>24</v>
      </c>
      <c r="E8" s="146" t="s">
        <v>25</v>
      </c>
      <c r="F8" s="146" t="s">
        <v>25</v>
      </c>
      <c r="G8" s="29" t="s">
        <v>76</v>
      </c>
      <c r="H8" s="29" t="s">
        <v>75</v>
      </c>
      <c r="I8" s="29">
        <f>'MERCADO TE'!$U$5</f>
        <v>0.17000000000000004</v>
      </c>
      <c r="J8" s="15"/>
      <c r="L8" s="26">
        <f>'TR TE'!$L$8*'TR TE'!$L$49</f>
        <v>2.4354710992274331</v>
      </c>
      <c r="M8" s="26">
        <f>'TR TE'!$M$8*'TR TE'!$M$49</f>
        <v>20.997516599996636</v>
      </c>
      <c r="N8" s="26">
        <f>'TR TE'!$N$8*'TR TE'!$N$49</f>
        <v>0</v>
      </c>
      <c r="O8" s="26">
        <f>'TR TE'!$O$8*'TR TE'!$O$49</f>
        <v>0</v>
      </c>
      <c r="P8" s="26">
        <f>'TR TE'!$P$8*'TR TE'!$P$49</f>
        <v>-23.339897791030985</v>
      </c>
      <c r="Q8" s="26">
        <f>SUM($L$8:$P$8)</f>
        <v>9.3089908193086046E-2</v>
      </c>
      <c r="R8" s="26">
        <f>'TR TE'!$R$8*'TR TE'!$R$49</f>
        <v>325.31256836084793</v>
      </c>
      <c r="S8" s="26">
        <f>SUM($R$8:$R$8)</f>
        <v>325.31256836084793</v>
      </c>
      <c r="T8" s="26">
        <f>'TR TE'!$T$8*'TR TE'!$T$49</f>
        <v>9.9962037891222799</v>
      </c>
      <c r="U8" s="26">
        <f>'TR TE'!$U$8*'TR TE'!$U$49</f>
        <v>6.8830158215822363</v>
      </c>
      <c r="V8" s="26">
        <f>'TR TE'!$V$8*'TR TE'!$V$49</f>
        <v>0</v>
      </c>
      <c r="W8" s="26">
        <f>SUM($T$8:$V$8)</f>
        <v>16.879219610704517</v>
      </c>
      <c r="X8" s="26"/>
      <c r="Y8" s="26">
        <f>SUM($X$8:$X$8)</f>
        <v>0</v>
      </c>
      <c r="Z8" s="26">
        <f>'TR TE'!$Z$8*'TR TE'!$Z$49</f>
        <v>5.2487753894988716</v>
      </c>
      <c r="AA8" s="26">
        <f>SUM($Z$8:$Z$8)</f>
        <v>5.2487753894988716</v>
      </c>
      <c r="AB8" s="26">
        <f>SUMIF($L$4:$AA$4,"SUBTOTAL",$L$8:$AA$8)</f>
        <v>347.53365326924438</v>
      </c>
    </row>
    <row r="9" spans="1:28" ht="11.25" customHeight="1" x14ac:dyDescent="0.25">
      <c r="A9" s="146"/>
      <c r="B9" s="146"/>
      <c r="C9" s="146"/>
      <c r="D9" s="146"/>
      <c r="E9" s="146"/>
      <c r="F9" s="146"/>
      <c r="G9" s="29" t="s">
        <v>88</v>
      </c>
      <c r="H9" s="29" t="s">
        <v>75</v>
      </c>
      <c r="I9" s="29">
        <f>'MERCADO TE'!$U$6</f>
        <v>0.13000000000000003</v>
      </c>
      <c r="J9" s="15"/>
      <c r="L9" s="26">
        <f>'TR TE'!$L$9*'TR TE'!$L$49</f>
        <v>2.4354710992274331</v>
      </c>
      <c r="M9" s="26">
        <f>'TR TE'!$M$9*'TR TE'!$M$49</f>
        <v>20.997516599996636</v>
      </c>
      <c r="N9" s="26">
        <f>'TR TE'!$N$9*'TR TE'!$N$49</f>
        <v>0</v>
      </c>
      <c r="O9" s="26">
        <f>'TR TE'!$O$9*'TR TE'!$O$49</f>
        <v>0</v>
      </c>
      <c r="P9" s="26">
        <f>'TR TE'!$P$9*'TR TE'!$P$49</f>
        <v>-23.339897791030985</v>
      </c>
      <c r="Q9" s="26">
        <f>SUM($L$9:$P$9)</f>
        <v>9.3089908193086046E-2</v>
      </c>
      <c r="R9" s="26">
        <f>'TR TE'!$R$9*'TR TE'!$R$49</f>
        <v>189.13521416328368</v>
      </c>
      <c r="S9" s="26">
        <f>SUM($R$9:$R$9)</f>
        <v>189.13521416328368</v>
      </c>
      <c r="T9" s="26">
        <f>'TR TE'!$T$9*'TR TE'!$T$49</f>
        <v>9.9962037891222799</v>
      </c>
      <c r="U9" s="26">
        <f>'TR TE'!$U$9*'TR TE'!$U$49</f>
        <v>6.8830158215822363</v>
      </c>
      <c r="V9" s="26">
        <f>'TR TE'!$V$9*'TR TE'!$V$49</f>
        <v>0</v>
      </c>
      <c r="W9" s="26">
        <f>SUM($T$9:$V$9)</f>
        <v>16.879219610704517</v>
      </c>
      <c r="X9" s="26"/>
      <c r="Y9" s="26">
        <f>SUM($X$9:$X$9)</f>
        <v>0</v>
      </c>
      <c r="Z9" s="26">
        <f>'TR TE'!$Z$9*'TR TE'!$Z$49</f>
        <v>5.2487753894988716</v>
      </c>
      <c r="AA9" s="26">
        <f>SUM($Z$9:$Z$9)</f>
        <v>5.2487753894988716</v>
      </c>
      <c r="AB9" s="26">
        <f>SUMIF($L$4:$AA$4,"SUBTOTAL",$L$9:$AA$9)</f>
        <v>211.35629907168016</v>
      </c>
    </row>
    <row r="10" spans="1:28" ht="11.25" customHeight="1" x14ac:dyDescent="0.25">
      <c r="A10" s="146"/>
      <c r="B10" s="146"/>
      <c r="C10" s="146"/>
      <c r="D10" s="146"/>
      <c r="E10" s="146"/>
      <c r="F10" s="146"/>
      <c r="G10" s="29" t="s">
        <v>77</v>
      </c>
      <c r="H10" s="29" t="s">
        <v>75</v>
      </c>
      <c r="I10" s="29">
        <f>'MERCADO TE'!$U$7</f>
        <v>2.4539999999999997</v>
      </c>
      <c r="J10" s="15"/>
      <c r="L10" s="26">
        <f>'TR TE'!$L$10*'TR TE'!$L$49</f>
        <v>2.4354710992274331</v>
      </c>
      <c r="M10" s="26">
        <f>'TR TE'!$M$10*'TR TE'!$M$49</f>
        <v>20.997516599996636</v>
      </c>
      <c r="N10" s="26">
        <f>'TR TE'!$N$10*'TR TE'!$N$49</f>
        <v>0</v>
      </c>
      <c r="O10" s="26">
        <f>'TR TE'!$O$10*'TR TE'!$O$49</f>
        <v>0</v>
      </c>
      <c r="P10" s="26">
        <f>'TR TE'!$P$10*'TR TE'!$P$49</f>
        <v>-23.339897791030985</v>
      </c>
      <c r="Q10" s="26">
        <f>SUM($L$10:$P$10)</f>
        <v>9.3089908193086046E-2</v>
      </c>
      <c r="R10" s="26">
        <f>'TR TE'!$R$10*'TR TE'!$R$49</f>
        <v>189.13521416328368</v>
      </c>
      <c r="S10" s="26">
        <f>SUM($R$10:$R$10)</f>
        <v>189.13521416328368</v>
      </c>
      <c r="T10" s="26">
        <f>'TR TE'!$T$10*'TR TE'!$T$49</f>
        <v>9.9962037891222799</v>
      </c>
      <c r="U10" s="26">
        <f>'TR TE'!$U$10*'TR TE'!$U$49</f>
        <v>6.8830158215822363</v>
      </c>
      <c r="V10" s="26">
        <f>'TR TE'!$V$10*'TR TE'!$V$49</f>
        <v>0</v>
      </c>
      <c r="W10" s="26">
        <f>SUM($T$10:$V$10)</f>
        <v>16.879219610704517</v>
      </c>
      <c r="X10" s="26"/>
      <c r="Y10" s="26">
        <f>SUM($X$10:$X$10)</f>
        <v>0</v>
      </c>
      <c r="Z10" s="26">
        <f>'TR TE'!$Z$10*'TR TE'!$Z$49</f>
        <v>5.2487753894988716</v>
      </c>
      <c r="AA10" s="26">
        <f>SUM($Z$10:$Z$10)</f>
        <v>5.2487753894988716</v>
      </c>
      <c r="AB10" s="26">
        <f>SUMIF($L$4:$AA$4,"SUBTOTAL",$L$10:$AA$10)</f>
        <v>211.35629907168016</v>
      </c>
    </row>
    <row r="11" spans="1:28" ht="11.25" customHeight="1" x14ac:dyDescent="0.25">
      <c r="A11" s="146"/>
      <c r="B11" s="146" t="s">
        <v>78</v>
      </c>
      <c r="C11" s="146" t="s">
        <v>24</v>
      </c>
      <c r="D11" s="28" t="s">
        <v>24</v>
      </c>
      <c r="E11" s="28" t="s">
        <v>25</v>
      </c>
      <c r="F11" s="28" t="s">
        <v>25</v>
      </c>
      <c r="G11" s="29" t="s">
        <v>79</v>
      </c>
      <c r="H11" s="29" t="s">
        <v>75</v>
      </c>
      <c r="I11" s="29">
        <f>'MERCADO TE'!$U$8</f>
        <v>10574.981000000002</v>
      </c>
      <c r="J11" s="15"/>
      <c r="L11" s="26">
        <f>'TR TE'!$L$11*'TR TE'!$L$49</f>
        <v>2.4354710992274331</v>
      </c>
      <c r="M11" s="26">
        <f>'TR TE'!$M$11*'TR TE'!$M$49</f>
        <v>20.997516599996636</v>
      </c>
      <c r="N11" s="26">
        <f>'TR TE'!$N$11*'TR TE'!$N$49</f>
        <v>0</v>
      </c>
      <c r="O11" s="26">
        <f>'TR TE'!$O$11*'TR TE'!$O$49</f>
        <v>0</v>
      </c>
      <c r="P11" s="26">
        <f>'TR TE'!$P$11*'TR TE'!$P$49</f>
        <v>-23.339897791030985</v>
      </c>
      <c r="Q11" s="26">
        <f>SUM($L$11:$P$11)</f>
        <v>9.3089908193086046E-2</v>
      </c>
      <c r="R11" s="26">
        <f>'TR TE'!$R$11*'TR TE'!$R$49</f>
        <v>200.4833270130807</v>
      </c>
      <c r="S11" s="26">
        <f>SUM($R$11:$R$11)</f>
        <v>200.4833270130807</v>
      </c>
      <c r="T11" s="26">
        <f>'TR TE'!$T$11*'TR TE'!$T$49</f>
        <v>9.9962037891222799</v>
      </c>
      <c r="U11" s="26">
        <f>'TR TE'!$U$11*'TR TE'!$U$49</f>
        <v>6.8830158215822363</v>
      </c>
      <c r="V11" s="26">
        <f>'TR TE'!$V$11*'TR TE'!$V$49</f>
        <v>0</v>
      </c>
      <c r="W11" s="26">
        <f>SUM($T$11:$V$11)</f>
        <v>16.879219610704517</v>
      </c>
      <c r="X11" s="26"/>
      <c r="Y11" s="26">
        <f>SUM($X$11:$X$11)</f>
        <v>0</v>
      </c>
      <c r="Z11" s="26">
        <f>'TR TE'!$Z$11*'TR TE'!$Z$49</f>
        <v>5.2487753894988716</v>
      </c>
      <c r="AA11" s="26">
        <f>SUM($Z$11:$Z$11)</f>
        <v>5.2487753894988716</v>
      </c>
      <c r="AB11" s="26">
        <f>SUMIF($L$4:$AA$4,"SUBTOTAL",$L$11:$AA$11)</f>
        <v>222.70441192147717</v>
      </c>
    </row>
    <row r="12" spans="1:28" ht="11.25" customHeight="1" x14ac:dyDescent="0.25">
      <c r="A12" s="146"/>
      <c r="B12" s="146"/>
      <c r="C12" s="146"/>
      <c r="D12" s="28" t="s">
        <v>28</v>
      </c>
      <c r="E12" s="28" t="s">
        <v>25</v>
      </c>
      <c r="F12" s="28" t="s">
        <v>25</v>
      </c>
      <c r="G12" s="29" t="s">
        <v>79</v>
      </c>
      <c r="H12" s="29" t="s">
        <v>75</v>
      </c>
      <c r="I12" s="29">
        <f>'MERCADO TE'!$U$9</f>
        <v>204.62</v>
      </c>
      <c r="J12" s="15"/>
      <c r="L12" s="26">
        <f>'TR TE'!$L$12*'TR TE'!$L$49</f>
        <v>2.4354710992274331</v>
      </c>
      <c r="M12" s="26">
        <f>'TR TE'!$M$12*'TR TE'!$M$49</f>
        <v>20.997516599996636</v>
      </c>
      <c r="N12" s="26">
        <f>'TR TE'!$N$12*'TR TE'!$N$49</f>
        <v>0</v>
      </c>
      <c r="O12" s="26">
        <f>'TR TE'!$O$12*'TR TE'!$O$49</f>
        <v>0</v>
      </c>
      <c r="P12" s="26">
        <f>'TR TE'!$P$12*'TR TE'!$P$49</f>
        <v>-23.339897791030985</v>
      </c>
      <c r="Q12" s="26">
        <f>SUM($L$12:$P$12)</f>
        <v>9.3089908193086046E-2</v>
      </c>
      <c r="R12" s="26">
        <f>'TR TE'!$R$12*'TR TE'!$R$49</f>
        <v>200.4833270130807</v>
      </c>
      <c r="S12" s="26">
        <f>SUM($R$12:$R$12)</f>
        <v>200.4833270130807</v>
      </c>
      <c r="T12" s="26">
        <f>'TR TE'!$T$12*'TR TE'!$T$49</f>
        <v>9.9962037891222799</v>
      </c>
      <c r="U12" s="26">
        <f>'TR TE'!$U$12*'TR TE'!$U$49</f>
        <v>6.8830158215822363</v>
      </c>
      <c r="V12" s="26">
        <f>'TR TE'!$V$12*'TR TE'!$V$49</f>
        <v>0</v>
      </c>
      <c r="W12" s="26">
        <f>SUM($T$12:$V$12)</f>
        <v>16.879219610704517</v>
      </c>
      <c r="X12" s="26"/>
      <c r="Y12" s="26">
        <f>SUM($X$12:$X$12)</f>
        <v>0</v>
      </c>
      <c r="Z12" s="26">
        <f>'TR TE'!$Z$12*'TR TE'!$Z$49</f>
        <v>5.2487753894988716</v>
      </c>
      <c r="AA12" s="26">
        <f>SUM($Z$12:$Z$12)</f>
        <v>5.2487753894988716</v>
      </c>
      <c r="AB12" s="26">
        <f>SUMIF($L$4:$AA$4,"SUBTOTAL",$L$12:$AA$12)</f>
        <v>222.70441192147717</v>
      </c>
    </row>
    <row r="13" spans="1:28" ht="11.25" customHeight="1" x14ac:dyDescent="0.25">
      <c r="A13" s="146"/>
      <c r="B13" s="146"/>
      <c r="C13" s="146"/>
      <c r="D13" s="28" t="s">
        <v>29</v>
      </c>
      <c r="E13" s="28" t="s">
        <v>25</v>
      </c>
      <c r="F13" s="28" t="s">
        <v>25</v>
      </c>
      <c r="G13" s="29" t="s">
        <v>79</v>
      </c>
      <c r="H13" s="29" t="s">
        <v>75</v>
      </c>
      <c r="I13" s="29">
        <f>'MERCADO TE'!$U$10</f>
        <v>376.553</v>
      </c>
      <c r="J13" s="15"/>
      <c r="L13" s="26">
        <f>'TR TE'!$L$13*'TR TE'!$L$49</f>
        <v>2.4354710992274331</v>
      </c>
      <c r="M13" s="26">
        <f>'TR TE'!$M$13*'TR TE'!$M$49</f>
        <v>20.997516599996636</v>
      </c>
      <c r="N13" s="26">
        <f>'TR TE'!$N$13*'TR TE'!$N$49</f>
        <v>0</v>
      </c>
      <c r="O13" s="26">
        <f>'TR TE'!$O$13*'TR TE'!$O$49</f>
        <v>0</v>
      </c>
      <c r="P13" s="26">
        <f>'TR TE'!$P$13*'TR TE'!$P$49</f>
        <v>-23.339897791030985</v>
      </c>
      <c r="Q13" s="26">
        <f>SUM($L$13:$P$13)</f>
        <v>9.3089908193086046E-2</v>
      </c>
      <c r="R13" s="26">
        <f>'TR TE'!$R$13*'TR TE'!$R$49</f>
        <v>200.4833270130807</v>
      </c>
      <c r="S13" s="26">
        <f>SUM($R$13:$R$13)</f>
        <v>200.4833270130807</v>
      </c>
      <c r="T13" s="26">
        <f>'TR TE'!$T$13*'TR TE'!$T$49</f>
        <v>9.9962037891222799</v>
      </c>
      <c r="U13" s="26">
        <f>'TR TE'!$U$13*'TR TE'!$U$49</f>
        <v>6.8830158215822363</v>
      </c>
      <c r="V13" s="26">
        <f>'TR TE'!$V$13*'TR TE'!$V$49</f>
        <v>0</v>
      </c>
      <c r="W13" s="26">
        <f>SUM($T$13:$V$13)</f>
        <v>16.879219610704517</v>
      </c>
      <c r="X13" s="26"/>
      <c r="Y13" s="26">
        <f>SUM($X$13:$X$13)</f>
        <v>0</v>
      </c>
      <c r="Z13" s="26">
        <f>'TR TE'!$Z$13*'TR TE'!$Z$49</f>
        <v>5.2487753894988716</v>
      </c>
      <c r="AA13" s="26">
        <f>SUM($Z$13:$Z$13)</f>
        <v>5.2487753894988716</v>
      </c>
      <c r="AB13" s="26">
        <f>SUMIF($L$4:$AA$4,"SUBTOTAL",$L$13:$AA$13)</f>
        <v>222.70441192147717</v>
      </c>
    </row>
    <row r="14" spans="1:28" ht="11.25" customHeight="1" x14ac:dyDescent="0.25">
      <c r="A14" s="146"/>
      <c r="B14" s="146"/>
      <c r="C14" s="146"/>
      <c r="D14" s="28" t="s">
        <v>30</v>
      </c>
      <c r="E14" s="28" t="s">
        <v>25</v>
      </c>
      <c r="F14" s="28" t="s">
        <v>25</v>
      </c>
      <c r="G14" s="29" t="s">
        <v>79</v>
      </c>
      <c r="H14" s="29" t="s">
        <v>75</v>
      </c>
      <c r="I14" s="29">
        <f>'MERCADO TE'!$U$11</f>
        <v>166.29699999999997</v>
      </c>
      <c r="J14" s="15"/>
      <c r="L14" s="26">
        <f>'TR TE'!$L$14*'TR TE'!$L$49</f>
        <v>2.4354710992274331</v>
      </c>
      <c r="M14" s="26">
        <f>'TR TE'!$M$14*'TR TE'!$M$49</f>
        <v>20.997516599996636</v>
      </c>
      <c r="N14" s="26">
        <f>'TR TE'!$N$14*'TR TE'!$N$49</f>
        <v>0</v>
      </c>
      <c r="O14" s="26">
        <f>'TR TE'!$O$14*'TR TE'!$O$49</f>
        <v>0</v>
      </c>
      <c r="P14" s="26">
        <f>'TR TE'!$P$14*'TR TE'!$P$49</f>
        <v>-23.339897791030985</v>
      </c>
      <c r="Q14" s="26">
        <f>SUM($L$14:$P$14)</f>
        <v>9.3089908193086046E-2</v>
      </c>
      <c r="R14" s="26">
        <f>'TR TE'!$R$14*'TR TE'!$R$49</f>
        <v>200.4833270130807</v>
      </c>
      <c r="S14" s="26">
        <f>SUM($R$14:$R$14)</f>
        <v>200.4833270130807</v>
      </c>
      <c r="T14" s="26">
        <f>'TR TE'!$T$14*'TR TE'!$T$49</f>
        <v>9.9962037891222799</v>
      </c>
      <c r="U14" s="26">
        <f>'TR TE'!$U$14*'TR TE'!$U$49</f>
        <v>6.8830158215822363</v>
      </c>
      <c r="V14" s="26">
        <f>'TR TE'!$V$14*'TR TE'!$V$49</f>
        <v>0</v>
      </c>
      <c r="W14" s="26">
        <f>SUM($T$14:$V$14)</f>
        <v>16.879219610704517</v>
      </c>
      <c r="X14" s="26"/>
      <c r="Y14" s="26">
        <f>SUM($X$14:$X$14)</f>
        <v>0</v>
      </c>
      <c r="Z14" s="26">
        <f>'TR TE'!$Z$14*'TR TE'!$Z$49</f>
        <v>5.2487753894988716</v>
      </c>
      <c r="AA14" s="26">
        <f>SUM($Z$14:$Z$14)</f>
        <v>5.2487753894988716</v>
      </c>
      <c r="AB14" s="26">
        <f>SUMIF($L$4:$AA$4,"SUBTOTAL",$L$14:$AA$14)</f>
        <v>222.70441192147717</v>
      </c>
    </row>
    <row r="15" spans="1:28" ht="11.25" customHeight="1" x14ac:dyDescent="0.25">
      <c r="A15" s="146"/>
      <c r="B15" s="146"/>
      <c r="C15" s="146"/>
      <c r="D15" s="28" t="s">
        <v>31</v>
      </c>
      <c r="E15" s="28" t="s">
        <v>25</v>
      </c>
      <c r="F15" s="28" t="s">
        <v>25</v>
      </c>
      <c r="G15" s="29" t="s">
        <v>79</v>
      </c>
      <c r="H15" s="29" t="s">
        <v>75</v>
      </c>
      <c r="I15" s="29">
        <f>'MERCADO TE'!$U$12</f>
        <v>17.806999999999999</v>
      </c>
      <c r="J15" s="15"/>
      <c r="L15" s="26">
        <f>'TR TE'!$L$15*'TR TE'!$L$49</f>
        <v>2.4354710992274331</v>
      </c>
      <c r="M15" s="26">
        <f>'TR TE'!$M$15*'TR TE'!$M$49</f>
        <v>20.997516599996636</v>
      </c>
      <c r="N15" s="26">
        <f>'TR TE'!$N$15*'TR TE'!$N$49</f>
        <v>0</v>
      </c>
      <c r="O15" s="26">
        <f>'TR TE'!$O$15*'TR TE'!$O$49</f>
        <v>0</v>
      </c>
      <c r="P15" s="26">
        <f>'TR TE'!$P$15*'TR TE'!$P$49</f>
        <v>-23.339897791030985</v>
      </c>
      <c r="Q15" s="26">
        <f>SUM($L$15:$P$15)</f>
        <v>9.3089908193086046E-2</v>
      </c>
      <c r="R15" s="26">
        <f>'TR TE'!$R$15*'TR TE'!$R$49</f>
        <v>200.4833270130807</v>
      </c>
      <c r="S15" s="26">
        <f>SUM($R$15:$R$15)</f>
        <v>200.4833270130807</v>
      </c>
      <c r="T15" s="26">
        <f>'TR TE'!$T$15*'TR TE'!$T$49</f>
        <v>9.9962037891222799</v>
      </c>
      <c r="U15" s="26">
        <f>'TR TE'!$U$15*'TR TE'!$U$49</f>
        <v>6.8830158215822363</v>
      </c>
      <c r="V15" s="26">
        <f>'TR TE'!$V$15*'TR TE'!$V$49</f>
        <v>0</v>
      </c>
      <c r="W15" s="26">
        <f>SUM($T$15:$V$15)</f>
        <v>16.879219610704517</v>
      </c>
      <c r="X15" s="26"/>
      <c r="Y15" s="26">
        <f>SUM($X$15:$X$15)</f>
        <v>0</v>
      </c>
      <c r="Z15" s="26">
        <f>'TR TE'!$Z$15*'TR TE'!$Z$49</f>
        <v>5.2487753894988716</v>
      </c>
      <c r="AA15" s="26">
        <f>SUM($Z$15:$Z$15)</f>
        <v>5.2487753894988716</v>
      </c>
      <c r="AB15" s="26">
        <f>SUMIF($L$4:$AA$4,"SUBTOTAL",$L$15:$AA$15)</f>
        <v>222.70441192147717</v>
      </c>
    </row>
    <row r="16" spans="1:28" ht="11.25" customHeight="1" x14ac:dyDescent="0.25">
      <c r="A16" s="146"/>
      <c r="B16" s="146" t="s">
        <v>89</v>
      </c>
      <c r="C16" s="146" t="s">
        <v>24</v>
      </c>
      <c r="D16" s="28" t="s">
        <v>24</v>
      </c>
      <c r="E16" s="28" t="s">
        <v>25</v>
      </c>
      <c r="F16" s="28" t="s">
        <v>25</v>
      </c>
      <c r="G16" s="29" t="s">
        <v>79</v>
      </c>
      <c r="H16" s="29" t="s">
        <v>75</v>
      </c>
      <c r="I16" s="29">
        <f>'MERCADO TE'!$U$13</f>
        <v>0</v>
      </c>
      <c r="J16" s="15"/>
      <c r="L16" s="26">
        <f>'TR TE'!$L$16*'TR TE'!$L$49</f>
        <v>2.4354710992274331</v>
      </c>
      <c r="M16" s="26">
        <f>'TR TE'!$M$16*'TR TE'!$M$49</f>
        <v>20.997516599996636</v>
      </c>
      <c r="N16" s="26">
        <f>'TR TE'!$N$16*'TR TE'!$N$49</f>
        <v>0</v>
      </c>
      <c r="O16" s="26">
        <f>'TR TE'!$O$16*'TR TE'!$O$49</f>
        <v>0</v>
      </c>
      <c r="P16" s="26">
        <f>'TR TE'!$P$16*'TR TE'!$P$49</f>
        <v>-23.339897791030985</v>
      </c>
      <c r="Q16" s="26">
        <f>SUM($L$16:$P$16)</f>
        <v>9.3089908193086046E-2</v>
      </c>
      <c r="R16" s="26">
        <f>'TR TE'!$R$16*'TR TE'!$R$49</f>
        <v>200.4833270130807</v>
      </c>
      <c r="S16" s="26">
        <f>SUM($R$16:$R$16)</f>
        <v>200.4833270130807</v>
      </c>
      <c r="T16" s="26">
        <f>'TR TE'!$T$16*'TR TE'!$T$49</f>
        <v>9.9962037891222799</v>
      </c>
      <c r="U16" s="26">
        <f>'TR TE'!$U$16*'TR TE'!$U$49</f>
        <v>6.8830158215822363</v>
      </c>
      <c r="V16" s="26">
        <f>'TR TE'!$V$16*'TR TE'!$V$49</f>
        <v>0</v>
      </c>
      <c r="W16" s="26">
        <f>SUM($T$16:$V$16)</f>
        <v>16.879219610704517</v>
      </c>
      <c r="X16" s="26"/>
      <c r="Y16" s="26">
        <f>SUM($X$16:$X$16)</f>
        <v>0</v>
      </c>
      <c r="Z16" s="26">
        <f>'TR TE'!$Z$16*'TR TE'!$Z$49</f>
        <v>5.2487753894988716</v>
      </c>
      <c r="AA16" s="26">
        <f>SUM($Z$16:$Z$16)</f>
        <v>5.2487753894988716</v>
      </c>
      <c r="AB16" s="26">
        <f>SUMIF($L$4:$AA$4,"SUBTOTAL",$L$16:$AA$16)</f>
        <v>222.70441192147717</v>
      </c>
    </row>
    <row r="17" spans="1:28" ht="11.25" customHeight="1" x14ac:dyDescent="0.25">
      <c r="A17" s="146"/>
      <c r="B17" s="146"/>
      <c r="C17" s="146"/>
      <c r="D17" s="28" t="s">
        <v>28</v>
      </c>
      <c r="E17" s="28" t="s">
        <v>25</v>
      </c>
      <c r="F17" s="28" t="s">
        <v>25</v>
      </c>
      <c r="G17" s="29" t="s">
        <v>79</v>
      </c>
      <c r="H17" s="29" t="s">
        <v>75</v>
      </c>
      <c r="I17" s="29">
        <f>'MERCADO TE'!$U$14</f>
        <v>0</v>
      </c>
      <c r="J17" s="15"/>
      <c r="L17" s="26">
        <f>'TR TE'!$L$17*'TR TE'!$L$49</f>
        <v>2.4354710992274331</v>
      </c>
      <c r="M17" s="26">
        <f>'TR TE'!$M$17*'TR TE'!$M$49</f>
        <v>20.997516599996636</v>
      </c>
      <c r="N17" s="26">
        <f>'TR TE'!$N$17*'TR TE'!$N$49</f>
        <v>0</v>
      </c>
      <c r="O17" s="26">
        <f>'TR TE'!$O$17*'TR TE'!$O$49</f>
        <v>0</v>
      </c>
      <c r="P17" s="26">
        <f>'TR TE'!$P$17*'TR TE'!$P$49</f>
        <v>-23.339897791030985</v>
      </c>
      <c r="Q17" s="26">
        <f>SUM($L$17:$P$17)</f>
        <v>9.3089908193086046E-2</v>
      </c>
      <c r="R17" s="26">
        <f>'TR TE'!$R$17*'TR TE'!$R$49</f>
        <v>200.4833270130807</v>
      </c>
      <c r="S17" s="26">
        <f>SUM($R$17:$R$17)</f>
        <v>200.4833270130807</v>
      </c>
      <c r="T17" s="26">
        <f>'TR TE'!$T$17*'TR TE'!$T$49</f>
        <v>9.9962037891222799</v>
      </c>
      <c r="U17" s="26">
        <f>'TR TE'!$U$17*'TR TE'!$U$49</f>
        <v>6.8830158215822363</v>
      </c>
      <c r="V17" s="26">
        <f>'TR TE'!$V$17*'TR TE'!$V$49</f>
        <v>0</v>
      </c>
      <c r="W17" s="26">
        <f>SUM($T$17:$V$17)</f>
        <v>16.879219610704517</v>
      </c>
      <c r="X17" s="26"/>
      <c r="Y17" s="26">
        <f>SUM($X$17:$X$17)</f>
        <v>0</v>
      </c>
      <c r="Z17" s="26">
        <f>'TR TE'!$Z$17*'TR TE'!$Z$49</f>
        <v>5.2487753894988716</v>
      </c>
      <c r="AA17" s="26">
        <f>SUM($Z$17:$Z$17)</f>
        <v>5.2487753894988716</v>
      </c>
      <c r="AB17" s="26">
        <f>SUMIF($L$4:$AA$4,"SUBTOTAL",$L$17:$AA$17)</f>
        <v>222.70441192147717</v>
      </c>
    </row>
    <row r="18" spans="1:28" ht="11.25" customHeight="1" x14ac:dyDescent="0.25">
      <c r="A18" s="146"/>
      <c r="B18" s="146"/>
      <c r="C18" s="146"/>
      <c r="D18" s="28" t="s">
        <v>29</v>
      </c>
      <c r="E18" s="28" t="s">
        <v>25</v>
      </c>
      <c r="F18" s="28" t="s">
        <v>25</v>
      </c>
      <c r="G18" s="29" t="s">
        <v>79</v>
      </c>
      <c r="H18" s="29" t="s">
        <v>75</v>
      </c>
      <c r="I18" s="29">
        <f>'MERCADO TE'!$U$15</f>
        <v>0</v>
      </c>
      <c r="J18" s="15"/>
      <c r="L18" s="26">
        <f>'TR TE'!$L$18*'TR TE'!$L$49</f>
        <v>2.4354710992274331</v>
      </c>
      <c r="M18" s="26">
        <f>'TR TE'!$M$18*'TR TE'!$M$49</f>
        <v>20.997516599996636</v>
      </c>
      <c r="N18" s="26">
        <f>'TR TE'!$N$18*'TR TE'!$N$49</f>
        <v>0</v>
      </c>
      <c r="O18" s="26">
        <f>'TR TE'!$O$18*'TR TE'!$O$49</f>
        <v>0</v>
      </c>
      <c r="P18" s="26">
        <f>'TR TE'!$P$18*'TR TE'!$P$49</f>
        <v>-23.339897791030985</v>
      </c>
      <c r="Q18" s="26">
        <f>SUM($L$18:$P$18)</f>
        <v>9.3089908193086046E-2</v>
      </c>
      <c r="R18" s="26">
        <f>'TR TE'!$R$18*'TR TE'!$R$49</f>
        <v>200.4833270130807</v>
      </c>
      <c r="S18" s="26">
        <f>SUM($R$18:$R$18)</f>
        <v>200.4833270130807</v>
      </c>
      <c r="T18" s="26">
        <f>'TR TE'!$T$18*'TR TE'!$T$49</f>
        <v>9.9962037891222799</v>
      </c>
      <c r="U18" s="26">
        <f>'TR TE'!$U$18*'TR TE'!$U$49</f>
        <v>6.8830158215822363</v>
      </c>
      <c r="V18" s="26">
        <f>'TR TE'!$V$18*'TR TE'!$V$49</f>
        <v>0</v>
      </c>
      <c r="W18" s="26">
        <f>SUM($T$18:$V$18)</f>
        <v>16.879219610704517</v>
      </c>
      <c r="X18" s="26"/>
      <c r="Y18" s="26">
        <f>SUM($X$18:$X$18)</f>
        <v>0</v>
      </c>
      <c r="Z18" s="26">
        <f>'TR TE'!$Z$18*'TR TE'!$Z$49</f>
        <v>5.2487753894988716</v>
      </c>
      <c r="AA18" s="26">
        <f>SUM($Z$18:$Z$18)</f>
        <v>5.2487753894988716</v>
      </c>
      <c r="AB18" s="26">
        <f>SUMIF($L$4:$AA$4,"SUBTOTAL",$L$18:$AA$18)</f>
        <v>222.70441192147717</v>
      </c>
    </row>
    <row r="19" spans="1:28" ht="11.25" customHeight="1" x14ac:dyDescent="0.25">
      <c r="A19" s="146"/>
      <c r="B19" s="146"/>
      <c r="C19" s="146"/>
      <c r="D19" s="28" t="s">
        <v>30</v>
      </c>
      <c r="E19" s="28" t="s">
        <v>25</v>
      </c>
      <c r="F19" s="28" t="s">
        <v>25</v>
      </c>
      <c r="G19" s="29" t="s">
        <v>79</v>
      </c>
      <c r="H19" s="29" t="s">
        <v>75</v>
      </c>
      <c r="I19" s="29">
        <f>'MERCADO TE'!$U$16</f>
        <v>0</v>
      </c>
      <c r="J19" s="15"/>
      <c r="L19" s="26">
        <f>'TR TE'!$L$19*'TR TE'!$L$49</f>
        <v>2.4354710992274331</v>
      </c>
      <c r="M19" s="26">
        <f>'TR TE'!$M$19*'TR TE'!$M$49</f>
        <v>20.997516599996636</v>
      </c>
      <c r="N19" s="26">
        <f>'TR TE'!$N$19*'TR TE'!$N$49</f>
        <v>0</v>
      </c>
      <c r="O19" s="26">
        <f>'TR TE'!$O$19*'TR TE'!$O$49</f>
        <v>0</v>
      </c>
      <c r="P19" s="26">
        <f>'TR TE'!$P$19*'TR TE'!$P$49</f>
        <v>-23.339897791030985</v>
      </c>
      <c r="Q19" s="26">
        <f>SUM($L$19:$P$19)</f>
        <v>9.3089908193086046E-2</v>
      </c>
      <c r="R19" s="26">
        <f>'TR TE'!$R$19*'TR TE'!$R$49</f>
        <v>200.4833270130807</v>
      </c>
      <c r="S19" s="26">
        <f>SUM($R$19:$R$19)</f>
        <v>200.4833270130807</v>
      </c>
      <c r="T19" s="26">
        <f>'TR TE'!$T$19*'TR TE'!$T$49</f>
        <v>9.9962037891222799</v>
      </c>
      <c r="U19" s="26">
        <f>'TR TE'!$U$19*'TR TE'!$U$49</f>
        <v>6.8830158215822363</v>
      </c>
      <c r="V19" s="26">
        <f>'TR TE'!$V$19*'TR TE'!$V$49</f>
        <v>0</v>
      </c>
      <c r="W19" s="26">
        <f>SUM($T$19:$V$19)</f>
        <v>16.879219610704517</v>
      </c>
      <c r="X19" s="26"/>
      <c r="Y19" s="26">
        <f>SUM($X$19:$X$19)</f>
        <v>0</v>
      </c>
      <c r="Z19" s="26">
        <f>'TR TE'!$Z$19*'TR TE'!$Z$49</f>
        <v>5.2487753894988716</v>
      </c>
      <c r="AA19" s="26">
        <f>SUM($Z$19:$Z$19)</f>
        <v>5.2487753894988716</v>
      </c>
      <c r="AB19" s="26">
        <f>SUMIF($L$4:$AA$4,"SUBTOTAL",$L$19:$AA$19)</f>
        <v>222.70441192147717</v>
      </c>
    </row>
    <row r="20" spans="1:28" ht="11.25" customHeight="1" x14ac:dyDescent="0.25">
      <c r="A20" s="146"/>
      <c r="B20" s="146"/>
      <c r="C20" s="146"/>
      <c r="D20" s="28" t="s">
        <v>31</v>
      </c>
      <c r="E20" s="28" t="s">
        <v>25</v>
      </c>
      <c r="F20" s="28" t="s">
        <v>25</v>
      </c>
      <c r="G20" s="29" t="s">
        <v>79</v>
      </c>
      <c r="H20" s="29" t="s">
        <v>75</v>
      </c>
      <c r="I20" s="29">
        <f>'MERCADO TE'!$U$17</f>
        <v>0</v>
      </c>
      <c r="J20" s="15"/>
      <c r="L20" s="26">
        <f>'TR TE'!$L$20*'TR TE'!$L$49</f>
        <v>2.4354710992274331</v>
      </c>
      <c r="M20" s="26">
        <f>'TR TE'!$M$20*'TR TE'!$M$49</f>
        <v>20.997516599996636</v>
      </c>
      <c r="N20" s="26">
        <f>'TR TE'!$N$20*'TR TE'!$N$49</f>
        <v>0</v>
      </c>
      <c r="O20" s="26">
        <f>'TR TE'!$O$20*'TR TE'!$O$49</f>
        <v>0</v>
      </c>
      <c r="P20" s="26">
        <f>'TR TE'!$P$20*'TR TE'!$P$49</f>
        <v>-23.339897791030985</v>
      </c>
      <c r="Q20" s="26">
        <f>SUM($L$20:$P$20)</f>
        <v>9.3089908193086046E-2</v>
      </c>
      <c r="R20" s="26">
        <f>'TR TE'!$R$20*'TR TE'!$R$49</f>
        <v>200.4833270130807</v>
      </c>
      <c r="S20" s="26">
        <f>SUM($R$20:$R$20)</f>
        <v>200.4833270130807</v>
      </c>
      <c r="T20" s="26">
        <f>'TR TE'!$T$20*'TR TE'!$T$49</f>
        <v>9.9962037891222799</v>
      </c>
      <c r="U20" s="26">
        <f>'TR TE'!$U$20*'TR TE'!$U$49</f>
        <v>6.8830158215822363</v>
      </c>
      <c r="V20" s="26">
        <f>'TR TE'!$V$20*'TR TE'!$V$49</f>
        <v>0</v>
      </c>
      <c r="W20" s="26">
        <f>SUM($T$20:$V$20)</f>
        <v>16.879219610704517</v>
      </c>
      <c r="X20" s="26"/>
      <c r="Y20" s="26">
        <f>SUM($X$20:$X$20)</f>
        <v>0</v>
      </c>
      <c r="Z20" s="26">
        <f>'TR TE'!$Z$20*'TR TE'!$Z$49</f>
        <v>5.2487753894988716</v>
      </c>
      <c r="AA20" s="26">
        <f>SUM($Z$20:$Z$20)</f>
        <v>5.2487753894988716</v>
      </c>
      <c r="AB20" s="26">
        <f>SUMIF($L$4:$AA$4,"SUBTOTAL",$L$20:$AA$20)</f>
        <v>222.70441192147717</v>
      </c>
    </row>
    <row r="21" spans="1:28" ht="11.25" customHeight="1" x14ac:dyDescent="0.25">
      <c r="A21" s="146" t="s">
        <v>41</v>
      </c>
      <c r="B21" s="146" t="s">
        <v>74</v>
      </c>
      <c r="C21" s="146" t="s">
        <v>42</v>
      </c>
      <c r="D21" s="146" t="s">
        <v>25</v>
      </c>
      <c r="E21" s="146" t="s">
        <v>25</v>
      </c>
      <c r="F21" s="146" t="s">
        <v>25</v>
      </c>
      <c r="G21" s="29" t="s">
        <v>76</v>
      </c>
      <c r="H21" s="29" t="s">
        <v>75</v>
      </c>
      <c r="I21" s="29">
        <f>'MERCADO TE'!$U$18</f>
        <v>0</v>
      </c>
      <c r="J21" s="15"/>
      <c r="L21" s="26">
        <f>'TR TE'!$L$21*'TR TE'!$L$49</f>
        <v>2.4354710992274331</v>
      </c>
      <c r="M21" s="26">
        <f>'TR TE'!$M$21*'TR TE'!$M$49</f>
        <v>20.997516599996636</v>
      </c>
      <c r="N21" s="26">
        <f>'TR TE'!$N$21*'TR TE'!$N$49</f>
        <v>0</v>
      </c>
      <c r="O21" s="26">
        <f>'TR TE'!$O$21*'TR TE'!$O$49</f>
        <v>0</v>
      </c>
      <c r="P21" s="26">
        <f>'TR TE'!$P$21*'TR TE'!$P$49</f>
        <v>-23.339897791030985</v>
      </c>
      <c r="Q21" s="26">
        <f>SUM($L$21:$P$21)</f>
        <v>9.3089908193086046E-2</v>
      </c>
      <c r="R21" s="26">
        <f>'TR TE'!$R$21*'TR TE'!$R$49</f>
        <v>325.31256836084793</v>
      </c>
      <c r="S21" s="26">
        <f>SUM($R$21:$R$21)</f>
        <v>325.31256836084793</v>
      </c>
      <c r="T21" s="26">
        <f>'TR TE'!$T$21*'TR TE'!$T$49</f>
        <v>9.9962037891222799</v>
      </c>
      <c r="U21" s="26">
        <f>'TR TE'!$U$21*'TR TE'!$U$49</f>
        <v>6.8830158215822363</v>
      </c>
      <c r="V21" s="26">
        <f>'TR TE'!$V$21*'TR TE'!$V$49</f>
        <v>0</v>
      </c>
      <c r="W21" s="26">
        <f>SUM($T$21:$V$21)</f>
        <v>16.879219610704517</v>
      </c>
      <c r="X21" s="26"/>
      <c r="Y21" s="26">
        <f>SUM($X$21:$X$21)</f>
        <v>0</v>
      </c>
      <c r="Z21" s="26">
        <f>'TR TE'!$Z$21*'TR TE'!$Z$49</f>
        <v>5.2487753894988716</v>
      </c>
      <c r="AA21" s="26">
        <f>SUM($Z$21:$Z$21)</f>
        <v>5.2487753894988716</v>
      </c>
      <c r="AB21" s="26">
        <f>SUMIF($L$4:$AA$4,"SUBTOTAL",$L$21:$AA$21)</f>
        <v>347.53365326924438</v>
      </c>
    </row>
    <row r="22" spans="1:28" ht="11.25" customHeight="1" x14ac:dyDescent="0.25">
      <c r="A22" s="146"/>
      <c r="B22" s="146"/>
      <c r="C22" s="146"/>
      <c r="D22" s="146"/>
      <c r="E22" s="146"/>
      <c r="F22" s="146"/>
      <c r="G22" s="29" t="s">
        <v>88</v>
      </c>
      <c r="H22" s="29" t="s">
        <v>75</v>
      </c>
      <c r="I22" s="29">
        <f>'MERCADO TE'!$U$19</f>
        <v>0</v>
      </c>
      <c r="J22" s="15"/>
      <c r="L22" s="26">
        <f>'TR TE'!$L$22*'TR TE'!$L$49</f>
        <v>2.4354710992274331</v>
      </c>
      <c r="M22" s="26">
        <f>'TR TE'!$M$22*'TR TE'!$M$49</f>
        <v>20.997516599996636</v>
      </c>
      <c r="N22" s="26">
        <f>'TR TE'!$N$22*'TR TE'!$N$49</f>
        <v>0</v>
      </c>
      <c r="O22" s="26">
        <f>'TR TE'!$O$22*'TR TE'!$O$49</f>
        <v>0</v>
      </c>
      <c r="P22" s="26">
        <f>'TR TE'!$P$22*'TR TE'!$P$49</f>
        <v>-23.339897791030985</v>
      </c>
      <c r="Q22" s="26">
        <f>SUM($L$22:$P$22)</f>
        <v>9.3089908193086046E-2</v>
      </c>
      <c r="R22" s="26">
        <f>'TR TE'!$R$22*'TR TE'!$R$49</f>
        <v>189.13521416328368</v>
      </c>
      <c r="S22" s="26">
        <f>SUM($R$22:$R$22)</f>
        <v>189.13521416328368</v>
      </c>
      <c r="T22" s="26">
        <f>'TR TE'!$T$22*'TR TE'!$T$49</f>
        <v>9.9962037891222799</v>
      </c>
      <c r="U22" s="26">
        <f>'TR TE'!$U$22*'TR TE'!$U$49</f>
        <v>6.8830158215822363</v>
      </c>
      <c r="V22" s="26">
        <f>'TR TE'!$V$22*'TR TE'!$V$49</f>
        <v>0</v>
      </c>
      <c r="W22" s="26">
        <f>SUM($T$22:$V$22)</f>
        <v>16.879219610704517</v>
      </c>
      <c r="X22" s="26"/>
      <c r="Y22" s="26">
        <f>SUM($X$22:$X$22)</f>
        <v>0</v>
      </c>
      <c r="Z22" s="26">
        <f>'TR TE'!$Z$22*'TR TE'!$Z$49</f>
        <v>5.2487753894988716</v>
      </c>
      <c r="AA22" s="26">
        <f>SUM($Z$22:$Z$22)</f>
        <v>5.2487753894988716</v>
      </c>
      <c r="AB22" s="26">
        <f>SUMIF($L$4:$AA$4,"SUBTOTAL",$L$22:$AA$22)</f>
        <v>211.35629907168016</v>
      </c>
    </row>
    <row r="23" spans="1:28" ht="11.25" customHeight="1" x14ac:dyDescent="0.25">
      <c r="A23" s="146"/>
      <c r="B23" s="146"/>
      <c r="C23" s="146"/>
      <c r="D23" s="146"/>
      <c r="E23" s="146"/>
      <c r="F23" s="146"/>
      <c r="G23" s="29" t="s">
        <v>77</v>
      </c>
      <c r="H23" s="29" t="s">
        <v>75</v>
      </c>
      <c r="I23" s="29">
        <f>'MERCADO TE'!$U$20</f>
        <v>0</v>
      </c>
      <c r="J23" s="15"/>
      <c r="L23" s="26">
        <f>'TR TE'!$L$23*'TR TE'!$L$49</f>
        <v>2.4354710992274331</v>
      </c>
      <c r="M23" s="26">
        <f>'TR TE'!$M$23*'TR TE'!$M$49</f>
        <v>20.997516599996636</v>
      </c>
      <c r="N23" s="26">
        <f>'TR TE'!$N$23*'TR TE'!$N$49</f>
        <v>0</v>
      </c>
      <c r="O23" s="26">
        <f>'TR TE'!$O$23*'TR TE'!$O$49</f>
        <v>0</v>
      </c>
      <c r="P23" s="26">
        <f>'TR TE'!$P$23*'TR TE'!$P$49</f>
        <v>-23.339897791030985</v>
      </c>
      <c r="Q23" s="26">
        <f>SUM($L$23:$P$23)</f>
        <v>9.3089908193086046E-2</v>
      </c>
      <c r="R23" s="26">
        <f>'TR TE'!$R$23*'TR TE'!$R$49</f>
        <v>189.13521416328368</v>
      </c>
      <c r="S23" s="26">
        <f>SUM($R$23:$R$23)</f>
        <v>189.13521416328368</v>
      </c>
      <c r="T23" s="26">
        <f>'TR TE'!$T$23*'TR TE'!$T$49</f>
        <v>9.9962037891222799</v>
      </c>
      <c r="U23" s="26">
        <f>'TR TE'!$U$23*'TR TE'!$U$49</f>
        <v>6.8830158215822363</v>
      </c>
      <c r="V23" s="26">
        <f>'TR TE'!$V$23*'TR TE'!$V$49</f>
        <v>0</v>
      </c>
      <c r="W23" s="26">
        <f>SUM($T$23:$V$23)</f>
        <v>16.879219610704517</v>
      </c>
      <c r="X23" s="26"/>
      <c r="Y23" s="26">
        <f>SUM($X$23:$X$23)</f>
        <v>0</v>
      </c>
      <c r="Z23" s="26">
        <f>'TR TE'!$Z$23*'TR TE'!$Z$49</f>
        <v>5.2487753894988716</v>
      </c>
      <c r="AA23" s="26">
        <f>SUM($Z$23:$Z$23)</f>
        <v>5.2487753894988716</v>
      </c>
      <c r="AB23" s="26">
        <f>SUMIF($L$4:$AA$4,"SUBTOTAL",$L$23:$AA$23)</f>
        <v>211.35629907168016</v>
      </c>
    </row>
    <row r="24" spans="1:28" ht="11.25" customHeight="1" x14ac:dyDescent="0.25">
      <c r="A24" s="146"/>
      <c r="B24" s="28" t="s">
        <v>78</v>
      </c>
      <c r="C24" s="28" t="s">
        <v>42</v>
      </c>
      <c r="D24" s="28" t="s">
        <v>25</v>
      </c>
      <c r="E24" s="28" t="s">
        <v>25</v>
      </c>
      <c r="F24" s="28" t="s">
        <v>25</v>
      </c>
      <c r="G24" s="29" t="s">
        <v>79</v>
      </c>
      <c r="H24" s="29" t="s">
        <v>75</v>
      </c>
      <c r="I24" s="29">
        <f>'MERCADO TE'!$U$21</f>
        <v>3335.7969999999996</v>
      </c>
      <c r="J24" s="15"/>
      <c r="L24" s="26">
        <f>'TR TE'!$L$24*'TR TE'!$L$49</f>
        <v>2.4354710992274331</v>
      </c>
      <c r="M24" s="26">
        <f>'TR TE'!$M$24*'TR TE'!$M$49</f>
        <v>20.997516599996636</v>
      </c>
      <c r="N24" s="26">
        <f>'TR TE'!$N$24*'TR TE'!$N$49</f>
        <v>0</v>
      </c>
      <c r="O24" s="26">
        <f>'TR TE'!$O$24*'TR TE'!$O$49</f>
        <v>0</v>
      </c>
      <c r="P24" s="26">
        <f>'TR TE'!$P$24*'TR TE'!$P$49</f>
        <v>-23.339897791030985</v>
      </c>
      <c r="Q24" s="26">
        <f>SUM($L$24:$P$24)</f>
        <v>9.3089908193086046E-2</v>
      </c>
      <c r="R24" s="26">
        <f>'TR TE'!$R$24*'TR TE'!$R$49</f>
        <v>200.4833270130807</v>
      </c>
      <c r="S24" s="26">
        <f>SUM($R$24:$R$24)</f>
        <v>200.4833270130807</v>
      </c>
      <c r="T24" s="26">
        <f>'TR TE'!$T$24*'TR TE'!$T$49</f>
        <v>9.9962037891222799</v>
      </c>
      <c r="U24" s="26">
        <f>'TR TE'!$U$24*'TR TE'!$U$49</f>
        <v>6.8830158215822363</v>
      </c>
      <c r="V24" s="26">
        <f>'TR TE'!$V$24*'TR TE'!$V$49</f>
        <v>0</v>
      </c>
      <c r="W24" s="26">
        <f>SUM($T$24:$V$24)</f>
        <v>16.879219610704517</v>
      </c>
      <c r="X24" s="26"/>
      <c r="Y24" s="26">
        <f>SUM($X$24:$X$24)</f>
        <v>0</v>
      </c>
      <c r="Z24" s="26">
        <f>'TR TE'!$Z$24*'TR TE'!$Z$49</f>
        <v>5.2487753894988716</v>
      </c>
      <c r="AA24" s="26">
        <f>SUM($Z$24:$Z$24)</f>
        <v>5.2487753894988716</v>
      </c>
      <c r="AB24" s="26">
        <f>SUMIF($L$4:$AA$4,"SUBTOTAL",$L$24:$AA$24)</f>
        <v>222.70441192147717</v>
      </c>
    </row>
    <row r="25" spans="1:28" ht="11.25" customHeight="1" x14ac:dyDescent="0.25">
      <c r="A25" s="146"/>
      <c r="B25" s="146" t="s">
        <v>74</v>
      </c>
      <c r="C25" s="146" t="s">
        <v>42</v>
      </c>
      <c r="D25" s="146" t="s">
        <v>91</v>
      </c>
      <c r="E25" s="146" t="s">
        <v>25</v>
      </c>
      <c r="F25" s="146" t="s">
        <v>25</v>
      </c>
      <c r="G25" s="29" t="s">
        <v>76</v>
      </c>
      <c r="H25" s="29" t="s">
        <v>75</v>
      </c>
      <c r="I25" s="29">
        <f>'MERCADO TE'!$U$22</f>
        <v>0</v>
      </c>
      <c r="J25" s="15"/>
      <c r="L25" s="26">
        <f>'TR TE'!$L$25*'TR TE'!$L$49</f>
        <v>2.4354710992274331</v>
      </c>
      <c r="M25" s="26">
        <f>'TR TE'!$M$25*'TR TE'!$M$49</f>
        <v>20.997516599996636</v>
      </c>
      <c r="N25" s="26">
        <f>'TR TE'!$N$25*'TR TE'!$N$49</f>
        <v>0</v>
      </c>
      <c r="O25" s="26">
        <f>'TR TE'!$O$25*'TR TE'!$O$49</f>
        <v>0</v>
      </c>
      <c r="P25" s="26">
        <f>'TR TE'!$P$25*'TR TE'!$P$49</f>
        <v>-23.339897791030985</v>
      </c>
      <c r="Q25" s="26">
        <f>SUM($L$25:$P$25)</f>
        <v>9.3089908193086046E-2</v>
      </c>
      <c r="R25" s="26">
        <f>'TR TE'!$R$25*'TR TE'!$R$49</f>
        <v>325.31256836084793</v>
      </c>
      <c r="S25" s="26">
        <f>SUM($R$25:$R$25)</f>
        <v>325.31256836084793</v>
      </c>
      <c r="T25" s="26">
        <f>'TR TE'!$T$25*'TR TE'!$T$49</f>
        <v>9.9962037891222799</v>
      </c>
      <c r="U25" s="26">
        <f>'TR TE'!$U$25*'TR TE'!$U$49</f>
        <v>6.8830158215822363</v>
      </c>
      <c r="V25" s="26">
        <f>'TR TE'!$V$25*'TR TE'!$V$49</f>
        <v>0</v>
      </c>
      <c r="W25" s="26">
        <f>SUM($T$25:$V$25)</f>
        <v>16.879219610704517</v>
      </c>
      <c r="X25" s="26"/>
      <c r="Y25" s="26">
        <f>SUM($X$25:$X$25)</f>
        <v>0</v>
      </c>
      <c r="Z25" s="26">
        <f>'TR TE'!$Z$25*'TR TE'!$Z$49</f>
        <v>5.2487753894988716</v>
      </c>
      <c r="AA25" s="26">
        <f>SUM($Z$25:$Z$25)</f>
        <v>5.2487753894988716</v>
      </c>
      <c r="AB25" s="26">
        <f>SUMIF($L$4:$AA$4,"SUBTOTAL",$L$25:$AA$25)</f>
        <v>347.53365326924438</v>
      </c>
    </row>
    <row r="26" spans="1:28" ht="11.25" customHeight="1" x14ac:dyDescent="0.25">
      <c r="A26" s="146"/>
      <c r="B26" s="146"/>
      <c r="C26" s="146"/>
      <c r="D26" s="146"/>
      <c r="E26" s="146"/>
      <c r="F26" s="146"/>
      <c r="G26" s="29" t="s">
        <v>88</v>
      </c>
      <c r="H26" s="29" t="s">
        <v>75</v>
      </c>
      <c r="I26" s="29">
        <f>'MERCADO TE'!$U$23</f>
        <v>0</v>
      </c>
      <c r="J26" s="15"/>
      <c r="L26" s="26">
        <f>'TR TE'!$L$26*'TR TE'!$L$49</f>
        <v>2.4354710992274331</v>
      </c>
      <c r="M26" s="26">
        <f>'TR TE'!$M$26*'TR TE'!$M$49</f>
        <v>20.997516599996636</v>
      </c>
      <c r="N26" s="26">
        <f>'TR TE'!$N$26*'TR TE'!$N$49</f>
        <v>0</v>
      </c>
      <c r="O26" s="26">
        <f>'TR TE'!$O$26*'TR TE'!$O$49</f>
        <v>0</v>
      </c>
      <c r="P26" s="26">
        <f>'TR TE'!$P$26*'TR TE'!$P$49</f>
        <v>-23.339897791030985</v>
      </c>
      <c r="Q26" s="26">
        <f>SUM($L$26:$P$26)</f>
        <v>9.3089908193086046E-2</v>
      </c>
      <c r="R26" s="26">
        <f>'TR TE'!$R$26*'TR TE'!$R$49</f>
        <v>189.13521416328368</v>
      </c>
      <c r="S26" s="26">
        <f>SUM($R$26:$R$26)</f>
        <v>189.13521416328368</v>
      </c>
      <c r="T26" s="26">
        <f>'TR TE'!$T$26*'TR TE'!$T$49</f>
        <v>9.9962037891222799</v>
      </c>
      <c r="U26" s="26">
        <f>'TR TE'!$U$26*'TR TE'!$U$49</f>
        <v>6.8830158215822363</v>
      </c>
      <c r="V26" s="26">
        <f>'TR TE'!$V$26*'TR TE'!$V$49</f>
        <v>0</v>
      </c>
      <c r="W26" s="26">
        <f>SUM($T$26:$V$26)</f>
        <v>16.879219610704517</v>
      </c>
      <c r="X26" s="26"/>
      <c r="Y26" s="26">
        <f>SUM($X$26:$X$26)</f>
        <v>0</v>
      </c>
      <c r="Z26" s="26">
        <f>'TR TE'!$Z$26*'TR TE'!$Z$49</f>
        <v>5.2487753894988716</v>
      </c>
      <c r="AA26" s="26">
        <f>SUM($Z$26:$Z$26)</f>
        <v>5.2487753894988716</v>
      </c>
      <c r="AB26" s="26">
        <f>SUMIF($L$4:$AA$4,"SUBTOTAL",$L$26:$AA$26)</f>
        <v>211.35629907168016</v>
      </c>
    </row>
    <row r="27" spans="1:28" ht="11.25" customHeight="1" x14ac:dyDescent="0.25">
      <c r="A27" s="146"/>
      <c r="B27" s="146"/>
      <c r="C27" s="146"/>
      <c r="D27" s="146"/>
      <c r="E27" s="146"/>
      <c r="F27" s="146"/>
      <c r="G27" s="29" t="s">
        <v>77</v>
      </c>
      <c r="H27" s="29" t="s">
        <v>75</v>
      </c>
      <c r="I27" s="29">
        <f>'MERCADO TE'!$U$24</f>
        <v>0</v>
      </c>
      <c r="J27" s="15"/>
      <c r="L27" s="26">
        <f>'TR TE'!$L$27*'TR TE'!$L$49</f>
        <v>2.4354710992274331</v>
      </c>
      <c r="M27" s="26">
        <f>'TR TE'!$M$27*'TR TE'!$M$49</f>
        <v>20.997516599996636</v>
      </c>
      <c r="N27" s="26">
        <f>'TR TE'!$N$27*'TR TE'!$N$49</f>
        <v>0</v>
      </c>
      <c r="O27" s="26">
        <f>'TR TE'!$O$27*'TR TE'!$O$49</f>
        <v>0</v>
      </c>
      <c r="P27" s="26">
        <f>'TR TE'!$P$27*'TR TE'!$P$49</f>
        <v>-23.339897791030985</v>
      </c>
      <c r="Q27" s="26">
        <f>SUM($L$27:$P$27)</f>
        <v>9.3089908193086046E-2</v>
      </c>
      <c r="R27" s="26">
        <f>'TR TE'!$R$27*'TR TE'!$R$49</f>
        <v>189.13521416328368</v>
      </c>
      <c r="S27" s="26">
        <f>SUM($R$27:$R$27)</f>
        <v>189.13521416328368</v>
      </c>
      <c r="T27" s="26">
        <f>'TR TE'!$T$27*'TR TE'!$T$49</f>
        <v>9.9962037891222799</v>
      </c>
      <c r="U27" s="26">
        <f>'TR TE'!$U$27*'TR TE'!$U$49</f>
        <v>6.8830158215822363</v>
      </c>
      <c r="V27" s="26">
        <f>'TR TE'!$V$27*'TR TE'!$V$49</f>
        <v>0</v>
      </c>
      <c r="W27" s="26">
        <f>SUM($T$27:$V$27)</f>
        <v>16.879219610704517</v>
      </c>
      <c r="X27" s="26"/>
      <c r="Y27" s="26">
        <f>SUM($X$27:$X$27)</f>
        <v>0</v>
      </c>
      <c r="Z27" s="26">
        <f>'TR TE'!$Z$27*'TR TE'!$Z$49</f>
        <v>5.2487753894988716</v>
      </c>
      <c r="AA27" s="26">
        <f>SUM($Z$27:$Z$27)</f>
        <v>5.2487753894988716</v>
      </c>
      <c r="AB27" s="26">
        <f>SUMIF($L$4:$AA$4,"SUBTOTAL",$L$27:$AA$27)</f>
        <v>211.35629907168016</v>
      </c>
    </row>
    <row r="28" spans="1:28" ht="11.25" customHeight="1" x14ac:dyDescent="0.25">
      <c r="A28" s="146"/>
      <c r="B28" s="28" t="s">
        <v>78</v>
      </c>
      <c r="C28" s="28" t="s">
        <v>42</v>
      </c>
      <c r="D28" s="28" t="s">
        <v>91</v>
      </c>
      <c r="E28" s="28" t="s">
        <v>25</v>
      </c>
      <c r="F28" s="28" t="s">
        <v>25</v>
      </c>
      <c r="G28" s="29" t="s">
        <v>79</v>
      </c>
      <c r="H28" s="29" t="s">
        <v>75</v>
      </c>
      <c r="I28" s="29">
        <f>'MERCADO TE'!$U$25</f>
        <v>0</v>
      </c>
      <c r="J28" s="15"/>
      <c r="L28" s="26">
        <f>'TR TE'!$L$28*'TR TE'!$L$49</f>
        <v>2.4354710992274331</v>
      </c>
      <c r="M28" s="26">
        <f>'TR TE'!$M$28*'TR TE'!$M$49</f>
        <v>20.997516599996636</v>
      </c>
      <c r="N28" s="26">
        <f>'TR TE'!$N$28*'TR TE'!$N$49</f>
        <v>0</v>
      </c>
      <c r="O28" s="26">
        <f>'TR TE'!$O$28*'TR TE'!$O$49</f>
        <v>0</v>
      </c>
      <c r="P28" s="26">
        <f>'TR TE'!$P$28*'TR TE'!$P$49</f>
        <v>-23.339897791030985</v>
      </c>
      <c r="Q28" s="26">
        <f>SUM($L$28:$P$28)</f>
        <v>9.3089908193086046E-2</v>
      </c>
      <c r="R28" s="26">
        <f>'TR TE'!$R$28*'TR TE'!$R$49</f>
        <v>200.4833270130807</v>
      </c>
      <c r="S28" s="26">
        <f>SUM($R$28:$R$28)</f>
        <v>200.4833270130807</v>
      </c>
      <c r="T28" s="26">
        <f>'TR TE'!$T$28*'TR TE'!$T$49</f>
        <v>9.9962037891222799</v>
      </c>
      <c r="U28" s="26">
        <f>'TR TE'!$U$28*'TR TE'!$U$49</f>
        <v>6.8830158215822363</v>
      </c>
      <c r="V28" s="26">
        <f>'TR TE'!$V$28*'TR TE'!$V$49</f>
        <v>0</v>
      </c>
      <c r="W28" s="26">
        <f>SUM($T$28:$V$28)</f>
        <v>16.879219610704517</v>
      </c>
      <c r="X28" s="26"/>
      <c r="Y28" s="26">
        <f>SUM($X$28:$X$28)</f>
        <v>0</v>
      </c>
      <c r="Z28" s="26">
        <f>'TR TE'!$Z$28*'TR TE'!$Z$49</f>
        <v>5.2487753894988716</v>
      </c>
      <c r="AA28" s="26">
        <f>SUM($Z$28:$Z$28)</f>
        <v>5.2487753894988716</v>
      </c>
      <c r="AB28" s="26">
        <f>SUMIF($L$4:$AA$4,"SUBTOTAL",$L$28:$AA$28)</f>
        <v>222.70441192147717</v>
      </c>
    </row>
    <row r="29" spans="1:28" ht="11.25" customHeight="1" x14ac:dyDescent="0.25">
      <c r="A29" s="146"/>
      <c r="B29" s="146" t="s">
        <v>74</v>
      </c>
      <c r="C29" s="146" t="s">
        <v>42</v>
      </c>
      <c r="D29" s="146" t="s">
        <v>92</v>
      </c>
      <c r="E29" s="146" t="s">
        <v>25</v>
      </c>
      <c r="F29" s="146" t="s">
        <v>25</v>
      </c>
      <c r="G29" s="29" t="s">
        <v>76</v>
      </c>
      <c r="H29" s="29" t="s">
        <v>75</v>
      </c>
      <c r="I29" s="29">
        <f>'MERCADO TE'!$U$26</f>
        <v>0</v>
      </c>
      <c r="J29" s="15"/>
      <c r="L29" s="26">
        <f>'TR TE'!$L$29*'TR TE'!$L$49</f>
        <v>2.4354710992274331</v>
      </c>
      <c r="M29" s="26">
        <f>'TR TE'!$M$29*'TR TE'!$M$49</f>
        <v>20.997516599996636</v>
      </c>
      <c r="N29" s="26">
        <f>'TR TE'!$N$29*'TR TE'!$N$49</f>
        <v>0</v>
      </c>
      <c r="O29" s="26">
        <f>'TR TE'!$O$29*'TR TE'!$O$49</f>
        <v>0</v>
      </c>
      <c r="P29" s="26">
        <f>'TR TE'!$P$29*'TR TE'!$P$49</f>
        <v>-23.339897791030985</v>
      </c>
      <c r="Q29" s="26">
        <f>SUM($L$29:$P$29)</f>
        <v>9.3089908193086046E-2</v>
      </c>
      <c r="R29" s="26">
        <f>'TR TE'!$R$29*'TR TE'!$R$49</f>
        <v>325.31256836084793</v>
      </c>
      <c r="S29" s="26">
        <f>SUM($R$29:$R$29)</f>
        <v>325.31256836084793</v>
      </c>
      <c r="T29" s="26">
        <f>'TR TE'!$T$29*'TR TE'!$T$49</f>
        <v>9.9962037891222799</v>
      </c>
      <c r="U29" s="26">
        <f>'TR TE'!$U$29*'TR TE'!$U$49</f>
        <v>6.8830158215822363</v>
      </c>
      <c r="V29" s="26">
        <f>'TR TE'!$V$29*'TR TE'!$V$49</f>
        <v>0</v>
      </c>
      <c r="W29" s="26">
        <f>SUM($T$29:$V$29)</f>
        <v>16.879219610704517</v>
      </c>
      <c r="X29" s="26"/>
      <c r="Y29" s="26">
        <f>SUM($X$29:$X$29)</f>
        <v>0</v>
      </c>
      <c r="Z29" s="26">
        <f>'TR TE'!$Z$29*'TR TE'!$Z$49</f>
        <v>5.2487753894988716</v>
      </c>
      <c r="AA29" s="26">
        <f>SUM($Z$29:$Z$29)</f>
        <v>5.2487753894988716</v>
      </c>
      <c r="AB29" s="26">
        <f>SUMIF($L$4:$AA$4,"SUBTOTAL",$L$29:$AA$29)</f>
        <v>347.53365326924438</v>
      </c>
    </row>
    <row r="30" spans="1:28" ht="11.25" customHeight="1" x14ac:dyDescent="0.25">
      <c r="A30" s="146"/>
      <c r="B30" s="146"/>
      <c r="C30" s="146"/>
      <c r="D30" s="146"/>
      <c r="E30" s="146"/>
      <c r="F30" s="146"/>
      <c r="G30" s="29" t="s">
        <v>88</v>
      </c>
      <c r="H30" s="29" t="s">
        <v>75</v>
      </c>
      <c r="I30" s="29">
        <f>'MERCADO TE'!$U$27</f>
        <v>0</v>
      </c>
      <c r="J30" s="15"/>
      <c r="L30" s="26">
        <f>'TR TE'!$L$30*'TR TE'!$L$49</f>
        <v>2.4354710992274331</v>
      </c>
      <c r="M30" s="26">
        <f>'TR TE'!$M$30*'TR TE'!$M$49</f>
        <v>20.997516599996636</v>
      </c>
      <c r="N30" s="26">
        <f>'TR TE'!$N$30*'TR TE'!$N$49</f>
        <v>0</v>
      </c>
      <c r="O30" s="26">
        <f>'TR TE'!$O$30*'TR TE'!$O$49</f>
        <v>0</v>
      </c>
      <c r="P30" s="26">
        <f>'TR TE'!$P$30*'TR TE'!$P$49</f>
        <v>-23.339897791030985</v>
      </c>
      <c r="Q30" s="26">
        <f>SUM($L$30:$P$30)</f>
        <v>9.3089908193086046E-2</v>
      </c>
      <c r="R30" s="26">
        <f>'TR TE'!$R$30*'TR TE'!$R$49</f>
        <v>189.13521416328368</v>
      </c>
      <c r="S30" s="26">
        <f>SUM($R$30:$R$30)</f>
        <v>189.13521416328368</v>
      </c>
      <c r="T30" s="26">
        <f>'TR TE'!$T$30*'TR TE'!$T$49</f>
        <v>9.9962037891222799</v>
      </c>
      <c r="U30" s="26">
        <f>'TR TE'!$U$30*'TR TE'!$U$49</f>
        <v>6.8830158215822363</v>
      </c>
      <c r="V30" s="26">
        <f>'TR TE'!$V$30*'TR TE'!$V$49</f>
        <v>0</v>
      </c>
      <c r="W30" s="26">
        <f>SUM($T$30:$V$30)</f>
        <v>16.879219610704517</v>
      </c>
      <c r="X30" s="26"/>
      <c r="Y30" s="26">
        <f>SUM($X$30:$X$30)</f>
        <v>0</v>
      </c>
      <c r="Z30" s="26">
        <f>'TR TE'!$Z$30*'TR TE'!$Z$49</f>
        <v>5.2487753894988716</v>
      </c>
      <c r="AA30" s="26">
        <f>SUM($Z$30:$Z$30)</f>
        <v>5.2487753894988716</v>
      </c>
      <c r="AB30" s="26">
        <f>SUMIF($L$4:$AA$4,"SUBTOTAL",$L$30:$AA$30)</f>
        <v>211.35629907168016</v>
      </c>
    </row>
    <row r="31" spans="1:28" ht="11.25" customHeight="1" x14ac:dyDescent="0.25">
      <c r="A31" s="146"/>
      <c r="B31" s="146"/>
      <c r="C31" s="146"/>
      <c r="D31" s="146"/>
      <c r="E31" s="146"/>
      <c r="F31" s="146"/>
      <c r="G31" s="29" t="s">
        <v>77</v>
      </c>
      <c r="H31" s="29" t="s">
        <v>75</v>
      </c>
      <c r="I31" s="29">
        <f>'MERCADO TE'!$U$28</f>
        <v>0</v>
      </c>
      <c r="J31" s="15"/>
      <c r="L31" s="26">
        <f>'TR TE'!$L$31*'TR TE'!$L$49</f>
        <v>2.4354710992274331</v>
      </c>
      <c r="M31" s="26">
        <f>'TR TE'!$M$31*'TR TE'!$M$49</f>
        <v>20.997516599996636</v>
      </c>
      <c r="N31" s="26">
        <f>'TR TE'!$N$31*'TR TE'!$N$49</f>
        <v>0</v>
      </c>
      <c r="O31" s="26">
        <f>'TR TE'!$O$31*'TR TE'!$O$49</f>
        <v>0</v>
      </c>
      <c r="P31" s="26">
        <f>'TR TE'!$P$31*'TR TE'!$P$49</f>
        <v>-23.339897791030985</v>
      </c>
      <c r="Q31" s="26">
        <f>SUM($L$31:$P$31)</f>
        <v>9.3089908193086046E-2</v>
      </c>
      <c r="R31" s="26">
        <f>'TR TE'!$R$31*'TR TE'!$R$49</f>
        <v>189.13521416328368</v>
      </c>
      <c r="S31" s="26">
        <f>SUM($R$31:$R$31)</f>
        <v>189.13521416328368</v>
      </c>
      <c r="T31" s="26">
        <f>'TR TE'!$T$31*'TR TE'!$T$49</f>
        <v>9.9962037891222799</v>
      </c>
      <c r="U31" s="26">
        <f>'TR TE'!$U$31*'TR TE'!$U$49</f>
        <v>6.8830158215822363</v>
      </c>
      <c r="V31" s="26">
        <f>'TR TE'!$V$31*'TR TE'!$V$49</f>
        <v>0</v>
      </c>
      <c r="W31" s="26">
        <f>SUM($T$31:$V$31)</f>
        <v>16.879219610704517</v>
      </c>
      <c r="X31" s="26"/>
      <c r="Y31" s="26">
        <f>SUM($X$31:$X$31)</f>
        <v>0</v>
      </c>
      <c r="Z31" s="26">
        <f>'TR TE'!$Z$31*'TR TE'!$Z$49</f>
        <v>5.2487753894988716</v>
      </c>
      <c r="AA31" s="26">
        <f>SUM($Z$31:$Z$31)</f>
        <v>5.2487753894988716</v>
      </c>
      <c r="AB31" s="26">
        <f>SUMIF($L$4:$AA$4,"SUBTOTAL",$L$31:$AA$31)</f>
        <v>211.35629907168016</v>
      </c>
    </row>
    <row r="32" spans="1:28" ht="11.25" customHeight="1" x14ac:dyDescent="0.25">
      <c r="A32" s="146"/>
      <c r="B32" s="28" t="s">
        <v>78</v>
      </c>
      <c r="C32" s="28" t="s">
        <v>42</v>
      </c>
      <c r="D32" s="28" t="s">
        <v>92</v>
      </c>
      <c r="E32" s="28" t="s">
        <v>25</v>
      </c>
      <c r="F32" s="28" t="s">
        <v>25</v>
      </c>
      <c r="G32" s="29" t="s">
        <v>79</v>
      </c>
      <c r="H32" s="29" t="s">
        <v>75</v>
      </c>
      <c r="I32" s="29">
        <f>'MERCADO TE'!$U$29</f>
        <v>0</v>
      </c>
      <c r="J32" s="15"/>
      <c r="L32" s="26">
        <f>'TR TE'!$L$32*'TR TE'!$L$49</f>
        <v>2.4354710992274331</v>
      </c>
      <c r="M32" s="26">
        <f>'TR TE'!$M$32*'TR TE'!$M$49</f>
        <v>20.997516599996636</v>
      </c>
      <c r="N32" s="26">
        <f>'TR TE'!$N$32*'TR TE'!$N$49</f>
        <v>0</v>
      </c>
      <c r="O32" s="26">
        <f>'TR TE'!$O$32*'TR TE'!$O$49</f>
        <v>0</v>
      </c>
      <c r="P32" s="26">
        <f>'TR TE'!$P$32*'TR TE'!$P$49</f>
        <v>-23.339897791030985</v>
      </c>
      <c r="Q32" s="26">
        <f>SUM($L$32:$P$32)</f>
        <v>9.3089908193086046E-2</v>
      </c>
      <c r="R32" s="26">
        <f>'TR TE'!$R$32*'TR TE'!$R$49</f>
        <v>200.4833270130807</v>
      </c>
      <c r="S32" s="26">
        <f>SUM($R$32:$R$32)</f>
        <v>200.4833270130807</v>
      </c>
      <c r="T32" s="26">
        <f>'TR TE'!$T$32*'TR TE'!$T$49</f>
        <v>9.9962037891222799</v>
      </c>
      <c r="U32" s="26">
        <f>'TR TE'!$U$32*'TR TE'!$U$49</f>
        <v>6.8830158215822363</v>
      </c>
      <c r="V32" s="26">
        <f>'TR TE'!$V$32*'TR TE'!$V$49</f>
        <v>0</v>
      </c>
      <c r="W32" s="26">
        <f>SUM($T$32:$V$32)</f>
        <v>16.879219610704517</v>
      </c>
      <c r="X32" s="26"/>
      <c r="Y32" s="26">
        <f>SUM($X$32:$X$32)</f>
        <v>0</v>
      </c>
      <c r="Z32" s="26">
        <f>'TR TE'!$Z$32*'TR TE'!$Z$49</f>
        <v>5.2487753894988716</v>
      </c>
      <c r="AA32" s="26">
        <f>SUM($Z$32:$Z$32)</f>
        <v>5.2487753894988716</v>
      </c>
      <c r="AB32" s="26">
        <f>SUMIF($L$4:$AA$4,"SUBTOTAL",$L$32:$AA$32)</f>
        <v>222.70441192147717</v>
      </c>
    </row>
    <row r="33" spans="1:28" ht="11.25" customHeight="1" x14ac:dyDescent="0.25">
      <c r="A33" s="146"/>
      <c r="B33" s="146" t="s">
        <v>89</v>
      </c>
      <c r="C33" s="146" t="s">
        <v>42</v>
      </c>
      <c r="D33" s="28" t="s">
        <v>25</v>
      </c>
      <c r="E33" s="28" t="s">
        <v>25</v>
      </c>
      <c r="F33" s="28" t="s">
        <v>25</v>
      </c>
      <c r="G33" s="29" t="s">
        <v>79</v>
      </c>
      <c r="H33" s="29" t="s">
        <v>75</v>
      </c>
      <c r="I33" s="29">
        <f>'MERCADO TE'!$U$30</f>
        <v>0</v>
      </c>
      <c r="J33" s="15"/>
      <c r="L33" s="26">
        <f>'TR TE'!$L$33*'TR TE'!$L$49</f>
        <v>2.4354710992274331</v>
      </c>
      <c r="M33" s="26">
        <f>'TR TE'!$M$33*'TR TE'!$M$49</f>
        <v>20.997516599996636</v>
      </c>
      <c r="N33" s="26">
        <f>'TR TE'!$N$33*'TR TE'!$N$49</f>
        <v>0</v>
      </c>
      <c r="O33" s="26">
        <f>'TR TE'!$O$33*'TR TE'!$O$49</f>
        <v>0</v>
      </c>
      <c r="P33" s="26">
        <f>'TR TE'!$P$33*'TR TE'!$P$49</f>
        <v>-23.339897791030985</v>
      </c>
      <c r="Q33" s="26">
        <f>SUM($L$33:$P$33)</f>
        <v>9.3089908193086046E-2</v>
      </c>
      <c r="R33" s="26">
        <f>'TR TE'!$R$33*'TR TE'!$R$49</f>
        <v>200.4833270130807</v>
      </c>
      <c r="S33" s="26">
        <f>SUM($R$33:$R$33)</f>
        <v>200.4833270130807</v>
      </c>
      <c r="T33" s="26">
        <f>'TR TE'!$T$33*'TR TE'!$T$49</f>
        <v>9.9962037891222799</v>
      </c>
      <c r="U33" s="26">
        <f>'TR TE'!$U$33*'TR TE'!$U$49</f>
        <v>6.8830158215822363</v>
      </c>
      <c r="V33" s="26">
        <f>'TR TE'!$V$33*'TR TE'!$V$49</f>
        <v>0</v>
      </c>
      <c r="W33" s="26">
        <f>SUM($T$33:$V$33)</f>
        <v>16.879219610704517</v>
      </c>
      <c r="X33" s="26"/>
      <c r="Y33" s="26">
        <f>SUM($X$33:$X$33)</f>
        <v>0</v>
      </c>
      <c r="Z33" s="26">
        <f>'TR TE'!$Z$33*'TR TE'!$Z$49</f>
        <v>5.2487753894988716</v>
      </c>
      <c r="AA33" s="26">
        <f>SUM($Z$33:$Z$33)</f>
        <v>5.2487753894988716</v>
      </c>
      <c r="AB33" s="26">
        <f>SUMIF($L$4:$AA$4,"SUBTOTAL",$L$33:$AA$33)</f>
        <v>222.70441192147717</v>
      </c>
    </row>
    <row r="34" spans="1:28" ht="11.25" customHeight="1" x14ac:dyDescent="0.25">
      <c r="A34" s="146"/>
      <c r="B34" s="146"/>
      <c r="C34" s="146"/>
      <c r="D34" s="28" t="s">
        <v>91</v>
      </c>
      <c r="E34" s="28" t="s">
        <v>25</v>
      </c>
      <c r="F34" s="28" t="s">
        <v>25</v>
      </c>
      <c r="G34" s="29" t="s">
        <v>79</v>
      </c>
      <c r="H34" s="29" t="s">
        <v>75</v>
      </c>
      <c r="I34" s="29">
        <f>'MERCADO TE'!$U$31</f>
        <v>0</v>
      </c>
      <c r="J34" s="15"/>
      <c r="L34" s="26">
        <f>'TR TE'!$L$34*'TR TE'!$L$49</f>
        <v>2.4354710992274331</v>
      </c>
      <c r="M34" s="26">
        <f>'TR TE'!$M$34*'TR TE'!$M$49</f>
        <v>20.997516599996636</v>
      </c>
      <c r="N34" s="26">
        <f>'TR TE'!$N$34*'TR TE'!$N$49</f>
        <v>0</v>
      </c>
      <c r="O34" s="26">
        <f>'TR TE'!$O$34*'TR TE'!$O$49</f>
        <v>0</v>
      </c>
      <c r="P34" s="26">
        <f>'TR TE'!$P$34*'TR TE'!$P$49</f>
        <v>-23.339897791030985</v>
      </c>
      <c r="Q34" s="26">
        <f>SUM($L$34:$P$34)</f>
        <v>9.3089908193086046E-2</v>
      </c>
      <c r="R34" s="26">
        <f>'TR TE'!$R$34*'TR TE'!$R$49</f>
        <v>200.4833270130807</v>
      </c>
      <c r="S34" s="26">
        <f>SUM($R$34:$R$34)</f>
        <v>200.4833270130807</v>
      </c>
      <c r="T34" s="26">
        <f>'TR TE'!$T$34*'TR TE'!$T$49</f>
        <v>9.9962037891222799</v>
      </c>
      <c r="U34" s="26">
        <f>'TR TE'!$U$34*'TR TE'!$U$49</f>
        <v>6.8830158215822363</v>
      </c>
      <c r="V34" s="26">
        <f>'TR TE'!$V$34*'TR TE'!$V$49</f>
        <v>0</v>
      </c>
      <c r="W34" s="26">
        <f>SUM($T$34:$V$34)</f>
        <v>16.879219610704517</v>
      </c>
      <c r="X34" s="26"/>
      <c r="Y34" s="26">
        <f>SUM($X$34:$X$34)</f>
        <v>0</v>
      </c>
      <c r="Z34" s="26">
        <f>'TR TE'!$Z$34*'TR TE'!$Z$49</f>
        <v>5.2487753894988716</v>
      </c>
      <c r="AA34" s="26">
        <f>SUM($Z$34:$Z$34)</f>
        <v>5.2487753894988716</v>
      </c>
      <c r="AB34" s="26">
        <f>SUMIF($L$4:$AA$4,"SUBTOTAL",$L$34:$AA$34)</f>
        <v>222.70441192147717</v>
      </c>
    </row>
    <row r="35" spans="1:28" ht="11.25" customHeight="1" x14ac:dyDescent="0.25">
      <c r="A35" s="146"/>
      <c r="B35" s="146"/>
      <c r="C35" s="146"/>
      <c r="D35" s="28" t="s">
        <v>92</v>
      </c>
      <c r="E35" s="28" t="s">
        <v>25</v>
      </c>
      <c r="F35" s="28" t="s">
        <v>25</v>
      </c>
      <c r="G35" s="29" t="s">
        <v>79</v>
      </c>
      <c r="H35" s="29" t="s">
        <v>75</v>
      </c>
      <c r="I35" s="29">
        <f>'MERCADO TE'!$U$32</f>
        <v>0</v>
      </c>
      <c r="J35" s="15"/>
      <c r="L35" s="26">
        <f>'TR TE'!$L$35*'TR TE'!$L$49</f>
        <v>2.4354710992274331</v>
      </c>
      <c r="M35" s="26">
        <f>'TR TE'!$M$35*'TR TE'!$M$49</f>
        <v>20.997516599996636</v>
      </c>
      <c r="N35" s="26">
        <f>'TR TE'!$N$35*'TR TE'!$N$49</f>
        <v>0</v>
      </c>
      <c r="O35" s="26">
        <f>'TR TE'!$O$35*'TR TE'!$O$49</f>
        <v>0</v>
      </c>
      <c r="P35" s="26">
        <f>'TR TE'!$P$35*'TR TE'!$P$49</f>
        <v>-23.339897791030985</v>
      </c>
      <c r="Q35" s="26">
        <f>SUM($L$35:$P$35)</f>
        <v>9.3089908193086046E-2</v>
      </c>
      <c r="R35" s="26">
        <f>'TR TE'!$R$35*'TR TE'!$R$49</f>
        <v>200.4833270130807</v>
      </c>
      <c r="S35" s="26">
        <f>SUM($R$35:$R$35)</f>
        <v>200.4833270130807</v>
      </c>
      <c r="T35" s="26">
        <f>'TR TE'!$T$35*'TR TE'!$T$49</f>
        <v>9.9962037891222799</v>
      </c>
      <c r="U35" s="26">
        <f>'TR TE'!$U$35*'TR TE'!$U$49</f>
        <v>6.8830158215822363</v>
      </c>
      <c r="V35" s="26">
        <f>'TR TE'!$V$35*'TR TE'!$V$49</f>
        <v>0</v>
      </c>
      <c r="W35" s="26">
        <f>SUM($T$35:$V$35)</f>
        <v>16.879219610704517</v>
      </c>
      <c r="X35" s="26"/>
      <c r="Y35" s="26">
        <f>SUM($X$35:$X$35)</f>
        <v>0</v>
      </c>
      <c r="Z35" s="26">
        <f>'TR TE'!$Z$35*'TR TE'!$Z$49</f>
        <v>5.2487753894988716</v>
      </c>
      <c r="AA35" s="26">
        <f>SUM($Z$35:$Z$35)</f>
        <v>5.2487753894988716</v>
      </c>
      <c r="AB35" s="26">
        <f>SUMIF($L$4:$AA$4,"SUBTOTAL",$L$35:$AA$35)</f>
        <v>222.70441192147717</v>
      </c>
    </row>
    <row r="36" spans="1:28" ht="11.25" customHeight="1" x14ac:dyDescent="0.25">
      <c r="A36" s="146" t="s">
        <v>36</v>
      </c>
      <c r="B36" s="146" t="s">
        <v>74</v>
      </c>
      <c r="C36" s="146" t="s">
        <v>25</v>
      </c>
      <c r="D36" s="146" t="s">
        <v>25</v>
      </c>
      <c r="E36" s="146" t="s">
        <v>25</v>
      </c>
      <c r="F36" s="146" t="s">
        <v>25</v>
      </c>
      <c r="G36" s="29" t="s">
        <v>76</v>
      </c>
      <c r="H36" s="29" t="s">
        <v>75</v>
      </c>
      <c r="I36" s="29">
        <f>'MERCADO TE'!$U$33</f>
        <v>0.33600000000000008</v>
      </c>
      <c r="J36" s="15"/>
      <c r="L36" s="26">
        <f>'TR TE'!$L$36*'TR TE'!$L$49</f>
        <v>2.4354710992274331</v>
      </c>
      <c r="M36" s="26">
        <f>'TR TE'!$M$36*'TR TE'!$M$49</f>
        <v>20.997516599996636</v>
      </c>
      <c r="N36" s="26">
        <f>'TR TE'!$N$36*'TR TE'!$N$49</f>
        <v>0</v>
      </c>
      <c r="O36" s="26">
        <f>'TR TE'!$O$36*'TR TE'!$O$49</f>
        <v>0</v>
      </c>
      <c r="P36" s="26">
        <f>'TR TE'!$P$36*'TR TE'!$P$49</f>
        <v>-23.339897791030985</v>
      </c>
      <c r="Q36" s="26">
        <f>SUM($L$36:$P$36)</f>
        <v>9.3089908193086046E-2</v>
      </c>
      <c r="R36" s="26">
        <f>'TR TE'!$R$36*'TR TE'!$R$49</f>
        <v>325.31256836084793</v>
      </c>
      <c r="S36" s="26">
        <f>SUM($R$36:$R$36)</f>
        <v>325.31256836084793</v>
      </c>
      <c r="T36" s="26">
        <f>'TR TE'!$T$36*'TR TE'!$T$49</f>
        <v>9.9962037891222799</v>
      </c>
      <c r="U36" s="26">
        <f>'TR TE'!$U$36*'TR TE'!$U$49</f>
        <v>6.8830158215822363</v>
      </c>
      <c r="V36" s="26">
        <f>'TR TE'!$V$36*'TR TE'!$V$49</f>
        <v>0</v>
      </c>
      <c r="W36" s="26">
        <f>SUM($T$36:$V$36)</f>
        <v>16.879219610704517</v>
      </c>
      <c r="X36" s="26"/>
      <c r="Y36" s="26">
        <f>SUM($X$36:$X$36)</f>
        <v>0</v>
      </c>
      <c r="Z36" s="26">
        <f>'TR TE'!$Z$36*'TR TE'!$Z$49</f>
        <v>5.2487753894988716</v>
      </c>
      <c r="AA36" s="26">
        <f>SUM($Z$36:$Z$36)</f>
        <v>5.2487753894988716</v>
      </c>
      <c r="AB36" s="26">
        <f>SUMIF($L$4:$AA$4,"SUBTOTAL",$L$36:$AA$36)</f>
        <v>347.53365326924438</v>
      </c>
    </row>
    <row r="37" spans="1:28" ht="11.25" customHeight="1" x14ac:dyDescent="0.25">
      <c r="A37" s="146"/>
      <c r="B37" s="146"/>
      <c r="C37" s="146"/>
      <c r="D37" s="146"/>
      <c r="E37" s="146"/>
      <c r="F37" s="146"/>
      <c r="G37" s="29" t="s">
        <v>88</v>
      </c>
      <c r="H37" s="29" t="s">
        <v>75</v>
      </c>
      <c r="I37" s="29">
        <f>'MERCADO TE'!$U$34</f>
        <v>0.45900000000000007</v>
      </c>
      <c r="J37" s="15"/>
      <c r="L37" s="26">
        <f>'TR TE'!$L$37*'TR TE'!$L$49</f>
        <v>2.4354710992274331</v>
      </c>
      <c r="M37" s="26">
        <f>'TR TE'!$M$37*'TR TE'!$M$49</f>
        <v>20.997516599996636</v>
      </c>
      <c r="N37" s="26">
        <f>'TR TE'!$N$37*'TR TE'!$N$49</f>
        <v>0</v>
      </c>
      <c r="O37" s="26">
        <f>'TR TE'!$O$37*'TR TE'!$O$49</f>
        <v>0</v>
      </c>
      <c r="P37" s="26">
        <f>'TR TE'!$P$37*'TR TE'!$P$49</f>
        <v>-23.339897791030985</v>
      </c>
      <c r="Q37" s="26">
        <f>SUM($L$37:$P$37)</f>
        <v>9.3089908193086046E-2</v>
      </c>
      <c r="R37" s="26">
        <f>'TR TE'!$R$37*'TR TE'!$R$49</f>
        <v>189.13521416328368</v>
      </c>
      <c r="S37" s="26">
        <f>SUM($R$37:$R$37)</f>
        <v>189.13521416328368</v>
      </c>
      <c r="T37" s="26">
        <f>'TR TE'!$T$37*'TR TE'!$T$49</f>
        <v>9.9962037891222799</v>
      </c>
      <c r="U37" s="26">
        <f>'TR TE'!$U$37*'TR TE'!$U$49</f>
        <v>6.8830158215822363</v>
      </c>
      <c r="V37" s="26">
        <f>'TR TE'!$V$37*'TR TE'!$V$49</f>
        <v>0</v>
      </c>
      <c r="W37" s="26">
        <f>SUM($T$37:$V$37)</f>
        <v>16.879219610704517</v>
      </c>
      <c r="X37" s="26"/>
      <c r="Y37" s="26">
        <f>SUM($X$37:$X$37)</f>
        <v>0</v>
      </c>
      <c r="Z37" s="26">
        <f>'TR TE'!$Z$37*'TR TE'!$Z$49</f>
        <v>5.2487753894988716</v>
      </c>
      <c r="AA37" s="26">
        <f>SUM($Z$37:$Z$37)</f>
        <v>5.2487753894988716</v>
      </c>
      <c r="AB37" s="26">
        <f>SUMIF($L$4:$AA$4,"SUBTOTAL",$L$37:$AA$37)</f>
        <v>211.35629907168016</v>
      </c>
    </row>
    <row r="38" spans="1:28" ht="11.25" customHeight="1" x14ac:dyDescent="0.25">
      <c r="A38" s="146"/>
      <c r="B38" s="146"/>
      <c r="C38" s="146"/>
      <c r="D38" s="146"/>
      <c r="E38" s="146"/>
      <c r="F38" s="146"/>
      <c r="G38" s="29" t="s">
        <v>77</v>
      </c>
      <c r="H38" s="29" t="s">
        <v>75</v>
      </c>
      <c r="I38" s="29">
        <f>'MERCADO TE'!$U$35</f>
        <v>10.576000000000001</v>
      </c>
      <c r="J38" s="15"/>
      <c r="L38" s="26">
        <f>'TR TE'!$L$38*'TR TE'!$L$49</f>
        <v>2.4354710992274331</v>
      </c>
      <c r="M38" s="26">
        <f>'TR TE'!$M$38*'TR TE'!$M$49</f>
        <v>20.997516599996636</v>
      </c>
      <c r="N38" s="26">
        <f>'TR TE'!$N$38*'TR TE'!$N$49</f>
        <v>0</v>
      </c>
      <c r="O38" s="26">
        <f>'TR TE'!$O$38*'TR TE'!$O$49</f>
        <v>0</v>
      </c>
      <c r="P38" s="26">
        <f>'TR TE'!$P$38*'TR TE'!$P$49</f>
        <v>-23.339897791030985</v>
      </c>
      <c r="Q38" s="26">
        <f>SUM($L$38:$P$38)</f>
        <v>9.3089908193086046E-2</v>
      </c>
      <c r="R38" s="26">
        <f>'TR TE'!$R$38*'TR TE'!$R$49</f>
        <v>189.13521416328368</v>
      </c>
      <c r="S38" s="26">
        <f>SUM($R$38:$R$38)</f>
        <v>189.13521416328368</v>
      </c>
      <c r="T38" s="26">
        <f>'TR TE'!$T$38*'TR TE'!$T$49</f>
        <v>9.9962037891222799</v>
      </c>
      <c r="U38" s="26">
        <f>'TR TE'!$U$38*'TR TE'!$U$49</f>
        <v>6.8830158215822363</v>
      </c>
      <c r="V38" s="26">
        <f>'TR TE'!$V$38*'TR TE'!$V$49</f>
        <v>0</v>
      </c>
      <c r="W38" s="26">
        <f>SUM($T$38:$V$38)</f>
        <v>16.879219610704517</v>
      </c>
      <c r="X38" s="26"/>
      <c r="Y38" s="26">
        <f>SUM($X$38:$X$38)</f>
        <v>0</v>
      </c>
      <c r="Z38" s="26">
        <f>'TR TE'!$Z$38*'TR TE'!$Z$49</f>
        <v>5.2487753894988716</v>
      </c>
      <c r="AA38" s="26">
        <f>SUM($Z$38:$Z$38)</f>
        <v>5.2487753894988716</v>
      </c>
      <c r="AB38" s="26">
        <f>SUMIF($L$4:$AA$4,"SUBTOTAL",$L$38:$AA$38)</f>
        <v>211.35629907168016</v>
      </c>
    </row>
    <row r="39" spans="1:28" ht="11.25" customHeight="1" x14ac:dyDescent="0.25">
      <c r="A39" s="146"/>
      <c r="B39" s="28" t="s">
        <v>78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79</v>
      </c>
      <c r="H39" s="29" t="s">
        <v>75</v>
      </c>
      <c r="I39" s="29">
        <f>'MERCADO TE'!$U$36</f>
        <v>6532.424</v>
      </c>
      <c r="J39" s="15"/>
      <c r="L39" s="26">
        <f>'TR TE'!$L$39*'TR TE'!$L$49</f>
        <v>2.4354710992274331</v>
      </c>
      <c r="M39" s="26">
        <f>'TR TE'!$M$39*'TR TE'!$M$49</f>
        <v>20.997516599996636</v>
      </c>
      <c r="N39" s="26">
        <f>'TR TE'!$N$39*'TR TE'!$N$49</f>
        <v>0</v>
      </c>
      <c r="O39" s="26">
        <f>'TR TE'!$O$39*'TR TE'!$O$49</f>
        <v>0</v>
      </c>
      <c r="P39" s="26">
        <f>'TR TE'!$P$39*'TR TE'!$P$49</f>
        <v>-23.339897791030985</v>
      </c>
      <c r="Q39" s="26">
        <f>SUM($L$39:$P$39)</f>
        <v>9.3089908193086046E-2</v>
      </c>
      <c r="R39" s="26">
        <f>'TR TE'!$R$39*'TR TE'!$R$49</f>
        <v>200.4833270130807</v>
      </c>
      <c r="S39" s="26">
        <f>SUM($R$39:$R$39)</f>
        <v>200.4833270130807</v>
      </c>
      <c r="T39" s="26">
        <f>'TR TE'!$T$39*'TR TE'!$T$49</f>
        <v>9.9962037891222799</v>
      </c>
      <c r="U39" s="26">
        <f>'TR TE'!$U$39*'TR TE'!$U$49</f>
        <v>6.8830158215822363</v>
      </c>
      <c r="V39" s="26">
        <f>'TR TE'!$V$39*'TR TE'!$V$49</f>
        <v>0</v>
      </c>
      <c r="W39" s="26">
        <f>SUM($T$39:$V$39)</f>
        <v>16.879219610704517</v>
      </c>
      <c r="X39" s="26"/>
      <c r="Y39" s="26">
        <f>SUM($X$39:$X$39)</f>
        <v>0</v>
      </c>
      <c r="Z39" s="26">
        <f>'TR TE'!$Z$39*'TR TE'!$Z$49</f>
        <v>5.2487753894988716</v>
      </c>
      <c r="AA39" s="26">
        <f>SUM($Z$39:$Z$39)</f>
        <v>5.2487753894988716</v>
      </c>
      <c r="AB39" s="26">
        <f>SUMIF($L$4:$AA$4,"SUBTOTAL",$L$39:$AA$39)</f>
        <v>222.70441192147717</v>
      </c>
    </row>
    <row r="40" spans="1:28" ht="11.25" customHeight="1" x14ac:dyDescent="0.25">
      <c r="A40" s="146"/>
      <c r="B40" s="28" t="s">
        <v>89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79</v>
      </c>
      <c r="H40" s="29" t="s">
        <v>75</v>
      </c>
      <c r="I40" s="29">
        <f>'MERCADO TE'!$U$37</f>
        <v>0</v>
      </c>
      <c r="J40" s="15"/>
      <c r="L40" s="26">
        <f>'TR TE'!$L$40*'TR TE'!$L$49</f>
        <v>2.4354710992274331</v>
      </c>
      <c r="M40" s="26">
        <f>'TR TE'!$M$40*'TR TE'!$M$49</f>
        <v>20.997516599996636</v>
      </c>
      <c r="N40" s="26">
        <f>'TR TE'!$N$40*'TR TE'!$N$49</f>
        <v>0</v>
      </c>
      <c r="O40" s="26">
        <f>'TR TE'!$O$40*'TR TE'!$O$49</f>
        <v>0</v>
      </c>
      <c r="P40" s="26">
        <f>'TR TE'!$P$40*'TR TE'!$P$49</f>
        <v>-23.339897791030985</v>
      </c>
      <c r="Q40" s="26">
        <f>SUM($L$40:$P$40)</f>
        <v>9.3089908193086046E-2</v>
      </c>
      <c r="R40" s="26">
        <f>'TR TE'!$R$40*'TR TE'!$R$49</f>
        <v>200.4833270130807</v>
      </c>
      <c r="S40" s="26">
        <f>SUM($R$40:$R$40)</f>
        <v>200.4833270130807</v>
      </c>
      <c r="T40" s="26">
        <f>'TR TE'!$T$40*'TR TE'!$T$49</f>
        <v>9.9962037891222799</v>
      </c>
      <c r="U40" s="26">
        <f>'TR TE'!$U$40*'TR TE'!$U$49</f>
        <v>6.8830158215822363</v>
      </c>
      <c r="V40" s="26">
        <f>'TR TE'!$V$40*'TR TE'!$V$49</f>
        <v>0</v>
      </c>
      <c r="W40" s="26">
        <f>SUM($T$40:$V$40)</f>
        <v>16.879219610704517</v>
      </c>
      <c r="X40" s="26"/>
      <c r="Y40" s="26">
        <f>SUM($X$40:$X$40)</f>
        <v>0</v>
      </c>
      <c r="Z40" s="26">
        <f>'TR TE'!$Z$40*'TR TE'!$Z$49</f>
        <v>5.2487753894988716</v>
      </c>
      <c r="AA40" s="26">
        <f>SUM($Z$40:$Z$40)</f>
        <v>5.2487753894988716</v>
      </c>
      <c r="AB40" s="26">
        <f>SUMIF($L$4:$AA$4,"SUBTOTAL",$L$40:$AA$40)</f>
        <v>222.70441192147717</v>
      </c>
    </row>
    <row r="41" spans="1:28" ht="11.25" customHeight="1" x14ac:dyDescent="0.25">
      <c r="A41" s="146" t="s">
        <v>44</v>
      </c>
      <c r="B41" s="146" t="s">
        <v>78</v>
      </c>
      <c r="C41" s="146" t="s">
        <v>45</v>
      </c>
      <c r="D41" s="28" t="s">
        <v>93</v>
      </c>
      <c r="E41" s="28" t="s">
        <v>25</v>
      </c>
      <c r="F41" s="28" t="s">
        <v>25</v>
      </c>
      <c r="G41" s="29" t="s">
        <v>79</v>
      </c>
      <c r="H41" s="29" t="s">
        <v>75</v>
      </c>
      <c r="I41" s="29">
        <f>'MERCADO TE'!$U$38</f>
        <v>0</v>
      </c>
      <c r="J41" s="15"/>
      <c r="L41" s="26">
        <f>'TR TE'!$L$41*'TR TE'!$L$49</f>
        <v>1.3395091045750882</v>
      </c>
      <c r="M41" s="26">
        <f>'TR TE'!$M$41*'TR TE'!$M$49</f>
        <v>11.548634129998151</v>
      </c>
      <c r="N41" s="26">
        <f>'TR TE'!$N$41*'TR TE'!$N$49</f>
        <v>0</v>
      </c>
      <c r="O41" s="26">
        <f>'TR TE'!$O$41*'TR TE'!$O$49</f>
        <v>0</v>
      </c>
      <c r="P41" s="26">
        <f>'TR TE'!$P$41*'TR TE'!$P$49</f>
        <v>-12.836943785067042</v>
      </c>
      <c r="Q41" s="26">
        <f>SUM($L$41:$P$41)</f>
        <v>5.119944950619626E-2</v>
      </c>
      <c r="R41" s="26">
        <f>'TR TE'!$R$41*'TR TE'!$R$49</f>
        <v>110.2658298571944</v>
      </c>
      <c r="S41" s="26">
        <f>SUM($R$41:$R$41)</f>
        <v>110.2658298571944</v>
      </c>
      <c r="T41" s="26">
        <f>'TR TE'!$T$41*'TR TE'!$T$49</f>
        <v>5.4979120840172548</v>
      </c>
      <c r="U41" s="26">
        <f>'TR TE'!$U$41*'TR TE'!$U$49</f>
        <v>3.7856587018702301</v>
      </c>
      <c r="V41" s="26">
        <f>'TR TE'!$V$41*'TR TE'!$V$49</f>
        <v>0</v>
      </c>
      <c r="W41" s="26">
        <f>SUM($T$41:$V$41)</f>
        <v>9.2835707858874841</v>
      </c>
      <c r="X41" s="26"/>
      <c r="Y41" s="26">
        <f>SUM($X$41:$X$41)</f>
        <v>0</v>
      </c>
      <c r="Z41" s="26">
        <f>'TR TE'!$Z$41*'TR TE'!$Z$49</f>
        <v>2.8868264642243795</v>
      </c>
      <c r="AA41" s="26">
        <f>SUM($Z$41:$Z$41)</f>
        <v>2.8868264642243795</v>
      </c>
      <c r="AB41" s="26">
        <f>SUMIF($L$4:$AA$4,"SUBTOTAL",$L$41:$AA$41)</f>
        <v>122.48742655681247</v>
      </c>
    </row>
    <row r="42" spans="1:28" ht="11.25" customHeight="1" x14ac:dyDescent="0.25">
      <c r="A42" s="146"/>
      <c r="B42" s="146"/>
      <c r="C42" s="146"/>
      <c r="D42" s="29" t="s">
        <v>46</v>
      </c>
      <c r="E42" s="29" t="s">
        <v>25</v>
      </c>
      <c r="F42" s="29" t="s">
        <v>25</v>
      </c>
      <c r="G42" s="29" t="s">
        <v>79</v>
      </c>
      <c r="H42" s="29" t="s">
        <v>75</v>
      </c>
      <c r="I42" s="29">
        <f>'MERCADO TE'!$U$39</f>
        <v>1655.8650000000002</v>
      </c>
      <c r="J42" s="15"/>
      <c r="L42" s="26">
        <f>'TR TE'!$L$42*'TR TE'!$L$49</f>
        <v>1.4612826595364599</v>
      </c>
      <c r="M42" s="26">
        <f>'TR TE'!$M$42*'TR TE'!$M$49</f>
        <v>12.598509959997982</v>
      </c>
      <c r="N42" s="26">
        <f>'TR TE'!$N$42*'TR TE'!$N$49</f>
        <v>0</v>
      </c>
      <c r="O42" s="26">
        <f>'TR TE'!$O$42*'TR TE'!$O$49</f>
        <v>0</v>
      </c>
      <c r="P42" s="26">
        <f>'TR TE'!$P$42*'TR TE'!$P$49</f>
        <v>-14.00393867461859</v>
      </c>
      <c r="Q42" s="26">
        <f>SUM($L$42:$P$42)</f>
        <v>5.5853944915851272E-2</v>
      </c>
      <c r="R42" s="26">
        <f>'TR TE'!$R$42*'TR TE'!$R$49</f>
        <v>120.28999620784842</v>
      </c>
      <c r="S42" s="26">
        <f>SUM($R$42:$R$42)</f>
        <v>120.28999620784842</v>
      </c>
      <c r="T42" s="26">
        <f>'TR TE'!$T$42*'TR TE'!$T$49</f>
        <v>5.9977222734733679</v>
      </c>
      <c r="U42" s="26">
        <f>'TR TE'!$U$42*'TR TE'!$U$49</f>
        <v>4.1298094929493416</v>
      </c>
      <c r="V42" s="26">
        <f>'TR TE'!$V$42*'TR TE'!$V$49</f>
        <v>0</v>
      </c>
      <c r="W42" s="26">
        <f>SUM($T$42:$V$42)</f>
        <v>10.12753176642271</v>
      </c>
      <c r="X42" s="26"/>
      <c r="Y42" s="26">
        <f>SUM($X$42:$X$42)</f>
        <v>0</v>
      </c>
      <c r="Z42" s="26">
        <f>'TR TE'!$Z$42*'TR TE'!$Z$49</f>
        <v>3.1492652336993228</v>
      </c>
      <c r="AA42" s="26">
        <f>SUM($Z$42:$Z$42)</f>
        <v>3.1492652336993228</v>
      </c>
      <c r="AB42" s="26">
        <f>SUMIF($L$4:$AA$4,"SUBTOTAL",$L$42:$AA$42)</f>
        <v>133.62264715288629</v>
      </c>
    </row>
    <row r="44" spans="1:28" ht="11.25" customHeight="1" x14ac:dyDescent="0.25">
      <c r="K44" s="31" t="s">
        <v>656</v>
      </c>
      <c r="L44" s="26">
        <f t="shared" ref="L44:AB44" si="0">SUMPRODUCT($I$5:$I$42,L$5:L$42)</f>
        <v>73198.785302957083</v>
      </c>
      <c r="M44" s="26">
        <f t="shared" si="0"/>
        <v>631086.40869767964</v>
      </c>
      <c r="N44" s="26">
        <f t="shared" si="0"/>
        <v>0</v>
      </c>
      <c r="O44" s="26">
        <f t="shared" si="0"/>
        <v>0</v>
      </c>
      <c r="P44" s="26">
        <f t="shared" si="0"/>
        <v>-701487.35</v>
      </c>
      <c r="Q44" s="26">
        <f t="shared" si="0"/>
        <v>2797.84400063676</v>
      </c>
      <c r="R44" s="26">
        <f t="shared" si="0"/>
        <v>5974731.309717196</v>
      </c>
      <c r="S44" s="26">
        <f t="shared" si="0"/>
        <v>5974731.309717196</v>
      </c>
      <c r="T44" s="26">
        <f t="shared" si="0"/>
        <v>300438.78378876142</v>
      </c>
      <c r="U44" s="26">
        <f t="shared" si="0"/>
        <v>206871.02282621074</v>
      </c>
      <c r="V44" s="26">
        <f t="shared" si="0"/>
        <v>0</v>
      </c>
      <c r="W44" s="26">
        <f t="shared" si="0"/>
        <v>507309.8066149723</v>
      </c>
      <c r="X44" s="26">
        <f t="shared" si="0"/>
        <v>0</v>
      </c>
      <c r="Y44" s="26">
        <f t="shared" si="0"/>
        <v>0</v>
      </c>
      <c r="Z44" s="26">
        <f t="shared" si="0"/>
        <v>157753.45597870075</v>
      </c>
      <c r="AA44" s="26">
        <f t="shared" si="0"/>
        <v>157753.45597870075</v>
      </c>
      <c r="AB44" s="26">
        <f t="shared" si="0"/>
        <v>6642592.4163115053</v>
      </c>
    </row>
    <row r="45" spans="1:28" ht="11.25" customHeight="1" x14ac:dyDescent="0.25">
      <c r="K45" s="31" t="s">
        <v>575</v>
      </c>
      <c r="L45" s="26">
        <f>CUSTOS!$D$30</f>
        <v>73198.785302957069</v>
      </c>
      <c r="M45" s="26">
        <f>CUSTOS!$D$31</f>
        <v>631086.40869767964</v>
      </c>
      <c r="N45" s="26">
        <f>CUSTOS!$D$32</f>
        <v>0</v>
      </c>
      <c r="O45" s="26">
        <f>CUSTOS!$D$33</f>
        <v>0</v>
      </c>
      <c r="P45" s="26">
        <f>CUSTOS!$D$34</f>
        <v>-701487.35</v>
      </c>
      <c r="Q45" s="26">
        <f>CUSTOS!$D$35</f>
        <v>2797.8440006367164</v>
      </c>
      <c r="R45" s="26">
        <f>CUSTOS!$D$36</f>
        <v>5974731.309717196</v>
      </c>
      <c r="S45" s="26">
        <f>CUSTOS!$D$37</f>
        <v>5974731.309717196</v>
      </c>
      <c r="T45" s="26">
        <f>CUSTOS!$D$38</f>
        <v>300438.78378876136</v>
      </c>
      <c r="U45" s="26">
        <f>CUSTOS!$D$39</f>
        <v>206871.02282621071</v>
      </c>
      <c r="V45" s="26">
        <f>CUSTOS!$D$40</f>
        <v>0</v>
      </c>
      <c r="W45" s="26">
        <f>CUSTOS!$D$41</f>
        <v>507309.80661497207</v>
      </c>
      <c r="X45" s="26">
        <f>CUSTOS!$D$42</f>
        <v>0</v>
      </c>
      <c r="Y45" s="26">
        <f>CUSTOS!$D$43</f>
        <v>0</v>
      </c>
      <c r="Z45" s="26">
        <f>CUSTOS!$D$44</f>
        <v>157753.45597870075</v>
      </c>
      <c r="AA45" s="26">
        <f>CUSTOS!$D$45</f>
        <v>157753.45597870075</v>
      </c>
      <c r="AB45" s="26">
        <f>CUSTOS!$D$46</f>
        <v>6642592.4163115053</v>
      </c>
    </row>
    <row r="46" spans="1:28" ht="11.25" customHeight="1" x14ac:dyDescent="0.25">
      <c r="K46" s="31" t="s">
        <v>576</v>
      </c>
      <c r="L46" s="26">
        <f>CUSTOS!$E$30</f>
        <v>7.4898569425744063E-2</v>
      </c>
      <c r="M46" s="26">
        <f>CUSTOS!$E$31</f>
        <v>36452.39382646844</v>
      </c>
      <c r="N46" s="26">
        <f>CUSTOS!$E$32</f>
        <v>0</v>
      </c>
      <c r="O46" s="26">
        <f>CUSTOS!$E$33</f>
        <v>-9.4234900844694225E-19</v>
      </c>
      <c r="P46" s="26">
        <f>CUSTOS!$E$34</f>
        <v>0</v>
      </c>
      <c r="Q46" s="26">
        <f>CUSTOS!$E$35</f>
        <v>36452.468725037863</v>
      </c>
      <c r="R46" s="26">
        <f>CUSTOS!$E$36</f>
        <v>-87115.726584510674</v>
      </c>
      <c r="S46" s="26">
        <f>CUSTOS!$E$37</f>
        <v>-87115.726584510674</v>
      </c>
      <c r="T46" s="26">
        <f>CUSTOS!$E$38</f>
        <v>26649.726315666448</v>
      </c>
      <c r="U46" s="26">
        <f>CUSTOS!$E$39</f>
        <v>28930.848428573499</v>
      </c>
      <c r="V46" s="26">
        <f>CUSTOS!$E$40</f>
        <v>0</v>
      </c>
      <c r="W46" s="26">
        <f>CUSTOS!$E$41</f>
        <v>55580.574744239944</v>
      </c>
      <c r="X46" s="26">
        <f>CUSTOS!$E$42</f>
        <v>-1833872.6576913935</v>
      </c>
      <c r="Y46" s="26">
        <f>CUSTOS!$E$43</f>
        <v>-1833872.6576913935</v>
      </c>
      <c r="Z46" s="26">
        <f>CUSTOS!$E$44</f>
        <v>-2300.154806367791</v>
      </c>
      <c r="AA46" s="26">
        <f>CUSTOS!$E$45</f>
        <v>-2300.154806367791</v>
      </c>
      <c r="AB46" s="26">
        <f>CUSTOS!$E$46</f>
        <v>-1831255.4956129943</v>
      </c>
    </row>
    <row r="47" spans="1:28" ht="11.25" customHeight="1" x14ac:dyDescent="0.25">
      <c r="K47" s="31" t="s">
        <v>577</v>
      </c>
      <c r="L47" s="26">
        <f>CUSTOS!$F$30</f>
        <v>0</v>
      </c>
      <c r="M47" s="26">
        <f>CUSTOS!$F$31</f>
        <v>290820.58199999999</v>
      </c>
      <c r="N47" s="26">
        <f>CUSTOS!$F$32</f>
        <v>0</v>
      </c>
      <c r="O47" s="26">
        <f>CUSTOS!$F$33</f>
        <v>0</v>
      </c>
      <c r="P47" s="26">
        <f>CUSTOS!$F$34</f>
        <v>0</v>
      </c>
      <c r="Q47" s="26">
        <f>CUSTOS!$F$35</f>
        <v>290820.58199999999</v>
      </c>
      <c r="R47" s="26">
        <f>CUSTOS!$F$36</f>
        <v>995691.63033714134</v>
      </c>
      <c r="S47" s="26">
        <f>CUSTOS!$F$37</f>
        <v>995691.63033714134</v>
      </c>
      <c r="T47" s="26">
        <f>CUSTOS!$F$38</f>
        <v>63621.552600000003</v>
      </c>
      <c r="U47" s="26">
        <f>CUSTOS!$F$39</f>
        <v>8085.2637000000004</v>
      </c>
      <c r="V47" s="26">
        <f>CUSTOS!$F$40</f>
        <v>0</v>
      </c>
      <c r="W47" s="26">
        <f>CUSTOS!$F$41</f>
        <v>71706.816300000006</v>
      </c>
      <c r="X47" s="26">
        <f>CUSTOS!$F$42</f>
        <v>0</v>
      </c>
      <c r="Y47" s="26">
        <f>CUSTOS!$F$43</f>
        <v>0</v>
      </c>
      <c r="Z47" s="26">
        <f>CUSTOS!$F$44</f>
        <v>26289.68360791204</v>
      </c>
      <c r="AA47" s="26">
        <f>CUSTOS!$F$45</f>
        <v>26289.68360791204</v>
      </c>
      <c r="AB47" s="26">
        <f>CUSTOS!$F$46</f>
        <v>1384508.7122450536</v>
      </c>
    </row>
    <row r="48" spans="1:28" ht="11.25" customHeight="1" x14ac:dyDescent="0.25">
      <c r="K48" s="31" t="s">
        <v>657</v>
      </c>
      <c r="L48" s="26">
        <f>'TR TE'!$L$48*L49</f>
        <v>2.4920263424441011E-6</v>
      </c>
      <c r="M48" s="26">
        <f>'TR TE'!$M$48*M49</f>
        <v>1.2128446024695703</v>
      </c>
      <c r="N48" s="26">
        <f>'TR TE'!$N$48*N49</f>
        <v>0</v>
      </c>
      <c r="O48" s="26">
        <f>'TR TE'!$O$48*O49</f>
        <v>0</v>
      </c>
      <c r="P48" s="26">
        <f>'TR TE'!$P$48*P49</f>
        <v>0</v>
      </c>
      <c r="Q48" s="26"/>
      <c r="R48" s="26">
        <f>'TR TE'!$R$48*R49</f>
        <v>-2.899003130768349</v>
      </c>
      <c r="S48" s="26"/>
      <c r="T48" s="26">
        <f>'TR TE'!$T$48*T49</f>
        <v>0.886690099780992</v>
      </c>
      <c r="U48" s="26">
        <f>'TR TE'!$U$48*U49</f>
        <v>0.96258762945720244</v>
      </c>
      <c r="V48" s="26">
        <f>'TR TE'!$V$48*V49</f>
        <v>0</v>
      </c>
      <c r="W48" s="26"/>
      <c r="X48" s="26"/>
      <c r="Y48" s="26"/>
      <c r="Z48" s="26">
        <f>'TR TE'!$Z$48*Z49</f>
        <v>-7.6530785742854671E-2</v>
      </c>
      <c r="AA48" s="26"/>
      <c r="AB48" s="26"/>
    </row>
    <row r="49" spans="11:28" ht="11.25" customHeight="1" x14ac:dyDescent="0.25">
      <c r="K49" s="31" t="s">
        <v>644</v>
      </c>
      <c r="L49" s="26">
        <f>IF(L45&lt;&gt;0,L46/L45,0)</f>
        <v>1.0232214799159834E-6</v>
      </c>
      <c r="M49" s="26">
        <f>IF(M45&lt;&gt;0,M46/M45,0)</f>
        <v>5.7761335570024719E-2</v>
      </c>
      <c r="N49" s="26">
        <f>IF(N45&lt;&gt;0,N46/N45,0)</f>
        <v>0</v>
      </c>
      <c r="O49" s="26">
        <f>IF(O45&lt;&gt;0,O46/O45,0)</f>
        <v>0</v>
      </c>
      <c r="P49" s="26">
        <f>IF(P45&lt;&gt;0,P46/P45,0)</f>
        <v>0</v>
      </c>
      <c r="Q49" s="26"/>
      <c r="R49" s="26">
        <f>IF(R45&lt;&gt;0,R46/R45,0)</f>
        <v>-1.4580693602543635E-2</v>
      </c>
      <c r="S49" s="26"/>
      <c r="T49" s="26">
        <f>IF(T45&lt;&gt;0,T46/T45,0)</f>
        <v>8.8702683387254969E-2</v>
      </c>
      <c r="U49" s="26">
        <f>IF(U45&lt;&gt;0,U46/U45,0)</f>
        <v>0.13984969007901063</v>
      </c>
      <c r="V49" s="26">
        <f>IF(V45&lt;&gt;0,V46/V45,0)</f>
        <v>0</v>
      </c>
      <c r="W49" s="26"/>
      <c r="X49" s="26">
        <f>IF(($AB45-0)&lt;&gt;0,X46/($AB45-0),0)</f>
        <v>-0.27607785375904564</v>
      </c>
      <c r="Y49" s="26"/>
      <c r="Z49" s="26">
        <f>IF(Z45&lt;&gt;0,Z46/Z45,0)</f>
        <v>-1.4580693602543635E-2</v>
      </c>
      <c r="AA49" s="26"/>
      <c r="AB49" s="26"/>
    </row>
    <row r="50" spans="11:28" ht="11.25" customHeight="1" x14ac:dyDescent="0.25">
      <c r="K50" s="31" t="s">
        <v>659</v>
      </c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905" priority="33" operator="notEqual">
      <formula>$L$45</formula>
    </cfRule>
    <cfRule type="cellIs" dxfId="904" priority="34" operator="equal">
      <formula>$L$45</formula>
    </cfRule>
  </conditionalFormatting>
  <conditionalFormatting sqref="M44">
    <cfRule type="cellIs" dxfId="903" priority="31" operator="notEqual">
      <formula>$M$45</formula>
    </cfRule>
    <cfRule type="cellIs" dxfId="902" priority="32" operator="equal">
      <formula>$M$45</formula>
    </cfRule>
  </conditionalFormatting>
  <conditionalFormatting sqref="N44">
    <cfRule type="cellIs" dxfId="901" priority="29" operator="notEqual">
      <formula>$N$45</formula>
    </cfRule>
    <cfRule type="cellIs" dxfId="900" priority="30" operator="equal">
      <formula>$N$45</formula>
    </cfRule>
  </conditionalFormatting>
  <conditionalFormatting sqref="O44">
    <cfRule type="cellIs" dxfId="899" priority="27" operator="notEqual">
      <formula>$O$45</formula>
    </cfRule>
    <cfRule type="cellIs" dxfId="898" priority="28" operator="equal">
      <formula>$O$45</formula>
    </cfRule>
  </conditionalFormatting>
  <conditionalFormatting sqref="P44">
    <cfRule type="cellIs" dxfId="897" priority="25" operator="notEqual">
      <formula>$P$45</formula>
    </cfRule>
    <cfRule type="cellIs" dxfId="896" priority="26" operator="equal">
      <formula>$P$45</formula>
    </cfRule>
  </conditionalFormatting>
  <conditionalFormatting sqref="Q44">
    <cfRule type="cellIs" dxfId="895" priority="23" operator="notEqual">
      <formula>$Q$45</formula>
    </cfRule>
    <cfRule type="cellIs" dxfId="894" priority="24" operator="equal">
      <formula>$Q$45</formula>
    </cfRule>
  </conditionalFormatting>
  <conditionalFormatting sqref="R44">
    <cfRule type="cellIs" dxfId="893" priority="21" operator="notEqual">
      <formula>$R$45</formula>
    </cfRule>
    <cfRule type="cellIs" dxfId="892" priority="22" operator="equal">
      <formula>$R$45</formula>
    </cfRule>
  </conditionalFormatting>
  <conditionalFormatting sqref="S44">
    <cfRule type="cellIs" dxfId="891" priority="19" operator="notEqual">
      <formula>$S$45</formula>
    </cfRule>
    <cfRule type="cellIs" dxfId="890" priority="20" operator="equal">
      <formula>$S$45</formula>
    </cfRule>
  </conditionalFormatting>
  <conditionalFormatting sqref="T44">
    <cfRule type="cellIs" dxfId="889" priority="17" operator="notEqual">
      <formula>$T$45</formula>
    </cfRule>
    <cfRule type="cellIs" dxfId="888" priority="18" operator="equal">
      <formula>$T$45</formula>
    </cfRule>
  </conditionalFormatting>
  <conditionalFormatting sqref="U44">
    <cfRule type="cellIs" dxfId="887" priority="15" operator="notEqual">
      <formula>$U$45</formula>
    </cfRule>
    <cfRule type="cellIs" dxfId="886" priority="16" operator="equal">
      <formula>$U$45</formula>
    </cfRule>
  </conditionalFormatting>
  <conditionalFormatting sqref="V44">
    <cfRule type="cellIs" dxfId="885" priority="13" operator="notEqual">
      <formula>$V$45</formula>
    </cfRule>
    <cfRule type="cellIs" dxfId="884" priority="14" operator="equal">
      <formula>$V$45</formula>
    </cfRule>
  </conditionalFormatting>
  <conditionalFormatting sqref="W44">
    <cfRule type="cellIs" dxfId="883" priority="11" operator="notEqual">
      <formula>$W$45</formula>
    </cfRule>
    <cfRule type="cellIs" dxfId="882" priority="12" operator="equal">
      <formula>$W$45</formula>
    </cfRule>
  </conditionalFormatting>
  <conditionalFormatting sqref="X44">
    <cfRule type="cellIs" dxfId="881" priority="9" operator="notEqual">
      <formula>$X$45</formula>
    </cfRule>
    <cfRule type="cellIs" dxfId="880" priority="10" operator="equal">
      <formula>$X$45</formula>
    </cfRule>
  </conditionalFormatting>
  <conditionalFormatting sqref="Y44">
    <cfRule type="cellIs" dxfId="879" priority="7" operator="notEqual">
      <formula>$Y$45</formula>
    </cfRule>
    <cfRule type="cellIs" dxfId="878" priority="8" operator="equal">
      <formula>$Y$45</formula>
    </cfRule>
  </conditionalFormatting>
  <conditionalFormatting sqref="Z44">
    <cfRule type="cellIs" dxfId="877" priority="5" operator="notEqual">
      <formula>$Z$45</formula>
    </cfRule>
    <cfRule type="cellIs" dxfId="876" priority="6" operator="equal">
      <formula>$Z$45</formula>
    </cfRule>
  </conditionalFormatting>
  <conditionalFormatting sqref="AA44">
    <cfRule type="cellIs" dxfId="875" priority="3" operator="notEqual">
      <formula>$AA$45</formula>
    </cfRule>
    <cfRule type="cellIs" dxfId="874" priority="4" operator="equal">
      <formula>$AA$45</formula>
    </cfRule>
  </conditionalFormatting>
  <conditionalFormatting sqref="AB44">
    <cfRule type="cellIs" dxfId="873" priority="1" operator="notEqual">
      <formula>$AB$45</formula>
    </cfRule>
    <cfRule type="cellIs" dxfId="872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D099B-7274-483A-82E5-DA32113BE3CA}">
  <dimension ref="A1:AB50"/>
  <sheetViews>
    <sheetView showGridLines="0" topLeftCell="Q3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7.85546875" style="9" bestFit="1" customWidth="1"/>
    <col min="13" max="13" width="8.7109375" style="9" bestFit="1" customWidth="1"/>
    <col min="14" max="14" width="7.85546875" style="9" bestFit="1" customWidth="1"/>
    <col min="15" max="15" width="11.140625" style="9" bestFit="1" customWidth="1"/>
    <col min="16" max="17" width="9.28515625" style="9" bestFit="1" customWidth="1"/>
    <col min="18" max="18" width="15" style="9" bestFit="1" customWidth="1"/>
    <col min="19" max="19" width="10" style="9" bestFit="1" customWidth="1"/>
    <col min="20" max="20" width="8.71093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5703125" style="9" bestFit="1" customWidth="1"/>
    <col min="29" max="16384" width="9.140625" style="9"/>
  </cols>
  <sheetData>
    <row r="1" spans="1:28" ht="11.25" customHeight="1" x14ac:dyDescent="0.25">
      <c r="A1" s="147" t="s">
        <v>65</v>
      </c>
      <c r="B1" s="147" t="s">
        <v>66</v>
      </c>
      <c r="C1" s="147" t="s">
        <v>67</v>
      </c>
      <c r="D1" s="147" t="s">
        <v>68</v>
      </c>
      <c r="E1" s="147" t="s">
        <v>69</v>
      </c>
      <c r="F1" s="147" t="s">
        <v>15</v>
      </c>
      <c r="G1" s="147" t="s">
        <v>71</v>
      </c>
      <c r="H1" s="147" t="s">
        <v>72</v>
      </c>
      <c r="I1" s="147" t="s">
        <v>634</v>
      </c>
      <c r="J1" s="131"/>
      <c r="L1" s="148" t="s">
        <v>661</v>
      </c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</row>
    <row r="2" spans="1:28" ht="11.25" customHeight="1" x14ac:dyDescent="0.25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8" t="s">
        <v>561</v>
      </c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</row>
    <row r="3" spans="1:28" ht="11.25" customHeight="1" x14ac:dyDescent="0.25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8" t="s">
        <v>534</v>
      </c>
      <c r="M3" s="148"/>
      <c r="N3" s="148"/>
      <c r="O3" s="148"/>
      <c r="P3" s="148"/>
      <c r="Q3" s="148"/>
      <c r="R3" s="148" t="s">
        <v>565</v>
      </c>
      <c r="S3" s="148"/>
      <c r="T3" s="148" t="s">
        <v>543</v>
      </c>
      <c r="U3" s="148"/>
      <c r="V3" s="148"/>
      <c r="W3" s="148"/>
      <c r="X3" s="148" t="s">
        <v>553</v>
      </c>
      <c r="Y3" s="148"/>
      <c r="Z3" s="148" t="s">
        <v>556</v>
      </c>
      <c r="AA3" s="148"/>
      <c r="AB3" s="148" t="s">
        <v>542</v>
      </c>
    </row>
    <row r="4" spans="1:28" ht="11.25" customHeight="1" x14ac:dyDescent="0.25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30" t="s">
        <v>536</v>
      </c>
      <c r="M4" s="30" t="s">
        <v>562</v>
      </c>
      <c r="N4" s="30" t="s">
        <v>563</v>
      </c>
      <c r="O4" s="30" t="s">
        <v>622</v>
      </c>
      <c r="P4" s="30" t="s">
        <v>564</v>
      </c>
      <c r="Q4" s="30" t="s">
        <v>542</v>
      </c>
      <c r="R4" s="30" t="s">
        <v>566</v>
      </c>
      <c r="S4" s="30" t="s">
        <v>542</v>
      </c>
      <c r="T4" s="30" t="s">
        <v>567</v>
      </c>
      <c r="U4" s="30" t="s">
        <v>568</v>
      </c>
      <c r="V4" s="30" t="s">
        <v>569</v>
      </c>
      <c r="W4" s="30" t="s">
        <v>542</v>
      </c>
      <c r="X4" s="30" t="s">
        <v>554</v>
      </c>
      <c r="Y4" s="30" t="s">
        <v>542</v>
      </c>
      <c r="Z4" s="30" t="s">
        <v>570</v>
      </c>
      <c r="AA4" s="30" t="s">
        <v>542</v>
      </c>
      <c r="AB4" s="149"/>
    </row>
    <row r="5" spans="1:28" ht="11.25" customHeight="1" x14ac:dyDescent="0.25">
      <c r="A5" s="146" t="s">
        <v>38</v>
      </c>
      <c r="B5" s="146" t="s">
        <v>74</v>
      </c>
      <c r="C5" s="146" t="s">
        <v>25</v>
      </c>
      <c r="D5" s="146" t="s">
        <v>25</v>
      </c>
      <c r="E5" s="146" t="s">
        <v>25</v>
      </c>
      <c r="F5" s="146" t="s">
        <v>25</v>
      </c>
      <c r="G5" s="29" t="s">
        <v>76</v>
      </c>
      <c r="H5" s="29" t="s">
        <v>75</v>
      </c>
      <c r="I5" s="29">
        <f>'MERCADO TE'!$U$2</f>
        <v>280.50399999999996</v>
      </c>
      <c r="J5" s="15"/>
      <c r="L5" s="26">
        <f>'TE BE'!$L$5*'TE BE'!$L$49</f>
        <v>2.4920263424441011E-6</v>
      </c>
      <c r="M5" s="26">
        <f>'TE BE'!$M$5*'TE BE'!$M$49</f>
        <v>1.2128446024695703</v>
      </c>
      <c r="N5" s="26">
        <f>'TE BE'!$N$5*'TE BE'!$N$49</f>
        <v>0</v>
      </c>
      <c r="O5" s="26">
        <f>'TE BE'!$O$5*'TE BE'!$O$49</f>
        <v>0</v>
      </c>
      <c r="P5" s="26">
        <f>'TE BE'!$P$5*'TE BE'!$P$49</f>
        <v>0</v>
      </c>
      <c r="Q5" s="26">
        <f>SUM($L$5:$P$5)</f>
        <v>1.2128470944959127</v>
      </c>
      <c r="R5" s="26">
        <f>'TE BE'!$R$5*'TE BE'!$R$49</f>
        <v>-4.7432828843260548</v>
      </c>
      <c r="S5" s="26">
        <f>SUM($R$5:$R$5)</f>
        <v>-4.7432828843260548</v>
      </c>
      <c r="T5" s="26">
        <f>'TE BE'!$T$5*'TE BE'!$T$49</f>
        <v>0.886690099780992</v>
      </c>
      <c r="U5" s="26">
        <f>'TE BE'!$U$5*'TE BE'!$U$49</f>
        <v>0.96258762945720244</v>
      </c>
      <c r="V5" s="26">
        <f>'TE BE'!$V$5*'TE BE'!$V$49</f>
        <v>0</v>
      </c>
      <c r="W5" s="26">
        <f>SUM($T$5:$V$5)</f>
        <v>1.8492777292381946</v>
      </c>
      <c r="X5" s="26">
        <f>'TE BE'!$AB$5*'TE BE'!$X$49</f>
        <v>-95.946345103613325</v>
      </c>
      <c r="Y5" s="26">
        <f>SUM($X$5:$X$5)</f>
        <v>-95.946345103613325</v>
      </c>
      <c r="Z5" s="26">
        <f>'TE BE'!$Z$5*'TE BE'!$Z$49</f>
        <v>-7.6530785742854671E-2</v>
      </c>
      <c r="AA5" s="26">
        <f>SUM($Z$5:$Z$5)</f>
        <v>-7.6530785742854671E-2</v>
      </c>
      <c r="AB5" s="26">
        <f>SUMIF($L$4:$AA$4,"SUBTOTAL",$L$5:$AA$5)</f>
        <v>-97.704033949948141</v>
      </c>
    </row>
    <row r="6" spans="1:28" ht="11.25" customHeight="1" x14ac:dyDescent="0.25">
      <c r="A6" s="146"/>
      <c r="B6" s="146"/>
      <c r="C6" s="146"/>
      <c r="D6" s="146"/>
      <c r="E6" s="146"/>
      <c r="F6" s="146"/>
      <c r="G6" s="29" t="s">
        <v>77</v>
      </c>
      <c r="H6" s="29" t="s">
        <v>75</v>
      </c>
      <c r="I6" s="29">
        <f>'MERCADO TE'!$U$3</f>
        <v>7558.6610000000001</v>
      </c>
      <c r="J6" s="15"/>
      <c r="L6" s="26">
        <f>'TE BE'!$L$6*'TE BE'!$L$49</f>
        <v>2.4920263424441011E-6</v>
      </c>
      <c r="M6" s="26">
        <f>'TE BE'!$M$6*'TE BE'!$M$49</f>
        <v>1.2128446024695703</v>
      </c>
      <c r="N6" s="26">
        <f>'TE BE'!$N$6*'TE BE'!$N$49</f>
        <v>0</v>
      </c>
      <c r="O6" s="26">
        <f>'TE BE'!$O$6*'TE BE'!$O$49</f>
        <v>0</v>
      </c>
      <c r="P6" s="26">
        <f>'TE BE'!$P$6*'TE BE'!$P$49</f>
        <v>0</v>
      </c>
      <c r="Q6" s="26">
        <f>SUM($L$6:$P$6)</f>
        <v>1.2128470944959127</v>
      </c>
      <c r="R6" s="26">
        <f>'TE BE'!$R$6*'TE BE'!$R$49</f>
        <v>-2.7577226071663108</v>
      </c>
      <c r="S6" s="26">
        <f>SUM($R$6:$R$6)</f>
        <v>-2.7577226071663108</v>
      </c>
      <c r="T6" s="26">
        <f>'TE BE'!$T$6*'TE BE'!$T$49</f>
        <v>0.886690099780992</v>
      </c>
      <c r="U6" s="26">
        <f>'TE BE'!$U$6*'TE BE'!$U$49</f>
        <v>0.96258762945720244</v>
      </c>
      <c r="V6" s="26">
        <f>'TE BE'!$V$6*'TE BE'!$V$49</f>
        <v>0</v>
      </c>
      <c r="W6" s="26">
        <f>SUM($T$6:$V$6)</f>
        <v>1.8492777292381946</v>
      </c>
      <c r="X6" s="26">
        <f>'TE BE'!$AB$6*'TE BE'!$X$49</f>
        <v>-58.350793426164429</v>
      </c>
      <c r="Y6" s="26">
        <f>SUM($X$6:$X$6)</f>
        <v>-58.350793426164429</v>
      </c>
      <c r="Z6" s="26">
        <f>'TE BE'!$Z$6*'TE BE'!$Z$49</f>
        <v>-7.6530785742854671E-2</v>
      </c>
      <c r="AA6" s="26">
        <f>SUM($Z$6:$Z$6)</f>
        <v>-7.6530785742854671E-2</v>
      </c>
      <c r="AB6" s="26">
        <f>SUMIF($L$4:$AA$4,"SUBTOTAL",$L$6:$AA$6)</f>
        <v>-58.122921995339489</v>
      </c>
    </row>
    <row r="7" spans="1:28" ht="11.25" customHeight="1" x14ac:dyDescent="0.25">
      <c r="A7" s="146"/>
      <c r="B7" s="28" t="s">
        <v>78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79</v>
      </c>
      <c r="H7" s="29" t="s">
        <v>75</v>
      </c>
      <c r="I7" s="29">
        <f>'MERCADO TE'!$U$4</f>
        <v>0</v>
      </c>
      <c r="J7" s="15"/>
      <c r="L7" s="26">
        <f>'TE BE'!$L$7*'TE BE'!$L$49</f>
        <v>2.4920263424441011E-6</v>
      </c>
      <c r="M7" s="26">
        <f>'TE BE'!$M$7*'TE BE'!$M$49</f>
        <v>1.2128446024695703</v>
      </c>
      <c r="N7" s="26">
        <f>'TE BE'!$N$7*'TE BE'!$N$49</f>
        <v>0</v>
      </c>
      <c r="O7" s="26">
        <f>'TE BE'!$O$7*'TE BE'!$O$49</f>
        <v>0</v>
      </c>
      <c r="P7" s="26">
        <f>'TE BE'!$P$7*'TE BE'!$P$49</f>
        <v>0</v>
      </c>
      <c r="Q7" s="26">
        <f>SUM($L$7:$P$7)</f>
        <v>1.2128470944959127</v>
      </c>
      <c r="R7" s="26">
        <f>'TE BE'!$R$7*'TE BE'!$R$49</f>
        <v>-2.9231859635962891</v>
      </c>
      <c r="S7" s="26">
        <f>SUM($R$7:$R$7)</f>
        <v>-2.9231859635962891</v>
      </c>
      <c r="T7" s="26">
        <f>'TE BE'!$T$7*'TE BE'!$T$49</f>
        <v>0.886690099780992</v>
      </c>
      <c r="U7" s="26">
        <f>'TE BE'!$U$7*'TE BE'!$U$49</f>
        <v>0.96258762945720244</v>
      </c>
      <c r="V7" s="26">
        <f>'TE BE'!$V$7*'TE BE'!$V$49</f>
        <v>0</v>
      </c>
      <c r="W7" s="26">
        <f>SUM($T$7:$V$7)</f>
        <v>1.8492777292381946</v>
      </c>
      <c r="X7" s="26">
        <f>'TE BE'!$AB$7*'TE BE'!$X$49</f>
        <v>-61.483756065951837</v>
      </c>
      <c r="Y7" s="26">
        <f>SUM($X$7:$X$7)</f>
        <v>-61.483756065951837</v>
      </c>
      <c r="Z7" s="26">
        <f>'TE BE'!$Z$7*'TE BE'!$Z$49</f>
        <v>-7.6530785742854671E-2</v>
      </c>
      <c r="AA7" s="26">
        <f>SUM($Z$7:$Z$7)</f>
        <v>-7.6530785742854671E-2</v>
      </c>
      <c r="AB7" s="26">
        <f>SUMIF($L$4:$AA$4,"SUBTOTAL",$L$7:$AA$7)</f>
        <v>-61.421347991556871</v>
      </c>
    </row>
    <row r="8" spans="1:28" ht="11.25" customHeight="1" x14ac:dyDescent="0.25">
      <c r="A8" s="146" t="s">
        <v>22</v>
      </c>
      <c r="B8" s="146" t="s">
        <v>74</v>
      </c>
      <c r="C8" s="146" t="s">
        <v>24</v>
      </c>
      <c r="D8" s="146" t="s">
        <v>24</v>
      </c>
      <c r="E8" s="146" t="s">
        <v>25</v>
      </c>
      <c r="F8" s="146" t="s">
        <v>25</v>
      </c>
      <c r="G8" s="29" t="s">
        <v>76</v>
      </c>
      <c r="H8" s="29" t="s">
        <v>75</v>
      </c>
      <c r="I8" s="29">
        <f>'MERCADO TE'!$U$5</f>
        <v>0.17000000000000004</v>
      </c>
      <c r="J8" s="15"/>
      <c r="L8" s="26">
        <f>'TE BE'!$L$8*'TE BE'!$L$49</f>
        <v>2.4920263424441011E-6</v>
      </c>
      <c r="M8" s="26">
        <f>'TE BE'!$M$8*'TE BE'!$M$49</f>
        <v>1.2128446024695703</v>
      </c>
      <c r="N8" s="26">
        <f>'TE BE'!$N$8*'TE BE'!$N$49</f>
        <v>0</v>
      </c>
      <c r="O8" s="26">
        <f>'TE BE'!$O$8*'TE BE'!$O$49</f>
        <v>0</v>
      </c>
      <c r="P8" s="26">
        <f>'TE BE'!$P$8*'TE BE'!$P$49</f>
        <v>0</v>
      </c>
      <c r="Q8" s="26">
        <f>SUM($L$8:$P$8)</f>
        <v>1.2128470944959127</v>
      </c>
      <c r="R8" s="26">
        <f>'TE BE'!$R$8*'TE BE'!$R$49</f>
        <v>-4.7432828843260548</v>
      </c>
      <c r="S8" s="26">
        <f>SUM($R$8:$R$8)</f>
        <v>-4.7432828843260548</v>
      </c>
      <c r="T8" s="26">
        <f>'TE BE'!$T$8*'TE BE'!$T$49</f>
        <v>0.886690099780992</v>
      </c>
      <c r="U8" s="26">
        <f>'TE BE'!$U$8*'TE BE'!$U$49</f>
        <v>0.96258762945720244</v>
      </c>
      <c r="V8" s="26">
        <f>'TE BE'!$V$8*'TE BE'!$V$49</f>
        <v>0</v>
      </c>
      <c r="W8" s="26">
        <f>SUM($T$8:$V$8)</f>
        <v>1.8492777292381946</v>
      </c>
      <c r="X8" s="26">
        <f>'TE BE'!$AB$8*'TE BE'!$X$49</f>
        <v>-95.946345103613325</v>
      </c>
      <c r="Y8" s="26">
        <f>SUM($X$8:$X$8)</f>
        <v>-95.946345103613325</v>
      </c>
      <c r="Z8" s="26">
        <f>'TE BE'!$Z$8*'TE BE'!$Z$49</f>
        <v>-7.6530785742854671E-2</v>
      </c>
      <c r="AA8" s="26">
        <f>SUM($Z$8:$Z$8)</f>
        <v>-7.6530785742854671E-2</v>
      </c>
      <c r="AB8" s="26">
        <f>SUMIF($L$4:$AA$4,"SUBTOTAL",$L$8:$AA$8)</f>
        <v>-97.704033949948141</v>
      </c>
    </row>
    <row r="9" spans="1:28" ht="11.25" customHeight="1" x14ac:dyDescent="0.25">
      <c r="A9" s="146"/>
      <c r="B9" s="146"/>
      <c r="C9" s="146"/>
      <c r="D9" s="146"/>
      <c r="E9" s="146"/>
      <c r="F9" s="146"/>
      <c r="G9" s="29" t="s">
        <v>88</v>
      </c>
      <c r="H9" s="29" t="s">
        <v>75</v>
      </c>
      <c r="I9" s="29">
        <f>'MERCADO TE'!$U$6</f>
        <v>0.13000000000000003</v>
      </c>
      <c r="J9" s="15"/>
      <c r="L9" s="26">
        <f>'TE BE'!$L$9*'TE BE'!$L$49</f>
        <v>2.4920263424441011E-6</v>
      </c>
      <c r="M9" s="26">
        <f>'TE BE'!$M$9*'TE BE'!$M$49</f>
        <v>1.2128446024695703</v>
      </c>
      <c r="N9" s="26">
        <f>'TE BE'!$N$9*'TE BE'!$N$49</f>
        <v>0</v>
      </c>
      <c r="O9" s="26">
        <f>'TE BE'!$O$9*'TE BE'!$O$49</f>
        <v>0</v>
      </c>
      <c r="P9" s="26">
        <f>'TE BE'!$P$9*'TE BE'!$P$49</f>
        <v>0</v>
      </c>
      <c r="Q9" s="26">
        <f>SUM($L$9:$P$9)</f>
        <v>1.2128470944959127</v>
      </c>
      <c r="R9" s="26">
        <f>'TE BE'!$R$9*'TE BE'!$R$49</f>
        <v>-2.7577226071663108</v>
      </c>
      <c r="S9" s="26">
        <f>SUM($R$9:$R$9)</f>
        <v>-2.7577226071663108</v>
      </c>
      <c r="T9" s="26">
        <f>'TE BE'!$T$9*'TE BE'!$T$49</f>
        <v>0.886690099780992</v>
      </c>
      <c r="U9" s="26">
        <f>'TE BE'!$U$9*'TE BE'!$U$49</f>
        <v>0.96258762945720244</v>
      </c>
      <c r="V9" s="26">
        <f>'TE BE'!$V$9*'TE BE'!$V$49</f>
        <v>0</v>
      </c>
      <c r="W9" s="26">
        <f>SUM($T$9:$V$9)</f>
        <v>1.8492777292381946</v>
      </c>
      <c r="X9" s="26">
        <f>'TE BE'!$AB$9*'TE BE'!$X$49</f>
        <v>-58.350793426164429</v>
      </c>
      <c r="Y9" s="26">
        <f>SUM($X$9:$X$9)</f>
        <v>-58.350793426164429</v>
      </c>
      <c r="Z9" s="26">
        <f>'TE BE'!$Z$9*'TE BE'!$Z$49</f>
        <v>-7.6530785742854671E-2</v>
      </c>
      <c r="AA9" s="26">
        <f>SUM($Z$9:$Z$9)</f>
        <v>-7.6530785742854671E-2</v>
      </c>
      <c r="AB9" s="26">
        <f>SUMIF($L$4:$AA$4,"SUBTOTAL",$L$9:$AA$9)</f>
        <v>-58.122921995339489</v>
      </c>
    </row>
    <row r="10" spans="1:28" ht="11.25" customHeight="1" x14ac:dyDescent="0.25">
      <c r="A10" s="146"/>
      <c r="B10" s="146"/>
      <c r="C10" s="146"/>
      <c r="D10" s="146"/>
      <c r="E10" s="146"/>
      <c r="F10" s="146"/>
      <c r="G10" s="29" t="s">
        <v>77</v>
      </c>
      <c r="H10" s="29" t="s">
        <v>75</v>
      </c>
      <c r="I10" s="29">
        <f>'MERCADO TE'!$U$7</f>
        <v>2.4539999999999997</v>
      </c>
      <c r="J10" s="15"/>
      <c r="L10" s="26">
        <f>'TE BE'!$L$10*'TE BE'!$L$49</f>
        <v>2.4920263424441011E-6</v>
      </c>
      <c r="M10" s="26">
        <f>'TE BE'!$M$10*'TE BE'!$M$49</f>
        <v>1.2128446024695703</v>
      </c>
      <c r="N10" s="26">
        <f>'TE BE'!$N$10*'TE BE'!$N$49</f>
        <v>0</v>
      </c>
      <c r="O10" s="26">
        <f>'TE BE'!$O$10*'TE BE'!$O$49</f>
        <v>0</v>
      </c>
      <c r="P10" s="26">
        <f>'TE BE'!$P$10*'TE BE'!$P$49</f>
        <v>0</v>
      </c>
      <c r="Q10" s="26">
        <f>SUM($L$10:$P$10)</f>
        <v>1.2128470944959127</v>
      </c>
      <c r="R10" s="26">
        <f>'TE BE'!$R$10*'TE BE'!$R$49</f>
        <v>-2.7577226071663108</v>
      </c>
      <c r="S10" s="26">
        <f>SUM($R$10:$R$10)</f>
        <v>-2.7577226071663108</v>
      </c>
      <c r="T10" s="26">
        <f>'TE BE'!$T$10*'TE BE'!$T$49</f>
        <v>0.886690099780992</v>
      </c>
      <c r="U10" s="26">
        <f>'TE BE'!$U$10*'TE BE'!$U$49</f>
        <v>0.96258762945720244</v>
      </c>
      <c r="V10" s="26">
        <f>'TE BE'!$V$10*'TE BE'!$V$49</f>
        <v>0</v>
      </c>
      <c r="W10" s="26">
        <f>SUM($T$10:$V$10)</f>
        <v>1.8492777292381946</v>
      </c>
      <c r="X10" s="26">
        <f>'TE BE'!$AB$10*'TE BE'!$X$49</f>
        <v>-58.350793426164429</v>
      </c>
      <c r="Y10" s="26">
        <f>SUM($X$10:$X$10)</f>
        <v>-58.350793426164429</v>
      </c>
      <c r="Z10" s="26">
        <f>'TE BE'!$Z$10*'TE BE'!$Z$49</f>
        <v>-7.6530785742854671E-2</v>
      </c>
      <c r="AA10" s="26">
        <f>SUM($Z$10:$Z$10)</f>
        <v>-7.6530785742854671E-2</v>
      </c>
      <c r="AB10" s="26">
        <f>SUMIF($L$4:$AA$4,"SUBTOTAL",$L$10:$AA$10)</f>
        <v>-58.122921995339489</v>
      </c>
    </row>
    <row r="11" spans="1:28" ht="11.25" customHeight="1" x14ac:dyDescent="0.25">
      <c r="A11" s="146"/>
      <c r="B11" s="146" t="s">
        <v>78</v>
      </c>
      <c r="C11" s="146" t="s">
        <v>24</v>
      </c>
      <c r="D11" s="28" t="s">
        <v>24</v>
      </c>
      <c r="E11" s="28" t="s">
        <v>25</v>
      </c>
      <c r="F11" s="28" t="s">
        <v>25</v>
      </c>
      <c r="G11" s="29" t="s">
        <v>79</v>
      </c>
      <c r="H11" s="29" t="s">
        <v>75</v>
      </c>
      <c r="I11" s="29">
        <f>'MERCADO TE'!$U$8</f>
        <v>10574.981000000002</v>
      </c>
      <c r="J11" s="15"/>
      <c r="L11" s="26">
        <f>'TE BE'!$L$11*'TE BE'!$L$49</f>
        <v>2.4920263424441011E-6</v>
      </c>
      <c r="M11" s="26">
        <f>'TE BE'!$M$11*'TE BE'!$M$49</f>
        <v>1.2128446024695703</v>
      </c>
      <c r="N11" s="26">
        <f>'TE BE'!$N$11*'TE BE'!$N$49</f>
        <v>0</v>
      </c>
      <c r="O11" s="26">
        <f>'TE BE'!$O$11*'TE BE'!$O$49</f>
        <v>0</v>
      </c>
      <c r="P11" s="26">
        <f>'TE BE'!$P$11*'TE BE'!$P$49</f>
        <v>0</v>
      </c>
      <c r="Q11" s="26">
        <f>SUM($L$11:$P$11)</f>
        <v>1.2128470944959127</v>
      </c>
      <c r="R11" s="26">
        <f>'TE BE'!$R$11*'TE BE'!$R$49</f>
        <v>-2.9231859635962891</v>
      </c>
      <c r="S11" s="26">
        <f>SUM($R$11:$R$11)</f>
        <v>-2.9231859635962891</v>
      </c>
      <c r="T11" s="26">
        <f>'TE BE'!$T$11*'TE BE'!$T$49</f>
        <v>0.886690099780992</v>
      </c>
      <c r="U11" s="26">
        <f>'TE BE'!$U$11*'TE BE'!$U$49</f>
        <v>0.96258762945720244</v>
      </c>
      <c r="V11" s="26">
        <f>'TE BE'!$V$11*'TE BE'!$V$49</f>
        <v>0</v>
      </c>
      <c r="W11" s="26">
        <f>SUM($T$11:$V$11)</f>
        <v>1.8492777292381946</v>
      </c>
      <c r="X11" s="26">
        <f>'TE BE'!$AB$11*'TE BE'!$X$49</f>
        <v>-61.483756065951837</v>
      </c>
      <c r="Y11" s="26">
        <f>SUM($X$11:$X$11)</f>
        <v>-61.483756065951837</v>
      </c>
      <c r="Z11" s="26">
        <f>'TE BE'!$Z$11*'TE BE'!$Z$49</f>
        <v>-7.6530785742854671E-2</v>
      </c>
      <c r="AA11" s="26">
        <f>SUM($Z$11:$Z$11)</f>
        <v>-7.6530785742854671E-2</v>
      </c>
      <c r="AB11" s="26">
        <f>SUMIF($L$4:$AA$4,"SUBTOTAL",$L$11:$AA$11)</f>
        <v>-61.421347991556871</v>
      </c>
    </row>
    <row r="12" spans="1:28" ht="11.25" customHeight="1" x14ac:dyDescent="0.25">
      <c r="A12" s="146"/>
      <c r="B12" s="146"/>
      <c r="C12" s="146"/>
      <c r="D12" s="28" t="s">
        <v>28</v>
      </c>
      <c r="E12" s="28" t="s">
        <v>25</v>
      </c>
      <c r="F12" s="28" t="s">
        <v>25</v>
      </c>
      <c r="G12" s="29" t="s">
        <v>79</v>
      </c>
      <c r="H12" s="29" t="s">
        <v>75</v>
      </c>
      <c r="I12" s="29">
        <f>'MERCADO TE'!$U$9</f>
        <v>204.62</v>
      </c>
      <c r="J12" s="15"/>
      <c r="L12" s="26">
        <f>'TE BE'!$L$12*'TE BE'!$L$49</f>
        <v>2.4920263424441011E-6</v>
      </c>
      <c r="M12" s="26">
        <f>'TE BE'!$M$12*'TE BE'!$M$49</f>
        <v>1.2128446024695703</v>
      </c>
      <c r="N12" s="26">
        <f>'TE BE'!$N$12*'TE BE'!$N$49</f>
        <v>0</v>
      </c>
      <c r="O12" s="26">
        <f>'TE BE'!$O$12*'TE BE'!$O$49</f>
        <v>0</v>
      </c>
      <c r="P12" s="26">
        <f>'TE BE'!$P$12*'TE BE'!$P$49</f>
        <v>0</v>
      </c>
      <c r="Q12" s="26">
        <f>SUM($L$12:$P$12)</f>
        <v>1.2128470944959127</v>
      </c>
      <c r="R12" s="26">
        <f>'TE BE'!$R$12*'TE BE'!$R$49</f>
        <v>-2.9231859635962891</v>
      </c>
      <c r="S12" s="26">
        <f>SUM($R$12:$R$12)</f>
        <v>-2.9231859635962891</v>
      </c>
      <c r="T12" s="26">
        <f>'TE BE'!$T$12*'TE BE'!$T$49</f>
        <v>0.886690099780992</v>
      </c>
      <c r="U12" s="26">
        <f>'TE BE'!$U$12*'TE BE'!$U$49</f>
        <v>0.96258762945720244</v>
      </c>
      <c r="V12" s="26">
        <f>'TE BE'!$V$12*'TE BE'!$V$49</f>
        <v>0</v>
      </c>
      <c r="W12" s="26">
        <f>SUM($T$12:$V$12)</f>
        <v>1.8492777292381946</v>
      </c>
      <c r="X12" s="26">
        <f>'TE BE'!$AB$12*'TE BE'!$X$49</f>
        <v>-61.483756065951837</v>
      </c>
      <c r="Y12" s="26">
        <f>SUM($X$12:$X$12)</f>
        <v>-61.483756065951837</v>
      </c>
      <c r="Z12" s="26">
        <f>'TE BE'!$Z$12*'TE BE'!$Z$49</f>
        <v>-7.6530785742854671E-2</v>
      </c>
      <c r="AA12" s="26">
        <f>SUM($Z$12:$Z$12)</f>
        <v>-7.6530785742854671E-2</v>
      </c>
      <c r="AB12" s="26">
        <f>SUMIF($L$4:$AA$4,"SUBTOTAL",$L$12:$AA$12)</f>
        <v>-61.421347991556871</v>
      </c>
    </row>
    <row r="13" spans="1:28" ht="11.25" customHeight="1" x14ac:dyDescent="0.25">
      <c r="A13" s="146"/>
      <c r="B13" s="146"/>
      <c r="C13" s="146"/>
      <c r="D13" s="28" t="s">
        <v>29</v>
      </c>
      <c r="E13" s="28" t="s">
        <v>25</v>
      </c>
      <c r="F13" s="28" t="s">
        <v>25</v>
      </c>
      <c r="G13" s="29" t="s">
        <v>79</v>
      </c>
      <c r="H13" s="29" t="s">
        <v>75</v>
      </c>
      <c r="I13" s="29">
        <f>'MERCADO TE'!$U$10</f>
        <v>376.553</v>
      </c>
      <c r="J13" s="15"/>
      <c r="L13" s="26">
        <f>'TE BE'!$L$13*'TE BE'!$L$49</f>
        <v>2.4920263424441011E-6</v>
      </c>
      <c r="M13" s="26">
        <f>'TE BE'!$M$13*'TE BE'!$M$49</f>
        <v>1.2128446024695703</v>
      </c>
      <c r="N13" s="26">
        <f>'TE BE'!$N$13*'TE BE'!$N$49</f>
        <v>0</v>
      </c>
      <c r="O13" s="26">
        <f>'TE BE'!$O$13*'TE BE'!$O$49</f>
        <v>0</v>
      </c>
      <c r="P13" s="26">
        <f>'TE BE'!$P$13*'TE BE'!$P$49</f>
        <v>0</v>
      </c>
      <c r="Q13" s="26">
        <f>SUM($L$13:$P$13)</f>
        <v>1.2128470944959127</v>
      </c>
      <c r="R13" s="26">
        <f>'TE BE'!$R$13*'TE BE'!$R$49</f>
        <v>-2.9231859635962891</v>
      </c>
      <c r="S13" s="26">
        <f>SUM($R$13:$R$13)</f>
        <v>-2.9231859635962891</v>
      </c>
      <c r="T13" s="26">
        <f>'TE BE'!$T$13*'TE BE'!$T$49</f>
        <v>0.886690099780992</v>
      </c>
      <c r="U13" s="26">
        <f>'TE BE'!$U$13*'TE BE'!$U$49</f>
        <v>0.96258762945720244</v>
      </c>
      <c r="V13" s="26">
        <f>'TE BE'!$V$13*'TE BE'!$V$49</f>
        <v>0</v>
      </c>
      <c r="W13" s="26">
        <f>SUM($T$13:$V$13)</f>
        <v>1.8492777292381946</v>
      </c>
      <c r="X13" s="26">
        <f>'TE BE'!$AB$13*'TE BE'!$X$49</f>
        <v>-61.483756065951837</v>
      </c>
      <c r="Y13" s="26">
        <f>SUM($X$13:$X$13)</f>
        <v>-61.483756065951837</v>
      </c>
      <c r="Z13" s="26">
        <f>'TE BE'!$Z$13*'TE BE'!$Z$49</f>
        <v>-7.6530785742854671E-2</v>
      </c>
      <c r="AA13" s="26">
        <f>SUM($Z$13:$Z$13)</f>
        <v>-7.6530785742854671E-2</v>
      </c>
      <c r="AB13" s="26">
        <f>SUMIF($L$4:$AA$4,"SUBTOTAL",$L$13:$AA$13)</f>
        <v>-61.421347991556871</v>
      </c>
    </row>
    <row r="14" spans="1:28" ht="11.25" customHeight="1" x14ac:dyDescent="0.25">
      <c r="A14" s="146"/>
      <c r="B14" s="146"/>
      <c r="C14" s="146"/>
      <c r="D14" s="28" t="s">
        <v>30</v>
      </c>
      <c r="E14" s="28" t="s">
        <v>25</v>
      </c>
      <c r="F14" s="28" t="s">
        <v>25</v>
      </c>
      <c r="G14" s="29" t="s">
        <v>79</v>
      </c>
      <c r="H14" s="29" t="s">
        <v>75</v>
      </c>
      <c r="I14" s="29">
        <f>'MERCADO TE'!$U$11</f>
        <v>166.29699999999997</v>
      </c>
      <c r="J14" s="15"/>
      <c r="L14" s="26">
        <f>'TE BE'!$L$14*'TE BE'!$L$49</f>
        <v>2.4920263424441011E-6</v>
      </c>
      <c r="M14" s="26">
        <f>'TE BE'!$M$14*'TE BE'!$M$49</f>
        <v>1.2128446024695703</v>
      </c>
      <c r="N14" s="26">
        <f>'TE BE'!$N$14*'TE BE'!$N$49</f>
        <v>0</v>
      </c>
      <c r="O14" s="26">
        <f>'TE BE'!$O$14*'TE BE'!$O$49</f>
        <v>0</v>
      </c>
      <c r="P14" s="26">
        <f>'TE BE'!$P$14*'TE BE'!$P$49</f>
        <v>0</v>
      </c>
      <c r="Q14" s="26">
        <f>SUM($L$14:$P$14)</f>
        <v>1.2128470944959127</v>
      </c>
      <c r="R14" s="26">
        <f>'TE BE'!$R$14*'TE BE'!$R$49</f>
        <v>-2.9231859635962891</v>
      </c>
      <c r="S14" s="26">
        <f>SUM($R$14:$R$14)</f>
        <v>-2.9231859635962891</v>
      </c>
      <c r="T14" s="26">
        <f>'TE BE'!$T$14*'TE BE'!$T$49</f>
        <v>0.886690099780992</v>
      </c>
      <c r="U14" s="26">
        <f>'TE BE'!$U$14*'TE BE'!$U$49</f>
        <v>0.96258762945720244</v>
      </c>
      <c r="V14" s="26">
        <f>'TE BE'!$V$14*'TE BE'!$V$49</f>
        <v>0</v>
      </c>
      <c r="W14" s="26">
        <f>SUM($T$14:$V$14)</f>
        <v>1.8492777292381946</v>
      </c>
      <c r="X14" s="26">
        <f>'TE BE'!$AB$14*'TE BE'!$X$49</f>
        <v>-61.483756065951837</v>
      </c>
      <c r="Y14" s="26">
        <f>SUM($X$14:$X$14)</f>
        <v>-61.483756065951837</v>
      </c>
      <c r="Z14" s="26">
        <f>'TE BE'!$Z$14*'TE BE'!$Z$49</f>
        <v>-7.6530785742854671E-2</v>
      </c>
      <c r="AA14" s="26">
        <f>SUM($Z$14:$Z$14)</f>
        <v>-7.6530785742854671E-2</v>
      </c>
      <c r="AB14" s="26">
        <f>SUMIF($L$4:$AA$4,"SUBTOTAL",$L$14:$AA$14)</f>
        <v>-61.421347991556871</v>
      </c>
    </row>
    <row r="15" spans="1:28" ht="11.25" customHeight="1" x14ac:dyDescent="0.25">
      <c r="A15" s="146"/>
      <c r="B15" s="146"/>
      <c r="C15" s="146"/>
      <c r="D15" s="28" t="s">
        <v>31</v>
      </c>
      <c r="E15" s="28" t="s">
        <v>25</v>
      </c>
      <c r="F15" s="28" t="s">
        <v>25</v>
      </c>
      <c r="G15" s="29" t="s">
        <v>79</v>
      </c>
      <c r="H15" s="29" t="s">
        <v>75</v>
      </c>
      <c r="I15" s="29">
        <f>'MERCADO TE'!$U$12</f>
        <v>17.806999999999999</v>
      </c>
      <c r="J15" s="15"/>
      <c r="L15" s="26">
        <f>'TE BE'!$L$15*'TE BE'!$L$49</f>
        <v>2.4920263424441011E-6</v>
      </c>
      <c r="M15" s="26">
        <f>'TE BE'!$M$15*'TE BE'!$M$49</f>
        <v>1.2128446024695703</v>
      </c>
      <c r="N15" s="26">
        <f>'TE BE'!$N$15*'TE BE'!$N$49</f>
        <v>0</v>
      </c>
      <c r="O15" s="26">
        <f>'TE BE'!$O$15*'TE BE'!$O$49</f>
        <v>0</v>
      </c>
      <c r="P15" s="26">
        <f>'TE BE'!$P$15*'TE BE'!$P$49</f>
        <v>0</v>
      </c>
      <c r="Q15" s="26">
        <f>SUM($L$15:$P$15)</f>
        <v>1.2128470944959127</v>
      </c>
      <c r="R15" s="26">
        <f>'TE BE'!$R$15*'TE BE'!$R$49</f>
        <v>-2.9231859635962891</v>
      </c>
      <c r="S15" s="26">
        <f>SUM($R$15:$R$15)</f>
        <v>-2.9231859635962891</v>
      </c>
      <c r="T15" s="26">
        <f>'TE BE'!$T$15*'TE BE'!$T$49</f>
        <v>0.886690099780992</v>
      </c>
      <c r="U15" s="26">
        <f>'TE BE'!$U$15*'TE BE'!$U$49</f>
        <v>0.96258762945720244</v>
      </c>
      <c r="V15" s="26">
        <f>'TE BE'!$V$15*'TE BE'!$V$49</f>
        <v>0</v>
      </c>
      <c r="W15" s="26">
        <f>SUM($T$15:$V$15)</f>
        <v>1.8492777292381946</v>
      </c>
      <c r="X15" s="26">
        <f>'TE BE'!$AB$15*'TE BE'!$X$49</f>
        <v>-61.483756065951837</v>
      </c>
      <c r="Y15" s="26">
        <f>SUM($X$15:$X$15)</f>
        <v>-61.483756065951837</v>
      </c>
      <c r="Z15" s="26">
        <f>'TE BE'!$Z$15*'TE BE'!$Z$49</f>
        <v>-7.6530785742854671E-2</v>
      </c>
      <c r="AA15" s="26">
        <f>SUM($Z$15:$Z$15)</f>
        <v>-7.6530785742854671E-2</v>
      </c>
      <c r="AB15" s="26">
        <f>SUMIF($L$4:$AA$4,"SUBTOTAL",$L$15:$AA$15)</f>
        <v>-61.421347991556871</v>
      </c>
    </row>
    <row r="16" spans="1:28" ht="11.25" customHeight="1" x14ac:dyDescent="0.25">
      <c r="A16" s="146"/>
      <c r="B16" s="146" t="s">
        <v>89</v>
      </c>
      <c r="C16" s="146" t="s">
        <v>24</v>
      </c>
      <c r="D16" s="28" t="s">
        <v>24</v>
      </c>
      <c r="E16" s="28" t="s">
        <v>25</v>
      </c>
      <c r="F16" s="28" t="s">
        <v>25</v>
      </c>
      <c r="G16" s="29" t="s">
        <v>79</v>
      </c>
      <c r="H16" s="29" t="s">
        <v>75</v>
      </c>
      <c r="I16" s="29">
        <f>'MERCADO TE'!$U$13</f>
        <v>0</v>
      </c>
      <c r="J16" s="15"/>
      <c r="L16" s="26">
        <f>'TE BE'!$L$16*'TE BE'!$L$49</f>
        <v>2.4920263424441011E-6</v>
      </c>
      <c r="M16" s="26">
        <f>'TE BE'!$M$16*'TE BE'!$M$49</f>
        <v>1.2128446024695703</v>
      </c>
      <c r="N16" s="26">
        <f>'TE BE'!$N$16*'TE BE'!$N$49</f>
        <v>0</v>
      </c>
      <c r="O16" s="26">
        <f>'TE BE'!$O$16*'TE BE'!$O$49</f>
        <v>0</v>
      </c>
      <c r="P16" s="26">
        <f>'TE BE'!$P$16*'TE BE'!$P$49</f>
        <v>0</v>
      </c>
      <c r="Q16" s="26">
        <f>SUM($L$16:$P$16)</f>
        <v>1.2128470944959127</v>
      </c>
      <c r="R16" s="26">
        <f>'TE BE'!$R$16*'TE BE'!$R$49</f>
        <v>-2.9231859635962891</v>
      </c>
      <c r="S16" s="26">
        <f>SUM($R$16:$R$16)</f>
        <v>-2.9231859635962891</v>
      </c>
      <c r="T16" s="26">
        <f>'TE BE'!$T$16*'TE BE'!$T$49</f>
        <v>0.886690099780992</v>
      </c>
      <c r="U16" s="26">
        <f>'TE BE'!$U$16*'TE BE'!$U$49</f>
        <v>0.96258762945720244</v>
      </c>
      <c r="V16" s="26">
        <f>'TE BE'!$V$16*'TE BE'!$V$49</f>
        <v>0</v>
      </c>
      <c r="W16" s="26">
        <f>SUM($T$16:$V$16)</f>
        <v>1.8492777292381946</v>
      </c>
      <c r="X16" s="26">
        <f>'TE BE'!$AB$16*'TE BE'!$X$49</f>
        <v>-61.483756065951837</v>
      </c>
      <c r="Y16" s="26">
        <f>SUM($X$16:$X$16)</f>
        <v>-61.483756065951837</v>
      </c>
      <c r="Z16" s="26">
        <f>'TE BE'!$Z$16*'TE BE'!$Z$49</f>
        <v>-7.6530785742854671E-2</v>
      </c>
      <c r="AA16" s="26">
        <f>SUM($Z$16:$Z$16)</f>
        <v>-7.6530785742854671E-2</v>
      </c>
      <c r="AB16" s="26">
        <f>SUMIF($L$4:$AA$4,"SUBTOTAL",$L$16:$AA$16)</f>
        <v>-61.421347991556871</v>
      </c>
    </row>
    <row r="17" spans="1:28" ht="11.25" customHeight="1" x14ac:dyDescent="0.25">
      <c r="A17" s="146"/>
      <c r="B17" s="146"/>
      <c r="C17" s="146"/>
      <c r="D17" s="28" t="s">
        <v>28</v>
      </c>
      <c r="E17" s="28" t="s">
        <v>25</v>
      </c>
      <c r="F17" s="28" t="s">
        <v>25</v>
      </c>
      <c r="G17" s="29" t="s">
        <v>79</v>
      </c>
      <c r="H17" s="29" t="s">
        <v>75</v>
      </c>
      <c r="I17" s="29">
        <f>'MERCADO TE'!$U$14</f>
        <v>0</v>
      </c>
      <c r="J17" s="15"/>
      <c r="L17" s="26">
        <f>'TE BE'!$L$17*'TE BE'!$L$49</f>
        <v>2.4920263424441011E-6</v>
      </c>
      <c r="M17" s="26">
        <f>'TE BE'!$M$17*'TE BE'!$M$49</f>
        <v>1.2128446024695703</v>
      </c>
      <c r="N17" s="26">
        <f>'TE BE'!$N$17*'TE BE'!$N$49</f>
        <v>0</v>
      </c>
      <c r="O17" s="26">
        <f>'TE BE'!$O$17*'TE BE'!$O$49</f>
        <v>0</v>
      </c>
      <c r="P17" s="26">
        <f>'TE BE'!$P$17*'TE BE'!$P$49</f>
        <v>0</v>
      </c>
      <c r="Q17" s="26">
        <f>SUM($L$17:$P$17)</f>
        <v>1.2128470944959127</v>
      </c>
      <c r="R17" s="26">
        <f>'TE BE'!$R$17*'TE BE'!$R$49</f>
        <v>-2.9231859635962891</v>
      </c>
      <c r="S17" s="26">
        <f>SUM($R$17:$R$17)</f>
        <v>-2.9231859635962891</v>
      </c>
      <c r="T17" s="26">
        <f>'TE BE'!$T$17*'TE BE'!$T$49</f>
        <v>0.886690099780992</v>
      </c>
      <c r="U17" s="26">
        <f>'TE BE'!$U$17*'TE BE'!$U$49</f>
        <v>0.96258762945720244</v>
      </c>
      <c r="V17" s="26">
        <f>'TE BE'!$V$17*'TE BE'!$V$49</f>
        <v>0</v>
      </c>
      <c r="W17" s="26">
        <f>SUM($T$17:$V$17)</f>
        <v>1.8492777292381946</v>
      </c>
      <c r="X17" s="26">
        <f>'TE BE'!$AB$17*'TE BE'!$X$49</f>
        <v>-61.483756065951837</v>
      </c>
      <c r="Y17" s="26">
        <f>SUM($X$17:$X$17)</f>
        <v>-61.483756065951837</v>
      </c>
      <c r="Z17" s="26">
        <f>'TE BE'!$Z$17*'TE BE'!$Z$49</f>
        <v>-7.6530785742854671E-2</v>
      </c>
      <c r="AA17" s="26">
        <f>SUM($Z$17:$Z$17)</f>
        <v>-7.6530785742854671E-2</v>
      </c>
      <c r="AB17" s="26">
        <f>SUMIF($L$4:$AA$4,"SUBTOTAL",$L$17:$AA$17)</f>
        <v>-61.421347991556871</v>
      </c>
    </row>
    <row r="18" spans="1:28" ht="11.25" customHeight="1" x14ac:dyDescent="0.25">
      <c r="A18" s="146"/>
      <c r="B18" s="146"/>
      <c r="C18" s="146"/>
      <c r="D18" s="28" t="s">
        <v>29</v>
      </c>
      <c r="E18" s="28" t="s">
        <v>25</v>
      </c>
      <c r="F18" s="28" t="s">
        <v>25</v>
      </c>
      <c r="G18" s="29" t="s">
        <v>79</v>
      </c>
      <c r="H18" s="29" t="s">
        <v>75</v>
      </c>
      <c r="I18" s="29">
        <f>'MERCADO TE'!$U$15</f>
        <v>0</v>
      </c>
      <c r="J18" s="15"/>
      <c r="L18" s="26">
        <f>'TE BE'!$L$18*'TE BE'!$L$49</f>
        <v>2.4920263424441011E-6</v>
      </c>
      <c r="M18" s="26">
        <f>'TE BE'!$M$18*'TE BE'!$M$49</f>
        <v>1.2128446024695703</v>
      </c>
      <c r="N18" s="26">
        <f>'TE BE'!$N$18*'TE BE'!$N$49</f>
        <v>0</v>
      </c>
      <c r="O18" s="26">
        <f>'TE BE'!$O$18*'TE BE'!$O$49</f>
        <v>0</v>
      </c>
      <c r="P18" s="26">
        <f>'TE BE'!$P$18*'TE BE'!$P$49</f>
        <v>0</v>
      </c>
      <c r="Q18" s="26">
        <f>SUM($L$18:$P$18)</f>
        <v>1.2128470944959127</v>
      </c>
      <c r="R18" s="26">
        <f>'TE BE'!$R$18*'TE BE'!$R$49</f>
        <v>-2.9231859635962891</v>
      </c>
      <c r="S18" s="26">
        <f>SUM($R$18:$R$18)</f>
        <v>-2.9231859635962891</v>
      </c>
      <c r="T18" s="26">
        <f>'TE BE'!$T$18*'TE BE'!$T$49</f>
        <v>0.886690099780992</v>
      </c>
      <c r="U18" s="26">
        <f>'TE BE'!$U$18*'TE BE'!$U$49</f>
        <v>0.96258762945720244</v>
      </c>
      <c r="V18" s="26">
        <f>'TE BE'!$V$18*'TE BE'!$V$49</f>
        <v>0</v>
      </c>
      <c r="W18" s="26">
        <f>SUM($T$18:$V$18)</f>
        <v>1.8492777292381946</v>
      </c>
      <c r="X18" s="26">
        <f>'TE BE'!$AB$18*'TE BE'!$X$49</f>
        <v>-61.483756065951837</v>
      </c>
      <c r="Y18" s="26">
        <f>SUM($X$18:$X$18)</f>
        <v>-61.483756065951837</v>
      </c>
      <c r="Z18" s="26">
        <f>'TE BE'!$Z$18*'TE BE'!$Z$49</f>
        <v>-7.6530785742854671E-2</v>
      </c>
      <c r="AA18" s="26">
        <f>SUM($Z$18:$Z$18)</f>
        <v>-7.6530785742854671E-2</v>
      </c>
      <c r="AB18" s="26">
        <f>SUMIF($L$4:$AA$4,"SUBTOTAL",$L$18:$AA$18)</f>
        <v>-61.421347991556871</v>
      </c>
    </row>
    <row r="19" spans="1:28" ht="11.25" customHeight="1" x14ac:dyDescent="0.25">
      <c r="A19" s="146"/>
      <c r="B19" s="146"/>
      <c r="C19" s="146"/>
      <c r="D19" s="28" t="s">
        <v>30</v>
      </c>
      <c r="E19" s="28" t="s">
        <v>25</v>
      </c>
      <c r="F19" s="28" t="s">
        <v>25</v>
      </c>
      <c r="G19" s="29" t="s">
        <v>79</v>
      </c>
      <c r="H19" s="29" t="s">
        <v>75</v>
      </c>
      <c r="I19" s="29">
        <f>'MERCADO TE'!$U$16</f>
        <v>0</v>
      </c>
      <c r="J19" s="15"/>
      <c r="L19" s="26">
        <f>'TE BE'!$L$19*'TE BE'!$L$49</f>
        <v>2.4920263424441011E-6</v>
      </c>
      <c r="M19" s="26">
        <f>'TE BE'!$M$19*'TE BE'!$M$49</f>
        <v>1.2128446024695703</v>
      </c>
      <c r="N19" s="26">
        <f>'TE BE'!$N$19*'TE BE'!$N$49</f>
        <v>0</v>
      </c>
      <c r="O19" s="26">
        <f>'TE BE'!$O$19*'TE BE'!$O$49</f>
        <v>0</v>
      </c>
      <c r="P19" s="26">
        <f>'TE BE'!$P$19*'TE BE'!$P$49</f>
        <v>0</v>
      </c>
      <c r="Q19" s="26">
        <f>SUM($L$19:$P$19)</f>
        <v>1.2128470944959127</v>
      </c>
      <c r="R19" s="26">
        <f>'TE BE'!$R$19*'TE BE'!$R$49</f>
        <v>-2.9231859635962891</v>
      </c>
      <c r="S19" s="26">
        <f>SUM($R$19:$R$19)</f>
        <v>-2.9231859635962891</v>
      </c>
      <c r="T19" s="26">
        <f>'TE BE'!$T$19*'TE BE'!$T$49</f>
        <v>0.886690099780992</v>
      </c>
      <c r="U19" s="26">
        <f>'TE BE'!$U$19*'TE BE'!$U$49</f>
        <v>0.96258762945720244</v>
      </c>
      <c r="V19" s="26">
        <f>'TE BE'!$V$19*'TE BE'!$V$49</f>
        <v>0</v>
      </c>
      <c r="W19" s="26">
        <f>SUM($T$19:$V$19)</f>
        <v>1.8492777292381946</v>
      </c>
      <c r="X19" s="26">
        <f>'TE BE'!$AB$19*'TE BE'!$X$49</f>
        <v>-61.483756065951837</v>
      </c>
      <c r="Y19" s="26">
        <f>SUM($X$19:$X$19)</f>
        <v>-61.483756065951837</v>
      </c>
      <c r="Z19" s="26">
        <f>'TE BE'!$Z$19*'TE BE'!$Z$49</f>
        <v>-7.6530785742854671E-2</v>
      </c>
      <c r="AA19" s="26">
        <f>SUM($Z$19:$Z$19)</f>
        <v>-7.6530785742854671E-2</v>
      </c>
      <c r="AB19" s="26">
        <f>SUMIF($L$4:$AA$4,"SUBTOTAL",$L$19:$AA$19)</f>
        <v>-61.421347991556871</v>
      </c>
    </row>
    <row r="20" spans="1:28" ht="11.25" customHeight="1" x14ac:dyDescent="0.25">
      <c r="A20" s="146"/>
      <c r="B20" s="146"/>
      <c r="C20" s="146"/>
      <c r="D20" s="28" t="s">
        <v>31</v>
      </c>
      <c r="E20" s="28" t="s">
        <v>25</v>
      </c>
      <c r="F20" s="28" t="s">
        <v>25</v>
      </c>
      <c r="G20" s="29" t="s">
        <v>79</v>
      </c>
      <c r="H20" s="29" t="s">
        <v>75</v>
      </c>
      <c r="I20" s="29">
        <f>'MERCADO TE'!$U$17</f>
        <v>0</v>
      </c>
      <c r="J20" s="15"/>
      <c r="L20" s="26">
        <f>'TE BE'!$L$20*'TE BE'!$L$49</f>
        <v>2.4920263424441011E-6</v>
      </c>
      <c r="M20" s="26">
        <f>'TE BE'!$M$20*'TE BE'!$M$49</f>
        <v>1.2128446024695703</v>
      </c>
      <c r="N20" s="26">
        <f>'TE BE'!$N$20*'TE BE'!$N$49</f>
        <v>0</v>
      </c>
      <c r="O20" s="26">
        <f>'TE BE'!$O$20*'TE BE'!$O$49</f>
        <v>0</v>
      </c>
      <c r="P20" s="26">
        <f>'TE BE'!$P$20*'TE BE'!$P$49</f>
        <v>0</v>
      </c>
      <c r="Q20" s="26">
        <f>SUM($L$20:$P$20)</f>
        <v>1.2128470944959127</v>
      </c>
      <c r="R20" s="26">
        <f>'TE BE'!$R$20*'TE BE'!$R$49</f>
        <v>-2.9231859635962891</v>
      </c>
      <c r="S20" s="26">
        <f>SUM($R$20:$R$20)</f>
        <v>-2.9231859635962891</v>
      </c>
      <c r="T20" s="26">
        <f>'TE BE'!$T$20*'TE BE'!$T$49</f>
        <v>0.886690099780992</v>
      </c>
      <c r="U20" s="26">
        <f>'TE BE'!$U$20*'TE BE'!$U$49</f>
        <v>0.96258762945720244</v>
      </c>
      <c r="V20" s="26">
        <f>'TE BE'!$V$20*'TE BE'!$V$49</f>
        <v>0</v>
      </c>
      <c r="W20" s="26">
        <f>SUM($T$20:$V$20)</f>
        <v>1.8492777292381946</v>
      </c>
      <c r="X20" s="26">
        <f>'TE BE'!$AB$20*'TE BE'!$X$49</f>
        <v>-61.483756065951837</v>
      </c>
      <c r="Y20" s="26">
        <f>SUM($X$20:$X$20)</f>
        <v>-61.483756065951837</v>
      </c>
      <c r="Z20" s="26">
        <f>'TE BE'!$Z$20*'TE BE'!$Z$49</f>
        <v>-7.6530785742854671E-2</v>
      </c>
      <c r="AA20" s="26">
        <f>SUM($Z$20:$Z$20)</f>
        <v>-7.6530785742854671E-2</v>
      </c>
      <c r="AB20" s="26">
        <f>SUMIF($L$4:$AA$4,"SUBTOTAL",$L$20:$AA$20)</f>
        <v>-61.421347991556871</v>
      </c>
    </row>
    <row r="21" spans="1:28" ht="11.25" customHeight="1" x14ac:dyDescent="0.25">
      <c r="A21" s="146" t="s">
        <v>41</v>
      </c>
      <c r="B21" s="146" t="s">
        <v>74</v>
      </c>
      <c r="C21" s="146" t="s">
        <v>42</v>
      </c>
      <c r="D21" s="146" t="s">
        <v>25</v>
      </c>
      <c r="E21" s="146" t="s">
        <v>25</v>
      </c>
      <c r="F21" s="146" t="s">
        <v>25</v>
      </c>
      <c r="G21" s="29" t="s">
        <v>76</v>
      </c>
      <c r="H21" s="29" t="s">
        <v>75</v>
      </c>
      <c r="I21" s="29">
        <f>'MERCADO TE'!$U$18</f>
        <v>0</v>
      </c>
      <c r="J21" s="15"/>
      <c r="L21" s="26">
        <f>'TE BE'!$L$21*'TE BE'!$L$49</f>
        <v>2.4920263424441011E-6</v>
      </c>
      <c r="M21" s="26">
        <f>'TE BE'!$M$21*'TE BE'!$M$49</f>
        <v>1.2128446024695703</v>
      </c>
      <c r="N21" s="26">
        <f>'TE BE'!$N$21*'TE BE'!$N$49</f>
        <v>0</v>
      </c>
      <c r="O21" s="26">
        <f>'TE BE'!$O$21*'TE BE'!$O$49</f>
        <v>0</v>
      </c>
      <c r="P21" s="26">
        <f>'TE BE'!$P$21*'TE BE'!$P$49</f>
        <v>0</v>
      </c>
      <c r="Q21" s="26">
        <f>SUM($L$21:$P$21)</f>
        <v>1.2128470944959127</v>
      </c>
      <c r="R21" s="26">
        <f>'TE BE'!$R$21*'TE BE'!$R$49</f>
        <v>-4.7432828843260548</v>
      </c>
      <c r="S21" s="26">
        <f>SUM($R$21:$R$21)</f>
        <v>-4.7432828843260548</v>
      </c>
      <c r="T21" s="26">
        <f>'TE BE'!$T$21*'TE BE'!$T$49</f>
        <v>0.886690099780992</v>
      </c>
      <c r="U21" s="26">
        <f>'TE BE'!$U$21*'TE BE'!$U$49</f>
        <v>0.96258762945720244</v>
      </c>
      <c r="V21" s="26">
        <f>'TE BE'!$V$21*'TE BE'!$V$49</f>
        <v>0</v>
      </c>
      <c r="W21" s="26">
        <f>SUM($T$21:$V$21)</f>
        <v>1.8492777292381946</v>
      </c>
      <c r="X21" s="26">
        <f>'TE BE'!$AB$21*'TE BE'!$X$49</f>
        <v>-95.946345103613325</v>
      </c>
      <c r="Y21" s="26">
        <f>SUM($X$21:$X$21)</f>
        <v>-95.946345103613325</v>
      </c>
      <c r="Z21" s="26">
        <f>'TE BE'!$Z$21*'TE BE'!$Z$49</f>
        <v>-7.6530785742854671E-2</v>
      </c>
      <c r="AA21" s="26">
        <f>SUM($Z$21:$Z$21)</f>
        <v>-7.6530785742854671E-2</v>
      </c>
      <c r="AB21" s="26">
        <f>SUMIF($L$4:$AA$4,"SUBTOTAL",$L$21:$AA$21)</f>
        <v>-97.704033949948141</v>
      </c>
    </row>
    <row r="22" spans="1:28" ht="11.25" customHeight="1" x14ac:dyDescent="0.25">
      <c r="A22" s="146"/>
      <c r="B22" s="146"/>
      <c r="C22" s="146"/>
      <c r="D22" s="146"/>
      <c r="E22" s="146"/>
      <c r="F22" s="146"/>
      <c r="G22" s="29" t="s">
        <v>88</v>
      </c>
      <c r="H22" s="29" t="s">
        <v>75</v>
      </c>
      <c r="I22" s="29">
        <f>'MERCADO TE'!$U$19</f>
        <v>0</v>
      </c>
      <c r="J22" s="15"/>
      <c r="L22" s="26">
        <f>'TE BE'!$L$22*'TE BE'!$L$49</f>
        <v>2.4920263424441011E-6</v>
      </c>
      <c r="M22" s="26">
        <f>'TE BE'!$M$22*'TE BE'!$M$49</f>
        <v>1.2128446024695703</v>
      </c>
      <c r="N22" s="26">
        <f>'TE BE'!$N$22*'TE BE'!$N$49</f>
        <v>0</v>
      </c>
      <c r="O22" s="26">
        <f>'TE BE'!$O$22*'TE BE'!$O$49</f>
        <v>0</v>
      </c>
      <c r="P22" s="26">
        <f>'TE BE'!$P$22*'TE BE'!$P$49</f>
        <v>0</v>
      </c>
      <c r="Q22" s="26">
        <f>SUM($L$22:$P$22)</f>
        <v>1.2128470944959127</v>
      </c>
      <c r="R22" s="26">
        <f>'TE BE'!$R$22*'TE BE'!$R$49</f>
        <v>-2.7577226071663108</v>
      </c>
      <c r="S22" s="26">
        <f>SUM($R$22:$R$22)</f>
        <v>-2.7577226071663108</v>
      </c>
      <c r="T22" s="26">
        <f>'TE BE'!$T$22*'TE BE'!$T$49</f>
        <v>0.886690099780992</v>
      </c>
      <c r="U22" s="26">
        <f>'TE BE'!$U$22*'TE BE'!$U$49</f>
        <v>0.96258762945720244</v>
      </c>
      <c r="V22" s="26">
        <f>'TE BE'!$V$22*'TE BE'!$V$49</f>
        <v>0</v>
      </c>
      <c r="W22" s="26">
        <f>SUM($T$22:$V$22)</f>
        <v>1.8492777292381946</v>
      </c>
      <c r="X22" s="26">
        <f>'TE BE'!$AB$22*'TE BE'!$X$49</f>
        <v>-58.350793426164429</v>
      </c>
      <c r="Y22" s="26">
        <f>SUM($X$22:$X$22)</f>
        <v>-58.350793426164429</v>
      </c>
      <c r="Z22" s="26">
        <f>'TE BE'!$Z$22*'TE BE'!$Z$49</f>
        <v>-7.6530785742854671E-2</v>
      </c>
      <c r="AA22" s="26">
        <f>SUM($Z$22:$Z$22)</f>
        <v>-7.6530785742854671E-2</v>
      </c>
      <c r="AB22" s="26">
        <f>SUMIF($L$4:$AA$4,"SUBTOTAL",$L$22:$AA$22)</f>
        <v>-58.122921995339489</v>
      </c>
    </row>
    <row r="23" spans="1:28" ht="11.25" customHeight="1" x14ac:dyDescent="0.25">
      <c r="A23" s="146"/>
      <c r="B23" s="146"/>
      <c r="C23" s="146"/>
      <c r="D23" s="146"/>
      <c r="E23" s="146"/>
      <c r="F23" s="146"/>
      <c r="G23" s="29" t="s">
        <v>77</v>
      </c>
      <c r="H23" s="29" t="s">
        <v>75</v>
      </c>
      <c r="I23" s="29">
        <f>'MERCADO TE'!$U$20</f>
        <v>0</v>
      </c>
      <c r="J23" s="15"/>
      <c r="L23" s="26">
        <f>'TE BE'!$L$23*'TE BE'!$L$49</f>
        <v>2.4920263424441011E-6</v>
      </c>
      <c r="M23" s="26">
        <f>'TE BE'!$M$23*'TE BE'!$M$49</f>
        <v>1.2128446024695703</v>
      </c>
      <c r="N23" s="26">
        <f>'TE BE'!$N$23*'TE BE'!$N$49</f>
        <v>0</v>
      </c>
      <c r="O23" s="26">
        <f>'TE BE'!$O$23*'TE BE'!$O$49</f>
        <v>0</v>
      </c>
      <c r="P23" s="26">
        <f>'TE BE'!$P$23*'TE BE'!$P$49</f>
        <v>0</v>
      </c>
      <c r="Q23" s="26">
        <f>SUM($L$23:$P$23)</f>
        <v>1.2128470944959127</v>
      </c>
      <c r="R23" s="26">
        <f>'TE BE'!$R$23*'TE BE'!$R$49</f>
        <v>-2.7577226071663108</v>
      </c>
      <c r="S23" s="26">
        <f>SUM($R$23:$R$23)</f>
        <v>-2.7577226071663108</v>
      </c>
      <c r="T23" s="26">
        <f>'TE BE'!$T$23*'TE BE'!$T$49</f>
        <v>0.886690099780992</v>
      </c>
      <c r="U23" s="26">
        <f>'TE BE'!$U$23*'TE BE'!$U$49</f>
        <v>0.96258762945720244</v>
      </c>
      <c r="V23" s="26">
        <f>'TE BE'!$V$23*'TE BE'!$V$49</f>
        <v>0</v>
      </c>
      <c r="W23" s="26">
        <f>SUM($T$23:$V$23)</f>
        <v>1.8492777292381946</v>
      </c>
      <c r="X23" s="26">
        <f>'TE BE'!$AB$23*'TE BE'!$X$49</f>
        <v>-58.350793426164429</v>
      </c>
      <c r="Y23" s="26">
        <f>SUM($X$23:$X$23)</f>
        <v>-58.350793426164429</v>
      </c>
      <c r="Z23" s="26">
        <f>'TE BE'!$Z$23*'TE BE'!$Z$49</f>
        <v>-7.6530785742854671E-2</v>
      </c>
      <c r="AA23" s="26">
        <f>SUM($Z$23:$Z$23)</f>
        <v>-7.6530785742854671E-2</v>
      </c>
      <c r="AB23" s="26">
        <f>SUMIF($L$4:$AA$4,"SUBTOTAL",$L$23:$AA$23)</f>
        <v>-58.122921995339489</v>
      </c>
    </row>
    <row r="24" spans="1:28" ht="11.25" customHeight="1" x14ac:dyDescent="0.25">
      <c r="A24" s="146"/>
      <c r="B24" s="28" t="s">
        <v>78</v>
      </c>
      <c r="C24" s="28" t="s">
        <v>42</v>
      </c>
      <c r="D24" s="28" t="s">
        <v>25</v>
      </c>
      <c r="E24" s="28" t="s">
        <v>25</v>
      </c>
      <c r="F24" s="28" t="s">
        <v>25</v>
      </c>
      <c r="G24" s="29" t="s">
        <v>79</v>
      </c>
      <c r="H24" s="29" t="s">
        <v>75</v>
      </c>
      <c r="I24" s="29">
        <f>'MERCADO TE'!$U$21</f>
        <v>3335.7969999999996</v>
      </c>
      <c r="J24" s="15"/>
      <c r="L24" s="26">
        <f>'TE BE'!$L$24*'TE BE'!$L$49</f>
        <v>2.4920263424441011E-6</v>
      </c>
      <c r="M24" s="26">
        <f>'TE BE'!$M$24*'TE BE'!$M$49</f>
        <v>1.2128446024695703</v>
      </c>
      <c r="N24" s="26">
        <f>'TE BE'!$N$24*'TE BE'!$N$49</f>
        <v>0</v>
      </c>
      <c r="O24" s="26">
        <f>'TE BE'!$O$24*'TE BE'!$O$49</f>
        <v>0</v>
      </c>
      <c r="P24" s="26">
        <f>'TE BE'!$P$24*'TE BE'!$P$49</f>
        <v>0</v>
      </c>
      <c r="Q24" s="26">
        <f>SUM($L$24:$P$24)</f>
        <v>1.2128470944959127</v>
      </c>
      <c r="R24" s="26">
        <f>'TE BE'!$R$24*'TE BE'!$R$49</f>
        <v>-2.9231859635962891</v>
      </c>
      <c r="S24" s="26">
        <f>SUM($R$24:$R$24)</f>
        <v>-2.9231859635962891</v>
      </c>
      <c r="T24" s="26">
        <f>'TE BE'!$T$24*'TE BE'!$T$49</f>
        <v>0.886690099780992</v>
      </c>
      <c r="U24" s="26">
        <f>'TE BE'!$U$24*'TE BE'!$U$49</f>
        <v>0.96258762945720244</v>
      </c>
      <c r="V24" s="26">
        <f>'TE BE'!$V$24*'TE BE'!$V$49</f>
        <v>0</v>
      </c>
      <c r="W24" s="26">
        <f>SUM($T$24:$V$24)</f>
        <v>1.8492777292381946</v>
      </c>
      <c r="X24" s="26">
        <f>'TE BE'!$AB$24*'TE BE'!$X$49</f>
        <v>-61.483756065951837</v>
      </c>
      <c r="Y24" s="26">
        <f>SUM($X$24:$X$24)</f>
        <v>-61.483756065951837</v>
      </c>
      <c r="Z24" s="26">
        <f>'TE BE'!$Z$24*'TE BE'!$Z$49</f>
        <v>-7.6530785742854671E-2</v>
      </c>
      <c r="AA24" s="26">
        <f>SUM($Z$24:$Z$24)</f>
        <v>-7.6530785742854671E-2</v>
      </c>
      <c r="AB24" s="26">
        <f>SUMIF($L$4:$AA$4,"SUBTOTAL",$L$24:$AA$24)</f>
        <v>-61.421347991556871</v>
      </c>
    </row>
    <row r="25" spans="1:28" ht="11.25" customHeight="1" x14ac:dyDescent="0.25">
      <c r="A25" s="146"/>
      <c r="B25" s="146" t="s">
        <v>74</v>
      </c>
      <c r="C25" s="146" t="s">
        <v>42</v>
      </c>
      <c r="D25" s="146" t="s">
        <v>91</v>
      </c>
      <c r="E25" s="146" t="s">
        <v>25</v>
      </c>
      <c r="F25" s="146" t="s">
        <v>25</v>
      </c>
      <c r="G25" s="29" t="s">
        <v>76</v>
      </c>
      <c r="H25" s="29" t="s">
        <v>75</v>
      </c>
      <c r="I25" s="29">
        <f>'MERCADO TE'!$U$22</f>
        <v>0</v>
      </c>
      <c r="J25" s="15"/>
      <c r="L25" s="26">
        <f>'TE BE'!$L$25*'TE BE'!$L$49</f>
        <v>2.4920263424441011E-6</v>
      </c>
      <c r="M25" s="26">
        <f>'TE BE'!$M$25*'TE BE'!$M$49</f>
        <v>1.2128446024695703</v>
      </c>
      <c r="N25" s="26">
        <f>'TE BE'!$N$25*'TE BE'!$N$49</f>
        <v>0</v>
      </c>
      <c r="O25" s="26">
        <f>'TE BE'!$O$25*'TE BE'!$O$49</f>
        <v>0</v>
      </c>
      <c r="P25" s="26">
        <f>'TE BE'!$P$25*'TE BE'!$P$49</f>
        <v>0</v>
      </c>
      <c r="Q25" s="26">
        <f>SUM($L$25:$P$25)</f>
        <v>1.2128470944959127</v>
      </c>
      <c r="R25" s="26">
        <f>'TE BE'!$R$25*'TE BE'!$R$49</f>
        <v>-4.7432828843260548</v>
      </c>
      <c r="S25" s="26">
        <f>SUM($R$25:$R$25)</f>
        <v>-4.7432828843260548</v>
      </c>
      <c r="T25" s="26">
        <f>'TE BE'!$T$25*'TE BE'!$T$49</f>
        <v>0.886690099780992</v>
      </c>
      <c r="U25" s="26">
        <f>'TE BE'!$U$25*'TE BE'!$U$49</f>
        <v>0.96258762945720244</v>
      </c>
      <c r="V25" s="26">
        <f>'TE BE'!$V$25*'TE BE'!$V$49</f>
        <v>0</v>
      </c>
      <c r="W25" s="26">
        <f>SUM($T$25:$V$25)</f>
        <v>1.8492777292381946</v>
      </c>
      <c r="X25" s="26">
        <f>'TE BE'!$AB$25*'TE BE'!$X$49</f>
        <v>-95.946345103613325</v>
      </c>
      <c r="Y25" s="26">
        <f>SUM($X$25:$X$25)</f>
        <v>-95.946345103613325</v>
      </c>
      <c r="Z25" s="26">
        <f>'TE BE'!$Z$25*'TE BE'!$Z$49</f>
        <v>-7.6530785742854671E-2</v>
      </c>
      <c r="AA25" s="26">
        <f>SUM($Z$25:$Z$25)</f>
        <v>-7.6530785742854671E-2</v>
      </c>
      <c r="AB25" s="26">
        <f>SUMIF($L$4:$AA$4,"SUBTOTAL",$L$25:$AA$25)</f>
        <v>-97.704033949948141</v>
      </c>
    </row>
    <row r="26" spans="1:28" ht="11.25" customHeight="1" x14ac:dyDescent="0.25">
      <c r="A26" s="146"/>
      <c r="B26" s="146"/>
      <c r="C26" s="146"/>
      <c r="D26" s="146"/>
      <c r="E26" s="146"/>
      <c r="F26" s="146"/>
      <c r="G26" s="29" t="s">
        <v>88</v>
      </c>
      <c r="H26" s="29" t="s">
        <v>75</v>
      </c>
      <c r="I26" s="29">
        <f>'MERCADO TE'!$U$23</f>
        <v>0</v>
      </c>
      <c r="J26" s="15"/>
      <c r="L26" s="26">
        <f>'TE BE'!$L$26*'TE BE'!$L$49</f>
        <v>2.4920263424441011E-6</v>
      </c>
      <c r="M26" s="26">
        <f>'TE BE'!$M$26*'TE BE'!$M$49</f>
        <v>1.2128446024695703</v>
      </c>
      <c r="N26" s="26">
        <f>'TE BE'!$N$26*'TE BE'!$N$49</f>
        <v>0</v>
      </c>
      <c r="O26" s="26">
        <f>'TE BE'!$O$26*'TE BE'!$O$49</f>
        <v>0</v>
      </c>
      <c r="P26" s="26">
        <f>'TE BE'!$P$26*'TE BE'!$P$49</f>
        <v>0</v>
      </c>
      <c r="Q26" s="26">
        <f>SUM($L$26:$P$26)</f>
        <v>1.2128470944959127</v>
      </c>
      <c r="R26" s="26">
        <f>'TE BE'!$R$26*'TE BE'!$R$49</f>
        <v>-2.7577226071663108</v>
      </c>
      <c r="S26" s="26">
        <f>SUM($R$26:$R$26)</f>
        <v>-2.7577226071663108</v>
      </c>
      <c r="T26" s="26">
        <f>'TE BE'!$T$26*'TE BE'!$T$49</f>
        <v>0.886690099780992</v>
      </c>
      <c r="U26" s="26">
        <f>'TE BE'!$U$26*'TE BE'!$U$49</f>
        <v>0.96258762945720244</v>
      </c>
      <c r="V26" s="26">
        <f>'TE BE'!$V$26*'TE BE'!$V$49</f>
        <v>0</v>
      </c>
      <c r="W26" s="26">
        <f>SUM($T$26:$V$26)</f>
        <v>1.8492777292381946</v>
      </c>
      <c r="X26" s="26">
        <f>'TE BE'!$AB$26*'TE BE'!$X$49</f>
        <v>-58.350793426164429</v>
      </c>
      <c r="Y26" s="26">
        <f>SUM($X$26:$X$26)</f>
        <v>-58.350793426164429</v>
      </c>
      <c r="Z26" s="26">
        <f>'TE BE'!$Z$26*'TE BE'!$Z$49</f>
        <v>-7.6530785742854671E-2</v>
      </c>
      <c r="AA26" s="26">
        <f>SUM($Z$26:$Z$26)</f>
        <v>-7.6530785742854671E-2</v>
      </c>
      <c r="AB26" s="26">
        <f>SUMIF($L$4:$AA$4,"SUBTOTAL",$L$26:$AA$26)</f>
        <v>-58.122921995339489</v>
      </c>
    </row>
    <row r="27" spans="1:28" ht="11.25" customHeight="1" x14ac:dyDescent="0.25">
      <c r="A27" s="146"/>
      <c r="B27" s="146"/>
      <c r="C27" s="146"/>
      <c r="D27" s="146"/>
      <c r="E27" s="146"/>
      <c r="F27" s="146"/>
      <c r="G27" s="29" t="s">
        <v>77</v>
      </c>
      <c r="H27" s="29" t="s">
        <v>75</v>
      </c>
      <c r="I27" s="29">
        <f>'MERCADO TE'!$U$24</f>
        <v>0</v>
      </c>
      <c r="J27" s="15"/>
      <c r="L27" s="26">
        <f>'TE BE'!$L$27*'TE BE'!$L$49</f>
        <v>2.4920263424441011E-6</v>
      </c>
      <c r="M27" s="26">
        <f>'TE BE'!$M$27*'TE BE'!$M$49</f>
        <v>1.2128446024695703</v>
      </c>
      <c r="N27" s="26">
        <f>'TE BE'!$N$27*'TE BE'!$N$49</f>
        <v>0</v>
      </c>
      <c r="O27" s="26">
        <f>'TE BE'!$O$27*'TE BE'!$O$49</f>
        <v>0</v>
      </c>
      <c r="P27" s="26">
        <f>'TE BE'!$P$27*'TE BE'!$P$49</f>
        <v>0</v>
      </c>
      <c r="Q27" s="26">
        <f>SUM($L$27:$P$27)</f>
        <v>1.2128470944959127</v>
      </c>
      <c r="R27" s="26">
        <f>'TE BE'!$R$27*'TE BE'!$R$49</f>
        <v>-2.7577226071663108</v>
      </c>
      <c r="S27" s="26">
        <f>SUM($R$27:$R$27)</f>
        <v>-2.7577226071663108</v>
      </c>
      <c r="T27" s="26">
        <f>'TE BE'!$T$27*'TE BE'!$T$49</f>
        <v>0.886690099780992</v>
      </c>
      <c r="U27" s="26">
        <f>'TE BE'!$U$27*'TE BE'!$U$49</f>
        <v>0.96258762945720244</v>
      </c>
      <c r="V27" s="26">
        <f>'TE BE'!$V$27*'TE BE'!$V$49</f>
        <v>0</v>
      </c>
      <c r="W27" s="26">
        <f>SUM($T$27:$V$27)</f>
        <v>1.8492777292381946</v>
      </c>
      <c r="X27" s="26">
        <f>'TE BE'!$AB$27*'TE BE'!$X$49</f>
        <v>-58.350793426164429</v>
      </c>
      <c r="Y27" s="26">
        <f>SUM($X$27:$X$27)</f>
        <v>-58.350793426164429</v>
      </c>
      <c r="Z27" s="26">
        <f>'TE BE'!$Z$27*'TE BE'!$Z$49</f>
        <v>-7.6530785742854671E-2</v>
      </c>
      <c r="AA27" s="26">
        <f>SUM($Z$27:$Z$27)</f>
        <v>-7.6530785742854671E-2</v>
      </c>
      <c r="AB27" s="26">
        <f>SUMIF($L$4:$AA$4,"SUBTOTAL",$L$27:$AA$27)</f>
        <v>-58.122921995339489</v>
      </c>
    </row>
    <row r="28" spans="1:28" ht="11.25" customHeight="1" x14ac:dyDescent="0.25">
      <c r="A28" s="146"/>
      <c r="B28" s="28" t="s">
        <v>78</v>
      </c>
      <c r="C28" s="28" t="s">
        <v>42</v>
      </c>
      <c r="D28" s="28" t="s">
        <v>91</v>
      </c>
      <c r="E28" s="28" t="s">
        <v>25</v>
      </c>
      <c r="F28" s="28" t="s">
        <v>25</v>
      </c>
      <c r="G28" s="29" t="s">
        <v>79</v>
      </c>
      <c r="H28" s="29" t="s">
        <v>75</v>
      </c>
      <c r="I28" s="29">
        <f>'MERCADO TE'!$U$25</f>
        <v>0</v>
      </c>
      <c r="J28" s="15"/>
      <c r="L28" s="26">
        <f>'TE BE'!$L$28*'TE BE'!$L$49</f>
        <v>2.4920263424441011E-6</v>
      </c>
      <c r="M28" s="26">
        <f>'TE BE'!$M$28*'TE BE'!$M$49</f>
        <v>1.2128446024695703</v>
      </c>
      <c r="N28" s="26">
        <f>'TE BE'!$N$28*'TE BE'!$N$49</f>
        <v>0</v>
      </c>
      <c r="O28" s="26">
        <f>'TE BE'!$O$28*'TE BE'!$O$49</f>
        <v>0</v>
      </c>
      <c r="P28" s="26">
        <f>'TE BE'!$P$28*'TE BE'!$P$49</f>
        <v>0</v>
      </c>
      <c r="Q28" s="26">
        <f>SUM($L$28:$P$28)</f>
        <v>1.2128470944959127</v>
      </c>
      <c r="R28" s="26">
        <f>'TE BE'!$R$28*'TE BE'!$R$49</f>
        <v>-2.9231859635962891</v>
      </c>
      <c r="S28" s="26">
        <f>SUM($R$28:$R$28)</f>
        <v>-2.9231859635962891</v>
      </c>
      <c r="T28" s="26">
        <f>'TE BE'!$T$28*'TE BE'!$T$49</f>
        <v>0.886690099780992</v>
      </c>
      <c r="U28" s="26">
        <f>'TE BE'!$U$28*'TE BE'!$U$49</f>
        <v>0.96258762945720244</v>
      </c>
      <c r="V28" s="26">
        <f>'TE BE'!$V$28*'TE BE'!$V$49</f>
        <v>0</v>
      </c>
      <c r="W28" s="26">
        <f>SUM($T$28:$V$28)</f>
        <v>1.8492777292381946</v>
      </c>
      <c r="X28" s="26">
        <f>'TE BE'!$AB$28*'TE BE'!$X$49</f>
        <v>-61.483756065951837</v>
      </c>
      <c r="Y28" s="26">
        <f>SUM($X$28:$X$28)</f>
        <v>-61.483756065951837</v>
      </c>
      <c r="Z28" s="26">
        <f>'TE BE'!$Z$28*'TE BE'!$Z$49</f>
        <v>-7.6530785742854671E-2</v>
      </c>
      <c r="AA28" s="26">
        <f>SUM($Z$28:$Z$28)</f>
        <v>-7.6530785742854671E-2</v>
      </c>
      <c r="AB28" s="26">
        <f>SUMIF($L$4:$AA$4,"SUBTOTAL",$L$28:$AA$28)</f>
        <v>-61.421347991556871</v>
      </c>
    </row>
    <row r="29" spans="1:28" ht="11.25" customHeight="1" x14ac:dyDescent="0.25">
      <c r="A29" s="146"/>
      <c r="B29" s="146" t="s">
        <v>74</v>
      </c>
      <c r="C29" s="146" t="s">
        <v>42</v>
      </c>
      <c r="D29" s="146" t="s">
        <v>92</v>
      </c>
      <c r="E29" s="146" t="s">
        <v>25</v>
      </c>
      <c r="F29" s="146" t="s">
        <v>25</v>
      </c>
      <c r="G29" s="29" t="s">
        <v>76</v>
      </c>
      <c r="H29" s="29" t="s">
        <v>75</v>
      </c>
      <c r="I29" s="29">
        <f>'MERCADO TE'!$U$26</f>
        <v>0</v>
      </c>
      <c r="J29" s="15"/>
      <c r="L29" s="26">
        <f>'TE BE'!$L$29*'TE BE'!$L$49</f>
        <v>2.4920263424441011E-6</v>
      </c>
      <c r="M29" s="26">
        <f>'TE BE'!$M$29*'TE BE'!$M$49</f>
        <v>1.2128446024695703</v>
      </c>
      <c r="N29" s="26">
        <f>'TE BE'!$N$29*'TE BE'!$N$49</f>
        <v>0</v>
      </c>
      <c r="O29" s="26">
        <f>'TE BE'!$O$29*'TE BE'!$O$49</f>
        <v>0</v>
      </c>
      <c r="P29" s="26">
        <f>'TE BE'!$P$29*'TE BE'!$P$49</f>
        <v>0</v>
      </c>
      <c r="Q29" s="26">
        <f>SUM($L$29:$P$29)</f>
        <v>1.2128470944959127</v>
      </c>
      <c r="R29" s="26">
        <f>'TE BE'!$R$29*'TE BE'!$R$49</f>
        <v>-4.7432828843260548</v>
      </c>
      <c r="S29" s="26">
        <f>SUM($R$29:$R$29)</f>
        <v>-4.7432828843260548</v>
      </c>
      <c r="T29" s="26">
        <f>'TE BE'!$T$29*'TE BE'!$T$49</f>
        <v>0.886690099780992</v>
      </c>
      <c r="U29" s="26">
        <f>'TE BE'!$U$29*'TE BE'!$U$49</f>
        <v>0.96258762945720244</v>
      </c>
      <c r="V29" s="26">
        <f>'TE BE'!$V$29*'TE BE'!$V$49</f>
        <v>0</v>
      </c>
      <c r="W29" s="26">
        <f>SUM($T$29:$V$29)</f>
        <v>1.8492777292381946</v>
      </c>
      <c r="X29" s="26">
        <f>'TE BE'!$AB$29*'TE BE'!$X$49</f>
        <v>-95.946345103613325</v>
      </c>
      <c r="Y29" s="26">
        <f>SUM($X$29:$X$29)</f>
        <v>-95.946345103613325</v>
      </c>
      <c r="Z29" s="26">
        <f>'TE BE'!$Z$29*'TE BE'!$Z$49</f>
        <v>-7.6530785742854671E-2</v>
      </c>
      <c r="AA29" s="26">
        <f>SUM($Z$29:$Z$29)</f>
        <v>-7.6530785742854671E-2</v>
      </c>
      <c r="AB29" s="26">
        <f>SUMIF($L$4:$AA$4,"SUBTOTAL",$L$29:$AA$29)</f>
        <v>-97.704033949948141</v>
      </c>
    </row>
    <row r="30" spans="1:28" ht="11.25" customHeight="1" x14ac:dyDescent="0.25">
      <c r="A30" s="146"/>
      <c r="B30" s="146"/>
      <c r="C30" s="146"/>
      <c r="D30" s="146"/>
      <c r="E30" s="146"/>
      <c r="F30" s="146"/>
      <c r="G30" s="29" t="s">
        <v>88</v>
      </c>
      <c r="H30" s="29" t="s">
        <v>75</v>
      </c>
      <c r="I30" s="29">
        <f>'MERCADO TE'!$U$27</f>
        <v>0</v>
      </c>
      <c r="J30" s="15"/>
      <c r="L30" s="26">
        <f>'TE BE'!$L$30*'TE BE'!$L$49</f>
        <v>2.4920263424441011E-6</v>
      </c>
      <c r="M30" s="26">
        <f>'TE BE'!$M$30*'TE BE'!$M$49</f>
        <v>1.2128446024695703</v>
      </c>
      <c r="N30" s="26">
        <f>'TE BE'!$N$30*'TE BE'!$N$49</f>
        <v>0</v>
      </c>
      <c r="O30" s="26">
        <f>'TE BE'!$O$30*'TE BE'!$O$49</f>
        <v>0</v>
      </c>
      <c r="P30" s="26">
        <f>'TE BE'!$P$30*'TE BE'!$P$49</f>
        <v>0</v>
      </c>
      <c r="Q30" s="26">
        <f>SUM($L$30:$P$30)</f>
        <v>1.2128470944959127</v>
      </c>
      <c r="R30" s="26">
        <f>'TE BE'!$R$30*'TE BE'!$R$49</f>
        <v>-2.7577226071663108</v>
      </c>
      <c r="S30" s="26">
        <f>SUM($R$30:$R$30)</f>
        <v>-2.7577226071663108</v>
      </c>
      <c r="T30" s="26">
        <f>'TE BE'!$T$30*'TE BE'!$T$49</f>
        <v>0.886690099780992</v>
      </c>
      <c r="U30" s="26">
        <f>'TE BE'!$U$30*'TE BE'!$U$49</f>
        <v>0.96258762945720244</v>
      </c>
      <c r="V30" s="26">
        <f>'TE BE'!$V$30*'TE BE'!$V$49</f>
        <v>0</v>
      </c>
      <c r="W30" s="26">
        <f>SUM($T$30:$V$30)</f>
        <v>1.8492777292381946</v>
      </c>
      <c r="X30" s="26">
        <f>'TE BE'!$AB$30*'TE BE'!$X$49</f>
        <v>-58.350793426164429</v>
      </c>
      <c r="Y30" s="26">
        <f>SUM($X$30:$X$30)</f>
        <v>-58.350793426164429</v>
      </c>
      <c r="Z30" s="26">
        <f>'TE BE'!$Z$30*'TE BE'!$Z$49</f>
        <v>-7.6530785742854671E-2</v>
      </c>
      <c r="AA30" s="26">
        <f>SUM($Z$30:$Z$30)</f>
        <v>-7.6530785742854671E-2</v>
      </c>
      <c r="AB30" s="26">
        <f>SUMIF($L$4:$AA$4,"SUBTOTAL",$L$30:$AA$30)</f>
        <v>-58.122921995339489</v>
      </c>
    </row>
    <row r="31" spans="1:28" ht="11.25" customHeight="1" x14ac:dyDescent="0.25">
      <c r="A31" s="146"/>
      <c r="B31" s="146"/>
      <c r="C31" s="146"/>
      <c r="D31" s="146"/>
      <c r="E31" s="146"/>
      <c r="F31" s="146"/>
      <c r="G31" s="29" t="s">
        <v>77</v>
      </c>
      <c r="H31" s="29" t="s">
        <v>75</v>
      </c>
      <c r="I31" s="29">
        <f>'MERCADO TE'!$U$28</f>
        <v>0</v>
      </c>
      <c r="J31" s="15"/>
      <c r="L31" s="26">
        <f>'TE BE'!$L$31*'TE BE'!$L$49</f>
        <v>2.4920263424441011E-6</v>
      </c>
      <c r="M31" s="26">
        <f>'TE BE'!$M$31*'TE BE'!$M$49</f>
        <v>1.2128446024695703</v>
      </c>
      <c r="N31" s="26">
        <f>'TE BE'!$N$31*'TE BE'!$N$49</f>
        <v>0</v>
      </c>
      <c r="O31" s="26">
        <f>'TE BE'!$O$31*'TE BE'!$O$49</f>
        <v>0</v>
      </c>
      <c r="P31" s="26">
        <f>'TE BE'!$P$31*'TE BE'!$P$49</f>
        <v>0</v>
      </c>
      <c r="Q31" s="26">
        <f>SUM($L$31:$P$31)</f>
        <v>1.2128470944959127</v>
      </c>
      <c r="R31" s="26">
        <f>'TE BE'!$R$31*'TE BE'!$R$49</f>
        <v>-2.7577226071663108</v>
      </c>
      <c r="S31" s="26">
        <f>SUM($R$31:$R$31)</f>
        <v>-2.7577226071663108</v>
      </c>
      <c r="T31" s="26">
        <f>'TE BE'!$T$31*'TE BE'!$T$49</f>
        <v>0.886690099780992</v>
      </c>
      <c r="U31" s="26">
        <f>'TE BE'!$U$31*'TE BE'!$U$49</f>
        <v>0.96258762945720244</v>
      </c>
      <c r="V31" s="26">
        <f>'TE BE'!$V$31*'TE BE'!$V$49</f>
        <v>0</v>
      </c>
      <c r="W31" s="26">
        <f>SUM($T$31:$V$31)</f>
        <v>1.8492777292381946</v>
      </c>
      <c r="X31" s="26">
        <f>'TE BE'!$AB$31*'TE BE'!$X$49</f>
        <v>-58.350793426164429</v>
      </c>
      <c r="Y31" s="26">
        <f>SUM($X$31:$X$31)</f>
        <v>-58.350793426164429</v>
      </c>
      <c r="Z31" s="26">
        <f>'TE BE'!$Z$31*'TE BE'!$Z$49</f>
        <v>-7.6530785742854671E-2</v>
      </c>
      <c r="AA31" s="26">
        <f>SUM($Z$31:$Z$31)</f>
        <v>-7.6530785742854671E-2</v>
      </c>
      <c r="AB31" s="26">
        <f>SUMIF($L$4:$AA$4,"SUBTOTAL",$L$31:$AA$31)</f>
        <v>-58.122921995339489</v>
      </c>
    </row>
    <row r="32" spans="1:28" ht="11.25" customHeight="1" x14ac:dyDescent="0.25">
      <c r="A32" s="146"/>
      <c r="B32" s="28" t="s">
        <v>78</v>
      </c>
      <c r="C32" s="28" t="s">
        <v>42</v>
      </c>
      <c r="D32" s="28" t="s">
        <v>92</v>
      </c>
      <c r="E32" s="28" t="s">
        <v>25</v>
      </c>
      <c r="F32" s="28" t="s">
        <v>25</v>
      </c>
      <c r="G32" s="29" t="s">
        <v>79</v>
      </c>
      <c r="H32" s="29" t="s">
        <v>75</v>
      </c>
      <c r="I32" s="29">
        <f>'MERCADO TE'!$U$29</f>
        <v>0</v>
      </c>
      <c r="J32" s="15"/>
      <c r="L32" s="26">
        <f>'TE BE'!$L$32*'TE BE'!$L$49</f>
        <v>2.4920263424441011E-6</v>
      </c>
      <c r="M32" s="26">
        <f>'TE BE'!$M$32*'TE BE'!$M$49</f>
        <v>1.2128446024695703</v>
      </c>
      <c r="N32" s="26">
        <f>'TE BE'!$N$32*'TE BE'!$N$49</f>
        <v>0</v>
      </c>
      <c r="O32" s="26">
        <f>'TE BE'!$O$32*'TE BE'!$O$49</f>
        <v>0</v>
      </c>
      <c r="P32" s="26">
        <f>'TE BE'!$P$32*'TE BE'!$P$49</f>
        <v>0</v>
      </c>
      <c r="Q32" s="26">
        <f>SUM($L$32:$P$32)</f>
        <v>1.2128470944959127</v>
      </c>
      <c r="R32" s="26">
        <f>'TE BE'!$R$32*'TE BE'!$R$49</f>
        <v>-2.9231859635962891</v>
      </c>
      <c r="S32" s="26">
        <f>SUM($R$32:$R$32)</f>
        <v>-2.9231859635962891</v>
      </c>
      <c r="T32" s="26">
        <f>'TE BE'!$T$32*'TE BE'!$T$49</f>
        <v>0.886690099780992</v>
      </c>
      <c r="U32" s="26">
        <f>'TE BE'!$U$32*'TE BE'!$U$49</f>
        <v>0.96258762945720244</v>
      </c>
      <c r="V32" s="26">
        <f>'TE BE'!$V$32*'TE BE'!$V$49</f>
        <v>0</v>
      </c>
      <c r="W32" s="26">
        <f>SUM($T$32:$V$32)</f>
        <v>1.8492777292381946</v>
      </c>
      <c r="X32" s="26">
        <f>'TE BE'!$AB$32*'TE BE'!$X$49</f>
        <v>-61.483756065951837</v>
      </c>
      <c r="Y32" s="26">
        <f>SUM($X$32:$X$32)</f>
        <v>-61.483756065951837</v>
      </c>
      <c r="Z32" s="26">
        <f>'TE BE'!$Z$32*'TE BE'!$Z$49</f>
        <v>-7.6530785742854671E-2</v>
      </c>
      <c r="AA32" s="26">
        <f>SUM($Z$32:$Z$32)</f>
        <v>-7.6530785742854671E-2</v>
      </c>
      <c r="AB32" s="26">
        <f>SUMIF($L$4:$AA$4,"SUBTOTAL",$L$32:$AA$32)</f>
        <v>-61.421347991556871</v>
      </c>
    </row>
    <row r="33" spans="1:28" ht="11.25" customHeight="1" x14ac:dyDescent="0.25">
      <c r="A33" s="146"/>
      <c r="B33" s="146" t="s">
        <v>89</v>
      </c>
      <c r="C33" s="146" t="s">
        <v>42</v>
      </c>
      <c r="D33" s="28" t="s">
        <v>25</v>
      </c>
      <c r="E33" s="28" t="s">
        <v>25</v>
      </c>
      <c r="F33" s="28" t="s">
        <v>25</v>
      </c>
      <c r="G33" s="29" t="s">
        <v>79</v>
      </c>
      <c r="H33" s="29" t="s">
        <v>75</v>
      </c>
      <c r="I33" s="29">
        <f>'MERCADO TE'!$U$30</f>
        <v>0</v>
      </c>
      <c r="J33" s="15"/>
      <c r="L33" s="26">
        <f>'TE BE'!$L$33*'TE BE'!$L$49</f>
        <v>2.4920263424441011E-6</v>
      </c>
      <c r="M33" s="26">
        <f>'TE BE'!$M$33*'TE BE'!$M$49</f>
        <v>1.2128446024695703</v>
      </c>
      <c r="N33" s="26">
        <f>'TE BE'!$N$33*'TE BE'!$N$49</f>
        <v>0</v>
      </c>
      <c r="O33" s="26">
        <f>'TE BE'!$O$33*'TE BE'!$O$49</f>
        <v>0</v>
      </c>
      <c r="P33" s="26">
        <f>'TE BE'!$P$33*'TE BE'!$P$49</f>
        <v>0</v>
      </c>
      <c r="Q33" s="26">
        <f>SUM($L$33:$P$33)</f>
        <v>1.2128470944959127</v>
      </c>
      <c r="R33" s="26">
        <f>'TE BE'!$R$33*'TE BE'!$R$49</f>
        <v>-2.9231859635962891</v>
      </c>
      <c r="S33" s="26">
        <f>SUM($R$33:$R$33)</f>
        <v>-2.9231859635962891</v>
      </c>
      <c r="T33" s="26">
        <f>'TE BE'!$T$33*'TE BE'!$T$49</f>
        <v>0.886690099780992</v>
      </c>
      <c r="U33" s="26">
        <f>'TE BE'!$U$33*'TE BE'!$U$49</f>
        <v>0.96258762945720244</v>
      </c>
      <c r="V33" s="26">
        <f>'TE BE'!$V$33*'TE BE'!$V$49</f>
        <v>0</v>
      </c>
      <c r="W33" s="26">
        <f>SUM($T$33:$V$33)</f>
        <v>1.8492777292381946</v>
      </c>
      <c r="X33" s="26">
        <f>'TE BE'!$AB$33*'TE BE'!$X$49</f>
        <v>-61.483756065951837</v>
      </c>
      <c r="Y33" s="26">
        <f>SUM($X$33:$X$33)</f>
        <v>-61.483756065951837</v>
      </c>
      <c r="Z33" s="26">
        <f>'TE BE'!$Z$33*'TE BE'!$Z$49</f>
        <v>-7.6530785742854671E-2</v>
      </c>
      <c r="AA33" s="26">
        <f>SUM($Z$33:$Z$33)</f>
        <v>-7.6530785742854671E-2</v>
      </c>
      <c r="AB33" s="26">
        <f>SUMIF($L$4:$AA$4,"SUBTOTAL",$L$33:$AA$33)</f>
        <v>-61.421347991556871</v>
      </c>
    </row>
    <row r="34" spans="1:28" ht="11.25" customHeight="1" x14ac:dyDescent="0.25">
      <c r="A34" s="146"/>
      <c r="B34" s="146"/>
      <c r="C34" s="146"/>
      <c r="D34" s="28" t="s">
        <v>91</v>
      </c>
      <c r="E34" s="28" t="s">
        <v>25</v>
      </c>
      <c r="F34" s="28" t="s">
        <v>25</v>
      </c>
      <c r="G34" s="29" t="s">
        <v>79</v>
      </c>
      <c r="H34" s="29" t="s">
        <v>75</v>
      </c>
      <c r="I34" s="29">
        <f>'MERCADO TE'!$U$31</f>
        <v>0</v>
      </c>
      <c r="J34" s="15"/>
      <c r="L34" s="26">
        <f>'TE BE'!$L$34*'TE BE'!$L$49</f>
        <v>2.4920263424441011E-6</v>
      </c>
      <c r="M34" s="26">
        <f>'TE BE'!$M$34*'TE BE'!$M$49</f>
        <v>1.2128446024695703</v>
      </c>
      <c r="N34" s="26">
        <f>'TE BE'!$N$34*'TE BE'!$N$49</f>
        <v>0</v>
      </c>
      <c r="O34" s="26">
        <f>'TE BE'!$O$34*'TE BE'!$O$49</f>
        <v>0</v>
      </c>
      <c r="P34" s="26">
        <f>'TE BE'!$P$34*'TE BE'!$P$49</f>
        <v>0</v>
      </c>
      <c r="Q34" s="26">
        <f>SUM($L$34:$P$34)</f>
        <v>1.2128470944959127</v>
      </c>
      <c r="R34" s="26">
        <f>'TE BE'!$R$34*'TE BE'!$R$49</f>
        <v>-2.9231859635962891</v>
      </c>
      <c r="S34" s="26">
        <f>SUM($R$34:$R$34)</f>
        <v>-2.9231859635962891</v>
      </c>
      <c r="T34" s="26">
        <f>'TE BE'!$T$34*'TE BE'!$T$49</f>
        <v>0.886690099780992</v>
      </c>
      <c r="U34" s="26">
        <f>'TE BE'!$U$34*'TE BE'!$U$49</f>
        <v>0.96258762945720244</v>
      </c>
      <c r="V34" s="26">
        <f>'TE BE'!$V$34*'TE BE'!$V$49</f>
        <v>0</v>
      </c>
      <c r="W34" s="26">
        <f>SUM($T$34:$V$34)</f>
        <v>1.8492777292381946</v>
      </c>
      <c r="X34" s="26">
        <f>'TE BE'!$AB$34*'TE BE'!$X$49</f>
        <v>-61.483756065951837</v>
      </c>
      <c r="Y34" s="26">
        <f>SUM($X$34:$X$34)</f>
        <v>-61.483756065951837</v>
      </c>
      <c r="Z34" s="26">
        <f>'TE BE'!$Z$34*'TE BE'!$Z$49</f>
        <v>-7.6530785742854671E-2</v>
      </c>
      <c r="AA34" s="26">
        <f>SUM($Z$34:$Z$34)</f>
        <v>-7.6530785742854671E-2</v>
      </c>
      <c r="AB34" s="26">
        <f>SUMIF($L$4:$AA$4,"SUBTOTAL",$L$34:$AA$34)</f>
        <v>-61.421347991556871</v>
      </c>
    </row>
    <row r="35" spans="1:28" ht="11.25" customHeight="1" x14ac:dyDescent="0.25">
      <c r="A35" s="146"/>
      <c r="B35" s="146"/>
      <c r="C35" s="146"/>
      <c r="D35" s="28" t="s">
        <v>92</v>
      </c>
      <c r="E35" s="28" t="s">
        <v>25</v>
      </c>
      <c r="F35" s="28" t="s">
        <v>25</v>
      </c>
      <c r="G35" s="29" t="s">
        <v>79</v>
      </c>
      <c r="H35" s="29" t="s">
        <v>75</v>
      </c>
      <c r="I35" s="29">
        <f>'MERCADO TE'!$U$32</f>
        <v>0</v>
      </c>
      <c r="J35" s="15"/>
      <c r="L35" s="26">
        <f>'TE BE'!$L$35*'TE BE'!$L$49</f>
        <v>2.4920263424441011E-6</v>
      </c>
      <c r="M35" s="26">
        <f>'TE BE'!$M$35*'TE BE'!$M$49</f>
        <v>1.2128446024695703</v>
      </c>
      <c r="N35" s="26">
        <f>'TE BE'!$N$35*'TE BE'!$N$49</f>
        <v>0</v>
      </c>
      <c r="O35" s="26">
        <f>'TE BE'!$O$35*'TE BE'!$O$49</f>
        <v>0</v>
      </c>
      <c r="P35" s="26">
        <f>'TE BE'!$P$35*'TE BE'!$P$49</f>
        <v>0</v>
      </c>
      <c r="Q35" s="26">
        <f>SUM($L$35:$P$35)</f>
        <v>1.2128470944959127</v>
      </c>
      <c r="R35" s="26">
        <f>'TE BE'!$R$35*'TE BE'!$R$49</f>
        <v>-2.9231859635962891</v>
      </c>
      <c r="S35" s="26">
        <f>SUM($R$35:$R$35)</f>
        <v>-2.9231859635962891</v>
      </c>
      <c r="T35" s="26">
        <f>'TE BE'!$T$35*'TE BE'!$T$49</f>
        <v>0.886690099780992</v>
      </c>
      <c r="U35" s="26">
        <f>'TE BE'!$U$35*'TE BE'!$U$49</f>
        <v>0.96258762945720244</v>
      </c>
      <c r="V35" s="26">
        <f>'TE BE'!$V$35*'TE BE'!$V$49</f>
        <v>0</v>
      </c>
      <c r="W35" s="26">
        <f>SUM($T$35:$V$35)</f>
        <v>1.8492777292381946</v>
      </c>
      <c r="X35" s="26">
        <f>'TE BE'!$AB$35*'TE BE'!$X$49</f>
        <v>-61.483756065951837</v>
      </c>
      <c r="Y35" s="26">
        <f>SUM($X$35:$X$35)</f>
        <v>-61.483756065951837</v>
      </c>
      <c r="Z35" s="26">
        <f>'TE BE'!$Z$35*'TE BE'!$Z$49</f>
        <v>-7.6530785742854671E-2</v>
      </c>
      <c r="AA35" s="26">
        <f>SUM($Z$35:$Z$35)</f>
        <v>-7.6530785742854671E-2</v>
      </c>
      <c r="AB35" s="26">
        <f>SUMIF($L$4:$AA$4,"SUBTOTAL",$L$35:$AA$35)</f>
        <v>-61.421347991556871</v>
      </c>
    </row>
    <row r="36" spans="1:28" ht="11.25" customHeight="1" x14ac:dyDescent="0.25">
      <c r="A36" s="146" t="s">
        <v>36</v>
      </c>
      <c r="B36" s="146" t="s">
        <v>74</v>
      </c>
      <c r="C36" s="146" t="s">
        <v>25</v>
      </c>
      <c r="D36" s="146" t="s">
        <v>25</v>
      </c>
      <c r="E36" s="146" t="s">
        <v>25</v>
      </c>
      <c r="F36" s="146" t="s">
        <v>25</v>
      </c>
      <c r="G36" s="29" t="s">
        <v>76</v>
      </c>
      <c r="H36" s="29" t="s">
        <v>75</v>
      </c>
      <c r="I36" s="29">
        <f>'MERCADO TE'!$U$33</f>
        <v>0.33600000000000008</v>
      </c>
      <c r="J36" s="15"/>
      <c r="L36" s="26">
        <f>'TE BE'!$L$36*'TE BE'!$L$49</f>
        <v>2.4920263424441011E-6</v>
      </c>
      <c r="M36" s="26">
        <f>'TE BE'!$M$36*'TE BE'!$M$49</f>
        <v>1.2128446024695703</v>
      </c>
      <c r="N36" s="26">
        <f>'TE BE'!$N$36*'TE BE'!$N$49</f>
        <v>0</v>
      </c>
      <c r="O36" s="26">
        <f>'TE BE'!$O$36*'TE BE'!$O$49</f>
        <v>0</v>
      </c>
      <c r="P36" s="26">
        <f>'TE BE'!$P$36*'TE BE'!$P$49</f>
        <v>0</v>
      </c>
      <c r="Q36" s="26">
        <f>SUM($L$36:$P$36)</f>
        <v>1.2128470944959127</v>
      </c>
      <c r="R36" s="26">
        <f>'TE BE'!$R$36*'TE BE'!$R$49</f>
        <v>-4.7432828843260548</v>
      </c>
      <c r="S36" s="26">
        <f>SUM($R$36:$R$36)</f>
        <v>-4.7432828843260548</v>
      </c>
      <c r="T36" s="26">
        <f>'TE BE'!$T$36*'TE BE'!$T$49</f>
        <v>0.886690099780992</v>
      </c>
      <c r="U36" s="26">
        <f>'TE BE'!$U$36*'TE BE'!$U$49</f>
        <v>0.96258762945720244</v>
      </c>
      <c r="V36" s="26">
        <f>'TE BE'!$V$36*'TE BE'!$V$49</f>
        <v>0</v>
      </c>
      <c r="W36" s="26">
        <f>SUM($T$36:$V$36)</f>
        <v>1.8492777292381946</v>
      </c>
      <c r="X36" s="26">
        <f>'TE BE'!$AB$36*'TE BE'!$X$49</f>
        <v>-95.946345103613325</v>
      </c>
      <c r="Y36" s="26">
        <f>SUM($X$36:$X$36)</f>
        <v>-95.946345103613325</v>
      </c>
      <c r="Z36" s="26">
        <f>'TE BE'!$Z$36*'TE BE'!$Z$49</f>
        <v>-7.6530785742854671E-2</v>
      </c>
      <c r="AA36" s="26">
        <f>SUM($Z$36:$Z$36)</f>
        <v>-7.6530785742854671E-2</v>
      </c>
      <c r="AB36" s="26">
        <f>SUMIF($L$4:$AA$4,"SUBTOTAL",$L$36:$AA$36)</f>
        <v>-97.704033949948141</v>
      </c>
    </row>
    <row r="37" spans="1:28" ht="11.25" customHeight="1" x14ac:dyDescent="0.25">
      <c r="A37" s="146"/>
      <c r="B37" s="146"/>
      <c r="C37" s="146"/>
      <c r="D37" s="146"/>
      <c r="E37" s="146"/>
      <c r="F37" s="146"/>
      <c r="G37" s="29" t="s">
        <v>88</v>
      </c>
      <c r="H37" s="29" t="s">
        <v>75</v>
      </c>
      <c r="I37" s="29">
        <f>'MERCADO TE'!$U$34</f>
        <v>0.45900000000000007</v>
      </c>
      <c r="J37" s="15"/>
      <c r="L37" s="26">
        <f>'TE BE'!$L$37*'TE BE'!$L$49</f>
        <v>2.4920263424441011E-6</v>
      </c>
      <c r="M37" s="26">
        <f>'TE BE'!$M$37*'TE BE'!$M$49</f>
        <v>1.2128446024695703</v>
      </c>
      <c r="N37" s="26">
        <f>'TE BE'!$N$37*'TE BE'!$N$49</f>
        <v>0</v>
      </c>
      <c r="O37" s="26">
        <f>'TE BE'!$O$37*'TE BE'!$O$49</f>
        <v>0</v>
      </c>
      <c r="P37" s="26">
        <f>'TE BE'!$P$37*'TE BE'!$P$49</f>
        <v>0</v>
      </c>
      <c r="Q37" s="26">
        <f>SUM($L$37:$P$37)</f>
        <v>1.2128470944959127</v>
      </c>
      <c r="R37" s="26">
        <f>'TE BE'!$R$37*'TE BE'!$R$49</f>
        <v>-2.7577226071663108</v>
      </c>
      <c r="S37" s="26">
        <f>SUM($R$37:$R$37)</f>
        <v>-2.7577226071663108</v>
      </c>
      <c r="T37" s="26">
        <f>'TE BE'!$T$37*'TE BE'!$T$49</f>
        <v>0.886690099780992</v>
      </c>
      <c r="U37" s="26">
        <f>'TE BE'!$U$37*'TE BE'!$U$49</f>
        <v>0.96258762945720244</v>
      </c>
      <c r="V37" s="26">
        <f>'TE BE'!$V$37*'TE BE'!$V$49</f>
        <v>0</v>
      </c>
      <c r="W37" s="26">
        <f>SUM($T$37:$V$37)</f>
        <v>1.8492777292381946</v>
      </c>
      <c r="X37" s="26">
        <f>'TE BE'!$AB$37*'TE BE'!$X$49</f>
        <v>-58.350793426164429</v>
      </c>
      <c r="Y37" s="26">
        <f>SUM($X$37:$X$37)</f>
        <v>-58.350793426164429</v>
      </c>
      <c r="Z37" s="26">
        <f>'TE BE'!$Z$37*'TE BE'!$Z$49</f>
        <v>-7.6530785742854671E-2</v>
      </c>
      <c r="AA37" s="26">
        <f>SUM($Z$37:$Z$37)</f>
        <v>-7.6530785742854671E-2</v>
      </c>
      <c r="AB37" s="26">
        <f>SUMIF($L$4:$AA$4,"SUBTOTAL",$L$37:$AA$37)</f>
        <v>-58.122921995339489</v>
      </c>
    </row>
    <row r="38" spans="1:28" ht="11.25" customHeight="1" x14ac:dyDescent="0.25">
      <c r="A38" s="146"/>
      <c r="B38" s="146"/>
      <c r="C38" s="146"/>
      <c r="D38" s="146"/>
      <c r="E38" s="146"/>
      <c r="F38" s="146"/>
      <c r="G38" s="29" t="s">
        <v>77</v>
      </c>
      <c r="H38" s="29" t="s">
        <v>75</v>
      </c>
      <c r="I38" s="29">
        <f>'MERCADO TE'!$U$35</f>
        <v>10.576000000000001</v>
      </c>
      <c r="J38" s="15"/>
      <c r="L38" s="26">
        <f>'TE BE'!$L$38*'TE BE'!$L$49</f>
        <v>2.4920263424441011E-6</v>
      </c>
      <c r="M38" s="26">
        <f>'TE BE'!$M$38*'TE BE'!$M$49</f>
        <v>1.2128446024695703</v>
      </c>
      <c r="N38" s="26">
        <f>'TE BE'!$N$38*'TE BE'!$N$49</f>
        <v>0</v>
      </c>
      <c r="O38" s="26">
        <f>'TE BE'!$O$38*'TE BE'!$O$49</f>
        <v>0</v>
      </c>
      <c r="P38" s="26">
        <f>'TE BE'!$P$38*'TE BE'!$P$49</f>
        <v>0</v>
      </c>
      <c r="Q38" s="26">
        <f>SUM($L$38:$P$38)</f>
        <v>1.2128470944959127</v>
      </c>
      <c r="R38" s="26">
        <f>'TE BE'!$R$38*'TE BE'!$R$49</f>
        <v>-2.7577226071663108</v>
      </c>
      <c r="S38" s="26">
        <f>SUM($R$38:$R$38)</f>
        <v>-2.7577226071663108</v>
      </c>
      <c r="T38" s="26">
        <f>'TE BE'!$T$38*'TE BE'!$T$49</f>
        <v>0.886690099780992</v>
      </c>
      <c r="U38" s="26">
        <f>'TE BE'!$U$38*'TE BE'!$U$49</f>
        <v>0.96258762945720244</v>
      </c>
      <c r="V38" s="26">
        <f>'TE BE'!$V$38*'TE BE'!$V$49</f>
        <v>0</v>
      </c>
      <c r="W38" s="26">
        <f>SUM($T$38:$V$38)</f>
        <v>1.8492777292381946</v>
      </c>
      <c r="X38" s="26">
        <f>'TE BE'!$AB$38*'TE BE'!$X$49</f>
        <v>-58.350793426164429</v>
      </c>
      <c r="Y38" s="26">
        <f>SUM($X$38:$X$38)</f>
        <v>-58.350793426164429</v>
      </c>
      <c r="Z38" s="26">
        <f>'TE BE'!$Z$38*'TE BE'!$Z$49</f>
        <v>-7.6530785742854671E-2</v>
      </c>
      <c r="AA38" s="26">
        <f>SUM($Z$38:$Z$38)</f>
        <v>-7.6530785742854671E-2</v>
      </c>
      <c r="AB38" s="26">
        <f>SUMIF($L$4:$AA$4,"SUBTOTAL",$L$38:$AA$38)</f>
        <v>-58.122921995339489</v>
      </c>
    </row>
    <row r="39" spans="1:28" ht="11.25" customHeight="1" x14ac:dyDescent="0.25">
      <c r="A39" s="146"/>
      <c r="B39" s="28" t="s">
        <v>78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79</v>
      </c>
      <c r="H39" s="29" t="s">
        <v>75</v>
      </c>
      <c r="I39" s="29">
        <f>'MERCADO TE'!$U$36</f>
        <v>6532.424</v>
      </c>
      <c r="J39" s="15"/>
      <c r="L39" s="26">
        <f>'TE BE'!$L$39*'TE BE'!$L$49</f>
        <v>2.4920263424441011E-6</v>
      </c>
      <c r="M39" s="26">
        <f>'TE BE'!$M$39*'TE BE'!$M$49</f>
        <v>1.2128446024695703</v>
      </c>
      <c r="N39" s="26">
        <f>'TE BE'!$N$39*'TE BE'!$N$49</f>
        <v>0</v>
      </c>
      <c r="O39" s="26">
        <f>'TE BE'!$O$39*'TE BE'!$O$49</f>
        <v>0</v>
      </c>
      <c r="P39" s="26">
        <f>'TE BE'!$P$39*'TE BE'!$P$49</f>
        <v>0</v>
      </c>
      <c r="Q39" s="26">
        <f>SUM($L$39:$P$39)</f>
        <v>1.2128470944959127</v>
      </c>
      <c r="R39" s="26">
        <f>'TE BE'!$R$39*'TE BE'!$R$49</f>
        <v>-2.9231859635962891</v>
      </c>
      <c r="S39" s="26">
        <f>SUM($R$39:$R$39)</f>
        <v>-2.9231859635962891</v>
      </c>
      <c r="T39" s="26">
        <f>'TE BE'!$T$39*'TE BE'!$T$49</f>
        <v>0.886690099780992</v>
      </c>
      <c r="U39" s="26">
        <f>'TE BE'!$U$39*'TE BE'!$U$49</f>
        <v>0.96258762945720244</v>
      </c>
      <c r="V39" s="26">
        <f>'TE BE'!$V$39*'TE BE'!$V$49</f>
        <v>0</v>
      </c>
      <c r="W39" s="26">
        <f>SUM($T$39:$V$39)</f>
        <v>1.8492777292381946</v>
      </c>
      <c r="X39" s="26">
        <f>'TE BE'!$AB$39*'TE BE'!$X$49</f>
        <v>-61.483756065951837</v>
      </c>
      <c r="Y39" s="26">
        <f>SUM($X$39:$X$39)</f>
        <v>-61.483756065951837</v>
      </c>
      <c r="Z39" s="26">
        <f>'TE BE'!$Z$39*'TE BE'!$Z$49</f>
        <v>-7.6530785742854671E-2</v>
      </c>
      <c r="AA39" s="26">
        <f>SUM($Z$39:$Z$39)</f>
        <v>-7.6530785742854671E-2</v>
      </c>
      <c r="AB39" s="26">
        <f>SUMIF($L$4:$AA$4,"SUBTOTAL",$L$39:$AA$39)</f>
        <v>-61.421347991556871</v>
      </c>
    </row>
    <row r="40" spans="1:28" ht="11.25" customHeight="1" x14ac:dyDescent="0.25">
      <c r="A40" s="146"/>
      <c r="B40" s="28" t="s">
        <v>89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79</v>
      </c>
      <c r="H40" s="29" t="s">
        <v>75</v>
      </c>
      <c r="I40" s="29">
        <f>'MERCADO TE'!$U$37</f>
        <v>0</v>
      </c>
      <c r="J40" s="15"/>
      <c r="L40" s="26">
        <f>'TE BE'!$L$40*'TE BE'!$L$49</f>
        <v>2.4920263424441011E-6</v>
      </c>
      <c r="M40" s="26">
        <f>'TE BE'!$M$40*'TE BE'!$M$49</f>
        <v>1.2128446024695703</v>
      </c>
      <c r="N40" s="26">
        <f>'TE BE'!$N$40*'TE BE'!$N$49</f>
        <v>0</v>
      </c>
      <c r="O40" s="26">
        <f>'TE BE'!$O$40*'TE BE'!$O$49</f>
        <v>0</v>
      </c>
      <c r="P40" s="26">
        <f>'TE BE'!$P$40*'TE BE'!$P$49</f>
        <v>0</v>
      </c>
      <c r="Q40" s="26">
        <f>SUM($L$40:$P$40)</f>
        <v>1.2128470944959127</v>
      </c>
      <c r="R40" s="26">
        <f>'TE BE'!$R$40*'TE BE'!$R$49</f>
        <v>-2.9231859635962891</v>
      </c>
      <c r="S40" s="26">
        <f>SUM($R$40:$R$40)</f>
        <v>-2.9231859635962891</v>
      </c>
      <c r="T40" s="26">
        <f>'TE BE'!$T$40*'TE BE'!$T$49</f>
        <v>0.886690099780992</v>
      </c>
      <c r="U40" s="26">
        <f>'TE BE'!$U$40*'TE BE'!$U$49</f>
        <v>0.96258762945720244</v>
      </c>
      <c r="V40" s="26">
        <f>'TE BE'!$V$40*'TE BE'!$V$49</f>
        <v>0</v>
      </c>
      <c r="W40" s="26">
        <f>SUM($T$40:$V$40)</f>
        <v>1.8492777292381946</v>
      </c>
      <c r="X40" s="26">
        <f>'TE BE'!$AB$40*'TE BE'!$X$49</f>
        <v>-61.483756065951837</v>
      </c>
      <c r="Y40" s="26">
        <f>SUM($X$40:$X$40)</f>
        <v>-61.483756065951837</v>
      </c>
      <c r="Z40" s="26">
        <f>'TE BE'!$Z$40*'TE BE'!$Z$49</f>
        <v>-7.6530785742854671E-2</v>
      </c>
      <c r="AA40" s="26">
        <f>SUM($Z$40:$Z$40)</f>
        <v>-7.6530785742854671E-2</v>
      </c>
      <c r="AB40" s="26">
        <f>SUMIF($L$4:$AA$4,"SUBTOTAL",$L$40:$AA$40)</f>
        <v>-61.421347991556871</v>
      </c>
    </row>
    <row r="41" spans="1:28" ht="11.25" customHeight="1" x14ac:dyDescent="0.25">
      <c r="A41" s="146" t="s">
        <v>44</v>
      </c>
      <c r="B41" s="146" t="s">
        <v>78</v>
      </c>
      <c r="C41" s="146" t="s">
        <v>45</v>
      </c>
      <c r="D41" s="28" t="s">
        <v>93</v>
      </c>
      <c r="E41" s="28" t="s">
        <v>25</v>
      </c>
      <c r="F41" s="28" t="s">
        <v>25</v>
      </c>
      <c r="G41" s="29" t="s">
        <v>79</v>
      </c>
      <c r="H41" s="29" t="s">
        <v>75</v>
      </c>
      <c r="I41" s="29">
        <f>'MERCADO TE'!$U$38</f>
        <v>0</v>
      </c>
      <c r="J41" s="15"/>
      <c r="L41" s="26">
        <f>'TE BE'!$L$41*'TE BE'!$L$49</f>
        <v>1.3706144883442555E-6</v>
      </c>
      <c r="M41" s="26">
        <f>'TE BE'!$M$41*'TE BE'!$M$49</f>
        <v>0.66706453135826371</v>
      </c>
      <c r="N41" s="26">
        <f>'TE BE'!$N$41*'TE BE'!$N$49</f>
        <v>0</v>
      </c>
      <c r="O41" s="26">
        <f>'TE BE'!$O$41*'TE BE'!$O$49</f>
        <v>0</v>
      </c>
      <c r="P41" s="26">
        <f>'TE BE'!$P$41*'TE BE'!$P$49</f>
        <v>0</v>
      </c>
      <c r="Q41" s="26">
        <f>SUM($L$41:$P$41)</f>
        <v>0.66706590197275206</v>
      </c>
      <c r="R41" s="26">
        <f>'TE BE'!$R$41*'TE BE'!$R$49</f>
        <v>-1.6077522799779593</v>
      </c>
      <c r="S41" s="26">
        <f>SUM($R$41:$R$41)</f>
        <v>-1.6077522799779593</v>
      </c>
      <c r="T41" s="26">
        <f>'TE BE'!$T$41*'TE BE'!$T$49</f>
        <v>0.48767955487954567</v>
      </c>
      <c r="U41" s="26">
        <f>'TE BE'!$U$41*'TE BE'!$U$49</f>
        <v>0.52942319620146139</v>
      </c>
      <c r="V41" s="26">
        <f>'TE BE'!$V$41*'TE BE'!$V$49</f>
        <v>0</v>
      </c>
      <c r="W41" s="26">
        <f>SUM($T$41:$V$41)</f>
        <v>1.0171027510810071</v>
      </c>
      <c r="X41" s="26">
        <f>'TE BE'!$AB$41*'TE BE'!$X$49</f>
        <v>-33.816065836273516</v>
      </c>
      <c r="Y41" s="26">
        <f>SUM($X$41:$X$41)</f>
        <v>-33.816065836273516</v>
      </c>
      <c r="Z41" s="26">
        <f>'TE BE'!$Z$41*'TE BE'!$Z$49</f>
        <v>-4.2091932158570072E-2</v>
      </c>
      <c r="AA41" s="26">
        <f>SUM($Z$41:$Z$41)</f>
        <v>-4.2091932158570072E-2</v>
      </c>
      <c r="AB41" s="26">
        <f>SUMIF($L$4:$AA$4,"SUBTOTAL",$L$41:$AA$41)</f>
        <v>-33.781741395356285</v>
      </c>
    </row>
    <row r="42" spans="1:28" ht="11.25" customHeight="1" x14ac:dyDescent="0.25">
      <c r="A42" s="146"/>
      <c r="B42" s="146"/>
      <c r="C42" s="146"/>
      <c r="D42" s="29" t="s">
        <v>46</v>
      </c>
      <c r="E42" s="29" t="s">
        <v>25</v>
      </c>
      <c r="F42" s="29" t="s">
        <v>25</v>
      </c>
      <c r="G42" s="29" t="s">
        <v>79</v>
      </c>
      <c r="H42" s="29" t="s">
        <v>75</v>
      </c>
      <c r="I42" s="29">
        <f>'MERCADO TE'!$U$39</f>
        <v>1655.8650000000002</v>
      </c>
      <c r="J42" s="15"/>
      <c r="L42" s="26">
        <f>'TE BE'!$L$42*'TE BE'!$L$49</f>
        <v>1.4952158054664606E-6</v>
      </c>
      <c r="M42" s="26">
        <f>'TE BE'!$M$42*'TE BE'!$M$49</f>
        <v>0.72770676148174207</v>
      </c>
      <c r="N42" s="26">
        <f>'TE BE'!$N$42*'TE BE'!$N$49</f>
        <v>0</v>
      </c>
      <c r="O42" s="26">
        <f>'TE BE'!$O$42*'TE BE'!$O$49</f>
        <v>0</v>
      </c>
      <c r="P42" s="26">
        <f>'TE BE'!$P$42*'TE BE'!$P$49</f>
        <v>0</v>
      </c>
      <c r="Q42" s="26">
        <f>SUM($L$42:$P$42)</f>
        <v>0.72770825669754757</v>
      </c>
      <c r="R42" s="26">
        <f>'TE BE'!$R$42*'TE BE'!$R$49</f>
        <v>-1.7539115781577737</v>
      </c>
      <c r="S42" s="26">
        <f>SUM($R$42:$R$42)</f>
        <v>-1.7539115781577737</v>
      </c>
      <c r="T42" s="26">
        <f>'TE BE'!$T$42*'TE BE'!$T$49</f>
        <v>0.53201405986859518</v>
      </c>
      <c r="U42" s="26">
        <f>'TE BE'!$U$42*'TE BE'!$U$49</f>
        <v>0.57755257767432144</v>
      </c>
      <c r="V42" s="26">
        <f>'TE BE'!$V$42*'TE BE'!$V$49</f>
        <v>0</v>
      </c>
      <c r="W42" s="26">
        <f>SUM($T$42:$V$42)</f>
        <v>1.1095666375429167</v>
      </c>
      <c r="X42" s="26">
        <f>'TE BE'!$AB$42*'TE BE'!$X$49</f>
        <v>-36.8902536395711</v>
      </c>
      <c r="Y42" s="26">
        <f>SUM($X$42:$X$42)</f>
        <v>-36.8902536395711</v>
      </c>
      <c r="Z42" s="26">
        <f>'TE BE'!$Z$42*'TE BE'!$Z$49</f>
        <v>-4.5918471445712802E-2</v>
      </c>
      <c r="AA42" s="26">
        <f>SUM($Z$42:$Z$42)</f>
        <v>-4.5918471445712802E-2</v>
      </c>
      <c r="AB42" s="26">
        <f>SUMIF($L$4:$AA$4,"SUBTOTAL",$L$42:$AA$42)</f>
        <v>-36.85280879493412</v>
      </c>
    </row>
    <row r="44" spans="1:28" ht="11.25" customHeight="1" x14ac:dyDescent="0.25">
      <c r="K44" s="31" t="s">
        <v>656</v>
      </c>
      <c r="L44" s="26">
        <f t="shared" ref="L44:AB44" si="0">SUMPRODUCT($I$5:$I$42,L$5:L$42)</f>
        <v>7.4898569425744077E-2</v>
      </c>
      <c r="M44" s="26">
        <f t="shared" si="0"/>
        <v>36452.39382646844</v>
      </c>
      <c r="N44" s="26">
        <f t="shared" si="0"/>
        <v>0</v>
      </c>
      <c r="O44" s="26">
        <f t="shared" si="0"/>
        <v>0</v>
      </c>
      <c r="P44" s="26">
        <f t="shared" si="0"/>
        <v>0</v>
      </c>
      <c r="Q44" s="26">
        <f t="shared" si="0"/>
        <v>36452.46872503787</v>
      </c>
      <c r="R44" s="26">
        <f t="shared" si="0"/>
        <v>-87115.726584510659</v>
      </c>
      <c r="S44" s="26">
        <f t="shared" si="0"/>
        <v>-87115.726584510659</v>
      </c>
      <c r="T44" s="26">
        <f t="shared" si="0"/>
        <v>26649.726315666456</v>
      </c>
      <c r="U44" s="26">
        <f t="shared" si="0"/>
        <v>28930.848428573503</v>
      </c>
      <c r="V44" s="26">
        <f t="shared" si="0"/>
        <v>0</v>
      </c>
      <c r="W44" s="26">
        <f t="shared" si="0"/>
        <v>55580.574744239966</v>
      </c>
      <c r="X44" s="26">
        <f t="shared" si="0"/>
        <v>-1833872.657691394</v>
      </c>
      <c r="Y44" s="26">
        <f t="shared" si="0"/>
        <v>-1833872.657691394</v>
      </c>
      <c r="Z44" s="26">
        <f t="shared" si="0"/>
        <v>-2300.154806367791</v>
      </c>
      <c r="AA44" s="26">
        <f t="shared" si="0"/>
        <v>-2300.154806367791</v>
      </c>
      <c r="AB44" s="26">
        <f t="shared" si="0"/>
        <v>-1831255.4956129938</v>
      </c>
    </row>
    <row r="45" spans="1:28" ht="11.25" customHeight="1" x14ac:dyDescent="0.25">
      <c r="K45" s="31" t="s">
        <v>575</v>
      </c>
      <c r="L45" s="26">
        <f>CUSTOS!$D$30</f>
        <v>73198.785302957069</v>
      </c>
      <c r="M45" s="26">
        <f>CUSTOS!$D$31</f>
        <v>631086.40869767964</v>
      </c>
      <c r="N45" s="26">
        <f>CUSTOS!$D$32</f>
        <v>0</v>
      </c>
      <c r="O45" s="26">
        <f>CUSTOS!$D$33</f>
        <v>0</v>
      </c>
      <c r="P45" s="26">
        <f>CUSTOS!$D$34</f>
        <v>-701487.35</v>
      </c>
      <c r="Q45" s="26">
        <f>CUSTOS!$D$35</f>
        <v>2797.8440006367164</v>
      </c>
      <c r="R45" s="26">
        <f>CUSTOS!$D$36</f>
        <v>5974731.309717196</v>
      </c>
      <c r="S45" s="26">
        <f>CUSTOS!$D$37</f>
        <v>5974731.309717196</v>
      </c>
      <c r="T45" s="26">
        <f>CUSTOS!$D$38</f>
        <v>300438.78378876136</v>
      </c>
      <c r="U45" s="26">
        <f>CUSTOS!$D$39</f>
        <v>206871.02282621071</v>
      </c>
      <c r="V45" s="26">
        <f>CUSTOS!$D$40</f>
        <v>0</v>
      </c>
      <c r="W45" s="26">
        <f>CUSTOS!$D$41</f>
        <v>507309.80661497207</v>
      </c>
      <c r="X45" s="26">
        <f>CUSTOS!$D$42</f>
        <v>0</v>
      </c>
      <c r="Y45" s="26">
        <f>CUSTOS!$D$43</f>
        <v>0</v>
      </c>
      <c r="Z45" s="26">
        <f>CUSTOS!$D$44</f>
        <v>157753.45597870075</v>
      </c>
      <c r="AA45" s="26">
        <f>CUSTOS!$D$45</f>
        <v>157753.45597870075</v>
      </c>
      <c r="AB45" s="26">
        <f>CUSTOS!$D$46</f>
        <v>6642592.4163115053</v>
      </c>
    </row>
    <row r="46" spans="1:28" ht="11.25" customHeight="1" x14ac:dyDescent="0.25">
      <c r="K46" s="31" t="s">
        <v>576</v>
      </c>
      <c r="L46" s="26">
        <f>CUSTOS!$E$30</f>
        <v>7.4898569425744063E-2</v>
      </c>
      <c r="M46" s="26">
        <f>CUSTOS!$E$31</f>
        <v>36452.39382646844</v>
      </c>
      <c r="N46" s="26">
        <f>CUSTOS!$E$32</f>
        <v>0</v>
      </c>
      <c r="O46" s="26">
        <f>CUSTOS!$E$33</f>
        <v>-9.4234900844694225E-19</v>
      </c>
      <c r="P46" s="26">
        <f>CUSTOS!$E$34</f>
        <v>0</v>
      </c>
      <c r="Q46" s="26">
        <f>CUSTOS!$E$35</f>
        <v>36452.468725037863</v>
      </c>
      <c r="R46" s="26">
        <f>CUSTOS!$E$36</f>
        <v>-87115.726584510674</v>
      </c>
      <c r="S46" s="26">
        <f>CUSTOS!$E$37</f>
        <v>-87115.726584510674</v>
      </c>
      <c r="T46" s="26">
        <f>CUSTOS!$E$38</f>
        <v>26649.726315666448</v>
      </c>
      <c r="U46" s="26">
        <f>CUSTOS!$E$39</f>
        <v>28930.848428573499</v>
      </c>
      <c r="V46" s="26">
        <f>CUSTOS!$E$40</f>
        <v>0</v>
      </c>
      <c r="W46" s="26">
        <f>CUSTOS!$E$41</f>
        <v>55580.574744239944</v>
      </c>
      <c r="X46" s="26">
        <f>CUSTOS!$E$42</f>
        <v>-1833872.6576913935</v>
      </c>
      <c r="Y46" s="26">
        <f>CUSTOS!$E$43</f>
        <v>-1833872.6576913935</v>
      </c>
      <c r="Z46" s="26">
        <f>CUSTOS!$E$44</f>
        <v>-2300.154806367791</v>
      </c>
      <c r="AA46" s="26">
        <f>CUSTOS!$E$45</f>
        <v>-2300.154806367791</v>
      </c>
      <c r="AB46" s="26">
        <f>CUSTOS!$E$46</f>
        <v>-1831255.4956129943</v>
      </c>
    </row>
    <row r="47" spans="1:28" ht="11.25" customHeight="1" x14ac:dyDescent="0.25">
      <c r="K47" s="31" t="s">
        <v>577</v>
      </c>
      <c r="L47" s="26">
        <f>CUSTOS!$F$30</f>
        <v>0</v>
      </c>
      <c r="M47" s="26">
        <f>CUSTOS!$F$31</f>
        <v>290820.58199999999</v>
      </c>
      <c r="N47" s="26">
        <f>CUSTOS!$F$32</f>
        <v>0</v>
      </c>
      <c r="O47" s="26">
        <f>CUSTOS!$F$33</f>
        <v>0</v>
      </c>
      <c r="P47" s="26">
        <f>CUSTOS!$F$34</f>
        <v>0</v>
      </c>
      <c r="Q47" s="26">
        <f>CUSTOS!$F$35</f>
        <v>290820.58199999999</v>
      </c>
      <c r="R47" s="26">
        <f>CUSTOS!$F$36</f>
        <v>995691.63033714134</v>
      </c>
      <c r="S47" s="26">
        <f>CUSTOS!$F$37</f>
        <v>995691.63033714134</v>
      </c>
      <c r="T47" s="26">
        <f>CUSTOS!$F$38</f>
        <v>63621.552600000003</v>
      </c>
      <c r="U47" s="26">
        <f>CUSTOS!$F$39</f>
        <v>8085.2637000000004</v>
      </c>
      <c r="V47" s="26">
        <f>CUSTOS!$F$40</f>
        <v>0</v>
      </c>
      <c r="W47" s="26">
        <f>CUSTOS!$F$41</f>
        <v>71706.816300000006</v>
      </c>
      <c r="X47" s="26">
        <f>CUSTOS!$F$42</f>
        <v>0</v>
      </c>
      <c r="Y47" s="26">
        <f>CUSTOS!$F$43</f>
        <v>0</v>
      </c>
      <c r="Z47" s="26">
        <f>CUSTOS!$F$44</f>
        <v>26289.68360791204</v>
      </c>
      <c r="AA47" s="26">
        <f>CUSTOS!$F$45</f>
        <v>26289.68360791204</v>
      </c>
      <c r="AB47" s="26">
        <f>CUSTOS!$F$46</f>
        <v>1384508.7122450536</v>
      </c>
    </row>
    <row r="48" spans="1:28" ht="11.25" customHeight="1" x14ac:dyDescent="0.25">
      <c r="K48" s="31" t="s">
        <v>657</v>
      </c>
      <c r="L48" s="26">
        <f>'TR TE'!$L$48*L49</f>
        <v>0</v>
      </c>
      <c r="M48" s="26">
        <f>'TR TE'!$M$48*M49</f>
        <v>9.6761868327463709</v>
      </c>
      <c r="N48" s="26">
        <f>'TR TE'!$N$48*N49</f>
        <v>0</v>
      </c>
      <c r="O48" s="26">
        <f>'TR TE'!$O$48*O49</f>
        <v>0</v>
      </c>
      <c r="P48" s="26">
        <f>'TR TE'!$P$48*P49</f>
        <v>0</v>
      </c>
      <c r="Q48" s="26"/>
      <c r="R48" s="26">
        <f>'TR TE'!$R$48*R49</f>
        <v>33.134237258837736</v>
      </c>
      <c r="S48" s="26"/>
      <c r="T48" s="26">
        <f>'TR TE'!$T$48*T49</f>
        <v>2.1168172668982579</v>
      </c>
      <c r="U48" s="26">
        <f>'TR TE'!$U$48*U49</f>
        <v>0.26901301694397345</v>
      </c>
      <c r="V48" s="26">
        <f>'TR TE'!$V$48*V49</f>
        <v>0</v>
      </c>
      <c r="W48" s="26"/>
      <c r="X48" s="26"/>
      <c r="Y48" s="26"/>
      <c r="Z48" s="26">
        <f>'TR TE'!$Z$48*Z49</f>
        <v>0.87471075332607173</v>
      </c>
      <c r="AA48" s="26"/>
      <c r="AB48" s="26"/>
    </row>
    <row r="49" spans="11:28" ht="11.25" customHeight="1" x14ac:dyDescent="0.25">
      <c r="K49" s="31" t="s">
        <v>652</v>
      </c>
      <c r="L49" s="26">
        <f>IF(L45&lt;&gt;0,L47/L45,0)</f>
        <v>0</v>
      </c>
      <c r="M49" s="26">
        <f>IF(M45&lt;&gt;0,M47/M45,0)</f>
        <v>0.46082529744245665</v>
      </c>
      <c r="N49" s="26">
        <f>IF(N45&lt;&gt;0,N47/N45,0)</f>
        <v>0</v>
      </c>
      <c r="O49" s="26">
        <f>IF(O45&lt;&gt;0,O47/O45,0)</f>
        <v>0</v>
      </c>
      <c r="P49" s="26">
        <f>IF(P45&lt;&gt;0,P47/P45,0)</f>
        <v>0</v>
      </c>
      <c r="Q49" s="26"/>
      <c r="R49" s="26">
        <f>IF(R45&lt;&gt;0,R47/R45,0)</f>
        <v>0.16665044480205601</v>
      </c>
      <c r="S49" s="26"/>
      <c r="T49" s="26">
        <f>IF(T45&lt;&gt;0,T47/T45,0)</f>
        <v>0.21176211605467138</v>
      </c>
      <c r="U49" s="26">
        <f>IF(U45&lt;&gt;0,U47/U45,0)</f>
        <v>3.908359706227349E-2</v>
      </c>
      <c r="V49" s="26">
        <f>IF(V45&lt;&gt;0,V47/V45,0)</f>
        <v>0</v>
      </c>
      <c r="W49" s="26"/>
      <c r="X49" s="26">
        <f>IF($AB45&lt;&gt;0,X47/($AB45-SUM('TR TE'!$L48:'TR TE'!$AA48)*0),0)</f>
        <v>0</v>
      </c>
      <c r="Y49" s="26"/>
      <c r="Z49" s="26">
        <f>IF(Z45&lt;&gt;0,Z47/Z45,0)</f>
        <v>0.16665044480205601</v>
      </c>
      <c r="AA49" s="26"/>
      <c r="AB49" s="26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871" priority="33" operator="notEqual">
      <formula>$L$46</formula>
    </cfRule>
    <cfRule type="cellIs" dxfId="870" priority="34" operator="equal">
      <formula>$L$46</formula>
    </cfRule>
  </conditionalFormatting>
  <conditionalFormatting sqref="M44">
    <cfRule type="cellIs" dxfId="869" priority="31" operator="notEqual">
      <formula>$M$46</formula>
    </cfRule>
    <cfRule type="cellIs" dxfId="868" priority="32" operator="equal">
      <formula>$M$46</formula>
    </cfRule>
  </conditionalFormatting>
  <conditionalFormatting sqref="N44">
    <cfRule type="cellIs" dxfId="867" priority="29" operator="notEqual">
      <formula>$N$46</formula>
    </cfRule>
    <cfRule type="cellIs" dxfId="866" priority="30" operator="equal">
      <formula>$N$46</formula>
    </cfRule>
  </conditionalFormatting>
  <conditionalFormatting sqref="O44">
    <cfRule type="cellIs" dxfId="865" priority="27" operator="notEqual">
      <formula>$O$46</formula>
    </cfRule>
    <cfRule type="cellIs" dxfId="864" priority="28" operator="equal">
      <formula>$O$46</formula>
    </cfRule>
  </conditionalFormatting>
  <conditionalFormatting sqref="P44">
    <cfRule type="cellIs" dxfId="863" priority="25" operator="notEqual">
      <formula>$P$46</formula>
    </cfRule>
    <cfRule type="cellIs" dxfId="862" priority="26" operator="equal">
      <formula>$P$46</formula>
    </cfRule>
  </conditionalFormatting>
  <conditionalFormatting sqref="Q44">
    <cfRule type="cellIs" dxfId="861" priority="23" operator="notEqual">
      <formula>$Q$46</formula>
    </cfRule>
    <cfRule type="cellIs" dxfId="860" priority="24" operator="equal">
      <formula>$Q$46</formula>
    </cfRule>
  </conditionalFormatting>
  <conditionalFormatting sqref="R44">
    <cfRule type="cellIs" dxfId="859" priority="21" operator="notEqual">
      <formula>$R$46</formula>
    </cfRule>
    <cfRule type="cellIs" dxfId="858" priority="22" operator="equal">
      <formula>$R$46</formula>
    </cfRule>
  </conditionalFormatting>
  <conditionalFormatting sqref="S44">
    <cfRule type="cellIs" dxfId="857" priority="19" operator="notEqual">
      <formula>$S$46</formula>
    </cfRule>
    <cfRule type="cellIs" dxfId="856" priority="20" operator="equal">
      <formula>$S$46</formula>
    </cfRule>
  </conditionalFormatting>
  <conditionalFormatting sqref="T44">
    <cfRule type="cellIs" dxfId="855" priority="17" operator="notEqual">
      <formula>$T$46</formula>
    </cfRule>
    <cfRule type="cellIs" dxfId="854" priority="18" operator="equal">
      <formula>$T$46</formula>
    </cfRule>
  </conditionalFormatting>
  <conditionalFormatting sqref="U44">
    <cfRule type="cellIs" dxfId="853" priority="15" operator="notEqual">
      <formula>$U$46</formula>
    </cfRule>
    <cfRule type="cellIs" dxfId="852" priority="16" operator="equal">
      <formula>$U$46</formula>
    </cfRule>
  </conditionalFormatting>
  <conditionalFormatting sqref="V44">
    <cfRule type="cellIs" dxfId="851" priority="13" operator="notEqual">
      <formula>$V$46</formula>
    </cfRule>
    <cfRule type="cellIs" dxfId="850" priority="14" operator="equal">
      <formula>$V$46</formula>
    </cfRule>
  </conditionalFormatting>
  <conditionalFormatting sqref="W44">
    <cfRule type="cellIs" dxfId="849" priority="11" operator="notEqual">
      <formula>$W$46</formula>
    </cfRule>
    <cfRule type="cellIs" dxfId="848" priority="12" operator="equal">
      <formula>$W$46</formula>
    </cfRule>
  </conditionalFormatting>
  <conditionalFormatting sqref="X44">
    <cfRule type="cellIs" dxfId="847" priority="9" operator="notEqual">
      <formula>$X$46</formula>
    </cfRule>
    <cfRule type="cellIs" dxfId="846" priority="10" operator="equal">
      <formula>$X$46</formula>
    </cfRule>
  </conditionalFormatting>
  <conditionalFormatting sqref="Y44">
    <cfRule type="cellIs" dxfId="845" priority="7" operator="notEqual">
      <formula>$Y$46</formula>
    </cfRule>
    <cfRule type="cellIs" dxfId="844" priority="8" operator="equal">
      <formula>$Y$46</formula>
    </cfRule>
  </conditionalFormatting>
  <conditionalFormatting sqref="Z44">
    <cfRule type="cellIs" dxfId="843" priority="5" operator="notEqual">
      <formula>$Z$46</formula>
    </cfRule>
    <cfRule type="cellIs" dxfId="842" priority="6" operator="equal">
      <formula>$Z$46</formula>
    </cfRule>
  </conditionalFormatting>
  <conditionalFormatting sqref="AA44">
    <cfRule type="cellIs" dxfId="841" priority="3" operator="notEqual">
      <formula>$AA$46</formula>
    </cfRule>
    <cfRule type="cellIs" dxfId="840" priority="4" operator="equal">
      <formula>$AA$46</formula>
    </cfRule>
  </conditionalFormatting>
  <conditionalFormatting sqref="AB44">
    <cfRule type="cellIs" dxfId="839" priority="1" operator="notEqual">
      <formula>$AB$46</formula>
    </cfRule>
    <cfRule type="cellIs" dxfId="838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D78DA-31DE-43B6-91EB-7BC14C2AD1B1}">
  <dimension ref="A1:AB50"/>
  <sheetViews>
    <sheetView showGridLines="0" topLeftCell="Q3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7.85546875" style="9" bestFit="1" customWidth="1"/>
    <col min="13" max="13" width="8.7109375" style="9" bestFit="1" customWidth="1"/>
    <col min="14" max="14" width="7.85546875" style="9" bestFit="1" customWidth="1"/>
    <col min="15" max="15" width="11.140625" style="9" bestFit="1" customWidth="1"/>
    <col min="16" max="17" width="9.28515625" style="9" bestFit="1" customWidth="1"/>
    <col min="18" max="18" width="15" style="9" bestFit="1" customWidth="1"/>
    <col min="19" max="19" width="10" style="9" bestFit="1" customWidth="1"/>
    <col min="20" max="20" width="8.71093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5703125" style="9" bestFit="1" customWidth="1"/>
    <col min="29" max="16384" width="9.140625" style="9"/>
  </cols>
  <sheetData>
    <row r="1" spans="1:28" ht="11.25" customHeight="1" x14ac:dyDescent="0.25">
      <c r="A1" s="147" t="s">
        <v>65</v>
      </c>
      <c r="B1" s="147" t="s">
        <v>66</v>
      </c>
      <c r="C1" s="147" t="s">
        <v>67</v>
      </c>
      <c r="D1" s="147" t="s">
        <v>68</v>
      </c>
      <c r="E1" s="147" t="s">
        <v>69</v>
      </c>
      <c r="F1" s="147" t="s">
        <v>15</v>
      </c>
      <c r="G1" s="147" t="s">
        <v>71</v>
      </c>
      <c r="H1" s="147" t="s">
        <v>72</v>
      </c>
      <c r="I1" s="147" t="s">
        <v>634</v>
      </c>
      <c r="J1" s="131"/>
      <c r="L1" s="148" t="s">
        <v>662</v>
      </c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</row>
    <row r="2" spans="1:28" ht="11.25" customHeight="1" x14ac:dyDescent="0.25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8" t="s">
        <v>561</v>
      </c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</row>
    <row r="3" spans="1:28" ht="11.25" customHeight="1" x14ac:dyDescent="0.25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8" t="s">
        <v>534</v>
      </c>
      <c r="M3" s="148"/>
      <c r="N3" s="148"/>
      <c r="O3" s="148"/>
      <c r="P3" s="148"/>
      <c r="Q3" s="148"/>
      <c r="R3" s="148" t="s">
        <v>565</v>
      </c>
      <c r="S3" s="148"/>
      <c r="T3" s="148" t="s">
        <v>543</v>
      </c>
      <c r="U3" s="148"/>
      <c r="V3" s="148"/>
      <c r="W3" s="148"/>
      <c r="X3" s="148" t="s">
        <v>553</v>
      </c>
      <c r="Y3" s="148"/>
      <c r="Z3" s="148" t="s">
        <v>556</v>
      </c>
      <c r="AA3" s="148"/>
      <c r="AB3" s="148" t="s">
        <v>542</v>
      </c>
    </row>
    <row r="4" spans="1:28" ht="11.25" customHeight="1" x14ac:dyDescent="0.25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30" t="s">
        <v>536</v>
      </c>
      <c r="M4" s="30" t="s">
        <v>562</v>
      </c>
      <c r="N4" s="30" t="s">
        <v>563</v>
      </c>
      <c r="O4" s="30" t="s">
        <v>622</v>
      </c>
      <c r="P4" s="30" t="s">
        <v>564</v>
      </c>
      <c r="Q4" s="30" t="s">
        <v>542</v>
      </c>
      <c r="R4" s="30" t="s">
        <v>566</v>
      </c>
      <c r="S4" s="30" t="s">
        <v>542</v>
      </c>
      <c r="T4" s="30" t="s">
        <v>567</v>
      </c>
      <c r="U4" s="30" t="s">
        <v>568</v>
      </c>
      <c r="V4" s="30" t="s">
        <v>569</v>
      </c>
      <c r="W4" s="30" t="s">
        <v>542</v>
      </c>
      <c r="X4" s="30" t="s">
        <v>554</v>
      </c>
      <c r="Y4" s="30" t="s">
        <v>542</v>
      </c>
      <c r="Z4" s="30" t="s">
        <v>570</v>
      </c>
      <c r="AA4" s="30" t="s">
        <v>542</v>
      </c>
      <c r="AB4" s="149"/>
    </row>
    <row r="5" spans="1:28" ht="11.25" customHeight="1" x14ac:dyDescent="0.25">
      <c r="A5" s="146" t="s">
        <v>38</v>
      </c>
      <c r="B5" s="146" t="s">
        <v>74</v>
      </c>
      <c r="C5" s="146" t="s">
        <v>25</v>
      </c>
      <c r="D5" s="146" t="s">
        <v>25</v>
      </c>
      <c r="E5" s="146" t="s">
        <v>25</v>
      </c>
      <c r="F5" s="146" t="s">
        <v>25</v>
      </c>
      <c r="G5" s="29" t="s">
        <v>76</v>
      </c>
      <c r="H5" s="29" t="s">
        <v>75</v>
      </c>
      <c r="I5" s="29">
        <f>'MERCADO TE'!$U$2</f>
        <v>280.50399999999996</v>
      </c>
      <c r="J5" s="15"/>
      <c r="L5" s="26">
        <f>'TE BE'!$L$5*'TE BF'!$L$49</f>
        <v>0</v>
      </c>
      <c r="M5" s="26">
        <f>'TE BE'!$M$5*'TE BF'!$M$49</f>
        <v>9.6761868327463709</v>
      </c>
      <c r="N5" s="26">
        <f>'TE BE'!$N$5*'TE BF'!$N$49</f>
        <v>0</v>
      </c>
      <c r="O5" s="26">
        <f>'TE BE'!$O$5*'TE BF'!$O$49</f>
        <v>0</v>
      </c>
      <c r="P5" s="26">
        <f>'TE BE'!$P$5*'TE BF'!$P$49</f>
        <v>0</v>
      </c>
      <c r="Q5" s="26">
        <f>SUM($L$5:$P$5)</f>
        <v>9.6761868327463709</v>
      </c>
      <c r="R5" s="26">
        <f>'TE BE'!$R$5*'TE BF'!$R$49</f>
        <v>54.213484217034562</v>
      </c>
      <c r="S5" s="26">
        <f>SUM($R$5:$R$5)</f>
        <v>54.213484217034562</v>
      </c>
      <c r="T5" s="26">
        <f>'TE BE'!$T$5*'TE BF'!$T$49</f>
        <v>2.1168172668982579</v>
      </c>
      <c r="U5" s="26">
        <f>'TE BE'!$U$5*'TE BF'!$U$49</f>
        <v>0.26901301694397345</v>
      </c>
      <c r="V5" s="26">
        <f>'TE BE'!$V$5*'TE BF'!$V$49</f>
        <v>0</v>
      </c>
      <c r="W5" s="26">
        <f>SUM($T$5:$V$5)</f>
        <v>2.3858302838422314</v>
      </c>
      <c r="X5" s="26">
        <f>'TE BE'!$AB$5*'TE BF'!$X$49</f>
        <v>0</v>
      </c>
      <c r="Y5" s="26">
        <f>SUM($X$5:$X$5)</f>
        <v>0</v>
      </c>
      <c r="Z5" s="26">
        <f>'TE BE'!$Z$5*'TE BF'!$Z$49</f>
        <v>0.87471075332607173</v>
      </c>
      <c r="AA5" s="26">
        <f>SUM($Z$5:$Z$5)</f>
        <v>0.87471075332607173</v>
      </c>
      <c r="AB5" s="26">
        <f>SUMIF($L$4:$AA$4,"SUBTOTAL",$L$5:$AA$5)</f>
        <v>67.150212086949224</v>
      </c>
    </row>
    <row r="6" spans="1:28" ht="11.25" customHeight="1" x14ac:dyDescent="0.25">
      <c r="A6" s="146"/>
      <c r="B6" s="146"/>
      <c r="C6" s="146"/>
      <c r="D6" s="146"/>
      <c r="E6" s="146"/>
      <c r="F6" s="146"/>
      <c r="G6" s="29" t="s">
        <v>77</v>
      </c>
      <c r="H6" s="29" t="s">
        <v>75</v>
      </c>
      <c r="I6" s="29">
        <f>'MERCADO TE'!$U$3</f>
        <v>7558.6610000000001</v>
      </c>
      <c r="J6" s="15"/>
      <c r="L6" s="26">
        <f>'TE BE'!$L$6*'TE BF'!$L$49</f>
        <v>0</v>
      </c>
      <c r="M6" s="26">
        <f>'TE BE'!$M$6*'TE BF'!$M$49</f>
        <v>9.6761868327463709</v>
      </c>
      <c r="N6" s="26">
        <f>'TE BE'!$N$6*'TE BF'!$N$49</f>
        <v>0</v>
      </c>
      <c r="O6" s="26">
        <f>'TE BE'!$O$6*'TE BF'!$O$49</f>
        <v>0</v>
      </c>
      <c r="P6" s="26">
        <f>'TE BE'!$P$6*'TE BF'!$P$49</f>
        <v>0</v>
      </c>
      <c r="Q6" s="26">
        <f>SUM($L$6:$P$6)</f>
        <v>9.6761868327463709</v>
      </c>
      <c r="R6" s="26">
        <f>'TE BE'!$R$6*'TE BF'!$R$49</f>
        <v>31.51946756804335</v>
      </c>
      <c r="S6" s="26">
        <f>SUM($R$6:$R$6)</f>
        <v>31.51946756804335</v>
      </c>
      <c r="T6" s="26">
        <f>'TE BE'!$T$6*'TE BF'!$T$49</f>
        <v>2.1168172668982579</v>
      </c>
      <c r="U6" s="26">
        <f>'TE BE'!$U$6*'TE BF'!$U$49</f>
        <v>0.26901301694397345</v>
      </c>
      <c r="V6" s="26">
        <f>'TE BE'!$V$6*'TE BF'!$V$49</f>
        <v>0</v>
      </c>
      <c r="W6" s="26">
        <f>SUM($T$6:$V$6)</f>
        <v>2.3858302838422314</v>
      </c>
      <c r="X6" s="26">
        <f>'TE BE'!$AB$6*'TE BF'!$X$49</f>
        <v>0</v>
      </c>
      <c r="Y6" s="26">
        <f>SUM($X$6:$X$6)</f>
        <v>0</v>
      </c>
      <c r="Z6" s="26">
        <f>'TE BE'!$Z$6*'TE BF'!$Z$49</f>
        <v>0.87471075332607173</v>
      </c>
      <c r="AA6" s="26">
        <f>SUM($Z$6:$Z$6)</f>
        <v>0.87471075332607173</v>
      </c>
      <c r="AB6" s="26">
        <f>SUMIF($L$4:$AA$4,"SUBTOTAL",$L$6:$AA$6)</f>
        <v>44.456195437958023</v>
      </c>
    </row>
    <row r="7" spans="1:28" ht="11.25" customHeight="1" x14ac:dyDescent="0.25">
      <c r="A7" s="146"/>
      <c r="B7" s="28" t="s">
        <v>78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79</v>
      </c>
      <c r="H7" s="29" t="s">
        <v>75</v>
      </c>
      <c r="I7" s="29">
        <f>'MERCADO TE'!$U$4</f>
        <v>0</v>
      </c>
      <c r="J7" s="15"/>
      <c r="L7" s="26">
        <f>'TE BE'!$L$7*'TE BF'!$L$49</f>
        <v>0</v>
      </c>
      <c r="M7" s="26">
        <f>'TE BE'!$M$7*'TE BF'!$M$49</f>
        <v>9.6761868327463709</v>
      </c>
      <c r="N7" s="26">
        <f>'TE BE'!$N$7*'TE BF'!$N$49</f>
        <v>0</v>
      </c>
      <c r="O7" s="26">
        <f>'TE BE'!$O$7*'TE BF'!$O$49</f>
        <v>0</v>
      </c>
      <c r="P7" s="26">
        <f>'TE BE'!$P$7*'TE BF'!$P$49</f>
        <v>0</v>
      </c>
      <c r="Q7" s="26">
        <f>SUM($L$7:$P$7)</f>
        <v>9.6761868327463709</v>
      </c>
      <c r="R7" s="26">
        <f>'TE BE'!$R$7*'TE BF'!$R$49</f>
        <v>33.410635622125952</v>
      </c>
      <c r="S7" s="26">
        <f>SUM($R$7:$R$7)</f>
        <v>33.410635622125952</v>
      </c>
      <c r="T7" s="26">
        <f>'TE BE'!$T$7*'TE BF'!$T$49</f>
        <v>2.1168172668982579</v>
      </c>
      <c r="U7" s="26">
        <f>'TE BE'!$U$7*'TE BF'!$U$49</f>
        <v>0.26901301694397345</v>
      </c>
      <c r="V7" s="26">
        <f>'TE BE'!$V$7*'TE BF'!$V$49</f>
        <v>0</v>
      </c>
      <c r="W7" s="26">
        <f>SUM($T$7:$V$7)</f>
        <v>2.3858302838422314</v>
      </c>
      <c r="X7" s="26">
        <f>'TE BE'!$AB$7*'TE BF'!$X$49</f>
        <v>0</v>
      </c>
      <c r="Y7" s="26">
        <f>SUM($X$7:$X$7)</f>
        <v>0</v>
      </c>
      <c r="Z7" s="26">
        <f>'TE BE'!$Z$7*'TE BF'!$Z$49</f>
        <v>0.87471075332607173</v>
      </c>
      <c r="AA7" s="26">
        <f>SUM($Z$7:$Z$7)</f>
        <v>0.87471075332607173</v>
      </c>
      <c r="AB7" s="26">
        <f>SUMIF($L$4:$AA$4,"SUBTOTAL",$L$7:$AA$7)</f>
        <v>46.347363492040621</v>
      </c>
    </row>
    <row r="8" spans="1:28" ht="11.25" customHeight="1" x14ac:dyDescent="0.25">
      <c r="A8" s="146" t="s">
        <v>22</v>
      </c>
      <c r="B8" s="146" t="s">
        <v>74</v>
      </c>
      <c r="C8" s="146" t="s">
        <v>24</v>
      </c>
      <c r="D8" s="146" t="s">
        <v>24</v>
      </c>
      <c r="E8" s="146" t="s">
        <v>25</v>
      </c>
      <c r="F8" s="146" t="s">
        <v>25</v>
      </c>
      <c r="G8" s="29" t="s">
        <v>76</v>
      </c>
      <c r="H8" s="29" t="s">
        <v>75</v>
      </c>
      <c r="I8" s="29">
        <f>'MERCADO TE'!$U$5</f>
        <v>0.17000000000000004</v>
      </c>
      <c r="J8" s="15"/>
      <c r="L8" s="26">
        <f>'TE BE'!$L$8*'TE BF'!$L$49</f>
        <v>0</v>
      </c>
      <c r="M8" s="26">
        <f>'TE BE'!$M$8*'TE BF'!$M$49</f>
        <v>9.6761868327463709</v>
      </c>
      <c r="N8" s="26">
        <f>'TE BE'!$N$8*'TE BF'!$N$49</f>
        <v>0</v>
      </c>
      <c r="O8" s="26">
        <f>'TE BE'!$O$8*'TE BF'!$O$49</f>
        <v>0</v>
      </c>
      <c r="P8" s="26">
        <f>'TE BE'!$P$8*'TE BF'!$P$49</f>
        <v>0</v>
      </c>
      <c r="Q8" s="26">
        <f>SUM($L$8:$P$8)</f>
        <v>9.6761868327463709</v>
      </c>
      <c r="R8" s="26">
        <f>'TE BE'!$R$8*'TE BF'!$R$49</f>
        <v>54.213484217034562</v>
      </c>
      <c r="S8" s="26">
        <f>SUM($R$8:$R$8)</f>
        <v>54.213484217034562</v>
      </c>
      <c r="T8" s="26">
        <f>'TE BE'!$T$8*'TE BF'!$T$49</f>
        <v>2.1168172668982579</v>
      </c>
      <c r="U8" s="26">
        <f>'TE BE'!$U$8*'TE BF'!$U$49</f>
        <v>0.26901301694397345</v>
      </c>
      <c r="V8" s="26">
        <f>'TE BE'!$V$8*'TE BF'!$V$49</f>
        <v>0</v>
      </c>
      <c r="W8" s="26">
        <f>SUM($T$8:$V$8)</f>
        <v>2.3858302838422314</v>
      </c>
      <c r="X8" s="26">
        <f>'TE BE'!$AB$8*'TE BF'!$X$49</f>
        <v>0</v>
      </c>
      <c r="Y8" s="26">
        <f>SUM($X$8:$X$8)</f>
        <v>0</v>
      </c>
      <c r="Z8" s="26">
        <f>'TE BE'!$Z$8*'TE BF'!$Z$49</f>
        <v>0.87471075332607173</v>
      </c>
      <c r="AA8" s="26">
        <f>SUM($Z$8:$Z$8)</f>
        <v>0.87471075332607173</v>
      </c>
      <c r="AB8" s="26">
        <f>SUMIF($L$4:$AA$4,"SUBTOTAL",$L$8:$AA$8)</f>
        <v>67.150212086949224</v>
      </c>
    </row>
    <row r="9" spans="1:28" ht="11.25" customHeight="1" x14ac:dyDescent="0.25">
      <c r="A9" s="146"/>
      <c r="B9" s="146"/>
      <c r="C9" s="146"/>
      <c r="D9" s="146"/>
      <c r="E9" s="146"/>
      <c r="F9" s="146"/>
      <c r="G9" s="29" t="s">
        <v>88</v>
      </c>
      <c r="H9" s="29" t="s">
        <v>75</v>
      </c>
      <c r="I9" s="29">
        <f>'MERCADO TE'!$U$6</f>
        <v>0.13000000000000003</v>
      </c>
      <c r="J9" s="15"/>
      <c r="L9" s="26">
        <f>'TE BE'!$L$9*'TE BF'!$L$49</f>
        <v>0</v>
      </c>
      <c r="M9" s="26">
        <f>'TE BE'!$M$9*'TE BF'!$M$49</f>
        <v>9.6761868327463709</v>
      </c>
      <c r="N9" s="26">
        <f>'TE BE'!$N$9*'TE BF'!$N$49</f>
        <v>0</v>
      </c>
      <c r="O9" s="26">
        <f>'TE BE'!$O$9*'TE BF'!$O$49</f>
        <v>0</v>
      </c>
      <c r="P9" s="26">
        <f>'TE BE'!$P$9*'TE BF'!$P$49</f>
        <v>0</v>
      </c>
      <c r="Q9" s="26">
        <f>SUM($L$9:$P$9)</f>
        <v>9.6761868327463709</v>
      </c>
      <c r="R9" s="26">
        <f>'TE BE'!$R$9*'TE BF'!$R$49</f>
        <v>31.51946756804335</v>
      </c>
      <c r="S9" s="26">
        <f>SUM($R$9:$R$9)</f>
        <v>31.51946756804335</v>
      </c>
      <c r="T9" s="26">
        <f>'TE BE'!$T$9*'TE BF'!$T$49</f>
        <v>2.1168172668982579</v>
      </c>
      <c r="U9" s="26">
        <f>'TE BE'!$U$9*'TE BF'!$U$49</f>
        <v>0.26901301694397345</v>
      </c>
      <c r="V9" s="26">
        <f>'TE BE'!$V$9*'TE BF'!$V$49</f>
        <v>0</v>
      </c>
      <c r="W9" s="26">
        <f>SUM($T$9:$V$9)</f>
        <v>2.3858302838422314</v>
      </c>
      <c r="X9" s="26">
        <f>'TE BE'!$AB$9*'TE BF'!$X$49</f>
        <v>0</v>
      </c>
      <c r="Y9" s="26">
        <f>SUM($X$9:$X$9)</f>
        <v>0</v>
      </c>
      <c r="Z9" s="26">
        <f>'TE BE'!$Z$9*'TE BF'!$Z$49</f>
        <v>0.87471075332607173</v>
      </c>
      <c r="AA9" s="26">
        <f>SUM($Z$9:$Z$9)</f>
        <v>0.87471075332607173</v>
      </c>
      <c r="AB9" s="26">
        <f>SUMIF($L$4:$AA$4,"SUBTOTAL",$L$9:$AA$9)</f>
        <v>44.456195437958023</v>
      </c>
    </row>
    <row r="10" spans="1:28" ht="11.25" customHeight="1" x14ac:dyDescent="0.25">
      <c r="A10" s="146"/>
      <c r="B10" s="146"/>
      <c r="C10" s="146"/>
      <c r="D10" s="146"/>
      <c r="E10" s="146"/>
      <c r="F10" s="146"/>
      <c r="G10" s="29" t="s">
        <v>77</v>
      </c>
      <c r="H10" s="29" t="s">
        <v>75</v>
      </c>
      <c r="I10" s="29">
        <f>'MERCADO TE'!$U$7</f>
        <v>2.4539999999999997</v>
      </c>
      <c r="J10" s="15"/>
      <c r="L10" s="26">
        <f>'TE BE'!$L$10*'TE BF'!$L$49</f>
        <v>0</v>
      </c>
      <c r="M10" s="26">
        <f>'TE BE'!$M$10*'TE BF'!$M$49</f>
        <v>9.6761868327463709</v>
      </c>
      <c r="N10" s="26">
        <f>'TE BE'!$N$10*'TE BF'!$N$49</f>
        <v>0</v>
      </c>
      <c r="O10" s="26">
        <f>'TE BE'!$O$10*'TE BF'!$O$49</f>
        <v>0</v>
      </c>
      <c r="P10" s="26">
        <f>'TE BE'!$P$10*'TE BF'!$P$49</f>
        <v>0</v>
      </c>
      <c r="Q10" s="26">
        <f>SUM($L$10:$P$10)</f>
        <v>9.6761868327463709</v>
      </c>
      <c r="R10" s="26">
        <f>'TE BE'!$R$10*'TE BF'!$R$49</f>
        <v>31.51946756804335</v>
      </c>
      <c r="S10" s="26">
        <f>SUM($R$10:$R$10)</f>
        <v>31.51946756804335</v>
      </c>
      <c r="T10" s="26">
        <f>'TE BE'!$T$10*'TE BF'!$T$49</f>
        <v>2.1168172668982579</v>
      </c>
      <c r="U10" s="26">
        <f>'TE BE'!$U$10*'TE BF'!$U$49</f>
        <v>0.26901301694397345</v>
      </c>
      <c r="V10" s="26">
        <f>'TE BE'!$V$10*'TE BF'!$V$49</f>
        <v>0</v>
      </c>
      <c r="W10" s="26">
        <f>SUM($T$10:$V$10)</f>
        <v>2.3858302838422314</v>
      </c>
      <c r="X10" s="26">
        <f>'TE BE'!$AB$10*'TE BF'!$X$49</f>
        <v>0</v>
      </c>
      <c r="Y10" s="26">
        <f>SUM($X$10:$X$10)</f>
        <v>0</v>
      </c>
      <c r="Z10" s="26">
        <f>'TE BE'!$Z$10*'TE BF'!$Z$49</f>
        <v>0.87471075332607173</v>
      </c>
      <c r="AA10" s="26">
        <f>SUM($Z$10:$Z$10)</f>
        <v>0.87471075332607173</v>
      </c>
      <c r="AB10" s="26">
        <f>SUMIF($L$4:$AA$4,"SUBTOTAL",$L$10:$AA$10)</f>
        <v>44.456195437958023</v>
      </c>
    </row>
    <row r="11" spans="1:28" ht="11.25" customHeight="1" x14ac:dyDescent="0.25">
      <c r="A11" s="146"/>
      <c r="B11" s="146" t="s">
        <v>78</v>
      </c>
      <c r="C11" s="146" t="s">
        <v>24</v>
      </c>
      <c r="D11" s="28" t="s">
        <v>24</v>
      </c>
      <c r="E11" s="28" t="s">
        <v>25</v>
      </c>
      <c r="F11" s="28" t="s">
        <v>25</v>
      </c>
      <c r="G11" s="29" t="s">
        <v>79</v>
      </c>
      <c r="H11" s="29" t="s">
        <v>75</v>
      </c>
      <c r="I11" s="29">
        <f>'MERCADO TE'!$U$8</f>
        <v>10574.981000000002</v>
      </c>
      <c r="J11" s="15"/>
      <c r="L11" s="26">
        <f>'TE BE'!$L$11*'TE BF'!$L$49</f>
        <v>0</v>
      </c>
      <c r="M11" s="26">
        <f>'TE BE'!$M$11*'TE BF'!$M$49</f>
        <v>9.6761868327463709</v>
      </c>
      <c r="N11" s="26">
        <f>'TE BE'!$N$11*'TE BF'!$N$49</f>
        <v>0</v>
      </c>
      <c r="O11" s="26">
        <f>'TE BE'!$O$11*'TE BF'!$O$49</f>
        <v>0</v>
      </c>
      <c r="P11" s="26">
        <f>'TE BE'!$P$11*'TE BF'!$P$49</f>
        <v>0</v>
      </c>
      <c r="Q11" s="26">
        <f>SUM($L$11:$P$11)</f>
        <v>9.6761868327463709</v>
      </c>
      <c r="R11" s="26">
        <f>'TE BE'!$R$11*'TE BF'!$R$49</f>
        <v>33.410635622125952</v>
      </c>
      <c r="S11" s="26">
        <f>SUM($R$11:$R$11)</f>
        <v>33.410635622125952</v>
      </c>
      <c r="T11" s="26">
        <f>'TE BE'!$T$11*'TE BF'!$T$49</f>
        <v>2.1168172668982579</v>
      </c>
      <c r="U11" s="26">
        <f>'TE BE'!$U$11*'TE BF'!$U$49</f>
        <v>0.26901301694397345</v>
      </c>
      <c r="V11" s="26">
        <f>'TE BE'!$V$11*'TE BF'!$V$49</f>
        <v>0</v>
      </c>
      <c r="W11" s="26">
        <f>SUM($T$11:$V$11)</f>
        <v>2.3858302838422314</v>
      </c>
      <c r="X11" s="26">
        <f>'TE BE'!$AB$11*'TE BF'!$X$49</f>
        <v>0</v>
      </c>
      <c r="Y11" s="26">
        <f>SUM($X$11:$X$11)</f>
        <v>0</v>
      </c>
      <c r="Z11" s="26">
        <f>'TE BE'!$Z$11*'TE BF'!$Z$49</f>
        <v>0.87471075332607173</v>
      </c>
      <c r="AA11" s="26">
        <f>SUM($Z$11:$Z$11)</f>
        <v>0.87471075332607173</v>
      </c>
      <c r="AB11" s="26">
        <f>SUMIF($L$4:$AA$4,"SUBTOTAL",$L$11:$AA$11)</f>
        <v>46.347363492040621</v>
      </c>
    </row>
    <row r="12" spans="1:28" ht="11.25" customHeight="1" x14ac:dyDescent="0.25">
      <c r="A12" s="146"/>
      <c r="B12" s="146"/>
      <c r="C12" s="146"/>
      <c r="D12" s="28" t="s">
        <v>28</v>
      </c>
      <c r="E12" s="28" t="s">
        <v>25</v>
      </c>
      <c r="F12" s="28" t="s">
        <v>25</v>
      </c>
      <c r="G12" s="29" t="s">
        <v>79</v>
      </c>
      <c r="H12" s="29" t="s">
        <v>75</v>
      </c>
      <c r="I12" s="29">
        <f>'MERCADO TE'!$U$9</f>
        <v>204.62</v>
      </c>
      <c r="J12" s="15"/>
      <c r="L12" s="26">
        <f>'TE BE'!$L$12*'TE BF'!$L$49</f>
        <v>0</v>
      </c>
      <c r="M12" s="26">
        <f>'TE BE'!$M$12*'TE BF'!$M$49</f>
        <v>9.6761868327463709</v>
      </c>
      <c r="N12" s="26">
        <f>'TE BE'!$N$12*'TE BF'!$N$49</f>
        <v>0</v>
      </c>
      <c r="O12" s="26">
        <f>'TE BE'!$O$12*'TE BF'!$O$49</f>
        <v>0</v>
      </c>
      <c r="P12" s="26">
        <f>'TE BE'!$P$12*'TE BF'!$P$49</f>
        <v>0</v>
      </c>
      <c r="Q12" s="26">
        <f>SUM($L$12:$P$12)</f>
        <v>9.6761868327463709</v>
      </c>
      <c r="R12" s="26">
        <f>'TE BE'!$R$12*'TE BF'!$R$49</f>
        <v>33.410635622125952</v>
      </c>
      <c r="S12" s="26">
        <f>SUM($R$12:$R$12)</f>
        <v>33.410635622125952</v>
      </c>
      <c r="T12" s="26">
        <f>'TE BE'!$T$12*'TE BF'!$T$49</f>
        <v>2.1168172668982579</v>
      </c>
      <c r="U12" s="26">
        <f>'TE BE'!$U$12*'TE BF'!$U$49</f>
        <v>0.26901301694397345</v>
      </c>
      <c r="V12" s="26">
        <f>'TE BE'!$V$12*'TE BF'!$V$49</f>
        <v>0</v>
      </c>
      <c r="W12" s="26">
        <f>SUM($T$12:$V$12)</f>
        <v>2.3858302838422314</v>
      </c>
      <c r="X12" s="26">
        <f>'TE BE'!$AB$12*'TE BF'!$X$49</f>
        <v>0</v>
      </c>
      <c r="Y12" s="26">
        <f>SUM($X$12:$X$12)</f>
        <v>0</v>
      </c>
      <c r="Z12" s="26">
        <f>'TE BE'!$Z$12*'TE BF'!$Z$49</f>
        <v>0.87471075332607173</v>
      </c>
      <c r="AA12" s="26">
        <f>SUM($Z$12:$Z$12)</f>
        <v>0.87471075332607173</v>
      </c>
      <c r="AB12" s="26">
        <f>SUMIF($L$4:$AA$4,"SUBTOTAL",$L$12:$AA$12)</f>
        <v>46.347363492040621</v>
      </c>
    </row>
    <row r="13" spans="1:28" ht="11.25" customHeight="1" x14ac:dyDescent="0.25">
      <c r="A13" s="146"/>
      <c r="B13" s="146"/>
      <c r="C13" s="146"/>
      <c r="D13" s="28" t="s">
        <v>29</v>
      </c>
      <c r="E13" s="28" t="s">
        <v>25</v>
      </c>
      <c r="F13" s="28" t="s">
        <v>25</v>
      </c>
      <c r="G13" s="29" t="s">
        <v>79</v>
      </c>
      <c r="H13" s="29" t="s">
        <v>75</v>
      </c>
      <c r="I13" s="29">
        <f>'MERCADO TE'!$U$10</f>
        <v>376.553</v>
      </c>
      <c r="J13" s="15"/>
      <c r="L13" s="26">
        <f>'TE BE'!$L$13*'TE BF'!$L$49</f>
        <v>0</v>
      </c>
      <c r="M13" s="26">
        <f>'TE BE'!$M$13*'TE BF'!$M$49</f>
        <v>9.6761868327463709</v>
      </c>
      <c r="N13" s="26">
        <f>'TE BE'!$N$13*'TE BF'!$N$49</f>
        <v>0</v>
      </c>
      <c r="O13" s="26">
        <f>'TE BE'!$O$13*'TE BF'!$O$49</f>
        <v>0</v>
      </c>
      <c r="P13" s="26">
        <f>'TE BE'!$P$13*'TE BF'!$P$49</f>
        <v>0</v>
      </c>
      <c r="Q13" s="26">
        <f>SUM($L$13:$P$13)</f>
        <v>9.6761868327463709</v>
      </c>
      <c r="R13" s="26">
        <f>'TE BE'!$R$13*'TE BF'!$R$49</f>
        <v>33.410635622125952</v>
      </c>
      <c r="S13" s="26">
        <f>SUM($R$13:$R$13)</f>
        <v>33.410635622125952</v>
      </c>
      <c r="T13" s="26">
        <f>'TE BE'!$T$13*'TE BF'!$T$49</f>
        <v>2.1168172668982579</v>
      </c>
      <c r="U13" s="26">
        <f>'TE BE'!$U$13*'TE BF'!$U$49</f>
        <v>0.26901301694397345</v>
      </c>
      <c r="V13" s="26">
        <f>'TE BE'!$V$13*'TE BF'!$V$49</f>
        <v>0</v>
      </c>
      <c r="W13" s="26">
        <f>SUM($T$13:$V$13)</f>
        <v>2.3858302838422314</v>
      </c>
      <c r="X13" s="26">
        <f>'TE BE'!$AB$13*'TE BF'!$X$49</f>
        <v>0</v>
      </c>
      <c r="Y13" s="26">
        <f>SUM($X$13:$X$13)</f>
        <v>0</v>
      </c>
      <c r="Z13" s="26">
        <f>'TE BE'!$Z$13*'TE BF'!$Z$49</f>
        <v>0.87471075332607173</v>
      </c>
      <c r="AA13" s="26">
        <f>SUM($Z$13:$Z$13)</f>
        <v>0.87471075332607173</v>
      </c>
      <c r="AB13" s="26">
        <f>SUMIF($L$4:$AA$4,"SUBTOTAL",$L$13:$AA$13)</f>
        <v>46.347363492040621</v>
      </c>
    </row>
    <row r="14" spans="1:28" ht="11.25" customHeight="1" x14ac:dyDescent="0.25">
      <c r="A14" s="146"/>
      <c r="B14" s="146"/>
      <c r="C14" s="146"/>
      <c r="D14" s="28" t="s">
        <v>30</v>
      </c>
      <c r="E14" s="28" t="s">
        <v>25</v>
      </c>
      <c r="F14" s="28" t="s">
        <v>25</v>
      </c>
      <c r="G14" s="29" t="s">
        <v>79</v>
      </c>
      <c r="H14" s="29" t="s">
        <v>75</v>
      </c>
      <c r="I14" s="29">
        <f>'MERCADO TE'!$U$11</f>
        <v>166.29699999999997</v>
      </c>
      <c r="J14" s="15"/>
      <c r="L14" s="26">
        <f>'TE BE'!$L$14*'TE BF'!$L$49</f>
        <v>0</v>
      </c>
      <c r="M14" s="26">
        <f>'TE BE'!$M$14*'TE BF'!$M$49</f>
        <v>9.6761868327463709</v>
      </c>
      <c r="N14" s="26">
        <f>'TE BE'!$N$14*'TE BF'!$N$49</f>
        <v>0</v>
      </c>
      <c r="O14" s="26">
        <f>'TE BE'!$O$14*'TE BF'!$O$49</f>
        <v>0</v>
      </c>
      <c r="P14" s="26">
        <f>'TE BE'!$P$14*'TE BF'!$P$49</f>
        <v>0</v>
      </c>
      <c r="Q14" s="26">
        <f>SUM($L$14:$P$14)</f>
        <v>9.6761868327463709</v>
      </c>
      <c r="R14" s="26">
        <f>'TE BE'!$R$14*'TE BF'!$R$49</f>
        <v>33.410635622125952</v>
      </c>
      <c r="S14" s="26">
        <f>SUM($R$14:$R$14)</f>
        <v>33.410635622125952</v>
      </c>
      <c r="T14" s="26">
        <f>'TE BE'!$T$14*'TE BF'!$T$49</f>
        <v>2.1168172668982579</v>
      </c>
      <c r="U14" s="26">
        <f>'TE BE'!$U$14*'TE BF'!$U$49</f>
        <v>0.26901301694397345</v>
      </c>
      <c r="V14" s="26">
        <f>'TE BE'!$V$14*'TE BF'!$V$49</f>
        <v>0</v>
      </c>
      <c r="W14" s="26">
        <f>SUM($T$14:$V$14)</f>
        <v>2.3858302838422314</v>
      </c>
      <c r="X14" s="26">
        <f>'TE BE'!$AB$14*'TE BF'!$X$49</f>
        <v>0</v>
      </c>
      <c r="Y14" s="26">
        <f>SUM($X$14:$X$14)</f>
        <v>0</v>
      </c>
      <c r="Z14" s="26">
        <f>'TE BE'!$Z$14*'TE BF'!$Z$49</f>
        <v>0.87471075332607173</v>
      </c>
      <c r="AA14" s="26">
        <f>SUM($Z$14:$Z$14)</f>
        <v>0.87471075332607173</v>
      </c>
      <c r="AB14" s="26">
        <f>SUMIF($L$4:$AA$4,"SUBTOTAL",$L$14:$AA$14)</f>
        <v>46.347363492040621</v>
      </c>
    </row>
    <row r="15" spans="1:28" ht="11.25" customHeight="1" x14ac:dyDescent="0.25">
      <c r="A15" s="146"/>
      <c r="B15" s="146"/>
      <c r="C15" s="146"/>
      <c r="D15" s="28" t="s">
        <v>31</v>
      </c>
      <c r="E15" s="28" t="s">
        <v>25</v>
      </c>
      <c r="F15" s="28" t="s">
        <v>25</v>
      </c>
      <c r="G15" s="29" t="s">
        <v>79</v>
      </c>
      <c r="H15" s="29" t="s">
        <v>75</v>
      </c>
      <c r="I15" s="29">
        <f>'MERCADO TE'!$U$12</f>
        <v>17.806999999999999</v>
      </c>
      <c r="J15" s="15"/>
      <c r="L15" s="26">
        <f>'TE BE'!$L$15*'TE BF'!$L$49</f>
        <v>0</v>
      </c>
      <c r="M15" s="26">
        <f>'TE BE'!$M$15*'TE BF'!$M$49</f>
        <v>9.6761868327463709</v>
      </c>
      <c r="N15" s="26">
        <f>'TE BE'!$N$15*'TE BF'!$N$49</f>
        <v>0</v>
      </c>
      <c r="O15" s="26">
        <f>'TE BE'!$O$15*'TE BF'!$O$49</f>
        <v>0</v>
      </c>
      <c r="P15" s="26">
        <f>'TE BE'!$P$15*'TE BF'!$P$49</f>
        <v>0</v>
      </c>
      <c r="Q15" s="26">
        <f>SUM($L$15:$P$15)</f>
        <v>9.6761868327463709</v>
      </c>
      <c r="R15" s="26">
        <f>'TE BE'!$R$15*'TE BF'!$R$49</f>
        <v>33.410635622125952</v>
      </c>
      <c r="S15" s="26">
        <f>SUM($R$15:$R$15)</f>
        <v>33.410635622125952</v>
      </c>
      <c r="T15" s="26">
        <f>'TE BE'!$T$15*'TE BF'!$T$49</f>
        <v>2.1168172668982579</v>
      </c>
      <c r="U15" s="26">
        <f>'TE BE'!$U$15*'TE BF'!$U$49</f>
        <v>0.26901301694397345</v>
      </c>
      <c r="V15" s="26">
        <f>'TE BE'!$V$15*'TE BF'!$V$49</f>
        <v>0</v>
      </c>
      <c r="W15" s="26">
        <f>SUM($T$15:$V$15)</f>
        <v>2.3858302838422314</v>
      </c>
      <c r="X15" s="26">
        <f>'TE BE'!$AB$15*'TE BF'!$X$49</f>
        <v>0</v>
      </c>
      <c r="Y15" s="26">
        <f>SUM($X$15:$X$15)</f>
        <v>0</v>
      </c>
      <c r="Z15" s="26">
        <f>'TE BE'!$Z$15*'TE BF'!$Z$49</f>
        <v>0.87471075332607173</v>
      </c>
      <c r="AA15" s="26">
        <f>SUM($Z$15:$Z$15)</f>
        <v>0.87471075332607173</v>
      </c>
      <c r="AB15" s="26">
        <f>SUMIF($L$4:$AA$4,"SUBTOTAL",$L$15:$AA$15)</f>
        <v>46.347363492040621</v>
      </c>
    </row>
    <row r="16" spans="1:28" ht="11.25" customHeight="1" x14ac:dyDescent="0.25">
      <c r="A16" s="146"/>
      <c r="B16" s="146" t="s">
        <v>89</v>
      </c>
      <c r="C16" s="146" t="s">
        <v>24</v>
      </c>
      <c r="D16" s="28" t="s">
        <v>24</v>
      </c>
      <c r="E16" s="28" t="s">
        <v>25</v>
      </c>
      <c r="F16" s="28" t="s">
        <v>25</v>
      </c>
      <c r="G16" s="29" t="s">
        <v>79</v>
      </c>
      <c r="H16" s="29" t="s">
        <v>75</v>
      </c>
      <c r="I16" s="29">
        <f>'MERCADO TE'!$U$13</f>
        <v>0</v>
      </c>
      <c r="J16" s="15"/>
      <c r="L16" s="26">
        <f>'TE BE'!$L$16*'TE BF'!$L$49</f>
        <v>0</v>
      </c>
      <c r="M16" s="26">
        <f>'TE BE'!$M$16*'TE BF'!$M$49</f>
        <v>9.6761868327463709</v>
      </c>
      <c r="N16" s="26">
        <f>'TE BE'!$N$16*'TE BF'!$N$49</f>
        <v>0</v>
      </c>
      <c r="O16" s="26">
        <f>'TE BE'!$O$16*'TE BF'!$O$49</f>
        <v>0</v>
      </c>
      <c r="P16" s="26">
        <f>'TE BE'!$P$16*'TE BF'!$P$49</f>
        <v>0</v>
      </c>
      <c r="Q16" s="26">
        <f>SUM($L$16:$P$16)</f>
        <v>9.6761868327463709</v>
      </c>
      <c r="R16" s="26">
        <f>'TE BE'!$R$16*'TE BF'!$R$49</f>
        <v>33.410635622125952</v>
      </c>
      <c r="S16" s="26">
        <f>SUM($R$16:$R$16)</f>
        <v>33.410635622125952</v>
      </c>
      <c r="T16" s="26">
        <f>'TE BE'!$T$16*'TE BF'!$T$49</f>
        <v>2.1168172668982579</v>
      </c>
      <c r="U16" s="26">
        <f>'TE BE'!$U$16*'TE BF'!$U$49</f>
        <v>0.26901301694397345</v>
      </c>
      <c r="V16" s="26">
        <f>'TE BE'!$V$16*'TE BF'!$V$49</f>
        <v>0</v>
      </c>
      <c r="W16" s="26">
        <f>SUM($T$16:$V$16)</f>
        <v>2.3858302838422314</v>
      </c>
      <c r="X16" s="26">
        <f>'TE BE'!$AB$16*'TE BF'!$X$49</f>
        <v>0</v>
      </c>
      <c r="Y16" s="26">
        <f>SUM($X$16:$X$16)</f>
        <v>0</v>
      </c>
      <c r="Z16" s="26">
        <f>'TE BE'!$Z$16*'TE BF'!$Z$49</f>
        <v>0.87471075332607173</v>
      </c>
      <c r="AA16" s="26">
        <f>SUM($Z$16:$Z$16)</f>
        <v>0.87471075332607173</v>
      </c>
      <c r="AB16" s="26">
        <f>SUMIF($L$4:$AA$4,"SUBTOTAL",$L$16:$AA$16)</f>
        <v>46.347363492040621</v>
      </c>
    </row>
    <row r="17" spans="1:28" ht="11.25" customHeight="1" x14ac:dyDescent="0.25">
      <c r="A17" s="146"/>
      <c r="B17" s="146"/>
      <c r="C17" s="146"/>
      <c r="D17" s="28" t="s">
        <v>28</v>
      </c>
      <c r="E17" s="28" t="s">
        <v>25</v>
      </c>
      <c r="F17" s="28" t="s">
        <v>25</v>
      </c>
      <c r="G17" s="29" t="s">
        <v>79</v>
      </c>
      <c r="H17" s="29" t="s">
        <v>75</v>
      </c>
      <c r="I17" s="29">
        <f>'MERCADO TE'!$U$14</f>
        <v>0</v>
      </c>
      <c r="J17" s="15"/>
      <c r="L17" s="26">
        <f>'TE BE'!$L$17*'TE BF'!$L$49</f>
        <v>0</v>
      </c>
      <c r="M17" s="26">
        <f>'TE BE'!$M$17*'TE BF'!$M$49</f>
        <v>9.6761868327463709</v>
      </c>
      <c r="N17" s="26">
        <f>'TE BE'!$N$17*'TE BF'!$N$49</f>
        <v>0</v>
      </c>
      <c r="O17" s="26">
        <f>'TE BE'!$O$17*'TE BF'!$O$49</f>
        <v>0</v>
      </c>
      <c r="P17" s="26">
        <f>'TE BE'!$P$17*'TE BF'!$P$49</f>
        <v>0</v>
      </c>
      <c r="Q17" s="26">
        <f>SUM($L$17:$P$17)</f>
        <v>9.6761868327463709</v>
      </c>
      <c r="R17" s="26">
        <f>'TE BE'!$R$17*'TE BF'!$R$49</f>
        <v>33.410635622125952</v>
      </c>
      <c r="S17" s="26">
        <f>SUM($R$17:$R$17)</f>
        <v>33.410635622125952</v>
      </c>
      <c r="T17" s="26">
        <f>'TE BE'!$T$17*'TE BF'!$T$49</f>
        <v>2.1168172668982579</v>
      </c>
      <c r="U17" s="26">
        <f>'TE BE'!$U$17*'TE BF'!$U$49</f>
        <v>0.26901301694397345</v>
      </c>
      <c r="V17" s="26">
        <f>'TE BE'!$V$17*'TE BF'!$V$49</f>
        <v>0</v>
      </c>
      <c r="W17" s="26">
        <f>SUM($T$17:$V$17)</f>
        <v>2.3858302838422314</v>
      </c>
      <c r="X17" s="26">
        <f>'TE BE'!$AB$17*'TE BF'!$X$49</f>
        <v>0</v>
      </c>
      <c r="Y17" s="26">
        <f>SUM($X$17:$X$17)</f>
        <v>0</v>
      </c>
      <c r="Z17" s="26">
        <f>'TE BE'!$Z$17*'TE BF'!$Z$49</f>
        <v>0.87471075332607173</v>
      </c>
      <c r="AA17" s="26">
        <f>SUM($Z$17:$Z$17)</f>
        <v>0.87471075332607173</v>
      </c>
      <c r="AB17" s="26">
        <f>SUMIF($L$4:$AA$4,"SUBTOTAL",$L$17:$AA$17)</f>
        <v>46.347363492040621</v>
      </c>
    </row>
    <row r="18" spans="1:28" ht="11.25" customHeight="1" x14ac:dyDescent="0.25">
      <c r="A18" s="146"/>
      <c r="B18" s="146"/>
      <c r="C18" s="146"/>
      <c r="D18" s="28" t="s">
        <v>29</v>
      </c>
      <c r="E18" s="28" t="s">
        <v>25</v>
      </c>
      <c r="F18" s="28" t="s">
        <v>25</v>
      </c>
      <c r="G18" s="29" t="s">
        <v>79</v>
      </c>
      <c r="H18" s="29" t="s">
        <v>75</v>
      </c>
      <c r="I18" s="29">
        <f>'MERCADO TE'!$U$15</f>
        <v>0</v>
      </c>
      <c r="J18" s="15"/>
      <c r="L18" s="26">
        <f>'TE BE'!$L$18*'TE BF'!$L$49</f>
        <v>0</v>
      </c>
      <c r="M18" s="26">
        <f>'TE BE'!$M$18*'TE BF'!$M$49</f>
        <v>9.6761868327463709</v>
      </c>
      <c r="N18" s="26">
        <f>'TE BE'!$N$18*'TE BF'!$N$49</f>
        <v>0</v>
      </c>
      <c r="O18" s="26">
        <f>'TE BE'!$O$18*'TE BF'!$O$49</f>
        <v>0</v>
      </c>
      <c r="P18" s="26">
        <f>'TE BE'!$P$18*'TE BF'!$P$49</f>
        <v>0</v>
      </c>
      <c r="Q18" s="26">
        <f>SUM($L$18:$P$18)</f>
        <v>9.6761868327463709</v>
      </c>
      <c r="R18" s="26">
        <f>'TE BE'!$R$18*'TE BF'!$R$49</f>
        <v>33.410635622125952</v>
      </c>
      <c r="S18" s="26">
        <f>SUM($R$18:$R$18)</f>
        <v>33.410635622125952</v>
      </c>
      <c r="T18" s="26">
        <f>'TE BE'!$T$18*'TE BF'!$T$49</f>
        <v>2.1168172668982579</v>
      </c>
      <c r="U18" s="26">
        <f>'TE BE'!$U$18*'TE BF'!$U$49</f>
        <v>0.26901301694397345</v>
      </c>
      <c r="V18" s="26">
        <f>'TE BE'!$V$18*'TE BF'!$V$49</f>
        <v>0</v>
      </c>
      <c r="W18" s="26">
        <f>SUM($T$18:$V$18)</f>
        <v>2.3858302838422314</v>
      </c>
      <c r="X18" s="26">
        <f>'TE BE'!$AB$18*'TE BF'!$X$49</f>
        <v>0</v>
      </c>
      <c r="Y18" s="26">
        <f>SUM($X$18:$X$18)</f>
        <v>0</v>
      </c>
      <c r="Z18" s="26">
        <f>'TE BE'!$Z$18*'TE BF'!$Z$49</f>
        <v>0.87471075332607173</v>
      </c>
      <c r="AA18" s="26">
        <f>SUM($Z$18:$Z$18)</f>
        <v>0.87471075332607173</v>
      </c>
      <c r="AB18" s="26">
        <f>SUMIF($L$4:$AA$4,"SUBTOTAL",$L$18:$AA$18)</f>
        <v>46.347363492040621</v>
      </c>
    </row>
    <row r="19" spans="1:28" ht="11.25" customHeight="1" x14ac:dyDescent="0.25">
      <c r="A19" s="146"/>
      <c r="B19" s="146"/>
      <c r="C19" s="146"/>
      <c r="D19" s="28" t="s">
        <v>30</v>
      </c>
      <c r="E19" s="28" t="s">
        <v>25</v>
      </c>
      <c r="F19" s="28" t="s">
        <v>25</v>
      </c>
      <c r="G19" s="29" t="s">
        <v>79</v>
      </c>
      <c r="H19" s="29" t="s">
        <v>75</v>
      </c>
      <c r="I19" s="29">
        <f>'MERCADO TE'!$U$16</f>
        <v>0</v>
      </c>
      <c r="J19" s="15"/>
      <c r="L19" s="26">
        <f>'TE BE'!$L$19*'TE BF'!$L$49</f>
        <v>0</v>
      </c>
      <c r="M19" s="26">
        <f>'TE BE'!$M$19*'TE BF'!$M$49</f>
        <v>9.6761868327463709</v>
      </c>
      <c r="N19" s="26">
        <f>'TE BE'!$N$19*'TE BF'!$N$49</f>
        <v>0</v>
      </c>
      <c r="O19" s="26">
        <f>'TE BE'!$O$19*'TE BF'!$O$49</f>
        <v>0</v>
      </c>
      <c r="P19" s="26">
        <f>'TE BE'!$P$19*'TE BF'!$P$49</f>
        <v>0</v>
      </c>
      <c r="Q19" s="26">
        <f>SUM($L$19:$P$19)</f>
        <v>9.6761868327463709</v>
      </c>
      <c r="R19" s="26">
        <f>'TE BE'!$R$19*'TE BF'!$R$49</f>
        <v>33.410635622125952</v>
      </c>
      <c r="S19" s="26">
        <f>SUM($R$19:$R$19)</f>
        <v>33.410635622125952</v>
      </c>
      <c r="T19" s="26">
        <f>'TE BE'!$T$19*'TE BF'!$T$49</f>
        <v>2.1168172668982579</v>
      </c>
      <c r="U19" s="26">
        <f>'TE BE'!$U$19*'TE BF'!$U$49</f>
        <v>0.26901301694397345</v>
      </c>
      <c r="V19" s="26">
        <f>'TE BE'!$V$19*'TE BF'!$V$49</f>
        <v>0</v>
      </c>
      <c r="W19" s="26">
        <f>SUM($T$19:$V$19)</f>
        <v>2.3858302838422314</v>
      </c>
      <c r="X19" s="26">
        <f>'TE BE'!$AB$19*'TE BF'!$X$49</f>
        <v>0</v>
      </c>
      <c r="Y19" s="26">
        <f>SUM($X$19:$X$19)</f>
        <v>0</v>
      </c>
      <c r="Z19" s="26">
        <f>'TE BE'!$Z$19*'TE BF'!$Z$49</f>
        <v>0.87471075332607173</v>
      </c>
      <c r="AA19" s="26">
        <f>SUM($Z$19:$Z$19)</f>
        <v>0.87471075332607173</v>
      </c>
      <c r="AB19" s="26">
        <f>SUMIF($L$4:$AA$4,"SUBTOTAL",$L$19:$AA$19)</f>
        <v>46.347363492040621</v>
      </c>
    </row>
    <row r="20" spans="1:28" ht="11.25" customHeight="1" x14ac:dyDescent="0.25">
      <c r="A20" s="146"/>
      <c r="B20" s="146"/>
      <c r="C20" s="146"/>
      <c r="D20" s="28" t="s">
        <v>31</v>
      </c>
      <c r="E20" s="28" t="s">
        <v>25</v>
      </c>
      <c r="F20" s="28" t="s">
        <v>25</v>
      </c>
      <c r="G20" s="29" t="s">
        <v>79</v>
      </c>
      <c r="H20" s="29" t="s">
        <v>75</v>
      </c>
      <c r="I20" s="29">
        <f>'MERCADO TE'!$U$17</f>
        <v>0</v>
      </c>
      <c r="J20" s="15"/>
      <c r="L20" s="26">
        <f>'TE BE'!$L$20*'TE BF'!$L$49</f>
        <v>0</v>
      </c>
      <c r="M20" s="26">
        <f>'TE BE'!$M$20*'TE BF'!$M$49</f>
        <v>9.6761868327463709</v>
      </c>
      <c r="N20" s="26">
        <f>'TE BE'!$N$20*'TE BF'!$N$49</f>
        <v>0</v>
      </c>
      <c r="O20" s="26">
        <f>'TE BE'!$O$20*'TE BF'!$O$49</f>
        <v>0</v>
      </c>
      <c r="P20" s="26">
        <f>'TE BE'!$P$20*'TE BF'!$P$49</f>
        <v>0</v>
      </c>
      <c r="Q20" s="26">
        <f>SUM($L$20:$P$20)</f>
        <v>9.6761868327463709</v>
      </c>
      <c r="R20" s="26">
        <f>'TE BE'!$R$20*'TE BF'!$R$49</f>
        <v>33.410635622125952</v>
      </c>
      <c r="S20" s="26">
        <f>SUM($R$20:$R$20)</f>
        <v>33.410635622125952</v>
      </c>
      <c r="T20" s="26">
        <f>'TE BE'!$T$20*'TE BF'!$T$49</f>
        <v>2.1168172668982579</v>
      </c>
      <c r="U20" s="26">
        <f>'TE BE'!$U$20*'TE BF'!$U$49</f>
        <v>0.26901301694397345</v>
      </c>
      <c r="V20" s="26">
        <f>'TE BE'!$V$20*'TE BF'!$V$49</f>
        <v>0</v>
      </c>
      <c r="W20" s="26">
        <f>SUM($T$20:$V$20)</f>
        <v>2.3858302838422314</v>
      </c>
      <c r="X20" s="26">
        <f>'TE BE'!$AB$20*'TE BF'!$X$49</f>
        <v>0</v>
      </c>
      <c r="Y20" s="26">
        <f>SUM($X$20:$X$20)</f>
        <v>0</v>
      </c>
      <c r="Z20" s="26">
        <f>'TE BE'!$Z$20*'TE BF'!$Z$49</f>
        <v>0.87471075332607173</v>
      </c>
      <c r="AA20" s="26">
        <f>SUM($Z$20:$Z$20)</f>
        <v>0.87471075332607173</v>
      </c>
      <c r="AB20" s="26">
        <f>SUMIF($L$4:$AA$4,"SUBTOTAL",$L$20:$AA$20)</f>
        <v>46.347363492040621</v>
      </c>
    </row>
    <row r="21" spans="1:28" ht="11.25" customHeight="1" x14ac:dyDescent="0.25">
      <c r="A21" s="146" t="s">
        <v>41</v>
      </c>
      <c r="B21" s="146" t="s">
        <v>74</v>
      </c>
      <c r="C21" s="146" t="s">
        <v>42</v>
      </c>
      <c r="D21" s="146" t="s">
        <v>25</v>
      </c>
      <c r="E21" s="146" t="s">
        <v>25</v>
      </c>
      <c r="F21" s="146" t="s">
        <v>25</v>
      </c>
      <c r="G21" s="29" t="s">
        <v>76</v>
      </c>
      <c r="H21" s="29" t="s">
        <v>75</v>
      </c>
      <c r="I21" s="29">
        <f>'MERCADO TE'!$U$18</f>
        <v>0</v>
      </c>
      <c r="J21" s="15"/>
      <c r="L21" s="26">
        <f>'TE BE'!$L$21*'TE BF'!$L$49</f>
        <v>0</v>
      </c>
      <c r="M21" s="26">
        <f>'TE BE'!$M$21*'TE BF'!$M$49</f>
        <v>9.6761868327463709</v>
      </c>
      <c r="N21" s="26">
        <f>'TE BE'!$N$21*'TE BF'!$N$49</f>
        <v>0</v>
      </c>
      <c r="O21" s="26">
        <f>'TE BE'!$O$21*'TE BF'!$O$49</f>
        <v>0</v>
      </c>
      <c r="P21" s="26">
        <f>'TE BE'!$P$21*'TE BF'!$P$49</f>
        <v>0</v>
      </c>
      <c r="Q21" s="26">
        <f>SUM($L$21:$P$21)</f>
        <v>9.6761868327463709</v>
      </c>
      <c r="R21" s="26">
        <f>'TE BE'!$R$21*'TE BF'!$R$49</f>
        <v>54.213484217034562</v>
      </c>
      <c r="S21" s="26">
        <f>SUM($R$21:$R$21)</f>
        <v>54.213484217034562</v>
      </c>
      <c r="T21" s="26">
        <f>'TE BE'!$T$21*'TE BF'!$T$49</f>
        <v>2.1168172668982579</v>
      </c>
      <c r="U21" s="26">
        <f>'TE BE'!$U$21*'TE BF'!$U$49</f>
        <v>0.26901301694397345</v>
      </c>
      <c r="V21" s="26">
        <f>'TE BE'!$V$21*'TE BF'!$V$49</f>
        <v>0</v>
      </c>
      <c r="W21" s="26">
        <f>SUM($T$21:$V$21)</f>
        <v>2.3858302838422314</v>
      </c>
      <c r="X21" s="26">
        <f>'TE BE'!$AB$21*'TE BF'!$X$49</f>
        <v>0</v>
      </c>
      <c r="Y21" s="26">
        <f>SUM($X$21:$X$21)</f>
        <v>0</v>
      </c>
      <c r="Z21" s="26">
        <f>'TE BE'!$Z$21*'TE BF'!$Z$49</f>
        <v>0.87471075332607173</v>
      </c>
      <c r="AA21" s="26">
        <f>SUM($Z$21:$Z$21)</f>
        <v>0.87471075332607173</v>
      </c>
      <c r="AB21" s="26">
        <f>SUMIF($L$4:$AA$4,"SUBTOTAL",$L$21:$AA$21)</f>
        <v>67.150212086949224</v>
      </c>
    </row>
    <row r="22" spans="1:28" ht="11.25" customHeight="1" x14ac:dyDescent="0.25">
      <c r="A22" s="146"/>
      <c r="B22" s="146"/>
      <c r="C22" s="146"/>
      <c r="D22" s="146"/>
      <c r="E22" s="146"/>
      <c r="F22" s="146"/>
      <c r="G22" s="29" t="s">
        <v>88</v>
      </c>
      <c r="H22" s="29" t="s">
        <v>75</v>
      </c>
      <c r="I22" s="29">
        <f>'MERCADO TE'!$U$19</f>
        <v>0</v>
      </c>
      <c r="J22" s="15"/>
      <c r="L22" s="26">
        <f>'TE BE'!$L$22*'TE BF'!$L$49</f>
        <v>0</v>
      </c>
      <c r="M22" s="26">
        <f>'TE BE'!$M$22*'TE BF'!$M$49</f>
        <v>9.6761868327463709</v>
      </c>
      <c r="N22" s="26">
        <f>'TE BE'!$N$22*'TE BF'!$N$49</f>
        <v>0</v>
      </c>
      <c r="O22" s="26">
        <f>'TE BE'!$O$22*'TE BF'!$O$49</f>
        <v>0</v>
      </c>
      <c r="P22" s="26">
        <f>'TE BE'!$P$22*'TE BF'!$P$49</f>
        <v>0</v>
      </c>
      <c r="Q22" s="26">
        <f>SUM($L$22:$P$22)</f>
        <v>9.6761868327463709</v>
      </c>
      <c r="R22" s="26">
        <f>'TE BE'!$R$22*'TE BF'!$R$49</f>
        <v>31.51946756804335</v>
      </c>
      <c r="S22" s="26">
        <f>SUM($R$22:$R$22)</f>
        <v>31.51946756804335</v>
      </c>
      <c r="T22" s="26">
        <f>'TE BE'!$T$22*'TE BF'!$T$49</f>
        <v>2.1168172668982579</v>
      </c>
      <c r="U22" s="26">
        <f>'TE BE'!$U$22*'TE BF'!$U$49</f>
        <v>0.26901301694397345</v>
      </c>
      <c r="V22" s="26">
        <f>'TE BE'!$V$22*'TE BF'!$V$49</f>
        <v>0</v>
      </c>
      <c r="W22" s="26">
        <f>SUM($T$22:$V$22)</f>
        <v>2.3858302838422314</v>
      </c>
      <c r="X22" s="26">
        <f>'TE BE'!$AB$22*'TE BF'!$X$49</f>
        <v>0</v>
      </c>
      <c r="Y22" s="26">
        <f>SUM($X$22:$X$22)</f>
        <v>0</v>
      </c>
      <c r="Z22" s="26">
        <f>'TE BE'!$Z$22*'TE BF'!$Z$49</f>
        <v>0.87471075332607173</v>
      </c>
      <c r="AA22" s="26">
        <f>SUM($Z$22:$Z$22)</f>
        <v>0.87471075332607173</v>
      </c>
      <c r="AB22" s="26">
        <f>SUMIF($L$4:$AA$4,"SUBTOTAL",$L$22:$AA$22)</f>
        <v>44.456195437958023</v>
      </c>
    </row>
    <row r="23" spans="1:28" ht="11.25" customHeight="1" x14ac:dyDescent="0.25">
      <c r="A23" s="146"/>
      <c r="B23" s="146"/>
      <c r="C23" s="146"/>
      <c r="D23" s="146"/>
      <c r="E23" s="146"/>
      <c r="F23" s="146"/>
      <c r="G23" s="29" t="s">
        <v>77</v>
      </c>
      <c r="H23" s="29" t="s">
        <v>75</v>
      </c>
      <c r="I23" s="29">
        <f>'MERCADO TE'!$U$20</f>
        <v>0</v>
      </c>
      <c r="J23" s="15"/>
      <c r="L23" s="26">
        <f>'TE BE'!$L$23*'TE BF'!$L$49</f>
        <v>0</v>
      </c>
      <c r="M23" s="26">
        <f>'TE BE'!$M$23*'TE BF'!$M$49</f>
        <v>9.6761868327463709</v>
      </c>
      <c r="N23" s="26">
        <f>'TE BE'!$N$23*'TE BF'!$N$49</f>
        <v>0</v>
      </c>
      <c r="O23" s="26">
        <f>'TE BE'!$O$23*'TE BF'!$O$49</f>
        <v>0</v>
      </c>
      <c r="P23" s="26">
        <f>'TE BE'!$P$23*'TE BF'!$P$49</f>
        <v>0</v>
      </c>
      <c r="Q23" s="26">
        <f>SUM($L$23:$P$23)</f>
        <v>9.6761868327463709</v>
      </c>
      <c r="R23" s="26">
        <f>'TE BE'!$R$23*'TE BF'!$R$49</f>
        <v>31.51946756804335</v>
      </c>
      <c r="S23" s="26">
        <f>SUM($R$23:$R$23)</f>
        <v>31.51946756804335</v>
      </c>
      <c r="T23" s="26">
        <f>'TE BE'!$T$23*'TE BF'!$T$49</f>
        <v>2.1168172668982579</v>
      </c>
      <c r="U23" s="26">
        <f>'TE BE'!$U$23*'TE BF'!$U$49</f>
        <v>0.26901301694397345</v>
      </c>
      <c r="V23" s="26">
        <f>'TE BE'!$V$23*'TE BF'!$V$49</f>
        <v>0</v>
      </c>
      <c r="W23" s="26">
        <f>SUM($T$23:$V$23)</f>
        <v>2.3858302838422314</v>
      </c>
      <c r="X23" s="26">
        <f>'TE BE'!$AB$23*'TE BF'!$X$49</f>
        <v>0</v>
      </c>
      <c r="Y23" s="26">
        <f>SUM($X$23:$X$23)</f>
        <v>0</v>
      </c>
      <c r="Z23" s="26">
        <f>'TE BE'!$Z$23*'TE BF'!$Z$49</f>
        <v>0.87471075332607173</v>
      </c>
      <c r="AA23" s="26">
        <f>SUM($Z$23:$Z$23)</f>
        <v>0.87471075332607173</v>
      </c>
      <c r="AB23" s="26">
        <f>SUMIF($L$4:$AA$4,"SUBTOTAL",$L$23:$AA$23)</f>
        <v>44.456195437958023</v>
      </c>
    </row>
    <row r="24" spans="1:28" ht="11.25" customHeight="1" x14ac:dyDescent="0.25">
      <c r="A24" s="146"/>
      <c r="B24" s="28" t="s">
        <v>78</v>
      </c>
      <c r="C24" s="28" t="s">
        <v>42</v>
      </c>
      <c r="D24" s="28" t="s">
        <v>25</v>
      </c>
      <c r="E24" s="28" t="s">
        <v>25</v>
      </c>
      <c r="F24" s="28" t="s">
        <v>25</v>
      </c>
      <c r="G24" s="29" t="s">
        <v>79</v>
      </c>
      <c r="H24" s="29" t="s">
        <v>75</v>
      </c>
      <c r="I24" s="29">
        <f>'MERCADO TE'!$U$21</f>
        <v>3335.7969999999996</v>
      </c>
      <c r="J24" s="15"/>
      <c r="L24" s="26">
        <f>'TE BE'!$L$24*'TE BF'!$L$49</f>
        <v>0</v>
      </c>
      <c r="M24" s="26">
        <f>'TE BE'!$M$24*'TE BF'!$M$49</f>
        <v>9.6761868327463709</v>
      </c>
      <c r="N24" s="26">
        <f>'TE BE'!$N$24*'TE BF'!$N$49</f>
        <v>0</v>
      </c>
      <c r="O24" s="26">
        <f>'TE BE'!$O$24*'TE BF'!$O$49</f>
        <v>0</v>
      </c>
      <c r="P24" s="26">
        <f>'TE BE'!$P$24*'TE BF'!$P$49</f>
        <v>0</v>
      </c>
      <c r="Q24" s="26">
        <f>SUM($L$24:$P$24)</f>
        <v>9.6761868327463709</v>
      </c>
      <c r="R24" s="26">
        <f>'TE BE'!$R$24*'TE BF'!$R$49</f>
        <v>33.410635622125952</v>
      </c>
      <c r="S24" s="26">
        <f>SUM($R$24:$R$24)</f>
        <v>33.410635622125952</v>
      </c>
      <c r="T24" s="26">
        <f>'TE BE'!$T$24*'TE BF'!$T$49</f>
        <v>2.1168172668982579</v>
      </c>
      <c r="U24" s="26">
        <f>'TE BE'!$U$24*'TE BF'!$U$49</f>
        <v>0.26901301694397345</v>
      </c>
      <c r="V24" s="26">
        <f>'TE BE'!$V$24*'TE BF'!$V$49</f>
        <v>0</v>
      </c>
      <c r="W24" s="26">
        <f>SUM($T$24:$V$24)</f>
        <v>2.3858302838422314</v>
      </c>
      <c r="X24" s="26">
        <f>'TE BE'!$AB$24*'TE BF'!$X$49</f>
        <v>0</v>
      </c>
      <c r="Y24" s="26">
        <f>SUM($X$24:$X$24)</f>
        <v>0</v>
      </c>
      <c r="Z24" s="26">
        <f>'TE BE'!$Z$24*'TE BF'!$Z$49</f>
        <v>0.87471075332607173</v>
      </c>
      <c r="AA24" s="26">
        <f>SUM($Z$24:$Z$24)</f>
        <v>0.87471075332607173</v>
      </c>
      <c r="AB24" s="26">
        <f>SUMIF($L$4:$AA$4,"SUBTOTAL",$L$24:$AA$24)</f>
        <v>46.347363492040621</v>
      </c>
    </row>
    <row r="25" spans="1:28" ht="11.25" customHeight="1" x14ac:dyDescent="0.25">
      <c r="A25" s="146"/>
      <c r="B25" s="146" t="s">
        <v>74</v>
      </c>
      <c r="C25" s="146" t="s">
        <v>42</v>
      </c>
      <c r="D25" s="146" t="s">
        <v>91</v>
      </c>
      <c r="E25" s="146" t="s">
        <v>25</v>
      </c>
      <c r="F25" s="146" t="s">
        <v>25</v>
      </c>
      <c r="G25" s="29" t="s">
        <v>76</v>
      </c>
      <c r="H25" s="29" t="s">
        <v>75</v>
      </c>
      <c r="I25" s="29">
        <f>'MERCADO TE'!$U$22</f>
        <v>0</v>
      </c>
      <c r="J25" s="15"/>
      <c r="L25" s="26">
        <f>'TE BE'!$L$25*'TE BF'!$L$49</f>
        <v>0</v>
      </c>
      <c r="M25" s="26">
        <f>'TE BE'!$M$25*'TE BF'!$M$49</f>
        <v>9.6761868327463709</v>
      </c>
      <c r="N25" s="26">
        <f>'TE BE'!$N$25*'TE BF'!$N$49</f>
        <v>0</v>
      </c>
      <c r="O25" s="26">
        <f>'TE BE'!$O$25*'TE BF'!$O$49</f>
        <v>0</v>
      </c>
      <c r="P25" s="26">
        <f>'TE BE'!$P$25*'TE BF'!$P$49</f>
        <v>0</v>
      </c>
      <c r="Q25" s="26">
        <f>SUM($L$25:$P$25)</f>
        <v>9.6761868327463709</v>
      </c>
      <c r="R25" s="26">
        <f>'TE BE'!$R$25*'TE BF'!$R$49</f>
        <v>54.213484217034562</v>
      </c>
      <c r="S25" s="26">
        <f>SUM($R$25:$R$25)</f>
        <v>54.213484217034562</v>
      </c>
      <c r="T25" s="26">
        <f>'TE BE'!$T$25*'TE BF'!$T$49</f>
        <v>2.1168172668982579</v>
      </c>
      <c r="U25" s="26">
        <f>'TE BE'!$U$25*'TE BF'!$U$49</f>
        <v>0.26901301694397345</v>
      </c>
      <c r="V25" s="26">
        <f>'TE BE'!$V$25*'TE BF'!$V$49</f>
        <v>0</v>
      </c>
      <c r="W25" s="26">
        <f>SUM($T$25:$V$25)</f>
        <v>2.3858302838422314</v>
      </c>
      <c r="X25" s="26">
        <f>'TE BE'!$AB$25*'TE BF'!$X$49</f>
        <v>0</v>
      </c>
      <c r="Y25" s="26">
        <f>SUM($X$25:$X$25)</f>
        <v>0</v>
      </c>
      <c r="Z25" s="26">
        <f>'TE BE'!$Z$25*'TE BF'!$Z$49</f>
        <v>0.87471075332607173</v>
      </c>
      <c r="AA25" s="26">
        <f>SUM($Z$25:$Z$25)</f>
        <v>0.87471075332607173</v>
      </c>
      <c r="AB25" s="26">
        <f>SUMIF($L$4:$AA$4,"SUBTOTAL",$L$25:$AA$25)</f>
        <v>67.150212086949224</v>
      </c>
    </row>
    <row r="26" spans="1:28" ht="11.25" customHeight="1" x14ac:dyDescent="0.25">
      <c r="A26" s="146"/>
      <c r="B26" s="146"/>
      <c r="C26" s="146"/>
      <c r="D26" s="146"/>
      <c r="E26" s="146"/>
      <c r="F26" s="146"/>
      <c r="G26" s="29" t="s">
        <v>88</v>
      </c>
      <c r="H26" s="29" t="s">
        <v>75</v>
      </c>
      <c r="I26" s="29">
        <f>'MERCADO TE'!$U$23</f>
        <v>0</v>
      </c>
      <c r="J26" s="15"/>
      <c r="L26" s="26">
        <f>'TE BE'!$L$26*'TE BF'!$L$49</f>
        <v>0</v>
      </c>
      <c r="M26" s="26">
        <f>'TE BE'!$M$26*'TE BF'!$M$49</f>
        <v>9.6761868327463709</v>
      </c>
      <c r="N26" s="26">
        <f>'TE BE'!$N$26*'TE BF'!$N$49</f>
        <v>0</v>
      </c>
      <c r="O26" s="26">
        <f>'TE BE'!$O$26*'TE BF'!$O$49</f>
        <v>0</v>
      </c>
      <c r="P26" s="26">
        <f>'TE BE'!$P$26*'TE BF'!$P$49</f>
        <v>0</v>
      </c>
      <c r="Q26" s="26">
        <f>SUM($L$26:$P$26)</f>
        <v>9.6761868327463709</v>
      </c>
      <c r="R26" s="26">
        <f>'TE BE'!$R$26*'TE BF'!$R$49</f>
        <v>31.51946756804335</v>
      </c>
      <c r="S26" s="26">
        <f>SUM($R$26:$R$26)</f>
        <v>31.51946756804335</v>
      </c>
      <c r="T26" s="26">
        <f>'TE BE'!$T$26*'TE BF'!$T$49</f>
        <v>2.1168172668982579</v>
      </c>
      <c r="U26" s="26">
        <f>'TE BE'!$U$26*'TE BF'!$U$49</f>
        <v>0.26901301694397345</v>
      </c>
      <c r="V26" s="26">
        <f>'TE BE'!$V$26*'TE BF'!$V$49</f>
        <v>0</v>
      </c>
      <c r="W26" s="26">
        <f>SUM($T$26:$V$26)</f>
        <v>2.3858302838422314</v>
      </c>
      <c r="X26" s="26">
        <f>'TE BE'!$AB$26*'TE BF'!$X$49</f>
        <v>0</v>
      </c>
      <c r="Y26" s="26">
        <f>SUM($X$26:$X$26)</f>
        <v>0</v>
      </c>
      <c r="Z26" s="26">
        <f>'TE BE'!$Z$26*'TE BF'!$Z$49</f>
        <v>0.87471075332607173</v>
      </c>
      <c r="AA26" s="26">
        <f>SUM($Z$26:$Z$26)</f>
        <v>0.87471075332607173</v>
      </c>
      <c r="AB26" s="26">
        <f>SUMIF($L$4:$AA$4,"SUBTOTAL",$L$26:$AA$26)</f>
        <v>44.456195437958023</v>
      </c>
    </row>
    <row r="27" spans="1:28" ht="11.25" customHeight="1" x14ac:dyDescent="0.25">
      <c r="A27" s="146"/>
      <c r="B27" s="146"/>
      <c r="C27" s="146"/>
      <c r="D27" s="146"/>
      <c r="E27" s="146"/>
      <c r="F27" s="146"/>
      <c r="G27" s="29" t="s">
        <v>77</v>
      </c>
      <c r="H27" s="29" t="s">
        <v>75</v>
      </c>
      <c r="I27" s="29">
        <f>'MERCADO TE'!$U$24</f>
        <v>0</v>
      </c>
      <c r="J27" s="15"/>
      <c r="L27" s="26">
        <f>'TE BE'!$L$27*'TE BF'!$L$49</f>
        <v>0</v>
      </c>
      <c r="M27" s="26">
        <f>'TE BE'!$M$27*'TE BF'!$M$49</f>
        <v>9.6761868327463709</v>
      </c>
      <c r="N27" s="26">
        <f>'TE BE'!$N$27*'TE BF'!$N$49</f>
        <v>0</v>
      </c>
      <c r="O27" s="26">
        <f>'TE BE'!$O$27*'TE BF'!$O$49</f>
        <v>0</v>
      </c>
      <c r="P27" s="26">
        <f>'TE BE'!$P$27*'TE BF'!$P$49</f>
        <v>0</v>
      </c>
      <c r="Q27" s="26">
        <f>SUM($L$27:$P$27)</f>
        <v>9.6761868327463709</v>
      </c>
      <c r="R27" s="26">
        <f>'TE BE'!$R$27*'TE BF'!$R$49</f>
        <v>31.51946756804335</v>
      </c>
      <c r="S27" s="26">
        <f>SUM($R$27:$R$27)</f>
        <v>31.51946756804335</v>
      </c>
      <c r="T27" s="26">
        <f>'TE BE'!$T$27*'TE BF'!$T$49</f>
        <v>2.1168172668982579</v>
      </c>
      <c r="U27" s="26">
        <f>'TE BE'!$U$27*'TE BF'!$U$49</f>
        <v>0.26901301694397345</v>
      </c>
      <c r="V27" s="26">
        <f>'TE BE'!$V$27*'TE BF'!$V$49</f>
        <v>0</v>
      </c>
      <c r="W27" s="26">
        <f>SUM($T$27:$V$27)</f>
        <v>2.3858302838422314</v>
      </c>
      <c r="X27" s="26">
        <f>'TE BE'!$AB$27*'TE BF'!$X$49</f>
        <v>0</v>
      </c>
      <c r="Y27" s="26">
        <f>SUM($X$27:$X$27)</f>
        <v>0</v>
      </c>
      <c r="Z27" s="26">
        <f>'TE BE'!$Z$27*'TE BF'!$Z$49</f>
        <v>0.87471075332607173</v>
      </c>
      <c r="AA27" s="26">
        <f>SUM($Z$27:$Z$27)</f>
        <v>0.87471075332607173</v>
      </c>
      <c r="AB27" s="26">
        <f>SUMIF($L$4:$AA$4,"SUBTOTAL",$L$27:$AA$27)</f>
        <v>44.456195437958023</v>
      </c>
    </row>
    <row r="28" spans="1:28" ht="11.25" customHeight="1" x14ac:dyDescent="0.25">
      <c r="A28" s="146"/>
      <c r="B28" s="28" t="s">
        <v>78</v>
      </c>
      <c r="C28" s="28" t="s">
        <v>42</v>
      </c>
      <c r="D28" s="28" t="s">
        <v>91</v>
      </c>
      <c r="E28" s="28" t="s">
        <v>25</v>
      </c>
      <c r="F28" s="28" t="s">
        <v>25</v>
      </c>
      <c r="G28" s="29" t="s">
        <v>79</v>
      </c>
      <c r="H28" s="29" t="s">
        <v>75</v>
      </c>
      <c r="I28" s="29">
        <f>'MERCADO TE'!$U$25</f>
        <v>0</v>
      </c>
      <c r="J28" s="15"/>
      <c r="L28" s="26">
        <f>'TE BE'!$L$28*'TE BF'!$L$49</f>
        <v>0</v>
      </c>
      <c r="M28" s="26">
        <f>'TE BE'!$M$28*'TE BF'!$M$49</f>
        <v>9.6761868327463709</v>
      </c>
      <c r="N28" s="26">
        <f>'TE BE'!$N$28*'TE BF'!$N$49</f>
        <v>0</v>
      </c>
      <c r="O28" s="26">
        <f>'TE BE'!$O$28*'TE BF'!$O$49</f>
        <v>0</v>
      </c>
      <c r="P28" s="26">
        <f>'TE BE'!$P$28*'TE BF'!$P$49</f>
        <v>0</v>
      </c>
      <c r="Q28" s="26">
        <f>SUM($L$28:$P$28)</f>
        <v>9.6761868327463709</v>
      </c>
      <c r="R28" s="26">
        <f>'TE BE'!$R$28*'TE BF'!$R$49</f>
        <v>33.410635622125952</v>
      </c>
      <c r="S28" s="26">
        <f>SUM($R$28:$R$28)</f>
        <v>33.410635622125952</v>
      </c>
      <c r="T28" s="26">
        <f>'TE BE'!$T$28*'TE BF'!$T$49</f>
        <v>2.1168172668982579</v>
      </c>
      <c r="U28" s="26">
        <f>'TE BE'!$U$28*'TE BF'!$U$49</f>
        <v>0.26901301694397345</v>
      </c>
      <c r="V28" s="26">
        <f>'TE BE'!$V$28*'TE BF'!$V$49</f>
        <v>0</v>
      </c>
      <c r="W28" s="26">
        <f>SUM($T$28:$V$28)</f>
        <v>2.3858302838422314</v>
      </c>
      <c r="X28" s="26">
        <f>'TE BE'!$AB$28*'TE BF'!$X$49</f>
        <v>0</v>
      </c>
      <c r="Y28" s="26">
        <f>SUM($X$28:$X$28)</f>
        <v>0</v>
      </c>
      <c r="Z28" s="26">
        <f>'TE BE'!$Z$28*'TE BF'!$Z$49</f>
        <v>0.87471075332607173</v>
      </c>
      <c r="AA28" s="26">
        <f>SUM($Z$28:$Z$28)</f>
        <v>0.87471075332607173</v>
      </c>
      <c r="AB28" s="26">
        <f>SUMIF($L$4:$AA$4,"SUBTOTAL",$L$28:$AA$28)</f>
        <v>46.347363492040621</v>
      </c>
    </row>
    <row r="29" spans="1:28" ht="11.25" customHeight="1" x14ac:dyDescent="0.25">
      <c r="A29" s="146"/>
      <c r="B29" s="146" t="s">
        <v>74</v>
      </c>
      <c r="C29" s="146" t="s">
        <v>42</v>
      </c>
      <c r="D29" s="146" t="s">
        <v>92</v>
      </c>
      <c r="E29" s="146" t="s">
        <v>25</v>
      </c>
      <c r="F29" s="146" t="s">
        <v>25</v>
      </c>
      <c r="G29" s="29" t="s">
        <v>76</v>
      </c>
      <c r="H29" s="29" t="s">
        <v>75</v>
      </c>
      <c r="I29" s="29">
        <f>'MERCADO TE'!$U$26</f>
        <v>0</v>
      </c>
      <c r="J29" s="15"/>
      <c r="L29" s="26">
        <f>'TE BE'!$L$29*'TE BF'!$L$49</f>
        <v>0</v>
      </c>
      <c r="M29" s="26">
        <f>'TE BE'!$M$29*'TE BF'!$M$49</f>
        <v>9.6761868327463709</v>
      </c>
      <c r="N29" s="26">
        <f>'TE BE'!$N$29*'TE BF'!$N$49</f>
        <v>0</v>
      </c>
      <c r="O29" s="26">
        <f>'TE BE'!$O$29*'TE BF'!$O$49</f>
        <v>0</v>
      </c>
      <c r="P29" s="26">
        <f>'TE BE'!$P$29*'TE BF'!$P$49</f>
        <v>0</v>
      </c>
      <c r="Q29" s="26">
        <f>SUM($L$29:$P$29)</f>
        <v>9.6761868327463709</v>
      </c>
      <c r="R29" s="26">
        <f>'TE BE'!$R$29*'TE BF'!$R$49</f>
        <v>54.213484217034562</v>
      </c>
      <c r="S29" s="26">
        <f>SUM($R$29:$R$29)</f>
        <v>54.213484217034562</v>
      </c>
      <c r="T29" s="26">
        <f>'TE BE'!$T$29*'TE BF'!$T$49</f>
        <v>2.1168172668982579</v>
      </c>
      <c r="U29" s="26">
        <f>'TE BE'!$U$29*'TE BF'!$U$49</f>
        <v>0.26901301694397345</v>
      </c>
      <c r="V29" s="26">
        <f>'TE BE'!$V$29*'TE BF'!$V$49</f>
        <v>0</v>
      </c>
      <c r="W29" s="26">
        <f>SUM($T$29:$V$29)</f>
        <v>2.3858302838422314</v>
      </c>
      <c r="X29" s="26">
        <f>'TE BE'!$AB$29*'TE BF'!$X$49</f>
        <v>0</v>
      </c>
      <c r="Y29" s="26">
        <f>SUM($X$29:$X$29)</f>
        <v>0</v>
      </c>
      <c r="Z29" s="26">
        <f>'TE BE'!$Z$29*'TE BF'!$Z$49</f>
        <v>0.87471075332607173</v>
      </c>
      <c r="AA29" s="26">
        <f>SUM($Z$29:$Z$29)</f>
        <v>0.87471075332607173</v>
      </c>
      <c r="AB29" s="26">
        <f>SUMIF($L$4:$AA$4,"SUBTOTAL",$L$29:$AA$29)</f>
        <v>67.150212086949224</v>
      </c>
    </row>
    <row r="30" spans="1:28" ht="11.25" customHeight="1" x14ac:dyDescent="0.25">
      <c r="A30" s="146"/>
      <c r="B30" s="146"/>
      <c r="C30" s="146"/>
      <c r="D30" s="146"/>
      <c r="E30" s="146"/>
      <c r="F30" s="146"/>
      <c r="G30" s="29" t="s">
        <v>88</v>
      </c>
      <c r="H30" s="29" t="s">
        <v>75</v>
      </c>
      <c r="I30" s="29">
        <f>'MERCADO TE'!$U$27</f>
        <v>0</v>
      </c>
      <c r="J30" s="15"/>
      <c r="L30" s="26">
        <f>'TE BE'!$L$30*'TE BF'!$L$49</f>
        <v>0</v>
      </c>
      <c r="M30" s="26">
        <f>'TE BE'!$M$30*'TE BF'!$M$49</f>
        <v>9.6761868327463709</v>
      </c>
      <c r="N30" s="26">
        <f>'TE BE'!$N$30*'TE BF'!$N$49</f>
        <v>0</v>
      </c>
      <c r="O30" s="26">
        <f>'TE BE'!$O$30*'TE BF'!$O$49</f>
        <v>0</v>
      </c>
      <c r="P30" s="26">
        <f>'TE BE'!$P$30*'TE BF'!$P$49</f>
        <v>0</v>
      </c>
      <c r="Q30" s="26">
        <f>SUM($L$30:$P$30)</f>
        <v>9.6761868327463709</v>
      </c>
      <c r="R30" s="26">
        <f>'TE BE'!$R$30*'TE BF'!$R$49</f>
        <v>31.51946756804335</v>
      </c>
      <c r="S30" s="26">
        <f>SUM($R$30:$R$30)</f>
        <v>31.51946756804335</v>
      </c>
      <c r="T30" s="26">
        <f>'TE BE'!$T$30*'TE BF'!$T$49</f>
        <v>2.1168172668982579</v>
      </c>
      <c r="U30" s="26">
        <f>'TE BE'!$U$30*'TE BF'!$U$49</f>
        <v>0.26901301694397345</v>
      </c>
      <c r="V30" s="26">
        <f>'TE BE'!$V$30*'TE BF'!$V$49</f>
        <v>0</v>
      </c>
      <c r="W30" s="26">
        <f>SUM($T$30:$V$30)</f>
        <v>2.3858302838422314</v>
      </c>
      <c r="X30" s="26">
        <f>'TE BE'!$AB$30*'TE BF'!$X$49</f>
        <v>0</v>
      </c>
      <c r="Y30" s="26">
        <f>SUM($X$30:$X$30)</f>
        <v>0</v>
      </c>
      <c r="Z30" s="26">
        <f>'TE BE'!$Z$30*'TE BF'!$Z$49</f>
        <v>0.87471075332607173</v>
      </c>
      <c r="AA30" s="26">
        <f>SUM($Z$30:$Z$30)</f>
        <v>0.87471075332607173</v>
      </c>
      <c r="AB30" s="26">
        <f>SUMIF($L$4:$AA$4,"SUBTOTAL",$L$30:$AA$30)</f>
        <v>44.456195437958023</v>
      </c>
    </row>
    <row r="31" spans="1:28" ht="11.25" customHeight="1" x14ac:dyDescent="0.25">
      <c r="A31" s="146"/>
      <c r="B31" s="146"/>
      <c r="C31" s="146"/>
      <c r="D31" s="146"/>
      <c r="E31" s="146"/>
      <c r="F31" s="146"/>
      <c r="G31" s="29" t="s">
        <v>77</v>
      </c>
      <c r="H31" s="29" t="s">
        <v>75</v>
      </c>
      <c r="I31" s="29">
        <f>'MERCADO TE'!$U$28</f>
        <v>0</v>
      </c>
      <c r="J31" s="15"/>
      <c r="L31" s="26">
        <f>'TE BE'!$L$31*'TE BF'!$L$49</f>
        <v>0</v>
      </c>
      <c r="M31" s="26">
        <f>'TE BE'!$M$31*'TE BF'!$M$49</f>
        <v>9.6761868327463709</v>
      </c>
      <c r="N31" s="26">
        <f>'TE BE'!$N$31*'TE BF'!$N$49</f>
        <v>0</v>
      </c>
      <c r="O31" s="26">
        <f>'TE BE'!$O$31*'TE BF'!$O$49</f>
        <v>0</v>
      </c>
      <c r="P31" s="26">
        <f>'TE BE'!$P$31*'TE BF'!$P$49</f>
        <v>0</v>
      </c>
      <c r="Q31" s="26">
        <f>SUM($L$31:$P$31)</f>
        <v>9.6761868327463709</v>
      </c>
      <c r="R31" s="26">
        <f>'TE BE'!$R$31*'TE BF'!$R$49</f>
        <v>31.51946756804335</v>
      </c>
      <c r="S31" s="26">
        <f>SUM($R$31:$R$31)</f>
        <v>31.51946756804335</v>
      </c>
      <c r="T31" s="26">
        <f>'TE BE'!$T$31*'TE BF'!$T$49</f>
        <v>2.1168172668982579</v>
      </c>
      <c r="U31" s="26">
        <f>'TE BE'!$U$31*'TE BF'!$U$49</f>
        <v>0.26901301694397345</v>
      </c>
      <c r="V31" s="26">
        <f>'TE BE'!$V$31*'TE BF'!$V$49</f>
        <v>0</v>
      </c>
      <c r="W31" s="26">
        <f>SUM($T$31:$V$31)</f>
        <v>2.3858302838422314</v>
      </c>
      <c r="X31" s="26">
        <f>'TE BE'!$AB$31*'TE BF'!$X$49</f>
        <v>0</v>
      </c>
      <c r="Y31" s="26">
        <f>SUM($X$31:$X$31)</f>
        <v>0</v>
      </c>
      <c r="Z31" s="26">
        <f>'TE BE'!$Z$31*'TE BF'!$Z$49</f>
        <v>0.87471075332607173</v>
      </c>
      <c r="AA31" s="26">
        <f>SUM($Z$31:$Z$31)</f>
        <v>0.87471075332607173</v>
      </c>
      <c r="AB31" s="26">
        <f>SUMIF($L$4:$AA$4,"SUBTOTAL",$L$31:$AA$31)</f>
        <v>44.456195437958023</v>
      </c>
    </row>
    <row r="32" spans="1:28" ht="11.25" customHeight="1" x14ac:dyDescent="0.25">
      <c r="A32" s="146"/>
      <c r="B32" s="28" t="s">
        <v>78</v>
      </c>
      <c r="C32" s="28" t="s">
        <v>42</v>
      </c>
      <c r="D32" s="28" t="s">
        <v>92</v>
      </c>
      <c r="E32" s="28" t="s">
        <v>25</v>
      </c>
      <c r="F32" s="28" t="s">
        <v>25</v>
      </c>
      <c r="G32" s="29" t="s">
        <v>79</v>
      </c>
      <c r="H32" s="29" t="s">
        <v>75</v>
      </c>
      <c r="I32" s="29">
        <f>'MERCADO TE'!$U$29</f>
        <v>0</v>
      </c>
      <c r="J32" s="15"/>
      <c r="L32" s="26">
        <f>'TE BE'!$L$32*'TE BF'!$L$49</f>
        <v>0</v>
      </c>
      <c r="M32" s="26">
        <f>'TE BE'!$M$32*'TE BF'!$M$49</f>
        <v>9.6761868327463709</v>
      </c>
      <c r="N32" s="26">
        <f>'TE BE'!$N$32*'TE BF'!$N$49</f>
        <v>0</v>
      </c>
      <c r="O32" s="26">
        <f>'TE BE'!$O$32*'TE BF'!$O$49</f>
        <v>0</v>
      </c>
      <c r="P32" s="26">
        <f>'TE BE'!$P$32*'TE BF'!$P$49</f>
        <v>0</v>
      </c>
      <c r="Q32" s="26">
        <f>SUM($L$32:$P$32)</f>
        <v>9.6761868327463709</v>
      </c>
      <c r="R32" s="26">
        <f>'TE BE'!$R$32*'TE BF'!$R$49</f>
        <v>33.410635622125952</v>
      </c>
      <c r="S32" s="26">
        <f>SUM($R$32:$R$32)</f>
        <v>33.410635622125952</v>
      </c>
      <c r="T32" s="26">
        <f>'TE BE'!$T$32*'TE BF'!$T$49</f>
        <v>2.1168172668982579</v>
      </c>
      <c r="U32" s="26">
        <f>'TE BE'!$U$32*'TE BF'!$U$49</f>
        <v>0.26901301694397345</v>
      </c>
      <c r="V32" s="26">
        <f>'TE BE'!$V$32*'TE BF'!$V$49</f>
        <v>0</v>
      </c>
      <c r="W32" s="26">
        <f>SUM($T$32:$V$32)</f>
        <v>2.3858302838422314</v>
      </c>
      <c r="X32" s="26">
        <f>'TE BE'!$AB$32*'TE BF'!$X$49</f>
        <v>0</v>
      </c>
      <c r="Y32" s="26">
        <f>SUM($X$32:$X$32)</f>
        <v>0</v>
      </c>
      <c r="Z32" s="26">
        <f>'TE BE'!$Z$32*'TE BF'!$Z$49</f>
        <v>0.87471075332607173</v>
      </c>
      <c r="AA32" s="26">
        <f>SUM($Z$32:$Z$32)</f>
        <v>0.87471075332607173</v>
      </c>
      <c r="AB32" s="26">
        <f>SUMIF($L$4:$AA$4,"SUBTOTAL",$L$32:$AA$32)</f>
        <v>46.347363492040621</v>
      </c>
    </row>
    <row r="33" spans="1:28" ht="11.25" customHeight="1" x14ac:dyDescent="0.25">
      <c r="A33" s="146"/>
      <c r="B33" s="146" t="s">
        <v>89</v>
      </c>
      <c r="C33" s="146" t="s">
        <v>42</v>
      </c>
      <c r="D33" s="28" t="s">
        <v>25</v>
      </c>
      <c r="E33" s="28" t="s">
        <v>25</v>
      </c>
      <c r="F33" s="28" t="s">
        <v>25</v>
      </c>
      <c r="G33" s="29" t="s">
        <v>79</v>
      </c>
      <c r="H33" s="29" t="s">
        <v>75</v>
      </c>
      <c r="I33" s="29">
        <f>'MERCADO TE'!$U$30</f>
        <v>0</v>
      </c>
      <c r="J33" s="15"/>
      <c r="L33" s="26">
        <f>'TE BE'!$L$33*'TE BF'!$L$49</f>
        <v>0</v>
      </c>
      <c r="M33" s="26">
        <f>'TE BE'!$M$33*'TE BF'!$M$49</f>
        <v>9.6761868327463709</v>
      </c>
      <c r="N33" s="26">
        <f>'TE BE'!$N$33*'TE BF'!$N$49</f>
        <v>0</v>
      </c>
      <c r="O33" s="26">
        <f>'TE BE'!$O$33*'TE BF'!$O$49</f>
        <v>0</v>
      </c>
      <c r="P33" s="26">
        <f>'TE BE'!$P$33*'TE BF'!$P$49</f>
        <v>0</v>
      </c>
      <c r="Q33" s="26">
        <f>SUM($L$33:$P$33)</f>
        <v>9.6761868327463709</v>
      </c>
      <c r="R33" s="26">
        <f>'TE BE'!$R$33*'TE BF'!$R$49</f>
        <v>33.410635622125952</v>
      </c>
      <c r="S33" s="26">
        <f>SUM($R$33:$R$33)</f>
        <v>33.410635622125952</v>
      </c>
      <c r="T33" s="26">
        <f>'TE BE'!$T$33*'TE BF'!$T$49</f>
        <v>2.1168172668982579</v>
      </c>
      <c r="U33" s="26">
        <f>'TE BE'!$U$33*'TE BF'!$U$49</f>
        <v>0.26901301694397345</v>
      </c>
      <c r="V33" s="26">
        <f>'TE BE'!$V$33*'TE BF'!$V$49</f>
        <v>0</v>
      </c>
      <c r="W33" s="26">
        <f>SUM($T$33:$V$33)</f>
        <v>2.3858302838422314</v>
      </c>
      <c r="X33" s="26">
        <f>'TE BE'!$AB$33*'TE BF'!$X$49</f>
        <v>0</v>
      </c>
      <c r="Y33" s="26">
        <f>SUM($X$33:$X$33)</f>
        <v>0</v>
      </c>
      <c r="Z33" s="26">
        <f>'TE BE'!$Z$33*'TE BF'!$Z$49</f>
        <v>0.87471075332607173</v>
      </c>
      <c r="AA33" s="26">
        <f>SUM($Z$33:$Z$33)</f>
        <v>0.87471075332607173</v>
      </c>
      <c r="AB33" s="26">
        <f>SUMIF($L$4:$AA$4,"SUBTOTAL",$L$33:$AA$33)</f>
        <v>46.347363492040621</v>
      </c>
    </row>
    <row r="34" spans="1:28" ht="11.25" customHeight="1" x14ac:dyDescent="0.25">
      <c r="A34" s="146"/>
      <c r="B34" s="146"/>
      <c r="C34" s="146"/>
      <c r="D34" s="28" t="s">
        <v>91</v>
      </c>
      <c r="E34" s="28" t="s">
        <v>25</v>
      </c>
      <c r="F34" s="28" t="s">
        <v>25</v>
      </c>
      <c r="G34" s="29" t="s">
        <v>79</v>
      </c>
      <c r="H34" s="29" t="s">
        <v>75</v>
      </c>
      <c r="I34" s="29">
        <f>'MERCADO TE'!$U$31</f>
        <v>0</v>
      </c>
      <c r="J34" s="15"/>
      <c r="L34" s="26">
        <f>'TE BE'!$L$34*'TE BF'!$L$49</f>
        <v>0</v>
      </c>
      <c r="M34" s="26">
        <f>'TE BE'!$M$34*'TE BF'!$M$49</f>
        <v>9.6761868327463709</v>
      </c>
      <c r="N34" s="26">
        <f>'TE BE'!$N$34*'TE BF'!$N$49</f>
        <v>0</v>
      </c>
      <c r="O34" s="26">
        <f>'TE BE'!$O$34*'TE BF'!$O$49</f>
        <v>0</v>
      </c>
      <c r="P34" s="26">
        <f>'TE BE'!$P$34*'TE BF'!$P$49</f>
        <v>0</v>
      </c>
      <c r="Q34" s="26">
        <f>SUM($L$34:$P$34)</f>
        <v>9.6761868327463709</v>
      </c>
      <c r="R34" s="26">
        <f>'TE BE'!$R$34*'TE BF'!$R$49</f>
        <v>33.410635622125952</v>
      </c>
      <c r="S34" s="26">
        <f>SUM($R$34:$R$34)</f>
        <v>33.410635622125952</v>
      </c>
      <c r="T34" s="26">
        <f>'TE BE'!$T$34*'TE BF'!$T$49</f>
        <v>2.1168172668982579</v>
      </c>
      <c r="U34" s="26">
        <f>'TE BE'!$U$34*'TE BF'!$U$49</f>
        <v>0.26901301694397345</v>
      </c>
      <c r="V34" s="26">
        <f>'TE BE'!$V$34*'TE BF'!$V$49</f>
        <v>0</v>
      </c>
      <c r="W34" s="26">
        <f>SUM($T$34:$V$34)</f>
        <v>2.3858302838422314</v>
      </c>
      <c r="X34" s="26">
        <f>'TE BE'!$AB$34*'TE BF'!$X$49</f>
        <v>0</v>
      </c>
      <c r="Y34" s="26">
        <f>SUM($X$34:$X$34)</f>
        <v>0</v>
      </c>
      <c r="Z34" s="26">
        <f>'TE BE'!$Z$34*'TE BF'!$Z$49</f>
        <v>0.87471075332607173</v>
      </c>
      <c r="AA34" s="26">
        <f>SUM($Z$34:$Z$34)</f>
        <v>0.87471075332607173</v>
      </c>
      <c r="AB34" s="26">
        <f>SUMIF($L$4:$AA$4,"SUBTOTAL",$L$34:$AA$34)</f>
        <v>46.347363492040621</v>
      </c>
    </row>
    <row r="35" spans="1:28" ht="11.25" customHeight="1" x14ac:dyDescent="0.25">
      <c r="A35" s="146"/>
      <c r="B35" s="146"/>
      <c r="C35" s="146"/>
      <c r="D35" s="28" t="s">
        <v>92</v>
      </c>
      <c r="E35" s="28" t="s">
        <v>25</v>
      </c>
      <c r="F35" s="28" t="s">
        <v>25</v>
      </c>
      <c r="G35" s="29" t="s">
        <v>79</v>
      </c>
      <c r="H35" s="29" t="s">
        <v>75</v>
      </c>
      <c r="I35" s="29">
        <f>'MERCADO TE'!$U$32</f>
        <v>0</v>
      </c>
      <c r="J35" s="15"/>
      <c r="L35" s="26">
        <f>'TE BE'!$L$35*'TE BF'!$L$49</f>
        <v>0</v>
      </c>
      <c r="M35" s="26">
        <f>'TE BE'!$M$35*'TE BF'!$M$49</f>
        <v>9.6761868327463709</v>
      </c>
      <c r="N35" s="26">
        <f>'TE BE'!$N$35*'TE BF'!$N$49</f>
        <v>0</v>
      </c>
      <c r="O35" s="26">
        <f>'TE BE'!$O$35*'TE BF'!$O$49</f>
        <v>0</v>
      </c>
      <c r="P35" s="26">
        <f>'TE BE'!$P$35*'TE BF'!$P$49</f>
        <v>0</v>
      </c>
      <c r="Q35" s="26">
        <f>SUM($L$35:$P$35)</f>
        <v>9.6761868327463709</v>
      </c>
      <c r="R35" s="26">
        <f>'TE BE'!$R$35*'TE BF'!$R$49</f>
        <v>33.410635622125952</v>
      </c>
      <c r="S35" s="26">
        <f>SUM($R$35:$R$35)</f>
        <v>33.410635622125952</v>
      </c>
      <c r="T35" s="26">
        <f>'TE BE'!$T$35*'TE BF'!$T$49</f>
        <v>2.1168172668982579</v>
      </c>
      <c r="U35" s="26">
        <f>'TE BE'!$U$35*'TE BF'!$U$49</f>
        <v>0.26901301694397345</v>
      </c>
      <c r="V35" s="26">
        <f>'TE BE'!$V$35*'TE BF'!$V$49</f>
        <v>0</v>
      </c>
      <c r="W35" s="26">
        <f>SUM($T$35:$V$35)</f>
        <v>2.3858302838422314</v>
      </c>
      <c r="X35" s="26">
        <f>'TE BE'!$AB$35*'TE BF'!$X$49</f>
        <v>0</v>
      </c>
      <c r="Y35" s="26">
        <f>SUM($X$35:$X$35)</f>
        <v>0</v>
      </c>
      <c r="Z35" s="26">
        <f>'TE BE'!$Z$35*'TE BF'!$Z$49</f>
        <v>0.87471075332607173</v>
      </c>
      <c r="AA35" s="26">
        <f>SUM($Z$35:$Z$35)</f>
        <v>0.87471075332607173</v>
      </c>
      <c r="AB35" s="26">
        <f>SUMIF($L$4:$AA$4,"SUBTOTAL",$L$35:$AA$35)</f>
        <v>46.347363492040621</v>
      </c>
    </row>
    <row r="36" spans="1:28" ht="11.25" customHeight="1" x14ac:dyDescent="0.25">
      <c r="A36" s="146" t="s">
        <v>36</v>
      </c>
      <c r="B36" s="146" t="s">
        <v>74</v>
      </c>
      <c r="C36" s="146" t="s">
        <v>25</v>
      </c>
      <c r="D36" s="146" t="s">
        <v>25</v>
      </c>
      <c r="E36" s="146" t="s">
        <v>25</v>
      </c>
      <c r="F36" s="146" t="s">
        <v>25</v>
      </c>
      <c r="G36" s="29" t="s">
        <v>76</v>
      </c>
      <c r="H36" s="29" t="s">
        <v>75</v>
      </c>
      <c r="I36" s="29">
        <f>'MERCADO TE'!$U$33</f>
        <v>0.33600000000000008</v>
      </c>
      <c r="J36" s="15"/>
      <c r="L36" s="26">
        <f>'TE BE'!$L$36*'TE BF'!$L$49</f>
        <v>0</v>
      </c>
      <c r="M36" s="26">
        <f>'TE BE'!$M$36*'TE BF'!$M$49</f>
        <v>9.6761868327463709</v>
      </c>
      <c r="N36" s="26">
        <f>'TE BE'!$N$36*'TE BF'!$N$49</f>
        <v>0</v>
      </c>
      <c r="O36" s="26">
        <f>'TE BE'!$O$36*'TE BF'!$O$49</f>
        <v>0</v>
      </c>
      <c r="P36" s="26">
        <f>'TE BE'!$P$36*'TE BF'!$P$49</f>
        <v>0</v>
      </c>
      <c r="Q36" s="26">
        <f>SUM($L$36:$P$36)</f>
        <v>9.6761868327463709</v>
      </c>
      <c r="R36" s="26">
        <f>'TE BE'!$R$36*'TE BF'!$R$49</f>
        <v>54.213484217034562</v>
      </c>
      <c r="S36" s="26">
        <f>SUM($R$36:$R$36)</f>
        <v>54.213484217034562</v>
      </c>
      <c r="T36" s="26">
        <f>'TE BE'!$T$36*'TE BF'!$T$49</f>
        <v>2.1168172668982579</v>
      </c>
      <c r="U36" s="26">
        <f>'TE BE'!$U$36*'TE BF'!$U$49</f>
        <v>0.26901301694397345</v>
      </c>
      <c r="V36" s="26">
        <f>'TE BE'!$V$36*'TE BF'!$V$49</f>
        <v>0</v>
      </c>
      <c r="W36" s="26">
        <f>SUM($T$36:$V$36)</f>
        <v>2.3858302838422314</v>
      </c>
      <c r="X36" s="26">
        <f>'TE BE'!$AB$36*'TE BF'!$X$49</f>
        <v>0</v>
      </c>
      <c r="Y36" s="26">
        <f>SUM($X$36:$X$36)</f>
        <v>0</v>
      </c>
      <c r="Z36" s="26">
        <f>'TE BE'!$Z$36*'TE BF'!$Z$49</f>
        <v>0.87471075332607173</v>
      </c>
      <c r="AA36" s="26">
        <f>SUM($Z$36:$Z$36)</f>
        <v>0.87471075332607173</v>
      </c>
      <c r="AB36" s="26">
        <f>SUMIF($L$4:$AA$4,"SUBTOTAL",$L$36:$AA$36)</f>
        <v>67.150212086949224</v>
      </c>
    </row>
    <row r="37" spans="1:28" ht="11.25" customHeight="1" x14ac:dyDescent="0.25">
      <c r="A37" s="146"/>
      <c r="B37" s="146"/>
      <c r="C37" s="146"/>
      <c r="D37" s="146"/>
      <c r="E37" s="146"/>
      <c r="F37" s="146"/>
      <c r="G37" s="29" t="s">
        <v>88</v>
      </c>
      <c r="H37" s="29" t="s">
        <v>75</v>
      </c>
      <c r="I37" s="29">
        <f>'MERCADO TE'!$U$34</f>
        <v>0.45900000000000007</v>
      </c>
      <c r="J37" s="15"/>
      <c r="L37" s="26">
        <f>'TE BE'!$L$37*'TE BF'!$L$49</f>
        <v>0</v>
      </c>
      <c r="M37" s="26">
        <f>'TE BE'!$M$37*'TE BF'!$M$49</f>
        <v>9.6761868327463709</v>
      </c>
      <c r="N37" s="26">
        <f>'TE BE'!$N$37*'TE BF'!$N$49</f>
        <v>0</v>
      </c>
      <c r="O37" s="26">
        <f>'TE BE'!$O$37*'TE BF'!$O$49</f>
        <v>0</v>
      </c>
      <c r="P37" s="26">
        <f>'TE BE'!$P$37*'TE BF'!$P$49</f>
        <v>0</v>
      </c>
      <c r="Q37" s="26">
        <f>SUM($L$37:$P$37)</f>
        <v>9.6761868327463709</v>
      </c>
      <c r="R37" s="26">
        <f>'TE BE'!$R$37*'TE BF'!$R$49</f>
        <v>31.51946756804335</v>
      </c>
      <c r="S37" s="26">
        <f>SUM($R$37:$R$37)</f>
        <v>31.51946756804335</v>
      </c>
      <c r="T37" s="26">
        <f>'TE BE'!$T$37*'TE BF'!$T$49</f>
        <v>2.1168172668982579</v>
      </c>
      <c r="U37" s="26">
        <f>'TE BE'!$U$37*'TE BF'!$U$49</f>
        <v>0.26901301694397345</v>
      </c>
      <c r="V37" s="26">
        <f>'TE BE'!$V$37*'TE BF'!$V$49</f>
        <v>0</v>
      </c>
      <c r="W37" s="26">
        <f>SUM($T$37:$V$37)</f>
        <v>2.3858302838422314</v>
      </c>
      <c r="X37" s="26">
        <f>'TE BE'!$AB$37*'TE BF'!$X$49</f>
        <v>0</v>
      </c>
      <c r="Y37" s="26">
        <f>SUM($X$37:$X$37)</f>
        <v>0</v>
      </c>
      <c r="Z37" s="26">
        <f>'TE BE'!$Z$37*'TE BF'!$Z$49</f>
        <v>0.87471075332607173</v>
      </c>
      <c r="AA37" s="26">
        <f>SUM($Z$37:$Z$37)</f>
        <v>0.87471075332607173</v>
      </c>
      <c r="AB37" s="26">
        <f>SUMIF($L$4:$AA$4,"SUBTOTAL",$L$37:$AA$37)</f>
        <v>44.456195437958023</v>
      </c>
    </row>
    <row r="38" spans="1:28" ht="11.25" customHeight="1" x14ac:dyDescent="0.25">
      <c r="A38" s="146"/>
      <c r="B38" s="146"/>
      <c r="C38" s="146"/>
      <c r="D38" s="146"/>
      <c r="E38" s="146"/>
      <c r="F38" s="146"/>
      <c r="G38" s="29" t="s">
        <v>77</v>
      </c>
      <c r="H38" s="29" t="s">
        <v>75</v>
      </c>
      <c r="I38" s="29">
        <f>'MERCADO TE'!$U$35</f>
        <v>10.576000000000001</v>
      </c>
      <c r="J38" s="15"/>
      <c r="L38" s="26">
        <f>'TE BE'!$L$38*'TE BF'!$L$49</f>
        <v>0</v>
      </c>
      <c r="M38" s="26">
        <f>'TE BE'!$M$38*'TE BF'!$M$49</f>
        <v>9.6761868327463709</v>
      </c>
      <c r="N38" s="26">
        <f>'TE BE'!$N$38*'TE BF'!$N$49</f>
        <v>0</v>
      </c>
      <c r="O38" s="26">
        <f>'TE BE'!$O$38*'TE BF'!$O$49</f>
        <v>0</v>
      </c>
      <c r="P38" s="26">
        <f>'TE BE'!$P$38*'TE BF'!$P$49</f>
        <v>0</v>
      </c>
      <c r="Q38" s="26">
        <f>SUM($L$38:$P$38)</f>
        <v>9.6761868327463709</v>
      </c>
      <c r="R38" s="26">
        <f>'TE BE'!$R$38*'TE BF'!$R$49</f>
        <v>31.51946756804335</v>
      </c>
      <c r="S38" s="26">
        <f>SUM($R$38:$R$38)</f>
        <v>31.51946756804335</v>
      </c>
      <c r="T38" s="26">
        <f>'TE BE'!$T$38*'TE BF'!$T$49</f>
        <v>2.1168172668982579</v>
      </c>
      <c r="U38" s="26">
        <f>'TE BE'!$U$38*'TE BF'!$U$49</f>
        <v>0.26901301694397345</v>
      </c>
      <c r="V38" s="26">
        <f>'TE BE'!$V$38*'TE BF'!$V$49</f>
        <v>0</v>
      </c>
      <c r="W38" s="26">
        <f>SUM($T$38:$V$38)</f>
        <v>2.3858302838422314</v>
      </c>
      <c r="X38" s="26">
        <f>'TE BE'!$AB$38*'TE BF'!$X$49</f>
        <v>0</v>
      </c>
      <c r="Y38" s="26">
        <f>SUM($X$38:$X$38)</f>
        <v>0</v>
      </c>
      <c r="Z38" s="26">
        <f>'TE BE'!$Z$38*'TE BF'!$Z$49</f>
        <v>0.87471075332607173</v>
      </c>
      <c r="AA38" s="26">
        <f>SUM($Z$38:$Z$38)</f>
        <v>0.87471075332607173</v>
      </c>
      <c r="AB38" s="26">
        <f>SUMIF($L$4:$AA$4,"SUBTOTAL",$L$38:$AA$38)</f>
        <v>44.456195437958023</v>
      </c>
    </row>
    <row r="39" spans="1:28" ht="11.25" customHeight="1" x14ac:dyDescent="0.25">
      <c r="A39" s="146"/>
      <c r="B39" s="28" t="s">
        <v>78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79</v>
      </c>
      <c r="H39" s="29" t="s">
        <v>75</v>
      </c>
      <c r="I39" s="29">
        <f>'MERCADO TE'!$U$36</f>
        <v>6532.424</v>
      </c>
      <c r="J39" s="15"/>
      <c r="L39" s="26">
        <f>'TE BE'!$L$39*'TE BF'!$L$49</f>
        <v>0</v>
      </c>
      <c r="M39" s="26">
        <f>'TE BE'!$M$39*'TE BF'!$M$49</f>
        <v>9.6761868327463709</v>
      </c>
      <c r="N39" s="26">
        <f>'TE BE'!$N$39*'TE BF'!$N$49</f>
        <v>0</v>
      </c>
      <c r="O39" s="26">
        <f>'TE BE'!$O$39*'TE BF'!$O$49</f>
        <v>0</v>
      </c>
      <c r="P39" s="26">
        <f>'TE BE'!$P$39*'TE BF'!$P$49</f>
        <v>0</v>
      </c>
      <c r="Q39" s="26">
        <f>SUM($L$39:$P$39)</f>
        <v>9.6761868327463709</v>
      </c>
      <c r="R39" s="26">
        <f>'TE BE'!$R$39*'TE BF'!$R$49</f>
        <v>33.410635622125952</v>
      </c>
      <c r="S39" s="26">
        <f>SUM($R$39:$R$39)</f>
        <v>33.410635622125952</v>
      </c>
      <c r="T39" s="26">
        <f>'TE BE'!$T$39*'TE BF'!$T$49</f>
        <v>2.1168172668982579</v>
      </c>
      <c r="U39" s="26">
        <f>'TE BE'!$U$39*'TE BF'!$U$49</f>
        <v>0.26901301694397345</v>
      </c>
      <c r="V39" s="26">
        <f>'TE BE'!$V$39*'TE BF'!$V$49</f>
        <v>0</v>
      </c>
      <c r="W39" s="26">
        <f>SUM($T$39:$V$39)</f>
        <v>2.3858302838422314</v>
      </c>
      <c r="X39" s="26">
        <f>'TE BE'!$AB$39*'TE BF'!$X$49</f>
        <v>0</v>
      </c>
      <c r="Y39" s="26">
        <f>SUM($X$39:$X$39)</f>
        <v>0</v>
      </c>
      <c r="Z39" s="26">
        <f>'TE BE'!$Z$39*'TE BF'!$Z$49</f>
        <v>0.87471075332607173</v>
      </c>
      <c r="AA39" s="26">
        <f>SUM($Z$39:$Z$39)</f>
        <v>0.87471075332607173</v>
      </c>
      <c r="AB39" s="26">
        <f>SUMIF($L$4:$AA$4,"SUBTOTAL",$L$39:$AA$39)</f>
        <v>46.347363492040621</v>
      </c>
    </row>
    <row r="40" spans="1:28" ht="11.25" customHeight="1" x14ac:dyDescent="0.25">
      <c r="A40" s="146"/>
      <c r="B40" s="28" t="s">
        <v>89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79</v>
      </c>
      <c r="H40" s="29" t="s">
        <v>75</v>
      </c>
      <c r="I40" s="29">
        <f>'MERCADO TE'!$U$37</f>
        <v>0</v>
      </c>
      <c r="J40" s="15"/>
      <c r="L40" s="26">
        <f>'TE BE'!$L$40*'TE BF'!$L$49</f>
        <v>0</v>
      </c>
      <c r="M40" s="26">
        <f>'TE BE'!$M$40*'TE BF'!$M$49</f>
        <v>9.6761868327463709</v>
      </c>
      <c r="N40" s="26">
        <f>'TE BE'!$N$40*'TE BF'!$N$49</f>
        <v>0</v>
      </c>
      <c r="O40" s="26">
        <f>'TE BE'!$O$40*'TE BF'!$O$49</f>
        <v>0</v>
      </c>
      <c r="P40" s="26">
        <f>'TE BE'!$P$40*'TE BF'!$P$49</f>
        <v>0</v>
      </c>
      <c r="Q40" s="26">
        <f>SUM($L$40:$P$40)</f>
        <v>9.6761868327463709</v>
      </c>
      <c r="R40" s="26">
        <f>'TE BE'!$R$40*'TE BF'!$R$49</f>
        <v>33.410635622125952</v>
      </c>
      <c r="S40" s="26">
        <f>SUM($R$40:$R$40)</f>
        <v>33.410635622125952</v>
      </c>
      <c r="T40" s="26">
        <f>'TE BE'!$T$40*'TE BF'!$T$49</f>
        <v>2.1168172668982579</v>
      </c>
      <c r="U40" s="26">
        <f>'TE BE'!$U$40*'TE BF'!$U$49</f>
        <v>0.26901301694397345</v>
      </c>
      <c r="V40" s="26">
        <f>'TE BE'!$V$40*'TE BF'!$V$49</f>
        <v>0</v>
      </c>
      <c r="W40" s="26">
        <f>SUM($T$40:$V$40)</f>
        <v>2.3858302838422314</v>
      </c>
      <c r="X40" s="26">
        <f>'TE BE'!$AB$40*'TE BF'!$X$49</f>
        <v>0</v>
      </c>
      <c r="Y40" s="26">
        <f>SUM($X$40:$X$40)</f>
        <v>0</v>
      </c>
      <c r="Z40" s="26">
        <f>'TE BE'!$Z$40*'TE BF'!$Z$49</f>
        <v>0.87471075332607173</v>
      </c>
      <c r="AA40" s="26">
        <f>SUM($Z$40:$Z$40)</f>
        <v>0.87471075332607173</v>
      </c>
      <c r="AB40" s="26">
        <f>SUMIF($L$4:$AA$4,"SUBTOTAL",$L$40:$AA$40)</f>
        <v>46.347363492040621</v>
      </c>
    </row>
    <row r="41" spans="1:28" ht="11.25" customHeight="1" x14ac:dyDescent="0.25">
      <c r="A41" s="146" t="s">
        <v>44</v>
      </c>
      <c r="B41" s="146" t="s">
        <v>78</v>
      </c>
      <c r="C41" s="146" t="s">
        <v>45</v>
      </c>
      <c r="D41" s="28" t="s">
        <v>93</v>
      </c>
      <c r="E41" s="28" t="s">
        <v>25</v>
      </c>
      <c r="F41" s="28" t="s">
        <v>25</v>
      </c>
      <c r="G41" s="29" t="s">
        <v>79</v>
      </c>
      <c r="H41" s="29" t="s">
        <v>75</v>
      </c>
      <c r="I41" s="29">
        <f>'MERCADO TE'!$U$38</f>
        <v>0</v>
      </c>
      <c r="J41" s="15"/>
      <c r="L41" s="26">
        <f>'TE BE'!$L$41*'TE BF'!$L$49</f>
        <v>0</v>
      </c>
      <c r="M41" s="26">
        <f>'TE BE'!$M$41*'TE BF'!$M$49</f>
        <v>5.3219027580105047</v>
      </c>
      <c r="N41" s="26">
        <f>'TE BE'!$N$41*'TE BF'!$N$49</f>
        <v>0</v>
      </c>
      <c r="O41" s="26">
        <f>'TE BE'!$O$41*'TE BF'!$O$49</f>
        <v>0</v>
      </c>
      <c r="P41" s="26">
        <f>'TE BE'!$P$41*'TE BF'!$P$49</f>
        <v>0</v>
      </c>
      <c r="Q41" s="26">
        <f>SUM($L$41:$P$41)</f>
        <v>5.3219027580105047</v>
      </c>
      <c r="R41" s="26">
        <f>'TE BE'!$R$41*'TE BF'!$R$49</f>
        <v>18.375849592169278</v>
      </c>
      <c r="S41" s="26">
        <f>SUM($R$41:$R$41)</f>
        <v>18.375849592169278</v>
      </c>
      <c r="T41" s="26">
        <f>'TE BE'!$T$41*'TE BF'!$T$49</f>
        <v>1.164249496794042</v>
      </c>
      <c r="U41" s="26">
        <f>'TE BE'!$U$41*'TE BF'!$U$49</f>
        <v>0.14795715931918541</v>
      </c>
      <c r="V41" s="26">
        <f>'TE BE'!$V$41*'TE BF'!$V$49</f>
        <v>0</v>
      </c>
      <c r="W41" s="26">
        <f>SUM($T$41:$V$41)</f>
        <v>1.3122066561132275</v>
      </c>
      <c r="X41" s="26">
        <f>'TE BE'!$AB$41*'TE BF'!$X$49</f>
        <v>0</v>
      </c>
      <c r="Y41" s="26">
        <f>SUM($X$41:$X$41)</f>
        <v>0</v>
      </c>
      <c r="Z41" s="26">
        <f>'TE BE'!$Z$41*'TE BF'!$Z$49</f>
        <v>0.48109091432933948</v>
      </c>
      <c r="AA41" s="26">
        <f>SUM($Z$41:$Z$41)</f>
        <v>0.48109091432933948</v>
      </c>
      <c r="AB41" s="26">
        <f>SUMIF($L$4:$AA$4,"SUBTOTAL",$L$41:$AA$41)</f>
        <v>25.491049920622348</v>
      </c>
    </row>
    <row r="42" spans="1:28" ht="11.25" customHeight="1" x14ac:dyDescent="0.25">
      <c r="A42" s="146"/>
      <c r="B42" s="146"/>
      <c r="C42" s="146"/>
      <c r="D42" s="29" t="s">
        <v>46</v>
      </c>
      <c r="E42" s="29" t="s">
        <v>25</v>
      </c>
      <c r="F42" s="29" t="s">
        <v>25</v>
      </c>
      <c r="G42" s="29" t="s">
        <v>79</v>
      </c>
      <c r="H42" s="29" t="s">
        <v>75</v>
      </c>
      <c r="I42" s="29">
        <f>'MERCADO TE'!$U$39</f>
        <v>1655.8650000000002</v>
      </c>
      <c r="J42" s="15"/>
      <c r="L42" s="26">
        <f>'TE BE'!$L$42*'TE BF'!$L$49</f>
        <v>0</v>
      </c>
      <c r="M42" s="26">
        <f>'TE BE'!$M$42*'TE BF'!$M$49</f>
        <v>5.8057120996478222</v>
      </c>
      <c r="N42" s="26">
        <f>'TE BE'!$N$42*'TE BF'!$N$49</f>
        <v>0</v>
      </c>
      <c r="O42" s="26">
        <f>'TE BE'!$O$42*'TE BF'!$O$49</f>
        <v>0</v>
      </c>
      <c r="P42" s="26">
        <f>'TE BE'!$P$42*'TE BF'!$P$49</f>
        <v>0</v>
      </c>
      <c r="Q42" s="26">
        <f>SUM($L$42:$P$42)</f>
        <v>5.8057120996478222</v>
      </c>
      <c r="R42" s="26">
        <f>'TE BE'!$R$42*'TE BF'!$R$49</f>
        <v>20.046381373275569</v>
      </c>
      <c r="S42" s="26">
        <f>SUM($R$42:$R$42)</f>
        <v>20.046381373275569</v>
      </c>
      <c r="T42" s="26">
        <f>'TE BE'!$T$42*'TE BF'!$T$49</f>
        <v>1.2700903601389548</v>
      </c>
      <c r="U42" s="26">
        <f>'TE BE'!$U$42*'TE BF'!$U$49</f>
        <v>0.16140781016638406</v>
      </c>
      <c r="V42" s="26">
        <f>'TE BE'!$V$42*'TE BF'!$V$49</f>
        <v>0</v>
      </c>
      <c r="W42" s="26">
        <f>SUM($T$42:$V$42)</f>
        <v>1.4314981703053389</v>
      </c>
      <c r="X42" s="26">
        <f>'TE BE'!$AB$42*'TE BF'!$X$49</f>
        <v>0</v>
      </c>
      <c r="Y42" s="26">
        <f>SUM($X$42:$X$42)</f>
        <v>0</v>
      </c>
      <c r="Z42" s="26">
        <f>'TE BE'!$Z$42*'TE BF'!$Z$49</f>
        <v>0.52482645199564304</v>
      </c>
      <c r="AA42" s="26">
        <f>SUM($Z$42:$Z$42)</f>
        <v>0.52482645199564304</v>
      </c>
      <c r="AB42" s="26">
        <f>SUMIF($L$4:$AA$4,"SUBTOTAL",$L$42:$AA$42)</f>
        <v>27.808418095224376</v>
      </c>
    </row>
    <row r="44" spans="1:28" ht="11.25" customHeight="1" x14ac:dyDescent="0.25">
      <c r="K44" s="31" t="s">
        <v>656</v>
      </c>
      <c r="L44" s="26">
        <f t="shared" ref="L44:AB44" si="0">SUMPRODUCT($I$5:$I$42,L$5:L$42)</f>
        <v>0</v>
      </c>
      <c r="M44" s="26">
        <f t="shared" si="0"/>
        <v>290820.58200000005</v>
      </c>
      <c r="N44" s="26">
        <f t="shared" si="0"/>
        <v>0</v>
      </c>
      <c r="O44" s="26">
        <f t="shared" si="0"/>
        <v>0</v>
      </c>
      <c r="P44" s="26">
        <f t="shared" si="0"/>
        <v>0</v>
      </c>
      <c r="Q44" s="26">
        <f t="shared" si="0"/>
        <v>290820.58200000005</v>
      </c>
      <c r="R44" s="26">
        <f t="shared" si="0"/>
        <v>995691.63033714134</v>
      </c>
      <c r="S44" s="26">
        <f t="shared" si="0"/>
        <v>995691.63033714134</v>
      </c>
      <c r="T44" s="26">
        <f t="shared" si="0"/>
        <v>63621.552599999995</v>
      </c>
      <c r="U44" s="26">
        <f t="shared" si="0"/>
        <v>8085.2637000000013</v>
      </c>
      <c r="V44" s="26">
        <f t="shared" si="0"/>
        <v>0</v>
      </c>
      <c r="W44" s="26">
        <f t="shared" si="0"/>
        <v>71706.816300000006</v>
      </c>
      <c r="X44" s="26">
        <f t="shared" si="0"/>
        <v>0</v>
      </c>
      <c r="Y44" s="26">
        <f t="shared" si="0"/>
        <v>0</v>
      </c>
      <c r="Z44" s="26">
        <f t="shared" si="0"/>
        <v>26289.683607912044</v>
      </c>
      <c r="AA44" s="26">
        <f t="shared" si="0"/>
        <v>26289.683607912044</v>
      </c>
      <c r="AB44" s="26">
        <f t="shared" si="0"/>
        <v>1384508.7122450536</v>
      </c>
    </row>
    <row r="45" spans="1:28" ht="11.25" customHeight="1" x14ac:dyDescent="0.25">
      <c r="K45" s="31" t="s">
        <v>575</v>
      </c>
      <c r="L45" s="26">
        <f>CUSTOS!$D$30</f>
        <v>73198.785302957069</v>
      </c>
      <c r="M45" s="26">
        <f>CUSTOS!$D$31</f>
        <v>631086.40869767964</v>
      </c>
      <c r="N45" s="26">
        <f>CUSTOS!$D$32</f>
        <v>0</v>
      </c>
      <c r="O45" s="26">
        <f>CUSTOS!$D$33</f>
        <v>0</v>
      </c>
      <c r="P45" s="26">
        <f>CUSTOS!$D$34</f>
        <v>-701487.35</v>
      </c>
      <c r="Q45" s="26">
        <f>CUSTOS!$D$35</f>
        <v>2797.8440006367164</v>
      </c>
      <c r="R45" s="26">
        <f>CUSTOS!$D$36</f>
        <v>5974731.309717196</v>
      </c>
      <c r="S45" s="26">
        <f>CUSTOS!$D$37</f>
        <v>5974731.309717196</v>
      </c>
      <c r="T45" s="26">
        <f>CUSTOS!$D$38</f>
        <v>300438.78378876136</v>
      </c>
      <c r="U45" s="26">
        <f>CUSTOS!$D$39</f>
        <v>206871.02282621071</v>
      </c>
      <c r="V45" s="26">
        <f>CUSTOS!$D$40</f>
        <v>0</v>
      </c>
      <c r="W45" s="26">
        <f>CUSTOS!$D$41</f>
        <v>507309.80661497207</v>
      </c>
      <c r="X45" s="26">
        <f>CUSTOS!$D$42</f>
        <v>0</v>
      </c>
      <c r="Y45" s="26">
        <f>CUSTOS!$D$43</f>
        <v>0</v>
      </c>
      <c r="Z45" s="26">
        <f>CUSTOS!$D$44</f>
        <v>157753.45597870075</v>
      </c>
      <c r="AA45" s="26">
        <f>CUSTOS!$D$45</f>
        <v>157753.45597870075</v>
      </c>
      <c r="AB45" s="26">
        <f>CUSTOS!$D$46</f>
        <v>6642592.4163115053</v>
      </c>
    </row>
    <row r="46" spans="1:28" ht="11.25" customHeight="1" x14ac:dyDescent="0.25">
      <c r="K46" s="31" t="s">
        <v>576</v>
      </c>
      <c r="L46" s="26">
        <f>CUSTOS!$E$30</f>
        <v>7.4898569425744063E-2</v>
      </c>
      <c r="M46" s="26">
        <f>CUSTOS!$E$31</f>
        <v>36452.39382646844</v>
      </c>
      <c r="N46" s="26">
        <f>CUSTOS!$E$32</f>
        <v>0</v>
      </c>
      <c r="O46" s="26">
        <f>CUSTOS!$E$33</f>
        <v>-9.4234900844694225E-19</v>
      </c>
      <c r="P46" s="26">
        <f>CUSTOS!$E$34</f>
        <v>0</v>
      </c>
      <c r="Q46" s="26">
        <f>CUSTOS!$E$35</f>
        <v>36452.468725037863</v>
      </c>
      <c r="R46" s="26">
        <f>CUSTOS!$E$36</f>
        <v>-87115.726584510674</v>
      </c>
      <c r="S46" s="26">
        <f>CUSTOS!$E$37</f>
        <v>-87115.726584510674</v>
      </c>
      <c r="T46" s="26">
        <f>CUSTOS!$E$38</f>
        <v>26649.726315666448</v>
      </c>
      <c r="U46" s="26">
        <f>CUSTOS!$E$39</f>
        <v>28930.848428573499</v>
      </c>
      <c r="V46" s="26">
        <f>CUSTOS!$E$40</f>
        <v>0</v>
      </c>
      <c r="W46" s="26">
        <f>CUSTOS!$E$41</f>
        <v>55580.574744239944</v>
      </c>
      <c r="X46" s="26">
        <f>CUSTOS!$E$42</f>
        <v>-1833872.6576913935</v>
      </c>
      <c r="Y46" s="26">
        <f>CUSTOS!$E$43</f>
        <v>-1833872.6576913935</v>
      </c>
      <c r="Z46" s="26">
        <f>CUSTOS!$E$44</f>
        <v>-2300.154806367791</v>
      </c>
      <c r="AA46" s="26">
        <f>CUSTOS!$E$45</f>
        <v>-2300.154806367791</v>
      </c>
      <c r="AB46" s="26">
        <f>CUSTOS!$E$46</f>
        <v>-1831255.4956129943</v>
      </c>
    </row>
    <row r="47" spans="1:28" ht="11.25" customHeight="1" x14ac:dyDescent="0.25">
      <c r="K47" s="31" t="s">
        <v>577</v>
      </c>
      <c r="L47" s="26">
        <f>CUSTOS!$F$30</f>
        <v>0</v>
      </c>
      <c r="M47" s="26">
        <f>CUSTOS!$F$31</f>
        <v>290820.58199999999</v>
      </c>
      <c r="N47" s="26">
        <f>CUSTOS!$F$32</f>
        <v>0</v>
      </c>
      <c r="O47" s="26">
        <f>CUSTOS!$F$33</f>
        <v>0</v>
      </c>
      <c r="P47" s="26">
        <f>CUSTOS!$F$34</f>
        <v>0</v>
      </c>
      <c r="Q47" s="26">
        <f>CUSTOS!$F$35</f>
        <v>290820.58199999999</v>
      </c>
      <c r="R47" s="26">
        <f>CUSTOS!$F$36</f>
        <v>995691.63033714134</v>
      </c>
      <c r="S47" s="26">
        <f>CUSTOS!$F$37</f>
        <v>995691.63033714134</v>
      </c>
      <c r="T47" s="26">
        <f>CUSTOS!$F$38</f>
        <v>63621.552600000003</v>
      </c>
      <c r="U47" s="26">
        <f>CUSTOS!$F$39</f>
        <v>8085.2637000000004</v>
      </c>
      <c r="V47" s="26">
        <f>CUSTOS!$F$40</f>
        <v>0</v>
      </c>
      <c r="W47" s="26">
        <f>CUSTOS!$F$41</f>
        <v>71706.816300000006</v>
      </c>
      <c r="X47" s="26">
        <f>CUSTOS!$F$42</f>
        <v>0</v>
      </c>
      <c r="Y47" s="26">
        <f>CUSTOS!$F$43</f>
        <v>0</v>
      </c>
      <c r="Z47" s="26">
        <f>CUSTOS!$F$44</f>
        <v>26289.68360791204</v>
      </c>
      <c r="AA47" s="26">
        <f>CUSTOS!$F$45</f>
        <v>26289.68360791204</v>
      </c>
      <c r="AB47" s="26">
        <f>CUSTOS!$F$46</f>
        <v>1384508.7122450536</v>
      </c>
    </row>
    <row r="48" spans="1:28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837" priority="33" operator="notEqual">
      <formula>$L$47</formula>
    </cfRule>
    <cfRule type="cellIs" dxfId="836" priority="34" operator="equal">
      <formula>$L$47</formula>
    </cfRule>
  </conditionalFormatting>
  <conditionalFormatting sqref="M44">
    <cfRule type="cellIs" dxfId="835" priority="31" operator="notEqual">
      <formula>$M$47</formula>
    </cfRule>
    <cfRule type="cellIs" dxfId="834" priority="32" operator="equal">
      <formula>$M$47</formula>
    </cfRule>
  </conditionalFormatting>
  <conditionalFormatting sqref="N44">
    <cfRule type="cellIs" dxfId="833" priority="29" operator="notEqual">
      <formula>$N$47</formula>
    </cfRule>
    <cfRule type="cellIs" dxfId="832" priority="30" operator="equal">
      <formula>$N$47</formula>
    </cfRule>
  </conditionalFormatting>
  <conditionalFormatting sqref="O44">
    <cfRule type="cellIs" dxfId="831" priority="27" operator="notEqual">
      <formula>$O$47</formula>
    </cfRule>
    <cfRule type="cellIs" dxfId="830" priority="28" operator="equal">
      <formula>$O$47</formula>
    </cfRule>
  </conditionalFormatting>
  <conditionalFormatting sqref="P44">
    <cfRule type="cellIs" dxfId="829" priority="25" operator="notEqual">
      <formula>$P$47</formula>
    </cfRule>
    <cfRule type="cellIs" dxfId="828" priority="26" operator="equal">
      <formula>$P$47</formula>
    </cfRule>
  </conditionalFormatting>
  <conditionalFormatting sqref="Q44">
    <cfRule type="cellIs" dxfId="827" priority="23" operator="notEqual">
      <formula>$Q$47</formula>
    </cfRule>
    <cfRule type="cellIs" dxfId="826" priority="24" operator="equal">
      <formula>$Q$47</formula>
    </cfRule>
  </conditionalFormatting>
  <conditionalFormatting sqref="R44">
    <cfRule type="cellIs" dxfId="825" priority="21" operator="notEqual">
      <formula>$R$47</formula>
    </cfRule>
    <cfRule type="cellIs" dxfId="824" priority="22" operator="equal">
      <formula>$R$47</formula>
    </cfRule>
  </conditionalFormatting>
  <conditionalFormatting sqref="S44">
    <cfRule type="cellIs" dxfId="823" priority="19" operator="notEqual">
      <formula>$S$47</formula>
    </cfRule>
    <cfRule type="cellIs" dxfId="822" priority="20" operator="equal">
      <formula>$S$47</formula>
    </cfRule>
  </conditionalFormatting>
  <conditionalFormatting sqref="T44">
    <cfRule type="cellIs" dxfId="821" priority="17" operator="notEqual">
      <formula>$T$47</formula>
    </cfRule>
    <cfRule type="cellIs" dxfId="820" priority="18" operator="equal">
      <formula>$T$47</formula>
    </cfRule>
  </conditionalFormatting>
  <conditionalFormatting sqref="U44">
    <cfRule type="cellIs" dxfId="819" priority="15" operator="notEqual">
      <formula>$U$47</formula>
    </cfRule>
    <cfRule type="cellIs" dxfId="818" priority="16" operator="equal">
      <formula>$U$47</formula>
    </cfRule>
  </conditionalFormatting>
  <conditionalFormatting sqref="V44">
    <cfRule type="cellIs" dxfId="817" priority="13" operator="notEqual">
      <formula>$V$47</formula>
    </cfRule>
    <cfRule type="cellIs" dxfId="816" priority="14" operator="equal">
      <formula>$V$47</formula>
    </cfRule>
  </conditionalFormatting>
  <conditionalFormatting sqref="W44">
    <cfRule type="cellIs" dxfId="815" priority="11" operator="notEqual">
      <formula>$W$47</formula>
    </cfRule>
    <cfRule type="cellIs" dxfId="814" priority="12" operator="equal">
      <formula>$W$47</formula>
    </cfRule>
  </conditionalFormatting>
  <conditionalFormatting sqref="X44">
    <cfRule type="cellIs" dxfId="813" priority="9" operator="notEqual">
      <formula>$X$47</formula>
    </cfRule>
    <cfRule type="cellIs" dxfId="812" priority="10" operator="equal">
      <formula>$X$47</formula>
    </cfRule>
  </conditionalFormatting>
  <conditionalFormatting sqref="Y44">
    <cfRule type="cellIs" dxfId="811" priority="7" operator="notEqual">
      <formula>$Y$47</formula>
    </cfRule>
    <cfRule type="cellIs" dxfId="810" priority="8" operator="equal">
      <formula>$Y$47</formula>
    </cfRule>
  </conditionalFormatting>
  <conditionalFormatting sqref="Z44">
    <cfRule type="cellIs" dxfId="809" priority="5" operator="notEqual">
      <formula>$Z$47</formula>
    </cfRule>
    <cfRule type="cellIs" dxfId="808" priority="6" operator="equal">
      <formula>$Z$47</formula>
    </cfRule>
  </conditionalFormatting>
  <conditionalFormatting sqref="AA44">
    <cfRule type="cellIs" dxfId="807" priority="3" operator="notEqual">
      <formula>$AA$47</formula>
    </cfRule>
    <cfRule type="cellIs" dxfId="806" priority="4" operator="equal">
      <formula>$AA$47</formula>
    </cfRule>
  </conditionalFormatting>
  <conditionalFormatting sqref="AB44">
    <cfRule type="cellIs" dxfId="805" priority="1" operator="notEqual">
      <formula>$AB$47</formula>
    </cfRule>
    <cfRule type="cellIs" dxfId="804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A2DF9-AE3B-4B35-911D-DD3C2EFC564B}">
  <dimension ref="A1:AV475"/>
  <sheetViews>
    <sheetView showGridLines="0" topLeftCell="AO1" workbookViewId="0">
      <selection activeCell="AY19" sqref="AY19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0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682</v>
      </c>
      <c r="W1" s="1" t="s">
        <v>683</v>
      </c>
      <c r="X1" s="1" t="s">
        <v>684</v>
      </c>
      <c r="Y1" s="1" t="s">
        <v>685</v>
      </c>
      <c r="Z1" s="1" t="s">
        <v>686</v>
      </c>
      <c r="AA1" s="1" t="s">
        <v>687</v>
      </c>
      <c r="AB1" s="1" t="s">
        <v>704</v>
      </c>
      <c r="AC1" s="1" t="s">
        <v>705</v>
      </c>
      <c r="AD1" s="1" t="s">
        <v>706</v>
      </c>
      <c r="AE1" s="1" t="s">
        <v>707</v>
      </c>
      <c r="AF1" s="1" t="s">
        <v>708</v>
      </c>
      <c r="AG1" s="1" t="s">
        <v>709</v>
      </c>
      <c r="AI1" s="40" t="s">
        <v>65</v>
      </c>
      <c r="AJ1" s="40" t="s">
        <v>710</v>
      </c>
      <c r="AK1" s="40" t="s">
        <v>711</v>
      </c>
      <c r="AL1" s="40" t="s">
        <v>712</v>
      </c>
      <c r="AN1" s="40" t="s">
        <v>65</v>
      </c>
      <c r="AO1" s="40" t="s">
        <v>713</v>
      </c>
      <c r="AP1" s="40" t="s">
        <v>714</v>
      </c>
      <c r="AQ1" s="40" t="s">
        <v>712</v>
      </c>
      <c r="AS1" s="40" t="s">
        <v>65</v>
      </c>
      <c r="AT1" s="40" t="s">
        <v>715</v>
      </c>
      <c r="AU1" s="40" t="s">
        <v>716</v>
      </c>
      <c r="AV1" s="40" t="s">
        <v>712</v>
      </c>
    </row>
    <row r="2" spans="1:48" ht="11.25" customHeight="1" x14ac:dyDescent="0.25">
      <c r="A2" s="4" t="s">
        <v>21</v>
      </c>
      <c r="B2" s="4" t="s">
        <v>38</v>
      </c>
      <c r="C2" s="4" t="s">
        <v>56</v>
      </c>
      <c r="D2" s="4" t="s">
        <v>37</v>
      </c>
      <c r="E2" s="4" t="s">
        <v>25</v>
      </c>
      <c r="F2" s="4" t="s">
        <v>57</v>
      </c>
      <c r="G2" s="4" t="s">
        <v>25</v>
      </c>
      <c r="H2" s="4" t="s">
        <v>34</v>
      </c>
      <c r="I2" s="5">
        <v>44409</v>
      </c>
      <c r="J2" s="6">
        <v>7152</v>
      </c>
      <c r="K2" s="6">
        <v>3576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58</v>
      </c>
      <c r="R2" s="4">
        <v>0</v>
      </c>
      <c r="S2" s="6">
        <v>5</v>
      </c>
      <c r="T2" s="6">
        <v>0</v>
      </c>
      <c r="U2" s="6">
        <v>0</v>
      </c>
      <c r="V2" s="6">
        <f>IF(ISERROR(VLOOKUP($S$2,'TAR FIN'!$A$1:$O$88,15,0)),0,VLOOKUP($S$2,'TAR FIN'!$A$1:$O$88,15,0))</f>
        <v>17.190000000000001</v>
      </c>
      <c r="W2" s="6">
        <f>IF(ISERROR(VLOOKUP($T$2,'TAR FIN'!$A$1:$O$88,15,0)),0,VLOOKUP($T$2,'TAR FIN'!$A$1:$O$88,15,0))</f>
        <v>0</v>
      </c>
      <c r="X2" s="6">
        <f>IF(ISERROR(VLOOKUP($U$2,'TAR FIN'!$A$1:$O$88,15,0)),0,VLOOKUP($U$2,'TAR FIN'!$A$1:$O$88,15,0))</f>
        <v>0</v>
      </c>
      <c r="Y2" s="6">
        <f ca="1">('TUSD BE'!$AM$6+'TUSD BF'!$AM$6+'TUSD CVA'!$AM$6)*1</f>
        <v>13.66046481326768</v>
      </c>
      <c r="Z2" s="6">
        <f ca="1">('TUSD BE'!$AM$7+'TUSD BF'!$AM$7+'TUSD CVA'!$AM$7)*1</f>
        <v>83.275517807559041</v>
      </c>
      <c r="AA2" s="6"/>
      <c r="AB2" s="6">
        <f>$K$2*$V$2</f>
        <v>61471.44</v>
      </c>
      <c r="AC2" s="6">
        <f>$M$2*$W$2</f>
        <v>0</v>
      </c>
      <c r="AD2" s="6">
        <f>$O$2*$X$2</f>
        <v>0</v>
      </c>
      <c r="AE2" s="6">
        <f ca="1">$K$2*$Y$2</f>
        <v>48849.822172245222</v>
      </c>
      <c r="AF2" s="6">
        <f ca="1">$M$2*$Z$2</f>
        <v>0</v>
      </c>
      <c r="AG2" s="6">
        <f>$O$2*$AA$2</f>
        <v>0</v>
      </c>
      <c r="AI2" s="41" t="s">
        <v>38</v>
      </c>
      <c r="AJ2" s="42">
        <f>SUMIF($B$2:$B$475,AI2,$AB$2:$AB$475)+SUMIF($B$2:$B$475,AI2,$AC$2:$AC$475)</f>
        <v>4797484.0044137966</v>
      </c>
      <c r="AK2" s="42">
        <f ca="1">SUMIF($B$2:$B$475,AI2,$AE$2:$AE$475)+SUMIF($B$2:$B$475,AI2,$AF$2:$AF$475)</f>
        <v>4506757.0326040918</v>
      </c>
      <c r="AL2" s="43">
        <f t="shared" ref="AL2:AL9" ca="1" si="0">IF(AJ2&lt;&gt;0,AK2/AJ2-1,0)</f>
        <v>-6.0599883510237706E-2</v>
      </c>
      <c r="AN2" s="41" t="s">
        <v>38</v>
      </c>
      <c r="AO2" s="42">
        <f>SUMIF($B$2:$B$475,AN2,$AD$2:$AD$475)</f>
        <v>2117178.5408321987</v>
      </c>
      <c r="AP2" s="42">
        <f>SUMIF($B$2:$B$475,AN2,$AG$2:$AG$475)</f>
        <v>1575477.5337243301</v>
      </c>
      <c r="AQ2" s="43">
        <f t="shared" ref="AQ2:AQ9" si="1">IF(AO2&lt;&gt;0,AP2/AO2-1,0)</f>
        <v>-0.25585986097088553</v>
      </c>
      <c r="AS2" s="41" t="s">
        <v>38</v>
      </c>
      <c r="AT2" s="42">
        <f>SUMIF($B$2:$B$475,AS2,$AB$2:$AB$475)+SUMIF($B$2:$B$475,AS2,$AC$2:$AC$475)+SUMIF($B$2:$B$475,AS2,$AD$2:$AD$475)</f>
        <v>6914662.5452459957</v>
      </c>
      <c r="AU2" s="42">
        <f ca="1">SUMIF($B$2:$B$475,AS2,$AE$2:$AE$475)+SUMIF($B$2:$B$475,AS2,$AF$2:$AF$475)+SUMIF($B$2:$B$475,AS2,$AG$2:$AG$475)</f>
        <v>6082234.5663284222</v>
      </c>
      <c r="AV2" s="43">
        <f t="shared" ref="AV2:AV9" ca="1" si="2">IF(AT2&lt;&gt;0,AU2/AT2-1,0)</f>
        <v>-0.1203859152157597</v>
      </c>
    </row>
    <row r="3" spans="1:48" ht="11.25" customHeight="1" x14ac:dyDescent="0.25">
      <c r="A3" s="4" t="s">
        <v>21</v>
      </c>
      <c r="B3" s="4" t="s">
        <v>38</v>
      </c>
      <c r="C3" s="4" t="s">
        <v>56</v>
      </c>
      <c r="D3" s="4" t="s">
        <v>37</v>
      </c>
      <c r="E3" s="4" t="s">
        <v>25</v>
      </c>
      <c r="F3" s="4" t="s">
        <v>57</v>
      </c>
      <c r="G3" s="4" t="s">
        <v>25</v>
      </c>
      <c r="H3" s="4" t="s">
        <v>34</v>
      </c>
      <c r="I3" s="5">
        <v>44440</v>
      </c>
      <c r="J3" s="6">
        <v>7212</v>
      </c>
      <c r="K3" s="6">
        <v>3606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58</v>
      </c>
      <c r="R3" s="4">
        <v>0</v>
      </c>
      <c r="S3" s="6">
        <v>5</v>
      </c>
      <c r="T3" s="6">
        <v>0</v>
      </c>
      <c r="U3" s="6">
        <v>0</v>
      </c>
      <c r="V3" s="6">
        <f>IF(ISERROR(VLOOKUP($S$3,'TAR FIN'!$A$1:$O$88,15,0)),0,VLOOKUP($S$3,'TAR FIN'!$A$1:$O$88,15,0))</f>
        <v>17.190000000000001</v>
      </c>
      <c r="W3" s="6">
        <f>IF(ISERROR(VLOOKUP($T$3,'TAR FIN'!$A$1:$O$88,15,0)),0,VLOOKUP($T$3,'TAR FIN'!$A$1:$O$88,15,0))</f>
        <v>0</v>
      </c>
      <c r="X3" s="6">
        <f>IF(ISERROR(VLOOKUP($U$3,'TAR FIN'!$A$1:$O$88,15,0)),0,VLOOKUP($U$3,'TAR FIN'!$A$1:$O$88,15,0))</f>
        <v>0</v>
      </c>
      <c r="Y3" s="6">
        <f ca="1">('TUSD BE'!$AM$6+'TUSD BF'!$AM$6+'TUSD CVA'!$AM$6)*1</f>
        <v>13.66046481326768</v>
      </c>
      <c r="Z3" s="6">
        <f ca="1">('TUSD BE'!$AM$7+'TUSD BF'!$AM$7+'TUSD CVA'!$AM$7)*1</f>
        <v>83.275517807559041</v>
      </c>
      <c r="AA3" s="6"/>
      <c r="AB3" s="6">
        <f>$K$3*$V$3</f>
        <v>61987.140000000007</v>
      </c>
      <c r="AC3" s="6">
        <f>$M$3*$W$3</f>
        <v>0</v>
      </c>
      <c r="AD3" s="6">
        <f>$O$3*$X$3</f>
        <v>0</v>
      </c>
      <c r="AE3" s="6">
        <f ca="1">$K$3*$Y$3</f>
        <v>49259.636116643254</v>
      </c>
      <c r="AF3" s="6">
        <f ca="1">$M$3*$Z$3</f>
        <v>0</v>
      </c>
      <c r="AG3" s="6">
        <f>$O$3*$AA$3</f>
        <v>0</v>
      </c>
      <c r="AI3" s="41" t="s">
        <v>22</v>
      </c>
      <c r="AJ3" s="42">
        <f>SUMIF($B$2:$B$475,AI3,$AB$2:$AB$475)+SUMIF($B$2:$B$475,AI3,$AC$2:$AC$475)</f>
        <v>2945976.8403300014</v>
      </c>
      <c r="AK3" s="42">
        <f ca="1">SUMIF($B$2:$B$475,AI3,$AE$2:$AE$475)+SUMIF($B$2:$B$475,AI3,$AF$2:$AF$475)</f>
        <v>3826681.7832509647</v>
      </c>
      <c r="AL3" s="43">
        <f t="shared" ca="1" si="0"/>
        <v>0.29895175374912619</v>
      </c>
      <c r="AN3" s="41" t="s">
        <v>22</v>
      </c>
      <c r="AO3" s="42">
        <f>SUMIF($B$2:$B$475,AN3,$AD$2:$AD$475)</f>
        <v>3190244.1757300007</v>
      </c>
      <c r="AP3" s="42">
        <f>SUMIF($B$2:$B$475,AN3,$AG$2:$AG$475)</f>
        <v>2292805.4864499168</v>
      </c>
      <c r="AQ3" s="43">
        <f t="shared" si="1"/>
        <v>-0.28130721030929529</v>
      </c>
      <c r="AS3" s="41" t="s">
        <v>22</v>
      </c>
      <c r="AT3" s="42">
        <f>SUMIF($B$2:$B$475,AS3,$AB$2:$AB$475)+SUMIF($B$2:$B$475,AS3,$AC$2:$AC$475)+SUMIF($B$2:$B$475,AS3,$AD$2:$AD$475)</f>
        <v>6136221.0160600021</v>
      </c>
      <c r="AU3" s="42">
        <f ca="1">SUMIF($B$2:$B$475,AS3,$AE$2:$AE$475)+SUMIF($B$2:$B$475,AS3,$AF$2:$AF$475)+SUMIF($B$2:$B$475,AS3,$AG$2:$AG$475)</f>
        <v>6119487.2697008811</v>
      </c>
      <c r="AV3" s="43">
        <f t="shared" ca="1" si="2"/>
        <v>-2.7270442696448738E-3</v>
      </c>
    </row>
    <row r="4" spans="1:48" ht="11.25" customHeight="1" x14ac:dyDescent="0.25">
      <c r="A4" s="4" t="s">
        <v>21</v>
      </c>
      <c r="B4" s="4" t="s">
        <v>38</v>
      </c>
      <c r="C4" s="4" t="s">
        <v>56</v>
      </c>
      <c r="D4" s="4" t="s">
        <v>37</v>
      </c>
      <c r="E4" s="4" t="s">
        <v>25</v>
      </c>
      <c r="F4" s="4" t="s">
        <v>57</v>
      </c>
      <c r="G4" s="4" t="s">
        <v>25</v>
      </c>
      <c r="H4" s="4" t="s">
        <v>34</v>
      </c>
      <c r="I4" s="5">
        <v>44470</v>
      </c>
      <c r="J4" s="6">
        <v>7403</v>
      </c>
      <c r="K4" s="6">
        <v>3701.5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58</v>
      </c>
      <c r="R4" s="4">
        <v>0</v>
      </c>
      <c r="S4" s="6">
        <v>5</v>
      </c>
      <c r="T4" s="6">
        <v>0</v>
      </c>
      <c r="U4" s="6">
        <v>0</v>
      </c>
      <c r="V4" s="6">
        <f>IF(ISERROR(VLOOKUP($S$4,'TAR FIN'!$A$1:$O$88,15,0)),0,VLOOKUP($S$4,'TAR FIN'!$A$1:$O$88,15,0))</f>
        <v>17.190000000000001</v>
      </c>
      <c r="W4" s="6">
        <f>IF(ISERROR(VLOOKUP($T$4,'TAR FIN'!$A$1:$O$88,15,0)),0,VLOOKUP($T$4,'TAR FIN'!$A$1:$O$88,15,0))</f>
        <v>0</v>
      </c>
      <c r="X4" s="6">
        <f>IF(ISERROR(VLOOKUP($U$4,'TAR FIN'!$A$1:$O$88,15,0)),0,VLOOKUP($U$4,'TAR FIN'!$A$1:$O$88,15,0))</f>
        <v>0</v>
      </c>
      <c r="Y4" s="6">
        <f ca="1">('TUSD BE'!$AM$6+'TUSD BF'!$AM$6+'TUSD CVA'!$AM$6)*1</f>
        <v>13.66046481326768</v>
      </c>
      <c r="Z4" s="6">
        <f ca="1">('TUSD BE'!$AM$7+'TUSD BF'!$AM$7+'TUSD CVA'!$AM$7)*1</f>
        <v>83.275517807559041</v>
      </c>
      <c r="AA4" s="6"/>
      <c r="AB4" s="6">
        <f>$K$4*$V$4</f>
        <v>63628.785000000003</v>
      </c>
      <c r="AC4" s="6">
        <f>$M$4*$W$4</f>
        <v>0</v>
      </c>
      <c r="AD4" s="6">
        <f>$O$4*$X$4</f>
        <v>0</v>
      </c>
      <c r="AE4" s="6">
        <f ca="1">$K$4*$Y$4</f>
        <v>50564.210506310315</v>
      </c>
      <c r="AF4" s="6">
        <f ca="1">$M$4*$Z$4</f>
        <v>0</v>
      </c>
      <c r="AG4" s="6">
        <f>$O$4*$AA$4</f>
        <v>0</v>
      </c>
      <c r="AI4" s="41" t="s">
        <v>41</v>
      </c>
      <c r="AJ4" s="42">
        <f>SUMIF($B$2:$B$475,AI4,$AB$2:$AB$475)+SUMIF($B$2:$B$475,AI4,$AC$2:$AC$475)</f>
        <v>790629.3087040002</v>
      </c>
      <c r="AK4" s="42">
        <f ca="1">SUMIF($B$2:$B$475,AI4,$AE$2:$AE$475)+SUMIF($B$2:$B$475,AI4,$AF$2:$AF$475)</f>
        <v>1096424.1495471057</v>
      </c>
      <c r="AL4" s="43">
        <f t="shared" ca="1" si="0"/>
        <v>0.38677397546059167</v>
      </c>
      <c r="AN4" s="41" t="s">
        <v>41</v>
      </c>
      <c r="AO4" s="42">
        <f>SUMIF($B$2:$B$475,AN4,$AD$2:$AD$475)</f>
        <v>846251.63839600014</v>
      </c>
      <c r="AP4" s="42">
        <f>SUMIF($B$2:$B$475,AN4,$AG$2:$AG$475)</f>
        <v>649668.15097940608</v>
      </c>
      <c r="AQ4" s="43">
        <f t="shared" si="1"/>
        <v>-0.23229909225251455</v>
      </c>
      <c r="AS4" s="41" t="s">
        <v>41</v>
      </c>
      <c r="AT4" s="42">
        <f>SUMIF($B$2:$B$475,AS4,$AB$2:$AB$475)+SUMIF($B$2:$B$475,AS4,$AC$2:$AC$475)+SUMIF($B$2:$B$475,AS4,$AD$2:$AD$475)</f>
        <v>1636880.9471000005</v>
      </c>
      <c r="AU4" s="42">
        <f ca="1">SUMIF($B$2:$B$475,AS4,$AE$2:$AE$475)+SUMIF($B$2:$B$475,AS4,$AF$2:$AF$475)+SUMIF($B$2:$B$475,AS4,$AG$2:$AG$475)</f>
        <v>1746092.3005265119</v>
      </c>
      <c r="AV4" s="43">
        <f t="shared" ca="1" si="2"/>
        <v>6.6719179314779664E-2</v>
      </c>
    </row>
    <row r="5" spans="1:48" ht="11.25" customHeight="1" x14ac:dyDescent="0.25">
      <c r="A5" s="4" t="s">
        <v>21</v>
      </c>
      <c r="B5" s="4" t="s">
        <v>38</v>
      </c>
      <c r="C5" s="4" t="s">
        <v>56</v>
      </c>
      <c r="D5" s="4" t="s">
        <v>37</v>
      </c>
      <c r="E5" s="4" t="s">
        <v>25</v>
      </c>
      <c r="F5" s="4" t="s">
        <v>57</v>
      </c>
      <c r="G5" s="4" t="s">
        <v>25</v>
      </c>
      <c r="H5" s="4" t="s">
        <v>34</v>
      </c>
      <c r="I5" s="5">
        <v>44501</v>
      </c>
      <c r="J5" s="6">
        <v>7236</v>
      </c>
      <c r="K5" s="6">
        <v>3618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58</v>
      </c>
      <c r="R5" s="4">
        <v>0</v>
      </c>
      <c r="S5" s="6">
        <v>5</v>
      </c>
      <c r="T5" s="6">
        <v>0</v>
      </c>
      <c r="U5" s="6">
        <v>0</v>
      </c>
      <c r="V5" s="6">
        <f>IF(ISERROR(VLOOKUP($S$5,'TAR FIN'!$A$1:$O$88,15,0)),0,VLOOKUP($S$5,'TAR FIN'!$A$1:$O$88,15,0))</f>
        <v>17.190000000000001</v>
      </c>
      <c r="W5" s="6">
        <f>IF(ISERROR(VLOOKUP($T$5,'TAR FIN'!$A$1:$O$88,15,0)),0,VLOOKUP($T$5,'TAR FIN'!$A$1:$O$88,15,0))</f>
        <v>0</v>
      </c>
      <c r="X5" s="6">
        <f>IF(ISERROR(VLOOKUP($U$5,'TAR FIN'!$A$1:$O$88,15,0)),0,VLOOKUP($U$5,'TAR FIN'!$A$1:$O$88,15,0))</f>
        <v>0</v>
      </c>
      <c r="Y5" s="6">
        <f ca="1">('TUSD BE'!$AM$6+'TUSD BF'!$AM$6+'TUSD CVA'!$AM$6)*1</f>
        <v>13.66046481326768</v>
      </c>
      <c r="Z5" s="6">
        <f ca="1">('TUSD BE'!$AM$7+'TUSD BF'!$AM$7+'TUSD CVA'!$AM$7)*1</f>
        <v>83.275517807559041</v>
      </c>
      <c r="AA5" s="6"/>
      <c r="AB5" s="6">
        <f>$K$5*$V$5</f>
        <v>62193.420000000006</v>
      </c>
      <c r="AC5" s="6">
        <f>$M$5*$W$5</f>
        <v>0</v>
      </c>
      <c r="AD5" s="6">
        <f>$O$5*$X$5</f>
        <v>0</v>
      </c>
      <c r="AE5" s="6">
        <f ca="1">$K$5*$Y$5</f>
        <v>49423.561694402466</v>
      </c>
      <c r="AF5" s="6">
        <f ca="1">$M$5*$Z$5</f>
        <v>0</v>
      </c>
      <c r="AG5" s="6">
        <f>$O$5*$AA$5</f>
        <v>0</v>
      </c>
      <c r="AI5" s="41" t="s">
        <v>36</v>
      </c>
      <c r="AJ5" s="42">
        <f>SUMIF($B$2:$B$475,AI5,$AB$2:$AB$475)+SUMIF($B$2:$B$475,AI5,$AC$2:$AC$475)</f>
        <v>1762253.9569608006</v>
      </c>
      <c r="AK5" s="42">
        <f ca="1">SUMIF($B$2:$B$475,AI5,$AE$2:$AE$475)+SUMIF($B$2:$B$475,AI5,$AF$2:$AF$475)</f>
        <v>2290122.94628768</v>
      </c>
      <c r="AL5" s="43">
        <f t="shared" ca="1" si="0"/>
        <v>0.29954195151148766</v>
      </c>
      <c r="AN5" s="41" t="s">
        <v>36</v>
      </c>
      <c r="AO5" s="42">
        <f>SUMIF($B$2:$B$475,AN5,$AD$2:$AD$475)</f>
        <v>1886553.0994520001</v>
      </c>
      <c r="AP5" s="42">
        <f>SUMIF($B$2:$B$475,AN5,$AG$2:$AG$475)</f>
        <v>1357234.5428817845</v>
      </c>
      <c r="AQ5" s="43">
        <f t="shared" si="1"/>
        <v>-0.28057442789390363</v>
      </c>
      <c r="AS5" s="41" t="s">
        <v>36</v>
      </c>
      <c r="AT5" s="42">
        <f>SUMIF($B$2:$B$475,AS5,$AB$2:$AB$475)+SUMIF($B$2:$B$475,AS5,$AC$2:$AC$475)+SUMIF($B$2:$B$475,AS5,$AD$2:$AD$475)</f>
        <v>3648807.0564128007</v>
      </c>
      <c r="AU5" s="42">
        <f ca="1">SUMIF($B$2:$B$475,AS5,$AE$2:$AE$475)+SUMIF($B$2:$B$475,AS5,$AF$2:$AF$475)+SUMIF($B$2:$B$475,AS5,$AG$2:$AG$475)</f>
        <v>3647357.4891694644</v>
      </c>
      <c r="AV5" s="43">
        <f t="shared" ca="1" si="2"/>
        <v>-3.9727155229773992E-4</v>
      </c>
    </row>
    <row r="6" spans="1:48" ht="11.25" customHeight="1" x14ac:dyDescent="0.25">
      <c r="A6" s="4" t="s">
        <v>21</v>
      </c>
      <c r="B6" s="4" t="s">
        <v>38</v>
      </c>
      <c r="C6" s="4" t="s">
        <v>56</v>
      </c>
      <c r="D6" s="4" t="s">
        <v>37</v>
      </c>
      <c r="E6" s="4" t="s">
        <v>25</v>
      </c>
      <c r="F6" s="4" t="s">
        <v>57</v>
      </c>
      <c r="G6" s="4" t="s">
        <v>25</v>
      </c>
      <c r="H6" s="4" t="s">
        <v>34</v>
      </c>
      <c r="I6" s="5">
        <v>44531</v>
      </c>
      <c r="J6" s="6">
        <v>7075</v>
      </c>
      <c r="K6" s="6">
        <v>3537.5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58</v>
      </c>
      <c r="R6" s="4">
        <v>0</v>
      </c>
      <c r="S6" s="6">
        <v>5</v>
      </c>
      <c r="T6" s="6">
        <v>0</v>
      </c>
      <c r="U6" s="6">
        <v>0</v>
      </c>
      <c r="V6" s="6">
        <f>IF(ISERROR(VLOOKUP($S$6,'TAR FIN'!$A$1:$O$88,15,0)),0,VLOOKUP($S$6,'TAR FIN'!$A$1:$O$88,15,0))</f>
        <v>17.190000000000001</v>
      </c>
      <c r="W6" s="6">
        <f>IF(ISERROR(VLOOKUP($T$6,'TAR FIN'!$A$1:$O$88,15,0)),0,VLOOKUP($T$6,'TAR FIN'!$A$1:$O$88,15,0))</f>
        <v>0</v>
      </c>
      <c r="X6" s="6">
        <f>IF(ISERROR(VLOOKUP($U$6,'TAR FIN'!$A$1:$O$88,15,0)),0,VLOOKUP($U$6,'TAR FIN'!$A$1:$O$88,15,0))</f>
        <v>0</v>
      </c>
      <c r="Y6" s="6">
        <f ca="1">('TUSD BE'!$AM$6+'TUSD BF'!$AM$6+'TUSD CVA'!$AM$6)*1</f>
        <v>13.66046481326768</v>
      </c>
      <c r="Z6" s="6">
        <f ca="1">('TUSD BE'!$AM$7+'TUSD BF'!$AM$7+'TUSD CVA'!$AM$7)*1</f>
        <v>83.275517807559041</v>
      </c>
      <c r="AA6" s="6"/>
      <c r="AB6" s="6">
        <f>$K$6*$V$6</f>
        <v>60809.625000000007</v>
      </c>
      <c r="AC6" s="6">
        <f>$M$6*$W$6</f>
        <v>0</v>
      </c>
      <c r="AD6" s="6">
        <f>$O$6*$X$6</f>
        <v>0</v>
      </c>
      <c r="AE6" s="6">
        <f ca="1">$K$6*$Y$6</f>
        <v>48323.894276934421</v>
      </c>
      <c r="AF6" s="6">
        <f ca="1">$M$6*$Z$6</f>
        <v>0</v>
      </c>
      <c r="AG6" s="6">
        <f>$O$6*$AA$6</f>
        <v>0</v>
      </c>
      <c r="AI6" s="41" t="s">
        <v>44</v>
      </c>
      <c r="AJ6" s="42">
        <f>SUMIF($B$2:$B$475,AI6,$AB$2:$AB$475)+SUMIF($B$2:$B$475,AI6,$AC$2:$AC$475)</f>
        <v>268167.33675000002</v>
      </c>
      <c r="AK6" s="42">
        <f ca="1">SUMIF($B$2:$B$475,AI6,$AE$2:$AE$475)+SUMIF($B$2:$B$475,AI6,$AF$2:$AF$475)</f>
        <v>348140.21318159992</v>
      </c>
      <c r="AL6" s="43">
        <f t="shared" ca="1" si="0"/>
        <v>0.29822004946916758</v>
      </c>
      <c r="AN6" s="41" t="s">
        <v>44</v>
      </c>
      <c r="AO6" s="42">
        <f>SUMIF($B$2:$B$475,AN6,$AD$2:$AD$475)</f>
        <v>287027.63909999997</v>
      </c>
      <c r="AP6" s="42">
        <f>SUMIF($B$2:$B$475,AN6,$AG$2:$AG$475)</f>
        <v>206284.7746218392</v>
      </c>
      <c r="AQ6" s="43">
        <f t="shared" si="1"/>
        <v>-0.28130693173429921</v>
      </c>
      <c r="AS6" s="41" t="s">
        <v>44</v>
      </c>
      <c r="AT6" s="42">
        <f>SUMIF($B$2:$B$475,AS6,$AB$2:$AB$475)+SUMIF($B$2:$B$475,AS6,$AC$2:$AC$475)+SUMIF($B$2:$B$475,AS6,$AD$2:$AD$475)</f>
        <v>555194.97585000005</v>
      </c>
      <c r="AU6" s="42">
        <f ca="1">SUMIF($B$2:$B$475,AS6,$AE$2:$AE$475)+SUMIF($B$2:$B$475,AS6,$AF$2:$AF$475)+SUMIF($B$2:$B$475,AS6,$AG$2:$AG$475)</f>
        <v>554424.98780343914</v>
      </c>
      <c r="AV6" s="43">
        <f t="shared" ca="1" si="2"/>
        <v>-1.3868786283269818E-3</v>
      </c>
    </row>
    <row r="7" spans="1:48" ht="11.25" customHeight="1" x14ac:dyDescent="0.25">
      <c r="A7" s="4" t="s">
        <v>21</v>
      </c>
      <c r="B7" s="4" t="s">
        <v>38</v>
      </c>
      <c r="C7" s="4" t="s">
        <v>56</v>
      </c>
      <c r="D7" s="4" t="s">
        <v>37</v>
      </c>
      <c r="E7" s="4" t="s">
        <v>25</v>
      </c>
      <c r="F7" s="4" t="s">
        <v>57</v>
      </c>
      <c r="G7" s="4" t="s">
        <v>25</v>
      </c>
      <c r="H7" s="4" t="s">
        <v>34</v>
      </c>
      <c r="I7" s="5">
        <v>44562</v>
      </c>
      <c r="J7" s="6">
        <v>7194</v>
      </c>
      <c r="K7" s="6">
        <v>3597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58</v>
      </c>
      <c r="R7" s="4">
        <v>0</v>
      </c>
      <c r="S7" s="6">
        <v>5</v>
      </c>
      <c r="T7" s="6">
        <v>0</v>
      </c>
      <c r="U7" s="6">
        <v>0</v>
      </c>
      <c r="V7" s="6">
        <f>IF(ISERROR(VLOOKUP($S$7,'TAR FIN'!$A$1:$O$88,15,0)),0,VLOOKUP($S$7,'TAR FIN'!$A$1:$O$88,15,0))</f>
        <v>17.190000000000001</v>
      </c>
      <c r="W7" s="6">
        <f>IF(ISERROR(VLOOKUP($T$7,'TAR FIN'!$A$1:$O$88,15,0)),0,VLOOKUP($T$7,'TAR FIN'!$A$1:$O$88,15,0))</f>
        <v>0</v>
      </c>
      <c r="X7" s="6">
        <f>IF(ISERROR(VLOOKUP($U$7,'TAR FIN'!$A$1:$O$88,15,0)),0,VLOOKUP($U$7,'TAR FIN'!$A$1:$O$88,15,0))</f>
        <v>0</v>
      </c>
      <c r="Y7" s="6">
        <f ca="1">('TUSD BE'!$AM$6+'TUSD BF'!$AM$6+'TUSD CVA'!$AM$6)*1</f>
        <v>13.66046481326768</v>
      </c>
      <c r="Z7" s="6">
        <f ca="1">('TUSD BE'!$AM$7+'TUSD BF'!$AM$7+'TUSD CVA'!$AM$7)*1</f>
        <v>83.275517807559041</v>
      </c>
      <c r="AA7" s="6"/>
      <c r="AB7" s="6">
        <f>$K$7*$V$7</f>
        <v>61832.430000000008</v>
      </c>
      <c r="AC7" s="6">
        <f>$M$7*$W$7</f>
        <v>0</v>
      </c>
      <c r="AD7" s="6">
        <f>$O$7*$X$7</f>
        <v>0</v>
      </c>
      <c r="AE7" s="6">
        <f ca="1">$K$7*$Y$7</f>
        <v>49136.691933323847</v>
      </c>
      <c r="AF7" s="6">
        <f ca="1">$M$7*$Z$7</f>
        <v>0</v>
      </c>
      <c r="AG7" s="6">
        <f>$O$7*$AA$7</f>
        <v>0</v>
      </c>
      <c r="AI7" s="41" t="s">
        <v>717</v>
      </c>
      <c r="AJ7" s="42">
        <f>+$AJ$2</f>
        <v>4797484.0044137966</v>
      </c>
      <c r="AK7" s="42">
        <f ca="1">+$AK$2</f>
        <v>4506757.0326040918</v>
      </c>
      <c r="AL7" s="43">
        <f t="shared" ca="1" si="0"/>
        <v>-6.0599883510237706E-2</v>
      </c>
      <c r="AN7" s="41" t="s">
        <v>717</v>
      </c>
      <c r="AO7" s="42">
        <f>+$AO$2</f>
        <v>2117178.5408321987</v>
      </c>
      <c r="AP7" s="42">
        <f>+$AP$2</f>
        <v>1575477.5337243301</v>
      </c>
      <c r="AQ7" s="43">
        <f t="shared" si="1"/>
        <v>-0.25585986097088553</v>
      </c>
      <c r="AS7" s="41" t="s">
        <v>717</v>
      </c>
      <c r="AT7" s="42">
        <f>+$AT$2</f>
        <v>6914662.5452459957</v>
      </c>
      <c r="AU7" s="42">
        <f ca="1">+$AU$2</f>
        <v>6082234.5663284222</v>
      </c>
      <c r="AV7" s="43">
        <f t="shared" ca="1" si="2"/>
        <v>-0.1203859152157597</v>
      </c>
    </row>
    <row r="8" spans="1:48" ht="11.25" customHeight="1" x14ac:dyDescent="0.25">
      <c r="A8" s="4" t="s">
        <v>21</v>
      </c>
      <c r="B8" s="4" t="s">
        <v>38</v>
      </c>
      <c r="C8" s="4" t="s">
        <v>56</v>
      </c>
      <c r="D8" s="4" t="s">
        <v>37</v>
      </c>
      <c r="E8" s="4" t="s">
        <v>25</v>
      </c>
      <c r="F8" s="4" t="s">
        <v>57</v>
      </c>
      <c r="G8" s="4" t="s">
        <v>25</v>
      </c>
      <c r="H8" s="4" t="s">
        <v>34</v>
      </c>
      <c r="I8" s="5">
        <v>44593</v>
      </c>
      <c r="J8" s="6">
        <v>7408</v>
      </c>
      <c r="K8" s="6">
        <v>3704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58</v>
      </c>
      <c r="R8" s="4">
        <v>0</v>
      </c>
      <c r="S8" s="6">
        <v>5</v>
      </c>
      <c r="T8" s="6">
        <v>0</v>
      </c>
      <c r="U8" s="6">
        <v>0</v>
      </c>
      <c r="V8" s="6">
        <f>IF(ISERROR(VLOOKUP($S$8,'TAR FIN'!$A$1:$O$88,15,0)),0,VLOOKUP($S$8,'TAR FIN'!$A$1:$O$88,15,0))</f>
        <v>17.190000000000001</v>
      </c>
      <c r="W8" s="6">
        <f>IF(ISERROR(VLOOKUP($T$8,'TAR FIN'!$A$1:$O$88,15,0)),0,VLOOKUP($T$8,'TAR FIN'!$A$1:$O$88,15,0))</f>
        <v>0</v>
      </c>
      <c r="X8" s="6">
        <f>IF(ISERROR(VLOOKUP($U$8,'TAR FIN'!$A$1:$O$88,15,0)),0,VLOOKUP($U$8,'TAR FIN'!$A$1:$O$88,15,0))</f>
        <v>0</v>
      </c>
      <c r="Y8" s="6">
        <f ca="1">('TUSD BE'!$AM$6+'TUSD BF'!$AM$6+'TUSD CVA'!$AM$6)*1</f>
        <v>13.66046481326768</v>
      </c>
      <c r="Z8" s="6">
        <f ca="1">('TUSD BE'!$AM$7+'TUSD BF'!$AM$7+'TUSD CVA'!$AM$7)*1</f>
        <v>83.275517807559041</v>
      </c>
      <c r="AA8" s="6"/>
      <c r="AB8" s="6">
        <f>$K$8*$V$8</f>
        <v>63671.76</v>
      </c>
      <c r="AC8" s="6">
        <f>$M$8*$W$8</f>
        <v>0</v>
      </c>
      <c r="AD8" s="6">
        <f>$O$8*$X$8</f>
        <v>0</v>
      </c>
      <c r="AE8" s="6">
        <f ca="1">$K$8*$Y$8</f>
        <v>50598.361668343488</v>
      </c>
      <c r="AF8" s="6">
        <f ca="1">$M$8*$Z$8</f>
        <v>0</v>
      </c>
      <c r="AG8" s="6">
        <f>$O$8*$AA$8</f>
        <v>0</v>
      </c>
      <c r="AI8" s="41" t="s">
        <v>85</v>
      </c>
      <c r="AJ8" s="42">
        <f>+$AJ$3+$AJ$4+$AJ$5+$AJ$6</f>
        <v>5767027.4427448018</v>
      </c>
      <c r="AK8" s="42">
        <f ca="1">+$AK$3+$AK$4+$AK$5+$AK$6</f>
        <v>7561369.0922673512</v>
      </c>
      <c r="AL8" s="43">
        <f t="shared" ca="1" si="0"/>
        <v>0.31113804595813344</v>
      </c>
      <c r="AN8" s="41" t="s">
        <v>85</v>
      </c>
      <c r="AO8" s="42">
        <f>+$AO$3+$AO$4+$AO$5+$AO$6</f>
        <v>6210076.5526780011</v>
      </c>
      <c r="AP8" s="42">
        <f>+$AP$3+$AP$4+$AP$5+$AP$6</f>
        <v>4505992.9549329476</v>
      </c>
      <c r="AQ8" s="43">
        <f t="shared" si="1"/>
        <v>-0.27440621436626145</v>
      </c>
      <c r="AS8" s="41" t="s">
        <v>85</v>
      </c>
      <c r="AT8" s="42">
        <f>+$AT$3+$AT$4+$AT$5+$AT$6</f>
        <v>11977103.995422803</v>
      </c>
      <c r="AU8" s="42">
        <f ca="1">+$AU$3+$AU$4+$AU$5+$AU$6</f>
        <v>12067362.047200296</v>
      </c>
      <c r="AV8" s="43">
        <f t="shared" ca="1" si="2"/>
        <v>7.5358827820135588E-3</v>
      </c>
    </row>
    <row r="9" spans="1:48" ht="11.25" customHeight="1" x14ac:dyDescent="0.25">
      <c r="A9" s="4" t="s">
        <v>21</v>
      </c>
      <c r="B9" s="4" t="s">
        <v>38</v>
      </c>
      <c r="C9" s="4" t="s">
        <v>56</v>
      </c>
      <c r="D9" s="4" t="s">
        <v>37</v>
      </c>
      <c r="E9" s="4" t="s">
        <v>25</v>
      </c>
      <c r="F9" s="4" t="s">
        <v>57</v>
      </c>
      <c r="G9" s="4" t="s">
        <v>25</v>
      </c>
      <c r="H9" s="4" t="s">
        <v>34</v>
      </c>
      <c r="I9" s="5">
        <v>44621</v>
      </c>
      <c r="J9" s="6">
        <v>7588</v>
      </c>
      <c r="K9" s="6">
        <v>3794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58</v>
      </c>
      <c r="R9" s="4">
        <v>0</v>
      </c>
      <c r="S9" s="6">
        <v>5</v>
      </c>
      <c r="T9" s="6">
        <v>0</v>
      </c>
      <c r="U9" s="6">
        <v>0</v>
      </c>
      <c r="V9" s="6">
        <f>IF(ISERROR(VLOOKUP($S$9,'TAR FIN'!$A$1:$O$88,15,0)),0,VLOOKUP($S$9,'TAR FIN'!$A$1:$O$88,15,0))</f>
        <v>17.190000000000001</v>
      </c>
      <c r="W9" s="6">
        <f>IF(ISERROR(VLOOKUP($T$9,'TAR FIN'!$A$1:$O$88,15,0)),0,VLOOKUP($T$9,'TAR FIN'!$A$1:$O$88,15,0))</f>
        <v>0</v>
      </c>
      <c r="X9" s="6">
        <f>IF(ISERROR(VLOOKUP($U$9,'TAR FIN'!$A$1:$O$88,15,0)),0,VLOOKUP($U$9,'TAR FIN'!$A$1:$O$88,15,0))</f>
        <v>0</v>
      </c>
      <c r="Y9" s="6">
        <f ca="1">('TUSD BE'!$AM$6+'TUSD BF'!$AM$6+'TUSD CVA'!$AM$6)*1</f>
        <v>13.66046481326768</v>
      </c>
      <c r="Z9" s="6">
        <f ca="1">('TUSD BE'!$AM$7+'TUSD BF'!$AM$7+'TUSD CVA'!$AM$7)*1</f>
        <v>83.275517807559041</v>
      </c>
      <c r="AA9" s="6"/>
      <c r="AB9" s="6">
        <f>$K$9*$V$9</f>
        <v>65218.860000000008</v>
      </c>
      <c r="AC9" s="6">
        <f>$M$9*$W$9</f>
        <v>0</v>
      </c>
      <c r="AD9" s="6">
        <f>$O$9*$X$9</f>
        <v>0</v>
      </c>
      <c r="AE9" s="6">
        <f ca="1">$K$9*$Y$9</f>
        <v>51827.803501537579</v>
      </c>
      <c r="AF9" s="6">
        <f ca="1">$M$9*$Z$9</f>
        <v>0</v>
      </c>
      <c r="AG9" s="6">
        <f>$O$9*$AA$9</f>
        <v>0</v>
      </c>
      <c r="AI9" s="41" t="s">
        <v>718</v>
      </c>
      <c r="AJ9" s="42">
        <f>AJ8+AJ7</f>
        <v>10564511.447158597</v>
      </c>
      <c r="AK9" s="42">
        <f ca="1">AK8+AK7</f>
        <v>12068126.124871444</v>
      </c>
      <c r="AL9" s="43">
        <f t="shared" ca="1" si="0"/>
        <v>0.14232694859895823</v>
      </c>
      <c r="AN9" s="41" t="s">
        <v>718</v>
      </c>
      <c r="AO9" s="42">
        <f>AO8+AO7</f>
        <v>8327255.0935101993</v>
      </c>
      <c r="AP9" s="42">
        <f>AP8+AP7</f>
        <v>6081470.488657278</v>
      </c>
      <c r="AQ9" s="43">
        <f t="shared" si="1"/>
        <v>-0.26969086207088355</v>
      </c>
      <c r="AS9" s="41" t="s">
        <v>718</v>
      </c>
      <c r="AT9" s="42">
        <f>AT8+AT7</f>
        <v>18891766.5406688</v>
      </c>
      <c r="AU9" s="42">
        <f ca="1">AU8+AU7</f>
        <v>18149596.613528717</v>
      </c>
      <c r="AV9" s="43">
        <f t="shared" ca="1" si="2"/>
        <v>-3.9285364105172249E-2</v>
      </c>
    </row>
    <row r="10" spans="1:48" ht="11.25" customHeight="1" x14ac:dyDescent="0.25">
      <c r="A10" s="4" t="s">
        <v>21</v>
      </c>
      <c r="B10" s="4" t="s">
        <v>38</v>
      </c>
      <c r="C10" s="4" t="s">
        <v>56</v>
      </c>
      <c r="D10" s="4" t="s">
        <v>37</v>
      </c>
      <c r="E10" s="4" t="s">
        <v>25</v>
      </c>
      <c r="F10" s="4" t="s">
        <v>57</v>
      </c>
      <c r="G10" s="4" t="s">
        <v>25</v>
      </c>
      <c r="H10" s="4" t="s">
        <v>34</v>
      </c>
      <c r="I10" s="5">
        <v>44652</v>
      </c>
      <c r="J10" s="6">
        <v>7439</v>
      </c>
      <c r="K10" s="6">
        <v>3719.5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58</v>
      </c>
      <c r="R10" s="4">
        <v>0</v>
      </c>
      <c r="S10" s="6">
        <v>5</v>
      </c>
      <c r="T10" s="6">
        <v>0</v>
      </c>
      <c r="U10" s="6">
        <v>0</v>
      </c>
      <c r="V10" s="6">
        <f>IF(ISERROR(VLOOKUP($S$10,'TAR FIN'!$A$1:$O$88,15,0)),0,VLOOKUP($S$10,'TAR FIN'!$A$1:$O$88,15,0))</f>
        <v>17.190000000000001</v>
      </c>
      <c r="W10" s="6">
        <f>IF(ISERROR(VLOOKUP($T$10,'TAR FIN'!$A$1:$O$88,15,0)),0,VLOOKUP($T$10,'TAR FIN'!$A$1:$O$88,15,0))</f>
        <v>0</v>
      </c>
      <c r="X10" s="6">
        <f>IF(ISERROR(VLOOKUP($U$10,'TAR FIN'!$A$1:$O$88,15,0)),0,VLOOKUP($U$10,'TAR FIN'!$A$1:$O$88,15,0))</f>
        <v>0</v>
      </c>
      <c r="Y10" s="6">
        <f ca="1">('TUSD BE'!$AM$6+'TUSD BF'!$AM$6+'TUSD CVA'!$AM$6)*1</f>
        <v>13.66046481326768</v>
      </c>
      <c r="Z10" s="6">
        <f ca="1">('TUSD BE'!$AM$7+'TUSD BF'!$AM$7+'TUSD CVA'!$AM$7)*1</f>
        <v>83.275517807559041</v>
      </c>
      <c r="AA10" s="6"/>
      <c r="AB10" s="6">
        <f>$K$10*$V$10</f>
        <v>63938.205000000002</v>
      </c>
      <c r="AC10" s="6">
        <f>$M$10*$W$10</f>
        <v>0</v>
      </c>
      <c r="AD10" s="6">
        <f>$O$10*$X$10</f>
        <v>0</v>
      </c>
      <c r="AE10" s="6">
        <f ca="1">$K$10*$Y$10</f>
        <v>50810.098872949136</v>
      </c>
      <c r="AF10" s="6">
        <f ca="1">$M$10*$Z$10</f>
        <v>0</v>
      </c>
      <c r="AG10" s="6">
        <f>$O$10*$AA$10</f>
        <v>0</v>
      </c>
    </row>
    <row r="11" spans="1:48" ht="11.25" customHeight="1" x14ac:dyDescent="0.25">
      <c r="A11" s="4" t="s">
        <v>21</v>
      </c>
      <c r="B11" s="4" t="s">
        <v>38</v>
      </c>
      <c r="C11" s="4" t="s">
        <v>56</v>
      </c>
      <c r="D11" s="4" t="s">
        <v>37</v>
      </c>
      <c r="E11" s="4" t="s">
        <v>25</v>
      </c>
      <c r="F11" s="4" t="s">
        <v>57</v>
      </c>
      <c r="G11" s="4" t="s">
        <v>25</v>
      </c>
      <c r="H11" s="4" t="s">
        <v>34</v>
      </c>
      <c r="I11" s="5">
        <v>44682</v>
      </c>
      <c r="J11" s="6">
        <v>7134</v>
      </c>
      <c r="K11" s="6">
        <v>3567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58</v>
      </c>
      <c r="R11" s="4">
        <v>0</v>
      </c>
      <c r="S11" s="6">
        <v>5</v>
      </c>
      <c r="T11" s="6">
        <v>0</v>
      </c>
      <c r="U11" s="6">
        <v>0</v>
      </c>
      <c r="V11" s="6">
        <f>IF(ISERROR(VLOOKUP($S$11,'TAR FIN'!$A$1:$O$88,15,0)),0,VLOOKUP($S$11,'TAR FIN'!$A$1:$O$88,15,0))</f>
        <v>17.190000000000001</v>
      </c>
      <c r="W11" s="6">
        <f>IF(ISERROR(VLOOKUP($T$11,'TAR FIN'!$A$1:$O$88,15,0)),0,VLOOKUP($T$11,'TAR FIN'!$A$1:$O$88,15,0))</f>
        <v>0</v>
      </c>
      <c r="X11" s="6">
        <f>IF(ISERROR(VLOOKUP($U$11,'TAR FIN'!$A$1:$O$88,15,0)),0,VLOOKUP($U$11,'TAR FIN'!$A$1:$O$88,15,0))</f>
        <v>0</v>
      </c>
      <c r="Y11" s="6">
        <f ca="1">('TUSD BE'!$AM$6+'TUSD BF'!$AM$6+'TUSD CVA'!$AM$6)*1</f>
        <v>13.66046481326768</v>
      </c>
      <c r="Z11" s="6">
        <f ca="1">('TUSD BE'!$AM$7+'TUSD BF'!$AM$7+'TUSD CVA'!$AM$7)*1</f>
        <v>83.275517807559041</v>
      </c>
      <c r="AA11" s="6"/>
      <c r="AB11" s="6">
        <f>$K$11*$V$11</f>
        <v>61316.73</v>
      </c>
      <c r="AC11" s="6">
        <f>$M$11*$W$11</f>
        <v>0</v>
      </c>
      <c r="AD11" s="6">
        <f>$O$11*$X$11</f>
        <v>0</v>
      </c>
      <c r="AE11" s="6">
        <f ca="1">$K$11*$Y$11</f>
        <v>48726.877988925815</v>
      </c>
      <c r="AF11" s="6">
        <f ca="1"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38</v>
      </c>
      <c r="C12" s="4" t="s">
        <v>56</v>
      </c>
      <c r="D12" s="4" t="s">
        <v>37</v>
      </c>
      <c r="E12" s="4" t="s">
        <v>25</v>
      </c>
      <c r="F12" s="4" t="s">
        <v>57</v>
      </c>
      <c r="G12" s="4" t="s">
        <v>25</v>
      </c>
      <c r="H12" s="4" t="s">
        <v>34</v>
      </c>
      <c r="I12" s="5">
        <v>44713</v>
      </c>
      <c r="J12" s="6">
        <v>7229</v>
      </c>
      <c r="K12" s="6">
        <v>3614.5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58</v>
      </c>
      <c r="R12" s="4">
        <v>0</v>
      </c>
      <c r="S12" s="6">
        <v>5</v>
      </c>
      <c r="T12" s="6">
        <v>0</v>
      </c>
      <c r="U12" s="6">
        <v>0</v>
      </c>
      <c r="V12" s="6">
        <f>IF(ISERROR(VLOOKUP($S$12,'TAR FIN'!$A$1:$O$88,15,0)),0,VLOOKUP($S$12,'TAR FIN'!$A$1:$O$88,15,0))</f>
        <v>17.190000000000001</v>
      </c>
      <c r="W12" s="6">
        <f>IF(ISERROR(VLOOKUP($T$12,'TAR FIN'!$A$1:$O$88,15,0)),0,VLOOKUP($T$12,'TAR FIN'!$A$1:$O$88,15,0))</f>
        <v>0</v>
      </c>
      <c r="X12" s="6">
        <f>IF(ISERROR(VLOOKUP($U$12,'TAR FIN'!$A$1:$O$88,15,0)),0,VLOOKUP($U$12,'TAR FIN'!$A$1:$O$88,15,0))</f>
        <v>0</v>
      </c>
      <c r="Y12" s="6">
        <f ca="1">('TUSD BE'!$AM$6+'TUSD BF'!$AM$6+'TUSD CVA'!$AM$6)*1</f>
        <v>13.66046481326768</v>
      </c>
      <c r="Z12" s="6">
        <f ca="1">('TUSD BE'!$AM$7+'TUSD BF'!$AM$7+'TUSD CVA'!$AM$7)*1</f>
        <v>83.275517807559041</v>
      </c>
      <c r="AA12" s="6"/>
      <c r="AB12" s="6">
        <f>$K$12*$V$12</f>
        <v>62133.255000000005</v>
      </c>
      <c r="AC12" s="6">
        <f>$M$12*$W$12</f>
        <v>0</v>
      </c>
      <c r="AD12" s="6">
        <f>$O$12*$X$12</f>
        <v>0</v>
      </c>
      <c r="AE12" s="6">
        <f ca="1">$K$12*$Y$12</f>
        <v>49375.75006755603</v>
      </c>
      <c r="AF12" s="6">
        <f ca="1">$M$12*$Z$12</f>
        <v>0</v>
      </c>
      <c r="AG12" s="6">
        <f>$O$12*$AA$12</f>
        <v>0</v>
      </c>
    </row>
    <row r="13" spans="1:48" ht="11.25" customHeight="1" x14ac:dyDescent="0.25">
      <c r="A13" s="4" t="s">
        <v>55</v>
      </c>
      <c r="B13" s="4" t="s">
        <v>38</v>
      </c>
      <c r="C13" s="4" t="s">
        <v>56</v>
      </c>
      <c r="D13" s="4" t="s">
        <v>37</v>
      </c>
      <c r="E13" s="4" t="s">
        <v>25</v>
      </c>
      <c r="F13" s="4" t="s">
        <v>57</v>
      </c>
      <c r="G13" s="4" t="s">
        <v>25</v>
      </c>
      <c r="H13" s="4" t="s">
        <v>34</v>
      </c>
      <c r="I13" s="5">
        <v>44743</v>
      </c>
      <c r="J13" s="6">
        <v>7229</v>
      </c>
      <c r="K13" s="6">
        <v>3614.5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58</v>
      </c>
      <c r="R13" s="4">
        <v>0</v>
      </c>
      <c r="S13" s="6">
        <v>5</v>
      </c>
      <c r="T13" s="6">
        <v>0</v>
      </c>
      <c r="U13" s="6">
        <v>0</v>
      </c>
      <c r="V13" s="6">
        <f>IF(ISERROR(VLOOKUP($S$13,'TAR FIN'!$A$1:$O$88,15,0)),0,VLOOKUP($S$13,'TAR FIN'!$A$1:$O$88,15,0))</f>
        <v>17.190000000000001</v>
      </c>
      <c r="W13" s="6">
        <f>IF(ISERROR(VLOOKUP($T$13,'TAR FIN'!$A$1:$O$88,15,0)),0,VLOOKUP($T$13,'TAR FIN'!$A$1:$O$88,15,0))</f>
        <v>0</v>
      </c>
      <c r="X13" s="6">
        <f>IF(ISERROR(VLOOKUP($U$13,'TAR FIN'!$A$1:$O$88,15,0)),0,VLOOKUP($U$13,'TAR FIN'!$A$1:$O$88,15,0))</f>
        <v>0</v>
      </c>
      <c r="Y13" s="6">
        <f ca="1">('TUSD BE'!$AM$6+'TUSD BF'!$AM$6+'TUSD CVA'!$AM$6)*1</f>
        <v>13.66046481326768</v>
      </c>
      <c r="Z13" s="6">
        <f ca="1">('TUSD BE'!$AM$7+'TUSD BF'!$AM$7+'TUSD CVA'!$AM$7)*1</f>
        <v>83.275517807559041</v>
      </c>
      <c r="AA13" s="6"/>
      <c r="AB13" s="6">
        <f>$K$13*$V$13</f>
        <v>62133.255000000005</v>
      </c>
      <c r="AC13" s="6">
        <f>$M$13*$W$13</f>
        <v>0</v>
      </c>
      <c r="AD13" s="6">
        <f>$O$13*$X$13</f>
        <v>0</v>
      </c>
      <c r="AE13" s="6">
        <f ca="1">$K$13*$Y$13</f>
        <v>49375.75006755603</v>
      </c>
      <c r="AF13" s="6">
        <f ca="1"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38</v>
      </c>
      <c r="C14" s="4" t="s">
        <v>56</v>
      </c>
      <c r="D14" s="4" t="s">
        <v>37</v>
      </c>
      <c r="E14" s="4" t="s">
        <v>25</v>
      </c>
      <c r="F14" s="4" t="s">
        <v>57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3408.886</v>
      </c>
      <c r="M14" s="6">
        <v>1704.443</v>
      </c>
      <c r="N14" s="6">
        <v>0</v>
      </c>
      <c r="O14" s="6">
        <v>0</v>
      </c>
      <c r="P14" s="6">
        <v>6</v>
      </c>
      <c r="Q14" s="4" t="s">
        <v>58</v>
      </c>
      <c r="R14" s="4">
        <v>0</v>
      </c>
      <c r="S14" s="6">
        <v>0</v>
      </c>
      <c r="T14" s="6">
        <v>8</v>
      </c>
      <c r="U14" s="6">
        <v>0</v>
      </c>
      <c r="V14" s="6">
        <f>IF(ISERROR(VLOOKUP($S$14,'TAR FIN'!$A$1:$O$88,15,0)),0,VLOOKUP($S$14,'TAR FIN'!$A$1:$O$88,15,0))</f>
        <v>0</v>
      </c>
      <c r="W14" s="6">
        <f>IF(ISERROR(VLOOKUP($T$14,'TAR FIN'!$A$1:$O$88,15,0)),0,VLOOKUP($T$14,'TAR FIN'!$A$1:$O$88,15,0))</f>
        <v>73.790000000000006</v>
      </c>
      <c r="X14" s="6">
        <f>IF(ISERROR(VLOOKUP($U$14,'TAR FIN'!$A$1:$O$88,15,0)),0,VLOOKUP($U$14,'TAR FIN'!$A$1:$O$88,15,0))</f>
        <v>0</v>
      </c>
      <c r="Y14" s="6"/>
      <c r="Z14" s="6">
        <f ca="1">('TUSD BE'!$AM$7+'TUSD BF'!$AM$7+'TUSD CVA'!$AM$7)*1</f>
        <v>83.275517807559041</v>
      </c>
      <c r="AA14" s="6"/>
      <c r="AB14" s="6">
        <f>$K$14*$V$14</f>
        <v>0</v>
      </c>
      <c r="AC14" s="6">
        <f>$M$14*$W$14</f>
        <v>125770.84897000001</v>
      </c>
      <c r="AD14" s="6">
        <f>$O$14*$X$14</f>
        <v>0</v>
      </c>
      <c r="AE14" s="6">
        <f>$K$14*$Y$14</f>
        <v>0</v>
      </c>
      <c r="AF14" s="6">
        <f ca="1">$M$14*$Z$14</f>
        <v>141938.37339846935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38</v>
      </c>
      <c r="C15" s="4" t="s">
        <v>56</v>
      </c>
      <c r="D15" s="4" t="s">
        <v>37</v>
      </c>
      <c r="E15" s="4" t="s">
        <v>25</v>
      </c>
      <c r="F15" s="4" t="s">
        <v>57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3332.1570000000002</v>
      </c>
      <c r="M15" s="6">
        <v>1666.0785000000001</v>
      </c>
      <c r="N15" s="6">
        <v>0</v>
      </c>
      <c r="O15" s="6">
        <v>0</v>
      </c>
      <c r="P15" s="6">
        <v>6</v>
      </c>
      <c r="Q15" s="4" t="s">
        <v>58</v>
      </c>
      <c r="R15" s="4">
        <v>0</v>
      </c>
      <c r="S15" s="6">
        <v>0</v>
      </c>
      <c r="T15" s="6">
        <v>8</v>
      </c>
      <c r="U15" s="6">
        <v>0</v>
      </c>
      <c r="V15" s="6">
        <f>IF(ISERROR(VLOOKUP($S$15,'TAR FIN'!$A$1:$O$88,15,0)),0,VLOOKUP($S$15,'TAR FIN'!$A$1:$O$88,15,0))</f>
        <v>0</v>
      </c>
      <c r="W15" s="6">
        <f>IF(ISERROR(VLOOKUP($T$15,'TAR FIN'!$A$1:$O$88,15,0)),0,VLOOKUP($T$15,'TAR FIN'!$A$1:$O$88,15,0))</f>
        <v>73.790000000000006</v>
      </c>
      <c r="X15" s="6">
        <f>IF(ISERROR(VLOOKUP($U$15,'TAR FIN'!$A$1:$O$88,15,0)),0,VLOOKUP($U$15,'TAR FIN'!$A$1:$O$88,15,0))</f>
        <v>0</v>
      </c>
      <c r="Y15" s="6"/>
      <c r="Z15" s="6">
        <f ca="1">('TUSD BE'!$AM$7+'TUSD BF'!$AM$7+'TUSD CVA'!$AM$7)*1</f>
        <v>83.275517807559041</v>
      </c>
      <c r="AA15" s="6"/>
      <c r="AB15" s="6">
        <f>$K$15*$V$15</f>
        <v>0</v>
      </c>
      <c r="AC15" s="6">
        <f>$M$15*$W$15</f>
        <v>122939.93251500002</v>
      </c>
      <c r="AD15" s="6">
        <f>$O$15*$X$15</f>
        <v>0</v>
      </c>
      <c r="AE15" s="6">
        <f>$K$15*$Y$15</f>
        <v>0</v>
      </c>
      <c r="AF15" s="6">
        <f ca="1">$M$15*$Z$15</f>
        <v>138743.54979554127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38</v>
      </c>
      <c r="C16" s="4" t="s">
        <v>56</v>
      </c>
      <c r="D16" s="4" t="s">
        <v>37</v>
      </c>
      <c r="E16" s="4" t="s">
        <v>25</v>
      </c>
      <c r="F16" s="4" t="s">
        <v>57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3444.0309999999999</v>
      </c>
      <c r="M16" s="6">
        <v>1722.0155</v>
      </c>
      <c r="N16" s="6">
        <v>0</v>
      </c>
      <c r="O16" s="6">
        <v>0</v>
      </c>
      <c r="P16" s="6">
        <v>6</v>
      </c>
      <c r="Q16" s="4" t="s">
        <v>58</v>
      </c>
      <c r="R16" s="4">
        <v>0</v>
      </c>
      <c r="S16" s="6">
        <v>0</v>
      </c>
      <c r="T16" s="6">
        <v>8</v>
      </c>
      <c r="U16" s="6">
        <v>0</v>
      </c>
      <c r="V16" s="6">
        <f>IF(ISERROR(VLOOKUP($S$16,'TAR FIN'!$A$1:$O$88,15,0)),0,VLOOKUP($S$16,'TAR FIN'!$A$1:$O$88,15,0))</f>
        <v>0</v>
      </c>
      <c r="W16" s="6">
        <f>IF(ISERROR(VLOOKUP($T$16,'TAR FIN'!$A$1:$O$88,15,0)),0,VLOOKUP($T$16,'TAR FIN'!$A$1:$O$88,15,0))</f>
        <v>73.790000000000006</v>
      </c>
      <c r="X16" s="6">
        <f>IF(ISERROR(VLOOKUP($U$16,'TAR FIN'!$A$1:$O$88,15,0)),0,VLOOKUP($U$16,'TAR FIN'!$A$1:$O$88,15,0))</f>
        <v>0</v>
      </c>
      <c r="Y16" s="6"/>
      <c r="Z16" s="6">
        <f ca="1">('TUSD BE'!$AM$7+'TUSD BF'!$AM$7+'TUSD CVA'!$AM$7)*1</f>
        <v>83.275517807559041</v>
      </c>
      <c r="AA16" s="6"/>
      <c r="AB16" s="6">
        <f>$K$16*$V$16</f>
        <v>0</v>
      </c>
      <c r="AC16" s="6">
        <f>$M$16*$W$16</f>
        <v>127067.52374500001</v>
      </c>
      <c r="AD16" s="6">
        <f>$O$16*$X$16</f>
        <v>0</v>
      </c>
      <c r="AE16" s="6">
        <f>$K$16*$Y$16</f>
        <v>0</v>
      </c>
      <c r="AF16" s="6">
        <f ca="1">$M$16*$Z$16</f>
        <v>143401.73243514268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38</v>
      </c>
      <c r="C17" s="4" t="s">
        <v>56</v>
      </c>
      <c r="D17" s="4" t="s">
        <v>37</v>
      </c>
      <c r="E17" s="4" t="s">
        <v>25</v>
      </c>
      <c r="F17" s="4" t="s">
        <v>57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3415.11</v>
      </c>
      <c r="M17" s="6">
        <v>1707.5550000000001</v>
      </c>
      <c r="N17" s="6">
        <v>0</v>
      </c>
      <c r="O17" s="6">
        <v>0</v>
      </c>
      <c r="P17" s="6">
        <v>6</v>
      </c>
      <c r="Q17" s="4" t="s">
        <v>58</v>
      </c>
      <c r="R17" s="4">
        <v>0</v>
      </c>
      <c r="S17" s="6">
        <v>0</v>
      </c>
      <c r="T17" s="6">
        <v>8</v>
      </c>
      <c r="U17" s="6">
        <v>0</v>
      </c>
      <c r="V17" s="6">
        <f>IF(ISERROR(VLOOKUP($S$17,'TAR FIN'!$A$1:$O$88,15,0)),0,VLOOKUP($S$17,'TAR FIN'!$A$1:$O$88,15,0))</f>
        <v>0</v>
      </c>
      <c r="W17" s="6">
        <f>IF(ISERROR(VLOOKUP($T$17,'TAR FIN'!$A$1:$O$88,15,0)),0,VLOOKUP($T$17,'TAR FIN'!$A$1:$O$88,15,0))</f>
        <v>73.790000000000006</v>
      </c>
      <c r="X17" s="6">
        <f>IF(ISERROR(VLOOKUP($U$17,'TAR FIN'!$A$1:$O$88,15,0)),0,VLOOKUP($U$17,'TAR FIN'!$A$1:$O$88,15,0))</f>
        <v>0</v>
      </c>
      <c r="Y17" s="6"/>
      <c r="Z17" s="6">
        <f ca="1">('TUSD BE'!$AM$7+'TUSD BF'!$AM$7+'TUSD CVA'!$AM$7)*1</f>
        <v>83.275517807559041</v>
      </c>
      <c r="AA17" s="6"/>
      <c r="AB17" s="6">
        <f>$K$17*$V$17</f>
        <v>0</v>
      </c>
      <c r="AC17" s="6">
        <f>$M$17*$W$17</f>
        <v>126000.48345000001</v>
      </c>
      <c r="AD17" s="6">
        <f>$O$17*$X$17</f>
        <v>0</v>
      </c>
      <c r="AE17" s="6">
        <f>$K$17*$Y$17</f>
        <v>0</v>
      </c>
      <c r="AF17" s="6">
        <f ca="1">$M$17*$Z$17</f>
        <v>142197.52680988648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38</v>
      </c>
      <c r="C18" s="4" t="s">
        <v>56</v>
      </c>
      <c r="D18" s="4" t="s">
        <v>37</v>
      </c>
      <c r="E18" s="4" t="s">
        <v>25</v>
      </c>
      <c r="F18" s="4" t="s">
        <v>57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3030.1959999999999</v>
      </c>
      <c r="M18" s="6">
        <v>1515.098</v>
      </c>
      <c r="N18" s="6">
        <v>0</v>
      </c>
      <c r="O18" s="6">
        <v>0</v>
      </c>
      <c r="P18" s="6">
        <v>6</v>
      </c>
      <c r="Q18" s="4" t="s">
        <v>58</v>
      </c>
      <c r="R18" s="4">
        <v>0</v>
      </c>
      <c r="S18" s="6">
        <v>0</v>
      </c>
      <c r="T18" s="6">
        <v>8</v>
      </c>
      <c r="U18" s="6">
        <v>0</v>
      </c>
      <c r="V18" s="6">
        <f>IF(ISERROR(VLOOKUP($S$18,'TAR FIN'!$A$1:$O$88,15,0)),0,VLOOKUP($S$18,'TAR FIN'!$A$1:$O$88,15,0))</f>
        <v>0</v>
      </c>
      <c r="W18" s="6">
        <f>IF(ISERROR(VLOOKUP($T$18,'TAR FIN'!$A$1:$O$88,15,0)),0,VLOOKUP($T$18,'TAR FIN'!$A$1:$O$88,15,0))</f>
        <v>73.790000000000006</v>
      </c>
      <c r="X18" s="6">
        <f>IF(ISERROR(VLOOKUP($U$18,'TAR FIN'!$A$1:$O$88,15,0)),0,VLOOKUP($U$18,'TAR FIN'!$A$1:$O$88,15,0))</f>
        <v>0</v>
      </c>
      <c r="Y18" s="6"/>
      <c r="Z18" s="6">
        <f ca="1">('TUSD BE'!$AM$7+'TUSD BF'!$AM$7+'TUSD CVA'!$AM$7)*1</f>
        <v>83.275517807559041</v>
      </c>
      <c r="AA18" s="6"/>
      <c r="AB18" s="6">
        <f>$K$18*$V$18</f>
        <v>0</v>
      </c>
      <c r="AC18" s="6">
        <f>$M$18*$W$18</f>
        <v>111799.08142</v>
      </c>
      <c r="AD18" s="6">
        <f>$O$18*$X$18</f>
        <v>0</v>
      </c>
      <c r="AE18" s="6">
        <f>$K$18*$Y$18</f>
        <v>0</v>
      </c>
      <c r="AF18" s="6">
        <f ca="1">$M$18*$Z$18</f>
        <v>126170.57047919708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38</v>
      </c>
      <c r="C19" s="4" t="s">
        <v>56</v>
      </c>
      <c r="D19" s="4" t="s">
        <v>37</v>
      </c>
      <c r="E19" s="4" t="s">
        <v>25</v>
      </c>
      <c r="F19" s="4" t="s">
        <v>57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3510.837</v>
      </c>
      <c r="M19" s="6">
        <v>1755.4185</v>
      </c>
      <c r="N19" s="6">
        <v>0</v>
      </c>
      <c r="O19" s="6">
        <v>0</v>
      </c>
      <c r="P19" s="6">
        <v>6</v>
      </c>
      <c r="Q19" s="4" t="s">
        <v>58</v>
      </c>
      <c r="R19" s="4">
        <v>0</v>
      </c>
      <c r="S19" s="6">
        <v>0</v>
      </c>
      <c r="T19" s="6">
        <v>8</v>
      </c>
      <c r="U19" s="6">
        <v>0</v>
      </c>
      <c r="V19" s="6">
        <f>IF(ISERROR(VLOOKUP($S$19,'TAR FIN'!$A$1:$O$88,15,0)),0,VLOOKUP($S$19,'TAR FIN'!$A$1:$O$88,15,0))</f>
        <v>0</v>
      </c>
      <c r="W19" s="6">
        <f>IF(ISERROR(VLOOKUP($T$19,'TAR FIN'!$A$1:$O$88,15,0)),0,VLOOKUP($T$19,'TAR FIN'!$A$1:$O$88,15,0))</f>
        <v>73.790000000000006</v>
      </c>
      <c r="X19" s="6">
        <f>IF(ISERROR(VLOOKUP($U$19,'TAR FIN'!$A$1:$O$88,15,0)),0,VLOOKUP($U$19,'TAR FIN'!$A$1:$O$88,15,0))</f>
        <v>0</v>
      </c>
      <c r="Y19" s="6"/>
      <c r="Z19" s="6">
        <f ca="1">('TUSD BE'!$AM$7+'TUSD BF'!$AM$7+'TUSD CVA'!$AM$7)*1</f>
        <v>83.275517807559041</v>
      </c>
      <c r="AA19" s="6"/>
      <c r="AB19" s="6">
        <f>$K$19*$V$19</f>
        <v>0</v>
      </c>
      <c r="AC19" s="6">
        <f>$M$19*$W$19</f>
        <v>129532.33111500001</v>
      </c>
      <c r="AD19" s="6">
        <f>$O$19*$X$19</f>
        <v>0</v>
      </c>
      <c r="AE19" s="6">
        <f>$K$19*$Y$19</f>
        <v>0</v>
      </c>
      <c r="AF19" s="6">
        <f ca="1">$M$19*$Z$19</f>
        <v>146183.38455646858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38</v>
      </c>
      <c r="C20" s="4" t="s">
        <v>56</v>
      </c>
      <c r="D20" s="4" t="s">
        <v>37</v>
      </c>
      <c r="E20" s="4" t="s">
        <v>25</v>
      </c>
      <c r="F20" s="4" t="s">
        <v>57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3237.096</v>
      </c>
      <c r="M20" s="6">
        <v>1618.548</v>
      </c>
      <c r="N20" s="6">
        <v>0</v>
      </c>
      <c r="O20" s="6">
        <v>0</v>
      </c>
      <c r="P20" s="6">
        <v>6</v>
      </c>
      <c r="Q20" s="4" t="s">
        <v>58</v>
      </c>
      <c r="R20" s="4">
        <v>0</v>
      </c>
      <c r="S20" s="6">
        <v>0</v>
      </c>
      <c r="T20" s="6">
        <v>8</v>
      </c>
      <c r="U20" s="6">
        <v>0</v>
      </c>
      <c r="V20" s="6">
        <f>IF(ISERROR(VLOOKUP($S$20,'TAR FIN'!$A$1:$O$88,15,0)),0,VLOOKUP($S$20,'TAR FIN'!$A$1:$O$88,15,0))</f>
        <v>0</v>
      </c>
      <c r="W20" s="6">
        <f>IF(ISERROR(VLOOKUP($T$20,'TAR FIN'!$A$1:$O$88,15,0)),0,VLOOKUP($T$20,'TAR FIN'!$A$1:$O$88,15,0))</f>
        <v>73.790000000000006</v>
      </c>
      <c r="X20" s="6">
        <f>IF(ISERROR(VLOOKUP($U$20,'TAR FIN'!$A$1:$O$88,15,0)),0,VLOOKUP($U$20,'TAR FIN'!$A$1:$O$88,15,0))</f>
        <v>0</v>
      </c>
      <c r="Y20" s="6"/>
      <c r="Z20" s="6">
        <f ca="1">('TUSD BE'!$AM$7+'TUSD BF'!$AM$7+'TUSD CVA'!$AM$7)*1</f>
        <v>83.275517807559041</v>
      </c>
      <c r="AA20" s="6"/>
      <c r="AB20" s="6">
        <f>$K$20*$V$20</f>
        <v>0</v>
      </c>
      <c r="AC20" s="6">
        <f>$M$20*$W$20</f>
        <v>119432.65692000001</v>
      </c>
      <c r="AD20" s="6">
        <f>$O$20*$X$20</f>
        <v>0</v>
      </c>
      <c r="AE20" s="6">
        <f>$K$20*$Y$20</f>
        <v>0</v>
      </c>
      <c r="AF20" s="6">
        <f ca="1">$M$20*$Z$20</f>
        <v>134785.42279638906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38</v>
      </c>
      <c r="C21" s="4" t="s">
        <v>56</v>
      </c>
      <c r="D21" s="4" t="s">
        <v>37</v>
      </c>
      <c r="E21" s="4" t="s">
        <v>25</v>
      </c>
      <c r="F21" s="4" t="s">
        <v>57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3688.7570000000001</v>
      </c>
      <c r="M21" s="6">
        <v>1844.3785</v>
      </c>
      <c r="N21" s="6">
        <v>0</v>
      </c>
      <c r="O21" s="6">
        <v>0</v>
      </c>
      <c r="P21" s="6">
        <v>6</v>
      </c>
      <c r="Q21" s="4" t="s">
        <v>58</v>
      </c>
      <c r="R21" s="4">
        <v>0</v>
      </c>
      <c r="S21" s="6">
        <v>0</v>
      </c>
      <c r="T21" s="6">
        <v>8</v>
      </c>
      <c r="U21" s="6">
        <v>0</v>
      </c>
      <c r="V21" s="6">
        <f>IF(ISERROR(VLOOKUP($S$21,'TAR FIN'!$A$1:$O$88,15,0)),0,VLOOKUP($S$21,'TAR FIN'!$A$1:$O$88,15,0))</f>
        <v>0</v>
      </c>
      <c r="W21" s="6">
        <f>IF(ISERROR(VLOOKUP($T$21,'TAR FIN'!$A$1:$O$88,15,0)),0,VLOOKUP($T$21,'TAR FIN'!$A$1:$O$88,15,0))</f>
        <v>73.790000000000006</v>
      </c>
      <c r="X21" s="6">
        <f>IF(ISERROR(VLOOKUP($U$21,'TAR FIN'!$A$1:$O$88,15,0)),0,VLOOKUP($U$21,'TAR FIN'!$A$1:$O$88,15,0))</f>
        <v>0</v>
      </c>
      <c r="Y21" s="6"/>
      <c r="Z21" s="6">
        <f ca="1">('TUSD BE'!$AM$7+'TUSD BF'!$AM$7+'TUSD CVA'!$AM$7)*1</f>
        <v>83.275517807559041</v>
      </c>
      <c r="AA21" s="6"/>
      <c r="AB21" s="6">
        <f>$K$21*$V$21</f>
        <v>0</v>
      </c>
      <c r="AC21" s="6">
        <f>$M$21*$W$21</f>
        <v>136096.68951500001</v>
      </c>
      <c r="AD21" s="6">
        <f>$O$21*$X$21</f>
        <v>0</v>
      </c>
      <c r="AE21" s="6">
        <f>$K$21*$Y$21</f>
        <v>0</v>
      </c>
      <c r="AF21" s="6">
        <f ca="1">$M$21*$Z$21</f>
        <v>153591.57462062902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38</v>
      </c>
      <c r="C22" s="4" t="s">
        <v>56</v>
      </c>
      <c r="D22" s="4" t="s">
        <v>37</v>
      </c>
      <c r="E22" s="4" t="s">
        <v>25</v>
      </c>
      <c r="F22" s="4" t="s">
        <v>57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3372.8220000000001</v>
      </c>
      <c r="M22" s="6">
        <v>1686.4110000000001</v>
      </c>
      <c r="N22" s="6">
        <v>0</v>
      </c>
      <c r="O22" s="6">
        <v>0</v>
      </c>
      <c r="P22" s="6">
        <v>6</v>
      </c>
      <c r="Q22" s="4" t="s">
        <v>58</v>
      </c>
      <c r="R22" s="4">
        <v>0</v>
      </c>
      <c r="S22" s="6">
        <v>0</v>
      </c>
      <c r="T22" s="6">
        <v>8</v>
      </c>
      <c r="U22" s="6">
        <v>0</v>
      </c>
      <c r="V22" s="6">
        <f>IF(ISERROR(VLOOKUP($S$22,'TAR FIN'!$A$1:$O$88,15,0)),0,VLOOKUP($S$22,'TAR FIN'!$A$1:$O$88,15,0))</f>
        <v>0</v>
      </c>
      <c r="W22" s="6">
        <f>IF(ISERROR(VLOOKUP($T$22,'TAR FIN'!$A$1:$O$88,15,0)),0,VLOOKUP($T$22,'TAR FIN'!$A$1:$O$88,15,0))</f>
        <v>73.790000000000006</v>
      </c>
      <c r="X22" s="6">
        <f>IF(ISERROR(VLOOKUP($U$22,'TAR FIN'!$A$1:$O$88,15,0)),0,VLOOKUP($U$22,'TAR FIN'!$A$1:$O$88,15,0))</f>
        <v>0</v>
      </c>
      <c r="Y22" s="6"/>
      <c r="Z22" s="6">
        <f ca="1">('TUSD BE'!$AM$7+'TUSD BF'!$AM$7+'TUSD CVA'!$AM$7)*1</f>
        <v>83.275517807559041</v>
      </c>
      <c r="AA22" s="6"/>
      <c r="AB22" s="6">
        <f>$K$22*$V$22</f>
        <v>0</v>
      </c>
      <c r="AC22" s="6">
        <f>$M$22*$W$22</f>
        <v>124440.26769000001</v>
      </c>
      <c r="AD22" s="6">
        <f>$O$22*$X$22</f>
        <v>0</v>
      </c>
      <c r="AE22" s="6">
        <f>$K$22*$Y$22</f>
        <v>0</v>
      </c>
      <c r="AF22" s="6">
        <f ca="1">$M$22*$Z$22</f>
        <v>140436.74926136347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38</v>
      </c>
      <c r="C23" s="4" t="s">
        <v>56</v>
      </c>
      <c r="D23" s="4" t="s">
        <v>37</v>
      </c>
      <c r="E23" s="4" t="s">
        <v>25</v>
      </c>
      <c r="F23" s="4" t="s">
        <v>57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3390.308</v>
      </c>
      <c r="M23" s="6">
        <v>1695.154</v>
      </c>
      <c r="N23" s="6">
        <v>0</v>
      </c>
      <c r="O23" s="6">
        <v>0</v>
      </c>
      <c r="P23" s="6">
        <v>6</v>
      </c>
      <c r="Q23" s="4" t="s">
        <v>58</v>
      </c>
      <c r="R23" s="4">
        <v>0</v>
      </c>
      <c r="S23" s="6">
        <v>0</v>
      </c>
      <c r="T23" s="6">
        <v>8</v>
      </c>
      <c r="U23" s="6">
        <v>0</v>
      </c>
      <c r="V23" s="6">
        <f>IF(ISERROR(VLOOKUP($S$23,'TAR FIN'!$A$1:$O$88,15,0)),0,VLOOKUP($S$23,'TAR FIN'!$A$1:$O$88,15,0))</f>
        <v>0</v>
      </c>
      <c r="W23" s="6">
        <f>IF(ISERROR(VLOOKUP($T$23,'TAR FIN'!$A$1:$O$88,15,0)),0,VLOOKUP($T$23,'TAR FIN'!$A$1:$O$88,15,0))</f>
        <v>73.790000000000006</v>
      </c>
      <c r="X23" s="6">
        <f>IF(ISERROR(VLOOKUP($U$23,'TAR FIN'!$A$1:$O$88,15,0)),0,VLOOKUP($U$23,'TAR FIN'!$A$1:$O$88,15,0))</f>
        <v>0</v>
      </c>
      <c r="Y23" s="6"/>
      <c r="Z23" s="6">
        <f ca="1">('TUSD BE'!$AM$7+'TUSD BF'!$AM$7+'TUSD CVA'!$AM$7)*1</f>
        <v>83.275517807559041</v>
      </c>
      <c r="AA23" s="6"/>
      <c r="AB23" s="6">
        <f>$K$23*$V$23</f>
        <v>0</v>
      </c>
      <c r="AC23" s="6">
        <f>$M$23*$W$23</f>
        <v>125085.41366000001</v>
      </c>
      <c r="AD23" s="6">
        <f>$O$23*$X$23</f>
        <v>0</v>
      </c>
      <c r="AE23" s="6">
        <f>$K$23*$Y$23</f>
        <v>0</v>
      </c>
      <c r="AF23" s="6">
        <f ca="1">$M$23*$Z$23</f>
        <v>141164.82711355493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38</v>
      </c>
      <c r="C24" s="4" t="s">
        <v>56</v>
      </c>
      <c r="D24" s="4" t="s">
        <v>37</v>
      </c>
      <c r="E24" s="4" t="s">
        <v>25</v>
      </c>
      <c r="F24" s="4" t="s">
        <v>57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3363.3820000000001</v>
      </c>
      <c r="M24" s="6">
        <v>1681.691</v>
      </c>
      <c r="N24" s="6">
        <v>0</v>
      </c>
      <c r="O24" s="6">
        <v>0</v>
      </c>
      <c r="P24" s="6">
        <v>6</v>
      </c>
      <c r="Q24" s="4" t="s">
        <v>58</v>
      </c>
      <c r="R24" s="4">
        <v>0</v>
      </c>
      <c r="S24" s="6">
        <v>0</v>
      </c>
      <c r="T24" s="6">
        <v>8</v>
      </c>
      <c r="U24" s="6">
        <v>0</v>
      </c>
      <c r="V24" s="6">
        <f>IF(ISERROR(VLOOKUP($S$24,'TAR FIN'!$A$1:$O$88,15,0)),0,VLOOKUP($S$24,'TAR FIN'!$A$1:$O$88,15,0))</f>
        <v>0</v>
      </c>
      <c r="W24" s="6">
        <f>IF(ISERROR(VLOOKUP($T$24,'TAR FIN'!$A$1:$O$88,15,0)),0,VLOOKUP($T$24,'TAR FIN'!$A$1:$O$88,15,0))</f>
        <v>73.790000000000006</v>
      </c>
      <c r="X24" s="6">
        <f>IF(ISERROR(VLOOKUP($U$24,'TAR FIN'!$A$1:$O$88,15,0)),0,VLOOKUP($U$24,'TAR FIN'!$A$1:$O$88,15,0))</f>
        <v>0</v>
      </c>
      <c r="Y24" s="6"/>
      <c r="Z24" s="6">
        <f ca="1">('TUSD BE'!$AM$7+'TUSD BF'!$AM$7+'TUSD CVA'!$AM$7)*1</f>
        <v>83.275517807559041</v>
      </c>
      <c r="AA24" s="6"/>
      <c r="AB24" s="6">
        <f>$K$24*$V$24</f>
        <v>0</v>
      </c>
      <c r="AC24" s="6">
        <f>$M$24*$W$24</f>
        <v>124091.97889000001</v>
      </c>
      <c r="AD24" s="6">
        <f>$O$24*$X$24</f>
        <v>0</v>
      </c>
      <c r="AE24" s="6">
        <f>$K$24*$Y$24</f>
        <v>0</v>
      </c>
      <c r="AF24" s="6">
        <f ca="1">$M$24*$Z$24</f>
        <v>140043.68881731178</v>
      </c>
      <c r="AG24" s="6">
        <f>$O$24*$AA$24</f>
        <v>0</v>
      </c>
    </row>
    <row r="25" spans="1:33" ht="11.25" customHeight="1" x14ac:dyDescent="0.25">
      <c r="A25" s="4" t="s">
        <v>55</v>
      </c>
      <c r="B25" s="4" t="s">
        <v>38</v>
      </c>
      <c r="C25" s="4" t="s">
        <v>56</v>
      </c>
      <c r="D25" s="4" t="s">
        <v>37</v>
      </c>
      <c r="E25" s="4" t="s">
        <v>25</v>
      </c>
      <c r="F25" s="4" t="s">
        <v>57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3363.3820000000001</v>
      </c>
      <c r="M25" s="6">
        <v>1681.691</v>
      </c>
      <c r="N25" s="6">
        <v>0</v>
      </c>
      <c r="O25" s="6">
        <v>0</v>
      </c>
      <c r="P25" s="6">
        <v>6</v>
      </c>
      <c r="Q25" s="4" t="s">
        <v>58</v>
      </c>
      <c r="R25" s="4">
        <v>0</v>
      </c>
      <c r="S25" s="6">
        <v>0</v>
      </c>
      <c r="T25" s="6">
        <v>8</v>
      </c>
      <c r="U25" s="6">
        <v>0</v>
      </c>
      <c r="V25" s="6">
        <f>IF(ISERROR(VLOOKUP($S$25,'TAR FIN'!$A$1:$O$88,15,0)),0,VLOOKUP($S$25,'TAR FIN'!$A$1:$O$88,15,0))</f>
        <v>0</v>
      </c>
      <c r="W25" s="6">
        <f>IF(ISERROR(VLOOKUP($T$25,'TAR FIN'!$A$1:$O$88,15,0)),0,VLOOKUP($T$25,'TAR FIN'!$A$1:$O$88,15,0))</f>
        <v>73.790000000000006</v>
      </c>
      <c r="X25" s="6">
        <f>IF(ISERROR(VLOOKUP($U$25,'TAR FIN'!$A$1:$O$88,15,0)),0,VLOOKUP($U$25,'TAR FIN'!$A$1:$O$88,15,0))</f>
        <v>0</v>
      </c>
      <c r="Y25" s="6"/>
      <c r="Z25" s="6">
        <f ca="1">('TUSD BE'!$AM$7+'TUSD BF'!$AM$7+'TUSD CVA'!$AM$7)*1</f>
        <v>83.275517807559041</v>
      </c>
      <c r="AA25" s="6"/>
      <c r="AB25" s="6">
        <f>$K$25*$V$25</f>
        <v>0</v>
      </c>
      <c r="AC25" s="6">
        <f>$M$25*$W$25</f>
        <v>124091.97889000001</v>
      </c>
      <c r="AD25" s="6">
        <f>$O$25*$X$25</f>
        <v>0</v>
      </c>
      <c r="AE25" s="6">
        <f>$K$25*$Y$25</f>
        <v>0</v>
      </c>
      <c r="AF25" s="6">
        <f ca="1">$M$25*$Z$25</f>
        <v>140043.68881731178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38</v>
      </c>
      <c r="C26" s="4" t="s">
        <v>56</v>
      </c>
      <c r="D26" s="4" t="s">
        <v>37</v>
      </c>
      <c r="E26" s="4" t="s">
        <v>25</v>
      </c>
      <c r="F26" s="4" t="s">
        <v>57</v>
      </c>
      <c r="G26" s="4" t="s">
        <v>25</v>
      </c>
      <c r="H26" s="4" t="s">
        <v>33</v>
      </c>
      <c r="I26" s="5">
        <v>44409</v>
      </c>
      <c r="J26" s="6">
        <v>3350</v>
      </c>
      <c r="K26" s="6">
        <v>1675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58</v>
      </c>
      <c r="R26" s="4">
        <v>0</v>
      </c>
      <c r="S26" s="6">
        <v>2</v>
      </c>
      <c r="T26" s="6">
        <v>0</v>
      </c>
      <c r="U26" s="6">
        <v>0</v>
      </c>
      <c r="V26" s="6">
        <f>IF(ISERROR(VLOOKUP($S$26,'TAR FIN'!$A$1:$O$88,15,0)),0,VLOOKUP($S$26,'TAR FIN'!$A$1:$O$88,15,0))</f>
        <v>50.05</v>
      </c>
      <c r="W26" s="6">
        <f>IF(ISERROR(VLOOKUP($T$26,'TAR FIN'!$A$1:$O$88,15,0)),0,VLOOKUP($T$26,'TAR FIN'!$A$1:$O$88,15,0))</f>
        <v>0</v>
      </c>
      <c r="X26" s="6">
        <f>IF(ISERROR(VLOOKUP($U$26,'TAR FIN'!$A$1:$O$88,15,0)),0,VLOOKUP($U$26,'TAR FIN'!$A$1:$O$88,15,0))</f>
        <v>0</v>
      </c>
      <c r="Y26" s="6">
        <f ca="1">('TUSD BE'!$AM$5+'TUSD BF'!$AM$5+'TUSD CVA'!$AM$5)*1</f>
        <v>39.785437301566063</v>
      </c>
      <c r="Z26" s="6">
        <f ca="1">('TUSD BE'!$AM$7+'TUSD BF'!$AM$7+'TUSD CVA'!$AM$7)*1</f>
        <v>83.275517807559041</v>
      </c>
      <c r="AA26" s="6"/>
      <c r="AB26" s="6">
        <f>$K$26*$V$26</f>
        <v>83833.75</v>
      </c>
      <c r="AC26" s="6">
        <f>$M$26*$W$26</f>
        <v>0</v>
      </c>
      <c r="AD26" s="6">
        <f>$O$26*$X$26</f>
        <v>0</v>
      </c>
      <c r="AE26" s="6">
        <f ca="1">$K$26*$Y$26</f>
        <v>66640.607480123159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38</v>
      </c>
      <c r="C27" s="4" t="s">
        <v>56</v>
      </c>
      <c r="D27" s="4" t="s">
        <v>37</v>
      </c>
      <c r="E27" s="4" t="s">
        <v>25</v>
      </c>
      <c r="F27" s="4" t="s">
        <v>57</v>
      </c>
      <c r="G27" s="4" t="s">
        <v>25</v>
      </c>
      <c r="H27" s="4" t="s">
        <v>33</v>
      </c>
      <c r="I27" s="5">
        <v>44440</v>
      </c>
      <c r="J27" s="6">
        <v>3350</v>
      </c>
      <c r="K27" s="6">
        <v>1675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58</v>
      </c>
      <c r="R27" s="4">
        <v>0</v>
      </c>
      <c r="S27" s="6">
        <v>2</v>
      </c>
      <c r="T27" s="6">
        <v>0</v>
      </c>
      <c r="U27" s="6">
        <v>0</v>
      </c>
      <c r="V27" s="6">
        <f>IF(ISERROR(VLOOKUP($S$27,'TAR FIN'!$A$1:$O$88,15,0)),0,VLOOKUP($S$27,'TAR FIN'!$A$1:$O$88,15,0))</f>
        <v>50.05</v>
      </c>
      <c r="W27" s="6">
        <f>IF(ISERROR(VLOOKUP($T$27,'TAR FIN'!$A$1:$O$88,15,0)),0,VLOOKUP($T$27,'TAR FIN'!$A$1:$O$88,15,0))</f>
        <v>0</v>
      </c>
      <c r="X27" s="6">
        <f>IF(ISERROR(VLOOKUP($U$27,'TAR FIN'!$A$1:$O$88,15,0)),0,VLOOKUP($U$27,'TAR FIN'!$A$1:$O$88,15,0))</f>
        <v>0</v>
      </c>
      <c r="Y27" s="6">
        <f ca="1">('TUSD BE'!$AM$5+'TUSD BF'!$AM$5+'TUSD CVA'!$AM$5)*1</f>
        <v>39.785437301566063</v>
      </c>
      <c r="Z27" s="6">
        <f ca="1">('TUSD BE'!$AM$7+'TUSD BF'!$AM$7+'TUSD CVA'!$AM$7)*1</f>
        <v>83.275517807559041</v>
      </c>
      <c r="AA27" s="6"/>
      <c r="AB27" s="6">
        <f>$K$27*$V$27</f>
        <v>83833.75</v>
      </c>
      <c r="AC27" s="6">
        <f>$M$27*$W$27</f>
        <v>0</v>
      </c>
      <c r="AD27" s="6">
        <f>$O$27*$X$27</f>
        <v>0</v>
      </c>
      <c r="AE27" s="6">
        <f ca="1">$K$27*$Y$27</f>
        <v>66640.607480123159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38</v>
      </c>
      <c r="C28" s="4" t="s">
        <v>56</v>
      </c>
      <c r="D28" s="4" t="s">
        <v>37</v>
      </c>
      <c r="E28" s="4" t="s">
        <v>25</v>
      </c>
      <c r="F28" s="4" t="s">
        <v>57</v>
      </c>
      <c r="G28" s="4" t="s">
        <v>25</v>
      </c>
      <c r="H28" s="4" t="s">
        <v>33</v>
      </c>
      <c r="I28" s="5">
        <v>44470</v>
      </c>
      <c r="J28" s="6">
        <v>3350</v>
      </c>
      <c r="K28" s="6">
        <v>1675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58</v>
      </c>
      <c r="R28" s="4">
        <v>0</v>
      </c>
      <c r="S28" s="6">
        <v>2</v>
      </c>
      <c r="T28" s="6">
        <v>0</v>
      </c>
      <c r="U28" s="6">
        <v>0</v>
      </c>
      <c r="V28" s="6">
        <f>IF(ISERROR(VLOOKUP($S$28,'TAR FIN'!$A$1:$O$88,15,0)),0,VLOOKUP($S$28,'TAR FIN'!$A$1:$O$88,15,0))</f>
        <v>50.05</v>
      </c>
      <c r="W28" s="6">
        <f>IF(ISERROR(VLOOKUP($T$28,'TAR FIN'!$A$1:$O$88,15,0)),0,VLOOKUP($T$28,'TAR FIN'!$A$1:$O$88,15,0))</f>
        <v>0</v>
      </c>
      <c r="X28" s="6">
        <f>IF(ISERROR(VLOOKUP($U$28,'TAR FIN'!$A$1:$O$88,15,0)),0,VLOOKUP($U$28,'TAR FIN'!$A$1:$O$88,15,0))</f>
        <v>0</v>
      </c>
      <c r="Y28" s="6">
        <f ca="1">('TUSD BE'!$AM$5+'TUSD BF'!$AM$5+'TUSD CVA'!$AM$5)*1</f>
        <v>39.785437301566063</v>
      </c>
      <c r="Z28" s="6">
        <f ca="1">('TUSD BE'!$AM$7+'TUSD BF'!$AM$7+'TUSD CVA'!$AM$7)*1</f>
        <v>83.275517807559041</v>
      </c>
      <c r="AA28" s="6"/>
      <c r="AB28" s="6">
        <f>$K$28*$V$28</f>
        <v>83833.75</v>
      </c>
      <c r="AC28" s="6">
        <f>$M$28*$W$28</f>
        <v>0</v>
      </c>
      <c r="AD28" s="6">
        <f>$O$28*$X$28</f>
        <v>0</v>
      </c>
      <c r="AE28" s="6">
        <f ca="1">$K$28*$Y$28</f>
        <v>66640.607480123159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38</v>
      </c>
      <c r="C29" s="4" t="s">
        <v>56</v>
      </c>
      <c r="D29" s="4" t="s">
        <v>37</v>
      </c>
      <c r="E29" s="4" t="s">
        <v>25</v>
      </c>
      <c r="F29" s="4" t="s">
        <v>57</v>
      </c>
      <c r="G29" s="4" t="s">
        <v>25</v>
      </c>
      <c r="H29" s="4" t="s">
        <v>33</v>
      </c>
      <c r="I29" s="5">
        <v>44501</v>
      </c>
      <c r="J29" s="6">
        <v>3350</v>
      </c>
      <c r="K29" s="6">
        <v>1675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58</v>
      </c>
      <c r="R29" s="4">
        <v>0</v>
      </c>
      <c r="S29" s="6">
        <v>2</v>
      </c>
      <c r="T29" s="6">
        <v>0</v>
      </c>
      <c r="U29" s="6">
        <v>0</v>
      </c>
      <c r="V29" s="6">
        <f>IF(ISERROR(VLOOKUP($S$29,'TAR FIN'!$A$1:$O$88,15,0)),0,VLOOKUP($S$29,'TAR FIN'!$A$1:$O$88,15,0))</f>
        <v>50.05</v>
      </c>
      <c r="W29" s="6">
        <f>IF(ISERROR(VLOOKUP($T$29,'TAR FIN'!$A$1:$O$88,15,0)),0,VLOOKUP($T$29,'TAR FIN'!$A$1:$O$88,15,0))</f>
        <v>0</v>
      </c>
      <c r="X29" s="6">
        <f>IF(ISERROR(VLOOKUP($U$29,'TAR FIN'!$A$1:$O$88,15,0)),0,VLOOKUP($U$29,'TAR FIN'!$A$1:$O$88,15,0))</f>
        <v>0</v>
      </c>
      <c r="Y29" s="6">
        <f ca="1">('TUSD BE'!$AM$5+'TUSD BF'!$AM$5+'TUSD CVA'!$AM$5)*1</f>
        <v>39.785437301566063</v>
      </c>
      <c r="Z29" s="6">
        <f ca="1">('TUSD BE'!$AM$7+'TUSD BF'!$AM$7+'TUSD CVA'!$AM$7)*1</f>
        <v>83.275517807559041</v>
      </c>
      <c r="AA29" s="6"/>
      <c r="AB29" s="6">
        <f>$K$29*$V$29</f>
        <v>83833.75</v>
      </c>
      <c r="AC29" s="6">
        <f>$M$29*$W$29</f>
        <v>0</v>
      </c>
      <c r="AD29" s="6">
        <f>$O$29*$X$29</f>
        <v>0</v>
      </c>
      <c r="AE29" s="6">
        <f ca="1">$K$29*$Y$29</f>
        <v>66640.607480123159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38</v>
      </c>
      <c r="C30" s="4" t="s">
        <v>56</v>
      </c>
      <c r="D30" s="4" t="s">
        <v>37</v>
      </c>
      <c r="E30" s="4" t="s">
        <v>25</v>
      </c>
      <c r="F30" s="4" t="s">
        <v>57</v>
      </c>
      <c r="G30" s="4" t="s">
        <v>25</v>
      </c>
      <c r="H30" s="4" t="s">
        <v>33</v>
      </c>
      <c r="I30" s="5">
        <v>44531</v>
      </c>
      <c r="J30" s="6">
        <v>3350</v>
      </c>
      <c r="K30" s="6">
        <v>1675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58</v>
      </c>
      <c r="R30" s="4">
        <v>0</v>
      </c>
      <c r="S30" s="6">
        <v>2</v>
      </c>
      <c r="T30" s="6">
        <v>0</v>
      </c>
      <c r="U30" s="6">
        <v>0</v>
      </c>
      <c r="V30" s="6">
        <f>IF(ISERROR(VLOOKUP($S$30,'TAR FIN'!$A$1:$O$88,15,0)),0,VLOOKUP($S$30,'TAR FIN'!$A$1:$O$88,15,0))</f>
        <v>50.05</v>
      </c>
      <c r="W30" s="6">
        <f>IF(ISERROR(VLOOKUP($T$30,'TAR FIN'!$A$1:$O$88,15,0)),0,VLOOKUP($T$30,'TAR FIN'!$A$1:$O$88,15,0))</f>
        <v>0</v>
      </c>
      <c r="X30" s="6">
        <f>IF(ISERROR(VLOOKUP($U$30,'TAR FIN'!$A$1:$O$88,15,0)),0,VLOOKUP($U$30,'TAR FIN'!$A$1:$O$88,15,0))</f>
        <v>0</v>
      </c>
      <c r="Y30" s="6">
        <f ca="1">('TUSD BE'!$AM$5+'TUSD BF'!$AM$5+'TUSD CVA'!$AM$5)*1</f>
        <v>39.785437301566063</v>
      </c>
      <c r="Z30" s="6">
        <f ca="1">('TUSD BE'!$AM$7+'TUSD BF'!$AM$7+'TUSD CVA'!$AM$7)*1</f>
        <v>83.275517807559041</v>
      </c>
      <c r="AA30" s="6"/>
      <c r="AB30" s="6">
        <f>$K$30*$V$30</f>
        <v>83833.75</v>
      </c>
      <c r="AC30" s="6">
        <f>$M$30*$W$30</f>
        <v>0</v>
      </c>
      <c r="AD30" s="6">
        <f>$O$30*$X$30</f>
        <v>0</v>
      </c>
      <c r="AE30" s="6">
        <f ca="1">$K$30*$Y$30</f>
        <v>66640.607480123159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38</v>
      </c>
      <c r="C31" s="4" t="s">
        <v>56</v>
      </c>
      <c r="D31" s="4" t="s">
        <v>37</v>
      </c>
      <c r="E31" s="4" t="s">
        <v>25</v>
      </c>
      <c r="F31" s="4" t="s">
        <v>57</v>
      </c>
      <c r="G31" s="4" t="s">
        <v>25</v>
      </c>
      <c r="H31" s="4" t="s">
        <v>33</v>
      </c>
      <c r="I31" s="5">
        <v>44562</v>
      </c>
      <c r="J31" s="6">
        <v>3364</v>
      </c>
      <c r="K31" s="6">
        <v>1682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58</v>
      </c>
      <c r="R31" s="4">
        <v>0</v>
      </c>
      <c r="S31" s="6">
        <v>2</v>
      </c>
      <c r="T31" s="6">
        <v>0</v>
      </c>
      <c r="U31" s="6">
        <v>0</v>
      </c>
      <c r="V31" s="6">
        <f>IF(ISERROR(VLOOKUP($S$31,'TAR FIN'!$A$1:$O$88,15,0)),0,VLOOKUP($S$31,'TAR FIN'!$A$1:$O$88,15,0))</f>
        <v>50.05</v>
      </c>
      <c r="W31" s="6">
        <f>IF(ISERROR(VLOOKUP($T$31,'TAR FIN'!$A$1:$O$88,15,0)),0,VLOOKUP($T$31,'TAR FIN'!$A$1:$O$88,15,0))</f>
        <v>0</v>
      </c>
      <c r="X31" s="6">
        <f>IF(ISERROR(VLOOKUP($U$31,'TAR FIN'!$A$1:$O$88,15,0)),0,VLOOKUP($U$31,'TAR FIN'!$A$1:$O$88,15,0))</f>
        <v>0</v>
      </c>
      <c r="Y31" s="6">
        <f ca="1">('TUSD BE'!$AM$5+'TUSD BF'!$AM$5+'TUSD CVA'!$AM$5)*1</f>
        <v>39.785437301566063</v>
      </c>
      <c r="Z31" s="6">
        <f ca="1">('TUSD BE'!$AM$7+'TUSD BF'!$AM$7+'TUSD CVA'!$AM$7)*1</f>
        <v>83.275517807559041</v>
      </c>
      <c r="AA31" s="6"/>
      <c r="AB31" s="6">
        <f>$K$31*$V$31</f>
        <v>84184.099999999991</v>
      </c>
      <c r="AC31" s="6">
        <f>$M$31*$W$31</f>
        <v>0</v>
      </c>
      <c r="AD31" s="6">
        <f>$O$31*$X$31</f>
        <v>0</v>
      </c>
      <c r="AE31" s="6">
        <f ca="1">$K$31*$Y$31</f>
        <v>66919.105541234123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38</v>
      </c>
      <c r="C32" s="4" t="s">
        <v>56</v>
      </c>
      <c r="D32" s="4" t="s">
        <v>37</v>
      </c>
      <c r="E32" s="4" t="s">
        <v>25</v>
      </c>
      <c r="F32" s="4" t="s">
        <v>57</v>
      </c>
      <c r="G32" s="4" t="s">
        <v>25</v>
      </c>
      <c r="H32" s="4" t="s">
        <v>33</v>
      </c>
      <c r="I32" s="5">
        <v>44593</v>
      </c>
      <c r="J32" s="6">
        <v>3350</v>
      </c>
      <c r="K32" s="6">
        <v>1675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58</v>
      </c>
      <c r="R32" s="4">
        <v>0</v>
      </c>
      <c r="S32" s="6">
        <v>2</v>
      </c>
      <c r="T32" s="6">
        <v>0</v>
      </c>
      <c r="U32" s="6">
        <v>0</v>
      </c>
      <c r="V32" s="6">
        <f>IF(ISERROR(VLOOKUP($S$32,'TAR FIN'!$A$1:$O$88,15,0)),0,VLOOKUP($S$32,'TAR FIN'!$A$1:$O$88,15,0))</f>
        <v>50.05</v>
      </c>
      <c r="W32" s="6">
        <f>IF(ISERROR(VLOOKUP($T$32,'TAR FIN'!$A$1:$O$88,15,0)),0,VLOOKUP($T$32,'TAR FIN'!$A$1:$O$88,15,0))</f>
        <v>0</v>
      </c>
      <c r="X32" s="6">
        <f>IF(ISERROR(VLOOKUP($U$32,'TAR FIN'!$A$1:$O$88,15,0)),0,VLOOKUP($U$32,'TAR FIN'!$A$1:$O$88,15,0))</f>
        <v>0</v>
      </c>
      <c r="Y32" s="6">
        <f ca="1">('TUSD BE'!$AM$5+'TUSD BF'!$AM$5+'TUSD CVA'!$AM$5)*1</f>
        <v>39.785437301566063</v>
      </c>
      <c r="Z32" s="6">
        <f ca="1">('TUSD BE'!$AM$7+'TUSD BF'!$AM$7+'TUSD CVA'!$AM$7)*1</f>
        <v>83.275517807559041</v>
      </c>
      <c r="AA32" s="6"/>
      <c r="AB32" s="6">
        <f>$K$32*$V$32</f>
        <v>83833.75</v>
      </c>
      <c r="AC32" s="6">
        <f>$M$32*$W$32</f>
        <v>0</v>
      </c>
      <c r="AD32" s="6">
        <f>$O$32*$X$32</f>
        <v>0</v>
      </c>
      <c r="AE32" s="6">
        <f ca="1">$K$32*$Y$32</f>
        <v>66640.607480123159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38</v>
      </c>
      <c r="C33" s="4" t="s">
        <v>56</v>
      </c>
      <c r="D33" s="4" t="s">
        <v>37</v>
      </c>
      <c r="E33" s="4" t="s">
        <v>25</v>
      </c>
      <c r="F33" s="4" t="s">
        <v>57</v>
      </c>
      <c r="G33" s="4" t="s">
        <v>25</v>
      </c>
      <c r="H33" s="4" t="s">
        <v>33</v>
      </c>
      <c r="I33" s="5">
        <v>44621</v>
      </c>
      <c r="J33" s="6">
        <v>3350</v>
      </c>
      <c r="K33" s="6">
        <v>1675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58</v>
      </c>
      <c r="R33" s="4">
        <v>0</v>
      </c>
      <c r="S33" s="6">
        <v>2</v>
      </c>
      <c r="T33" s="6">
        <v>0</v>
      </c>
      <c r="U33" s="6">
        <v>0</v>
      </c>
      <c r="V33" s="6">
        <f>IF(ISERROR(VLOOKUP($S$33,'TAR FIN'!$A$1:$O$88,15,0)),0,VLOOKUP($S$33,'TAR FIN'!$A$1:$O$88,15,0))</f>
        <v>50.05</v>
      </c>
      <c r="W33" s="6">
        <f>IF(ISERROR(VLOOKUP($T$33,'TAR FIN'!$A$1:$O$88,15,0)),0,VLOOKUP($T$33,'TAR FIN'!$A$1:$O$88,15,0))</f>
        <v>0</v>
      </c>
      <c r="X33" s="6">
        <f>IF(ISERROR(VLOOKUP($U$33,'TAR FIN'!$A$1:$O$88,15,0)),0,VLOOKUP($U$33,'TAR FIN'!$A$1:$O$88,15,0))</f>
        <v>0</v>
      </c>
      <c r="Y33" s="6">
        <f ca="1">('TUSD BE'!$AM$5+'TUSD BF'!$AM$5+'TUSD CVA'!$AM$5)*1</f>
        <v>39.785437301566063</v>
      </c>
      <c r="Z33" s="6">
        <f ca="1">('TUSD BE'!$AM$7+'TUSD BF'!$AM$7+'TUSD CVA'!$AM$7)*1</f>
        <v>83.275517807559041</v>
      </c>
      <c r="AA33" s="6"/>
      <c r="AB33" s="6">
        <f>$K$33*$V$33</f>
        <v>83833.75</v>
      </c>
      <c r="AC33" s="6">
        <f>$M$33*$W$33</f>
        <v>0</v>
      </c>
      <c r="AD33" s="6">
        <f>$O$33*$X$33</f>
        <v>0</v>
      </c>
      <c r="AE33" s="6">
        <f ca="1">$K$33*$Y$33</f>
        <v>66640.607480123159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38</v>
      </c>
      <c r="C34" s="4" t="s">
        <v>56</v>
      </c>
      <c r="D34" s="4" t="s">
        <v>37</v>
      </c>
      <c r="E34" s="4" t="s">
        <v>25</v>
      </c>
      <c r="F34" s="4" t="s">
        <v>57</v>
      </c>
      <c r="G34" s="4" t="s">
        <v>25</v>
      </c>
      <c r="H34" s="4" t="s">
        <v>33</v>
      </c>
      <c r="I34" s="5">
        <v>44652</v>
      </c>
      <c r="J34" s="6">
        <v>3398</v>
      </c>
      <c r="K34" s="6">
        <v>1699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58</v>
      </c>
      <c r="R34" s="4">
        <v>0</v>
      </c>
      <c r="S34" s="6">
        <v>2</v>
      </c>
      <c r="T34" s="6">
        <v>0</v>
      </c>
      <c r="U34" s="6">
        <v>0</v>
      </c>
      <c r="V34" s="6">
        <f>IF(ISERROR(VLOOKUP($S$34,'TAR FIN'!$A$1:$O$88,15,0)),0,VLOOKUP($S$34,'TAR FIN'!$A$1:$O$88,15,0))</f>
        <v>50.05</v>
      </c>
      <c r="W34" s="6">
        <f>IF(ISERROR(VLOOKUP($T$34,'TAR FIN'!$A$1:$O$88,15,0)),0,VLOOKUP($T$34,'TAR FIN'!$A$1:$O$88,15,0))</f>
        <v>0</v>
      </c>
      <c r="X34" s="6">
        <f>IF(ISERROR(VLOOKUP($U$34,'TAR FIN'!$A$1:$O$88,15,0)),0,VLOOKUP($U$34,'TAR FIN'!$A$1:$O$88,15,0))</f>
        <v>0</v>
      </c>
      <c r="Y34" s="6">
        <f ca="1">('TUSD BE'!$AM$5+'TUSD BF'!$AM$5+'TUSD CVA'!$AM$5)*1</f>
        <v>39.785437301566063</v>
      </c>
      <c r="Z34" s="6">
        <f ca="1">('TUSD BE'!$AM$7+'TUSD BF'!$AM$7+'TUSD CVA'!$AM$7)*1</f>
        <v>83.275517807559041</v>
      </c>
      <c r="AA34" s="6"/>
      <c r="AB34" s="6">
        <f>$K$34*$V$34</f>
        <v>85034.95</v>
      </c>
      <c r="AC34" s="6">
        <f>$M$34*$W$34</f>
        <v>0</v>
      </c>
      <c r="AD34" s="6">
        <f>$O$34*$X$34</f>
        <v>0</v>
      </c>
      <c r="AE34" s="6">
        <f ca="1">$K$34*$Y$34</f>
        <v>67595.45797536074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38</v>
      </c>
      <c r="C35" s="4" t="s">
        <v>56</v>
      </c>
      <c r="D35" s="4" t="s">
        <v>37</v>
      </c>
      <c r="E35" s="4" t="s">
        <v>25</v>
      </c>
      <c r="F35" s="4" t="s">
        <v>57</v>
      </c>
      <c r="G35" s="4" t="s">
        <v>25</v>
      </c>
      <c r="H35" s="4" t="s">
        <v>33</v>
      </c>
      <c r="I35" s="5">
        <v>44682</v>
      </c>
      <c r="J35" s="6">
        <v>3237</v>
      </c>
      <c r="K35" s="6">
        <v>1618.5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58</v>
      </c>
      <c r="R35" s="4">
        <v>0</v>
      </c>
      <c r="S35" s="6">
        <v>2</v>
      </c>
      <c r="T35" s="6">
        <v>0</v>
      </c>
      <c r="U35" s="6">
        <v>0</v>
      </c>
      <c r="V35" s="6">
        <f>IF(ISERROR(VLOOKUP($S$35,'TAR FIN'!$A$1:$O$88,15,0)),0,VLOOKUP($S$35,'TAR FIN'!$A$1:$O$88,15,0))</f>
        <v>50.05</v>
      </c>
      <c r="W35" s="6">
        <f>IF(ISERROR(VLOOKUP($T$35,'TAR FIN'!$A$1:$O$88,15,0)),0,VLOOKUP($T$35,'TAR FIN'!$A$1:$O$88,15,0))</f>
        <v>0</v>
      </c>
      <c r="X35" s="6">
        <f>IF(ISERROR(VLOOKUP($U$35,'TAR FIN'!$A$1:$O$88,15,0)),0,VLOOKUP($U$35,'TAR FIN'!$A$1:$O$88,15,0))</f>
        <v>0</v>
      </c>
      <c r="Y35" s="6">
        <f ca="1">('TUSD BE'!$AM$5+'TUSD BF'!$AM$5+'TUSD CVA'!$AM$5)*1</f>
        <v>39.785437301566063</v>
      </c>
      <c r="Z35" s="6">
        <f ca="1">('TUSD BE'!$AM$7+'TUSD BF'!$AM$7+'TUSD CVA'!$AM$7)*1</f>
        <v>83.275517807559041</v>
      </c>
      <c r="AA35" s="6"/>
      <c r="AB35" s="6">
        <f>$K$35*$V$35</f>
        <v>81005.924999999988</v>
      </c>
      <c r="AC35" s="6">
        <f>$M$35*$W$35</f>
        <v>0</v>
      </c>
      <c r="AD35" s="6">
        <f>$O$35*$X$35</f>
        <v>0</v>
      </c>
      <c r="AE35" s="6">
        <f ca="1">$K$35*$Y$35</f>
        <v>64392.730272584675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38</v>
      </c>
      <c r="C36" s="4" t="s">
        <v>56</v>
      </c>
      <c r="D36" s="4" t="s">
        <v>37</v>
      </c>
      <c r="E36" s="4" t="s">
        <v>25</v>
      </c>
      <c r="F36" s="4" t="s">
        <v>57</v>
      </c>
      <c r="G36" s="4" t="s">
        <v>25</v>
      </c>
      <c r="H36" s="4" t="s">
        <v>33</v>
      </c>
      <c r="I36" s="5">
        <v>44713</v>
      </c>
      <c r="J36" s="6">
        <v>3283</v>
      </c>
      <c r="K36" s="6">
        <v>1641.5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58</v>
      </c>
      <c r="R36" s="4">
        <v>0</v>
      </c>
      <c r="S36" s="6">
        <v>2</v>
      </c>
      <c r="T36" s="6">
        <v>0</v>
      </c>
      <c r="U36" s="6">
        <v>0</v>
      </c>
      <c r="V36" s="6">
        <f>IF(ISERROR(VLOOKUP($S$36,'TAR FIN'!$A$1:$O$88,15,0)),0,VLOOKUP($S$36,'TAR FIN'!$A$1:$O$88,15,0))</f>
        <v>50.05</v>
      </c>
      <c r="W36" s="6">
        <f>IF(ISERROR(VLOOKUP($T$36,'TAR FIN'!$A$1:$O$88,15,0)),0,VLOOKUP($T$36,'TAR FIN'!$A$1:$O$88,15,0))</f>
        <v>0</v>
      </c>
      <c r="X36" s="6">
        <f>IF(ISERROR(VLOOKUP($U$36,'TAR FIN'!$A$1:$O$88,15,0)),0,VLOOKUP($U$36,'TAR FIN'!$A$1:$O$88,15,0))</f>
        <v>0</v>
      </c>
      <c r="Y36" s="6">
        <f ca="1">('TUSD BE'!$AM$5+'TUSD BF'!$AM$5+'TUSD CVA'!$AM$5)*1</f>
        <v>39.785437301566063</v>
      </c>
      <c r="Z36" s="6">
        <f ca="1">('TUSD BE'!$AM$7+'TUSD BF'!$AM$7+'TUSD CVA'!$AM$7)*1</f>
        <v>83.275517807559041</v>
      </c>
      <c r="AA36" s="6"/>
      <c r="AB36" s="6">
        <f>$K$36*$V$36</f>
        <v>82157.074999999997</v>
      </c>
      <c r="AC36" s="6">
        <f>$M$36*$W$36</f>
        <v>0</v>
      </c>
      <c r="AD36" s="6">
        <f>$O$36*$X$36</f>
        <v>0</v>
      </c>
      <c r="AE36" s="6">
        <f ca="1">$K$36*$Y$36</f>
        <v>65307.79533052069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55</v>
      </c>
      <c r="B37" s="4" t="s">
        <v>38</v>
      </c>
      <c r="C37" s="4" t="s">
        <v>56</v>
      </c>
      <c r="D37" s="4" t="s">
        <v>37</v>
      </c>
      <c r="E37" s="4" t="s">
        <v>25</v>
      </c>
      <c r="F37" s="4" t="s">
        <v>57</v>
      </c>
      <c r="G37" s="4" t="s">
        <v>25</v>
      </c>
      <c r="H37" s="4" t="s">
        <v>33</v>
      </c>
      <c r="I37" s="5">
        <v>44743</v>
      </c>
      <c r="J37" s="6">
        <v>3283</v>
      </c>
      <c r="K37" s="6">
        <v>1641.5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58</v>
      </c>
      <c r="R37" s="4">
        <v>0</v>
      </c>
      <c r="S37" s="6">
        <v>2</v>
      </c>
      <c r="T37" s="6">
        <v>0</v>
      </c>
      <c r="U37" s="6">
        <v>0</v>
      </c>
      <c r="V37" s="6">
        <f>IF(ISERROR(VLOOKUP($S$37,'TAR FIN'!$A$1:$O$88,15,0)),0,VLOOKUP($S$37,'TAR FIN'!$A$1:$O$88,15,0))</f>
        <v>50.05</v>
      </c>
      <c r="W37" s="6">
        <f>IF(ISERROR(VLOOKUP($T$37,'TAR FIN'!$A$1:$O$88,15,0)),0,VLOOKUP($T$37,'TAR FIN'!$A$1:$O$88,15,0))</f>
        <v>0</v>
      </c>
      <c r="X37" s="6">
        <f>IF(ISERROR(VLOOKUP($U$37,'TAR FIN'!$A$1:$O$88,15,0)),0,VLOOKUP($U$37,'TAR FIN'!$A$1:$O$88,15,0))</f>
        <v>0</v>
      </c>
      <c r="Y37" s="6">
        <f ca="1">('TUSD BE'!$AM$5+'TUSD BF'!$AM$5+'TUSD CVA'!$AM$5)*1</f>
        <v>39.785437301566063</v>
      </c>
      <c r="Z37" s="6">
        <f ca="1">('TUSD BE'!$AM$7+'TUSD BF'!$AM$7+'TUSD CVA'!$AM$7)*1</f>
        <v>83.275517807559041</v>
      </c>
      <c r="AA37" s="6"/>
      <c r="AB37" s="6">
        <f>$K$37*$V$37</f>
        <v>82157.074999999997</v>
      </c>
      <c r="AC37" s="6">
        <f>$M$37*$W$37</f>
        <v>0</v>
      </c>
      <c r="AD37" s="6">
        <f>$O$37*$X$37</f>
        <v>0</v>
      </c>
      <c r="AE37" s="6">
        <f ca="1">$K$37*$Y$37</f>
        <v>65307.79533052069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38</v>
      </c>
      <c r="C38" s="4" t="s">
        <v>39</v>
      </c>
      <c r="D38" s="4" t="s">
        <v>40</v>
      </c>
      <c r="E38" s="4" t="s">
        <v>25</v>
      </c>
      <c r="F38" s="4" t="s">
        <v>25</v>
      </c>
      <c r="G38" s="4" t="s">
        <v>25</v>
      </c>
      <c r="H38" s="4" t="s">
        <v>34</v>
      </c>
      <c r="I38" s="5">
        <v>44409</v>
      </c>
      <c r="J38" s="6">
        <v>0</v>
      </c>
      <c r="K38" s="6">
        <v>0</v>
      </c>
      <c r="L38" s="6">
        <v>214.33199999999999</v>
      </c>
      <c r="M38" s="6">
        <v>214.33199999999999</v>
      </c>
      <c r="N38" s="6">
        <v>214.33199999999999</v>
      </c>
      <c r="O38" s="6">
        <v>214.33199999999999</v>
      </c>
      <c r="P38" s="6">
        <v>0</v>
      </c>
      <c r="Q38" s="4" t="s">
        <v>26</v>
      </c>
      <c r="R38" s="4">
        <v>0</v>
      </c>
      <c r="S38" s="6">
        <v>0</v>
      </c>
      <c r="T38" s="6">
        <v>21</v>
      </c>
      <c r="U38" s="6">
        <v>70</v>
      </c>
      <c r="V38" s="6">
        <f>IF(ISERROR(VLOOKUP($S$38,'TAR FIN'!$A$1:$O$88,15,0)),0,VLOOKUP($S$38,'TAR FIN'!$A$1:$O$88,15,0))</f>
        <v>0</v>
      </c>
      <c r="W38" s="6">
        <f>IF(ISERROR(VLOOKUP($T$38,'TAR FIN'!$A$1:$O$88,15,0)),0,VLOOKUP($T$38,'TAR FIN'!$A$1:$O$88,15,0))</f>
        <v>73.790000000000006</v>
      </c>
      <c r="X38" s="6">
        <f>IF(ISERROR(VLOOKUP($U$38,'TAR FIN'!$A$1:$O$88,15,0)),0,VLOOKUP($U$38,'TAR FIN'!$A$1:$O$88,15,0))</f>
        <v>266.70999999999998</v>
      </c>
      <c r="Y38" s="6"/>
      <c r="Z38" s="6">
        <f ca="1">('TUSD BE'!$AM$12+'TUSD BF'!$AM$12+'TUSD CVA'!$AM$12)*1</f>
        <v>83.275517807559041</v>
      </c>
      <c r="AA38" s="6">
        <f>('TE BE'!$AB$6+'TE BF'!$AB$6+'TE CVA'!$AB$6)*1</f>
        <v>197.6895725142987</v>
      </c>
      <c r="AB38" s="6">
        <f>$K$38*$V$38</f>
        <v>0</v>
      </c>
      <c r="AC38" s="6">
        <f>$M$38*$W$38</f>
        <v>15815.558280000001</v>
      </c>
      <c r="AD38" s="6">
        <f>$O$38*$X$38</f>
        <v>57164.487719999997</v>
      </c>
      <c r="AE38" s="6">
        <f>$K$38*$Y$38</f>
        <v>0</v>
      </c>
      <c r="AF38" s="6">
        <f ca="1">$M$38*$Z$38</f>
        <v>17848.608282729743</v>
      </c>
      <c r="AG38" s="6">
        <f>$O$38*$AA$38</f>
        <v>42371.201456134666</v>
      </c>
    </row>
    <row r="39" spans="1:33" ht="11.25" customHeight="1" x14ac:dyDescent="0.25">
      <c r="A39" s="4" t="s">
        <v>21</v>
      </c>
      <c r="B39" s="4" t="s">
        <v>38</v>
      </c>
      <c r="C39" s="4" t="s">
        <v>39</v>
      </c>
      <c r="D39" s="4" t="s">
        <v>40</v>
      </c>
      <c r="E39" s="4" t="s">
        <v>25</v>
      </c>
      <c r="F39" s="4" t="s">
        <v>25</v>
      </c>
      <c r="G39" s="4" t="s">
        <v>25</v>
      </c>
      <c r="H39" s="4" t="s">
        <v>34</v>
      </c>
      <c r="I39" s="5">
        <v>44440</v>
      </c>
      <c r="J39" s="6">
        <v>0</v>
      </c>
      <c r="K39" s="6">
        <v>0</v>
      </c>
      <c r="L39" s="6">
        <v>189.839</v>
      </c>
      <c r="M39" s="6">
        <v>189.839</v>
      </c>
      <c r="N39" s="6">
        <v>189.839</v>
      </c>
      <c r="O39" s="6">
        <v>189.839</v>
      </c>
      <c r="P39" s="6">
        <v>0</v>
      </c>
      <c r="Q39" s="4" t="s">
        <v>26</v>
      </c>
      <c r="R39" s="4">
        <v>0</v>
      </c>
      <c r="S39" s="6">
        <v>0</v>
      </c>
      <c r="T39" s="6">
        <v>21</v>
      </c>
      <c r="U39" s="6">
        <v>70</v>
      </c>
      <c r="V39" s="6">
        <f>IF(ISERROR(VLOOKUP($S$39,'TAR FIN'!$A$1:$O$88,15,0)),0,VLOOKUP($S$39,'TAR FIN'!$A$1:$O$88,15,0))</f>
        <v>0</v>
      </c>
      <c r="W39" s="6">
        <f>IF(ISERROR(VLOOKUP($T$39,'TAR FIN'!$A$1:$O$88,15,0)),0,VLOOKUP($T$39,'TAR FIN'!$A$1:$O$88,15,0))</f>
        <v>73.790000000000006</v>
      </c>
      <c r="X39" s="6">
        <f>IF(ISERROR(VLOOKUP($U$39,'TAR FIN'!$A$1:$O$88,15,0)),0,VLOOKUP($U$39,'TAR FIN'!$A$1:$O$88,15,0))</f>
        <v>266.70999999999998</v>
      </c>
      <c r="Y39" s="6"/>
      <c r="Z39" s="6">
        <f ca="1">('TUSD BE'!$AM$12+'TUSD BF'!$AM$12+'TUSD CVA'!$AM$12)*1</f>
        <v>83.275517807559041</v>
      </c>
      <c r="AA39" s="6">
        <f>('TE BE'!$AB$6+'TE BF'!$AB$6+'TE CVA'!$AB$6)*1</f>
        <v>197.6895725142987</v>
      </c>
      <c r="AB39" s="6">
        <f>$K$39*$V$39</f>
        <v>0</v>
      </c>
      <c r="AC39" s="6">
        <f>$M$39*$W$39</f>
        <v>14008.219810000001</v>
      </c>
      <c r="AD39" s="6">
        <f>$O$39*$X$39</f>
        <v>50631.959689999996</v>
      </c>
      <c r="AE39" s="6">
        <f>$K$39*$Y$39</f>
        <v>0</v>
      </c>
      <c r="AF39" s="6">
        <f ca="1">$M$39*$Z$39</f>
        <v>15808.9410250692</v>
      </c>
      <c r="AG39" s="6">
        <f>$O$39*$AA$39</f>
        <v>37529.190756541953</v>
      </c>
    </row>
    <row r="40" spans="1:33" ht="11.25" customHeight="1" x14ac:dyDescent="0.25">
      <c r="A40" s="4" t="s">
        <v>21</v>
      </c>
      <c r="B40" s="4" t="s">
        <v>38</v>
      </c>
      <c r="C40" s="4" t="s">
        <v>39</v>
      </c>
      <c r="D40" s="4" t="s">
        <v>40</v>
      </c>
      <c r="E40" s="4" t="s">
        <v>25</v>
      </c>
      <c r="F40" s="4" t="s">
        <v>25</v>
      </c>
      <c r="G40" s="4" t="s">
        <v>25</v>
      </c>
      <c r="H40" s="4" t="s">
        <v>34</v>
      </c>
      <c r="I40" s="5">
        <v>44470</v>
      </c>
      <c r="J40" s="6">
        <v>0</v>
      </c>
      <c r="K40" s="6">
        <v>0</v>
      </c>
      <c r="L40" s="6">
        <v>270.11</v>
      </c>
      <c r="M40" s="6">
        <v>270.11</v>
      </c>
      <c r="N40" s="6">
        <v>270.11</v>
      </c>
      <c r="O40" s="6">
        <v>270.11</v>
      </c>
      <c r="P40" s="6">
        <v>0</v>
      </c>
      <c r="Q40" s="4" t="s">
        <v>26</v>
      </c>
      <c r="R40" s="4">
        <v>0</v>
      </c>
      <c r="S40" s="6">
        <v>0</v>
      </c>
      <c r="T40" s="6">
        <v>21</v>
      </c>
      <c r="U40" s="6">
        <v>70</v>
      </c>
      <c r="V40" s="6">
        <f>IF(ISERROR(VLOOKUP($S$40,'TAR FIN'!$A$1:$O$88,15,0)),0,VLOOKUP($S$40,'TAR FIN'!$A$1:$O$88,15,0))</f>
        <v>0</v>
      </c>
      <c r="W40" s="6">
        <f>IF(ISERROR(VLOOKUP($T$40,'TAR FIN'!$A$1:$O$88,15,0)),0,VLOOKUP($T$40,'TAR FIN'!$A$1:$O$88,15,0))</f>
        <v>73.790000000000006</v>
      </c>
      <c r="X40" s="6">
        <f>IF(ISERROR(VLOOKUP($U$40,'TAR FIN'!$A$1:$O$88,15,0)),0,VLOOKUP($U$40,'TAR FIN'!$A$1:$O$88,15,0))</f>
        <v>266.70999999999998</v>
      </c>
      <c r="Y40" s="6"/>
      <c r="Z40" s="6">
        <f ca="1">('TUSD BE'!$AM$12+'TUSD BF'!$AM$12+'TUSD CVA'!$AM$12)*1</f>
        <v>83.275517807559041</v>
      </c>
      <c r="AA40" s="6">
        <f>('TE BE'!$AB$6+'TE BF'!$AB$6+'TE CVA'!$AB$6)*1</f>
        <v>197.6895725142987</v>
      </c>
      <c r="AB40" s="6">
        <f>$K$40*$V$40</f>
        <v>0</v>
      </c>
      <c r="AC40" s="6">
        <f>$M$40*$W$40</f>
        <v>19931.416900000004</v>
      </c>
      <c r="AD40" s="6">
        <f>$O$40*$X$40</f>
        <v>72041.038100000005</v>
      </c>
      <c r="AE40" s="6">
        <f>$K$40*$Y$40</f>
        <v>0</v>
      </c>
      <c r="AF40" s="6">
        <f ca="1">$M$40*$Z$40</f>
        <v>22493.550114999773</v>
      </c>
      <c r="AG40" s="6">
        <f>$O$40*$AA$40</f>
        <v>53397.930431837223</v>
      </c>
    </row>
    <row r="41" spans="1:33" ht="11.25" customHeight="1" x14ac:dyDescent="0.25">
      <c r="A41" s="4" t="s">
        <v>21</v>
      </c>
      <c r="B41" s="4" t="s">
        <v>38</v>
      </c>
      <c r="C41" s="4" t="s">
        <v>39</v>
      </c>
      <c r="D41" s="4" t="s">
        <v>40</v>
      </c>
      <c r="E41" s="4" t="s">
        <v>25</v>
      </c>
      <c r="F41" s="4" t="s">
        <v>25</v>
      </c>
      <c r="G41" s="4" t="s">
        <v>25</v>
      </c>
      <c r="H41" s="4" t="s">
        <v>34</v>
      </c>
      <c r="I41" s="5">
        <v>44501</v>
      </c>
      <c r="J41" s="6">
        <v>0</v>
      </c>
      <c r="K41" s="6">
        <v>0</v>
      </c>
      <c r="L41" s="6">
        <v>267.45999999999998</v>
      </c>
      <c r="M41" s="6">
        <v>267.45999999999998</v>
      </c>
      <c r="N41" s="6">
        <v>267.45999999999998</v>
      </c>
      <c r="O41" s="6">
        <v>267.45999999999998</v>
      </c>
      <c r="P41" s="6">
        <v>0</v>
      </c>
      <c r="Q41" s="4" t="s">
        <v>26</v>
      </c>
      <c r="R41" s="4">
        <v>0</v>
      </c>
      <c r="S41" s="6">
        <v>0</v>
      </c>
      <c r="T41" s="6">
        <v>21</v>
      </c>
      <c r="U41" s="6">
        <v>70</v>
      </c>
      <c r="V41" s="6">
        <f>IF(ISERROR(VLOOKUP($S$41,'TAR FIN'!$A$1:$O$88,15,0)),0,VLOOKUP($S$41,'TAR FIN'!$A$1:$O$88,15,0))</f>
        <v>0</v>
      </c>
      <c r="W41" s="6">
        <f>IF(ISERROR(VLOOKUP($T$41,'TAR FIN'!$A$1:$O$88,15,0)),0,VLOOKUP($T$41,'TAR FIN'!$A$1:$O$88,15,0))</f>
        <v>73.790000000000006</v>
      </c>
      <c r="X41" s="6">
        <f>IF(ISERROR(VLOOKUP($U$41,'TAR FIN'!$A$1:$O$88,15,0)),0,VLOOKUP($U$41,'TAR FIN'!$A$1:$O$88,15,0))</f>
        <v>266.70999999999998</v>
      </c>
      <c r="Y41" s="6"/>
      <c r="Z41" s="6">
        <f ca="1">('TUSD BE'!$AM$12+'TUSD BF'!$AM$12+'TUSD CVA'!$AM$12)*1</f>
        <v>83.275517807559041</v>
      </c>
      <c r="AA41" s="6">
        <f>('TE BE'!$AB$6+'TE BF'!$AB$6+'TE CVA'!$AB$6)*1</f>
        <v>197.6895725142987</v>
      </c>
      <c r="AB41" s="6">
        <f>$K$41*$V$41</f>
        <v>0</v>
      </c>
      <c r="AC41" s="6">
        <f>$M$41*$W$41</f>
        <v>19735.8734</v>
      </c>
      <c r="AD41" s="6">
        <f>$O$41*$X$41</f>
        <v>71334.256599999993</v>
      </c>
      <c r="AE41" s="6">
        <f>$K$41*$Y$41</f>
        <v>0</v>
      </c>
      <c r="AF41" s="6">
        <f ca="1">$M$41*$Z$41</f>
        <v>22272.869992809738</v>
      </c>
      <c r="AG41" s="6">
        <f>$O$41*$AA$41</f>
        <v>52874.053064674328</v>
      </c>
    </row>
    <row r="42" spans="1:33" ht="11.25" customHeight="1" x14ac:dyDescent="0.25">
      <c r="A42" s="4" t="s">
        <v>21</v>
      </c>
      <c r="B42" s="4" t="s">
        <v>38</v>
      </c>
      <c r="C42" s="4" t="s">
        <v>39</v>
      </c>
      <c r="D42" s="4" t="s">
        <v>40</v>
      </c>
      <c r="E42" s="4" t="s">
        <v>25</v>
      </c>
      <c r="F42" s="4" t="s">
        <v>25</v>
      </c>
      <c r="G42" s="4" t="s">
        <v>25</v>
      </c>
      <c r="H42" s="4" t="s">
        <v>34</v>
      </c>
      <c r="I42" s="5">
        <v>44531</v>
      </c>
      <c r="J42" s="6">
        <v>0</v>
      </c>
      <c r="K42" s="6">
        <v>0</v>
      </c>
      <c r="L42" s="6">
        <v>240.125</v>
      </c>
      <c r="M42" s="6">
        <v>240.125</v>
      </c>
      <c r="N42" s="6">
        <v>240.125</v>
      </c>
      <c r="O42" s="6">
        <v>240.125</v>
      </c>
      <c r="P42" s="6">
        <v>0</v>
      </c>
      <c r="Q42" s="4" t="s">
        <v>26</v>
      </c>
      <c r="R42" s="4">
        <v>0</v>
      </c>
      <c r="S42" s="6">
        <v>0</v>
      </c>
      <c r="T42" s="6">
        <v>21</v>
      </c>
      <c r="U42" s="6">
        <v>70</v>
      </c>
      <c r="V42" s="6">
        <f>IF(ISERROR(VLOOKUP($S$42,'TAR FIN'!$A$1:$O$88,15,0)),0,VLOOKUP($S$42,'TAR FIN'!$A$1:$O$88,15,0))</f>
        <v>0</v>
      </c>
      <c r="W42" s="6">
        <f>IF(ISERROR(VLOOKUP($T$42,'TAR FIN'!$A$1:$O$88,15,0)),0,VLOOKUP($T$42,'TAR FIN'!$A$1:$O$88,15,0))</f>
        <v>73.790000000000006</v>
      </c>
      <c r="X42" s="6">
        <f>IF(ISERROR(VLOOKUP($U$42,'TAR FIN'!$A$1:$O$88,15,0)),0,VLOOKUP($U$42,'TAR FIN'!$A$1:$O$88,15,0))</f>
        <v>266.70999999999998</v>
      </c>
      <c r="Y42" s="6"/>
      <c r="Z42" s="6">
        <f ca="1">('TUSD BE'!$AM$12+'TUSD BF'!$AM$12+'TUSD CVA'!$AM$12)*1</f>
        <v>83.275517807559041</v>
      </c>
      <c r="AA42" s="6">
        <f>('TE BE'!$AB$6+'TE BF'!$AB$6+'TE CVA'!$AB$6)*1</f>
        <v>197.6895725142987</v>
      </c>
      <c r="AB42" s="6">
        <f>$K$42*$V$42</f>
        <v>0</v>
      </c>
      <c r="AC42" s="6">
        <f>$M$42*$W$42</f>
        <v>17718.823750000003</v>
      </c>
      <c r="AD42" s="6">
        <f>$O$42*$X$42</f>
        <v>64043.738749999997</v>
      </c>
      <c r="AE42" s="6">
        <f>$K$42*$Y$42</f>
        <v>0</v>
      </c>
      <c r="AF42" s="6">
        <f ca="1">$M$42*$Z$42</f>
        <v>19996.533713540113</v>
      </c>
      <c r="AG42" s="6">
        <f>$O$42*$AA$42</f>
        <v>47470.208599995975</v>
      </c>
    </row>
    <row r="43" spans="1:33" ht="11.25" customHeight="1" x14ac:dyDescent="0.25">
      <c r="A43" s="4" t="s">
        <v>21</v>
      </c>
      <c r="B43" s="4" t="s">
        <v>38</v>
      </c>
      <c r="C43" s="4" t="s">
        <v>39</v>
      </c>
      <c r="D43" s="4" t="s">
        <v>40</v>
      </c>
      <c r="E43" s="4" t="s">
        <v>25</v>
      </c>
      <c r="F43" s="4" t="s">
        <v>25</v>
      </c>
      <c r="G43" s="4" t="s">
        <v>25</v>
      </c>
      <c r="H43" s="4" t="s">
        <v>34</v>
      </c>
      <c r="I43" s="5">
        <v>44562</v>
      </c>
      <c r="J43" s="6">
        <v>0</v>
      </c>
      <c r="K43" s="6">
        <v>0</v>
      </c>
      <c r="L43" s="6">
        <v>232.13399999999999</v>
      </c>
      <c r="M43" s="6">
        <v>232.13399999999999</v>
      </c>
      <c r="N43" s="6">
        <v>232.13399999999999</v>
      </c>
      <c r="O43" s="6">
        <v>232.13399999999999</v>
      </c>
      <c r="P43" s="6">
        <v>0</v>
      </c>
      <c r="Q43" s="4" t="s">
        <v>26</v>
      </c>
      <c r="R43" s="4">
        <v>0</v>
      </c>
      <c r="S43" s="6">
        <v>0</v>
      </c>
      <c r="T43" s="6">
        <v>21</v>
      </c>
      <c r="U43" s="6">
        <v>70</v>
      </c>
      <c r="V43" s="6">
        <f>IF(ISERROR(VLOOKUP($S$43,'TAR FIN'!$A$1:$O$88,15,0)),0,VLOOKUP($S$43,'TAR FIN'!$A$1:$O$88,15,0))</f>
        <v>0</v>
      </c>
      <c r="W43" s="6">
        <f>IF(ISERROR(VLOOKUP($T$43,'TAR FIN'!$A$1:$O$88,15,0)),0,VLOOKUP($T$43,'TAR FIN'!$A$1:$O$88,15,0))</f>
        <v>73.790000000000006</v>
      </c>
      <c r="X43" s="6">
        <f>IF(ISERROR(VLOOKUP($U$43,'TAR FIN'!$A$1:$O$88,15,0)),0,VLOOKUP($U$43,'TAR FIN'!$A$1:$O$88,15,0))</f>
        <v>266.70999999999998</v>
      </c>
      <c r="Y43" s="6"/>
      <c r="Z43" s="6">
        <f ca="1">('TUSD BE'!$AM$12+'TUSD BF'!$AM$12+'TUSD CVA'!$AM$12)*1</f>
        <v>83.275517807559041</v>
      </c>
      <c r="AA43" s="6">
        <f>('TE BE'!$AB$6+'TE BF'!$AB$6+'TE CVA'!$AB$6)*1</f>
        <v>197.6895725142987</v>
      </c>
      <c r="AB43" s="6">
        <f>$K$43*$V$43</f>
        <v>0</v>
      </c>
      <c r="AC43" s="6">
        <f>$M$43*$W$43</f>
        <v>17129.167860000001</v>
      </c>
      <c r="AD43" s="6">
        <f>$O$43*$X$43</f>
        <v>61912.459139999992</v>
      </c>
      <c r="AE43" s="6">
        <f>$K$43*$Y$43</f>
        <v>0</v>
      </c>
      <c r="AF43" s="6">
        <f ca="1">$M$43*$Z$43</f>
        <v>19331.079050739911</v>
      </c>
      <c r="AG43" s="6">
        <f>$O$43*$AA$43</f>
        <v>45890.471226034213</v>
      </c>
    </row>
    <row r="44" spans="1:33" ht="11.25" customHeight="1" x14ac:dyDescent="0.25">
      <c r="A44" s="4" t="s">
        <v>21</v>
      </c>
      <c r="B44" s="4" t="s">
        <v>38</v>
      </c>
      <c r="C44" s="4" t="s">
        <v>39</v>
      </c>
      <c r="D44" s="4" t="s">
        <v>40</v>
      </c>
      <c r="E44" s="4" t="s">
        <v>25</v>
      </c>
      <c r="F44" s="4" t="s">
        <v>25</v>
      </c>
      <c r="G44" s="4" t="s">
        <v>25</v>
      </c>
      <c r="H44" s="4" t="s">
        <v>34</v>
      </c>
      <c r="I44" s="5">
        <v>44593</v>
      </c>
      <c r="J44" s="6">
        <v>0</v>
      </c>
      <c r="K44" s="6">
        <v>0</v>
      </c>
      <c r="L44" s="6">
        <v>262.23099999999999</v>
      </c>
      <c r="M44" s="6">
        <v>262.23099999999999</v>
      </c>
      <c r="N44" s="6">
        <v>262.23099999999999</v>
      </c>
      <c r="O44" s="6">
        <v>262.23099999999999</v>
      </c>
      <c r="P44" s="6">
        <v>0</v>
      </c>
      <c r="Q44" s="4" t="s">
        <v>26</v>
      </c>
      <c r="R44" s="4">
        <v>0</v>
      </c>
      <c r="S44" s="6">
        <v>0</v>
      </c>
      <c r="T44" s="6">
        <v>21</v>
      </c>
      <c r="U44" s="6">
        <v>70</v>
      </c>
      <c r="V44" s="6">
        <f>IF(ISERROR(VLOOKUP($S$44,'TAR FIN'!$A$1:$O$88,15,0)),0,VLOOKUP($S$44,'TAR FIN'!$A$1:$O$88,15,0))</f>
        <v>0</v>
      </c>
      <c r="W44" s="6">
        <f>IF(ISERROR(VLOOKUP($T$44,'TAR FIN'!$A$1:$O$88,15,0)),0,VLOOKUP($T$44,'TAR FIN'!$A$1:$O$88,15,0))</f>
        <v>73.790000000000006</v>
      </c>
      <c r="X44" s="6">
        <f>IF(ISERROR(VLOOKUP($U$44,'TAR FIN'!$A$1:$O$88,15,0)),0,VLOOKUP($U$44,'TAR FIN'!$A$1:$O$88,15,0))</f>
        <v>266.70999999999998</v>
      </c>
      <c r="Y44" s="6"/>
      <c r="Z44" s="6">
        <f ca="1">('TUSD BE'!$AM$12+'TUSD BF'!$AM$12+'TUSD CVA'!$AM$12)*1</f>
        <v>83.275517807559041</v>
      </c>
      <c r="AA44" s="6">
        <f>('TE BE'!$AB$6+'TE BF'!$AB$6+'TE CVA'!$AB$6)*1</f>
        <v>197.6895725142987</v>
      </c>
      <c r="AB44" s="6">
        <f>$K$44*$V$44</f>
        <v>0</v>
      </c>
      <c r="AC44" s="6">
        <f>$M$44*$W$44</f>
        <v>19350.02549</v>
      </c>
      <c r="AD44" s="6">
        <f>$O$44*$X$44</f>
        <v>69939.630009999993</v>
      </c>
      <c r="AE44" s="6">
        <f>$K$44*$Y$44</f>
        <v>0</v>
      </c>
      <c r="AF44" s="6">
        <f ca="1">$M$44*$Z$44</f>
        <v>21837.422310194015</v>
      </c>
      <c r="AG44" s="6">
        <f>$O$44*$AA$44</f>
        <v>51840.334289997059</v>
      </c>
    </row>
    <row r="45" spans="1:33" ht="11.25" customHeight="1" x14ac:dyDescent="0.25">
      <c r="A45" s="4" t="s">
        <v>21</v>
      </c>
      <c r="B45" s="4" t="s">
        <v>38</v>
      </c>
      <c r="C45" s="4" t="s">
        <v>39</v>
      </c>
      <c r="D45" s="4" t="s">
        <v>40</v>
      </c>
      <c r="E45" s="4" t="s">
        <v>25</v>
      </c>
      <c r="F45" s="4" t="s">
        <v>25</v>
      </c>
      <c r="G45" s="4" t="s">
        <v>25</v>
      </c>
      <c r="H45" s="4" t="s">
        <v>34</v>
      </c>
      <c r="I45" s="5">
        <v>44621</v>
      </c>
      <c r="J45" s="6">
        <v>0</v>
      </c>
      <c r="K45" s="6">
        <v>0</v>
      </c>
      <c r="L45" s="6">
        <v>293.43700000000001</v>
      </c>
      <c r="M45" s="6">
        <v>293.43700000000001</v>
      </c>
      <c r="N45" s="6">
        <v>293.43700000000001</v>
      </c>
      <c r="O45" s="6">
        <v>293.43700000000001</v>
      </c>
      <c r="P45" s="6">
        <v>0</v>
      </c>
      <c r="Q45" s="4" t="s">
        <v>26</v>
      </c>
      <c r="R45" s="4">
        <v>0</v>
      </c>
      <c r="S45" s="6">
        <v>0</v>
      </c>
      <c r="T45" s="6">
        <v>21</v>
      </c>
      <c r="U45" s="6">
        <v>70</v>
      </c>
      <c r="V45" s="6">
        <f>IF(ISERROR(VLOOKUP($S$45,'TAR FIN'!$A$1:$O$88,15,0)),0,VLOOKUP($S$45,'TAR FIN'!$A$1:$O$88,15,0))</f>
        <v>0</v>
      </c>
      <c r="W45" s="6">
        <f>IF(ISERROR(VLOOKUP($T$45,'TAR FIN'!$A$1:$O$88,15,0)),0,VLOOKUP($T$45,'TAR FIN'!$A$1:$O$88,15,0))</f>
        <v>73.790000000000006</v>
      </c>
      <c r="X45" s="6">
        <f>IF(ISERROR(VLOOKUP($U$45,'TAR FIN'!$A$1:$O$88,15,0)),0,VLOOKUP($U$45,'TAR FIN'!$A$1:$O$88,15,0))</f>
        <v>266.70999999999998</v>
      </c>
      <c r="Y45" s="6"/>
      <c r="Z45" s="6">
        <f ca="1">('TUSD BE'!$AM$12+'TUSD BF'!$AM$12+'TUSD CVA'!$AM$12)*1</f>
        <v>83.275517807559041</v>
      </c>
      <c r="AA45" s="6">
        <f>('TE BE'!$AB$6+'TE BF'!$AB$6+'TE CVA'!$AB$6)*1</f>
        <v>197.6895725142987</v>
      </c>
      <c r="AB45" s="6">
        <f>$K$45*$V$45</f>
        <v>0</v>
      </c>
      <c r="AC45" s="6">
        <f>$M$45*$W$45</f>
        <v>21652.716230000002</v>
      </c>
      <c r="AD45" s="6">
        <f>$O$45*$X$45</f>
        <v>78262.582269999999</v>
      </c>
      <c r="AE45" s="6">
        <f>$K$45*$Y$45</f>
        <v>0</v>
      </c>
      <c r="AF45" s="6">
        <f ca="1">$M$45*$Z$45</f>
        <v>24436.118118896702</v>
      </c>
      <c r="AG45" s="6">
        <f>$O$45*$AA$45</f>
        <v>58009.435089878272</v>
      </c>
    </row>
    <row r="46" spans="1:33" ht="11.25" customHeight="1" x14ac:dyDescent="0.25">
      <c r="A46" s="4" t="s">
        <v>21</v>
      </c>
      <c r="B46" s="4" t="s">
        <v>38</v>
      </c>
      <c r="C46" s="4" t="s">
        <v>39</v>
      </c>
      <c r="D46" s="4" t="s">
        <v>40</v>
      </c>
      <c r="E46" s="4" t="s">
        <v>25</v>
      </c>
      <c r="F46" s="4" t="s">
        <v>25</v>
      </c>
      <c r="G46" s="4" t="s">
        <v>25</v>
      </c>
      <c r="H46" s="4" t="s">
        <v>34</v>
      </c>
      <c r="I46" s="5">
        <v>44652</v>
      </c>
      <c r="J46" s="6">
        <v>0</v>
      </c>
      <c r="K46" s="6">
        <v>0</v>
      </c>
      <c r="L46" s="6">
        <v>227.185</v>
      </c>
      <c r="M46" s="6">
        <v>227.185</v>
      </c>
      <c r="N46" s="6">
        <v>227.185</v>
      </c>
      <c r="O46" s="6">
        <v>227.185</v>
      </c>
      <c r="P46" s="6">
        <v>0</v>
      </c>
      <c r="Q46" s="4" t="s">
        <v>26</v>
      </c>
      <c r="R46" s="4">
        <v>0</v>
      </c>
      <c r="S46" s="6">
        <v>0</v>
      </c>
      <c r="T46" s="6">
        <v>21</v>
      </c>
      <c r="U46" s="6">
        <v>70</v>
      </c>
      <c r="V46" s="6">
        <f>IF(ISERROR(VLOOKUP($S$46,'TAR FIN'!$A$1:$O$88,15,0)),0,VLOOKUP($S$46,'TAR FIN'!$A$1:$O$88,15,0))</f>
        <v>0</v>
      </c>
      <c r="W46" s="6">
        <f>IF(ISERROR(VLOOKUP($T$46,'TAR FIN'!$A$1:$O$88,15,0)),0,VLOOKUP($T$46,'TAR FIN'!$A$1:$O$88,15,0))</f>
        <v>73.790000000000006</v>
      </c>
      <c r="X46" s="6">
        <f>IF(ISERROR(VLOOKUP($U$46,'TAR FIN'!$A$1:$O$88,15,0)),0,VLOOKUP($U$46,'TAR FIN'!$A$1:$O$88,15,0))</f>
        <v>266.70999999999998</v>
      </c>
      <c r="Y46" s="6"/>
      <c r="Z46" s="6">
        <f ca="1">('TUSD BE'!$AM$12+'TUSD BF'!$AM$12+'TUSD CVA'!$AM$12)*1</f>
        <v>83.275517807559041</v>
      </c>
      <c r="AA46" s="6">
        <f>('TE BE'!$AB$6+'TE BF'!$AB$6+'TE CVA'!$AB$6)*1</f>
        <v>197.6895725142987</v>
      </c>
      <c r="AB46" s="6">
        <f>$K$46*$V$46</f>
        <v>0</v>
      </c>
      <c r="AC46" s="6">
        <f>$M$46*$W$46</f>
        <v>16763.981150000003</v>
      </c>
      <c r="AD46" s="6">
        <f>$O$46*$X$46</f>
        <v>60592.511349999993</v>
      </c>
      <c r="AE46" s="6">
        <f>$K$46*$Y$46</f>
        <v>0</v>
      </c>
      <c r="AF46" s="6">
        <f ca="1">$M$46*$Z$46</f>
        <v>18918.948513110299</v>
      </c>
      <c r="AG46" s="6">
        <f>$O$46*$AA$46</f>
        <v>44912.105531660949</v>
      </c>
    </row>
    <row r="47" spans="1:33" ht="11.25" customHeight="1" x14ac:dyDescent="0.25">
      <c r="A47" s="4" t="s">
        <v>21</v>
      </c>
      <c r="B47" s="4" t="s">
        <v>38</v>
      </c>
      <c r="C47" s="4" t="s">
        <v>39</v>
      </c>
      <c r="D47" s="4" t="s">
        <v>40</v>
      </c>
      <c r="E47" s="4" t="s">
        <v>25</v>
      </c>
      <c r="F47" s="4" t="s">
        <v>25</v>
      </c>
      <c r="G47" s="4" t="s">
        <v>25</v>
      </c>
      <c r="H47" s="4" t="s">
        <v>34</v>
      </c>
      <c r="I47" s="5">
        <v>44682</v>
      </c>
      <c r="J47" s="6">
        <v>0</v>
      </c>
      <c r="K47" s="6">
        <v>0</v>
      </c>
      <c r="L47" s="6">
        <v>200.93700000000001</v>
      </c>
      <c r="M47" s="6">
        <v>200.93700000000001</v>
      </c>
      <c r="N47" s="6">
        <v>200.93700000000001</v>
      </c>
      <c r="O47" s="6">
        <v>200.93700000000001</v>
      </c>
      <c r="P47" s="6">
        <v>0</v>
      </c>
      <c r="Q47" s="4" t="s">
        <v>26</v>
      </c>
      <c r="R47" s="4">
        <v>0</v>
      </c>
      <c r="S47" s="6">
        <v>0</v>
      </c>
      <c r="T47" s="6">
        <v>21</v>
      </c>
      <c r="U47" s="6">
        <v>70</v>
      </c>
      <c r="V47" s="6">
        <f>IF(ISERROR(VLOOKUP($S$47,'TAR FIN'!$A$1:$O$88,15,0)),0,VLOOKUP($S$47,'TAR FIN'!$A$1:$O$88,15,0))</f>
        <v>0</v>
      </c>
      <c r="W47" s="6">
        <f>IF(ISERROR(VLOOKUP($T$47,'TAR FIN'!$A$1:$O$88,15,0)),0,VLOOKUP($T$47,'TAR FIN'!$A$1:$O$88,15,0))</f>
        <v>73.790000000000006</v>
      </c>
      <c r="X47" s="6">
        <f>IF(ISERROR(VLOOKUP($U$47,'TAR FIN'!$A$1:$O$88,15,0)),0,VLOOKUP($U$47,'TAR FIN'!$A$1:$O$88,15,0))</f>
        <v>266.70999999999998</v>
      </c>
      <c r="Y47" s="6"/>
      <c r="Z47" s="6">
        <f ca="1">('TUSD BE'!$AM$12+'TUSD BF'!$AM$12+'TUSD CVA'!$AM$12)*1</f>
        <v>83.275517807559041</v>
      </c>
      <c r="AA47" s="6">
        <f>('TE BE'!$AB$6+'TE BF'!$AB$6+'TE CVA'!$AB$6)*1</f>
        <v>197.6895725142987</v>
      </c>
      <c r="AB47" s="6">
        <f>$K$47*$V$47</f>
        <v>0</v>
      </c>
      <c r="AC47" s="6">
        <f>$M$47*$W$47</f>
        <v>14827.141230000003</v>
      </c>
      <c r="AD47" s="6">
        <f>$O$47*$X$47</f>
        <v>53591.907269999996</v>
      </c>
      <c r="AE47" s="6">
        <f>$K$47*$Y$47</f>
        <v>0</v>
      </c>
      <c r="AF47" s="6">
        <f ca="1">$M$47*$Z$47</f>
        <v>16733.132721697493</v>
      </c>
      <c r="AG47" s="6">
        <f>$O$47*$AA$47</f>
        <v>39723.149632305642</v>
      </c>
    </row>
    <row r="48" spans="1:33" ht="11.25" customHeight="1" x14ac:dyDescent="0.25">
      <c r="A48" s="4" t="s">
        <v>21</v>
      </c>
      <c r="B48" s="4" t="s">
        <v>38</v>
      </c>
      <c r="C48" s="4" t="s">
        <v>39</v>
      </c>
      <c r="D48" s="4" t="s">
        <v>40</v>
      </c>
      <c r="E48" s="4" t="s">
        <v>25</v>
      </c>
      <c r="F48" s="4" t="s">
        <v>25</v>
      </c>
      <c r="G48" s="4" t="s">
        <v>25</v>
      </c>
      <c r="H48" s="4" t="s">
        <v>34</v>
      </c>
      <c r="I48" s="5">
        <v>44713</v>
      </c>
      <c r="J48" s="6">
        <v>0</v>
      </c>
      <c r="K48" s="6">
        <v>0</v>
      </c>
      <c r="L48" s="6">
        <v>181.31399999999999</v>
      </c>
      <c r="M48" s="6">
        <v>181.31399999999999</v>
      </c>
      <c r="N48" s="6">
        <v>181.31399999999999</v>
      </c>
      <c r="O48" s="6">
        <v>181.31399999999999</v>
      </c>
      <c r="P48" s="6">
        <v>0</v>
      </c>
      <c r="Q48" s="4" t="s">
        <v>26</v>
      </c>
      <c r="R48" s="4">
        <v>0</v>
      </c>
      <c r="S48" s="6">
        <v>0</v>
      </c>
      <c r="T48" s="6">
        <v>21</v>
      </c>
      <c r="U48" s="6">
        <v>70</v>
      </c>
      <c r="V48" s="6">
        <f>IF(ISERROR(VLOOKUP($S$48,'TAR FIN'!$A$1:$O$88,15,0)),0,VLOOKUP($S$48,'TAR FIN'!$A$1:$O$88,15,0))</f>
        <v>0</v>
      </c>
      <c r="W48" s="6">
        <f>IF(ISERROR(VLOOKUP($T$48,'TAR FIN'!$A$1:$O$88,15,0)),0,VLOOKUP($T$48,'TAR FIN'!$A$1:$O$88,15,0))</f>
        <v>73.790000000000006</v>
      </c>
      <c r="X48" s="6">
        <f>IF(ISERROR(VLOOKUP($U$48,'TAR FIN'!$A$1:$O$88,15,0)),0,VLOOKUP($U$48,'TAR FIN'!$A$1:$O$88,15,0))</f>
        <v>266.70999999999998</v>
      </c>
      <c r="Y48" s="6"/>
      <c r="Z48" s="6">
        <f ca="1">('TUSD BE'!$AM$12+'TUSD BF'!$AM$12+'TUSD CVA'!$AM$12)*1</f>
        <v>83.275517807559041</v>
      </c>
      <c r="AA48" s="6">
        <f>('TE BE'!$AB$6+'TE BF'!$AB$6+'TE CVA'!$AB$6)*1</f>
        <v>197.6895725142987</v>
      </c>
      <c r="AB48" s="6">
        <f>$K$48*$V$48</f>
        <v>0</v>
      </c>
      <c r="AC48" s="6">
        <f>$M$48*$W$48</f>
        <v>13379.16006</v>
      </c>
      <c r="AD48" s="6">
        <f>$O$48*$X$48</f>
        <v>48358.256939999992</v>
      </c>
      <c r="AE48" s="6">
        <f>$K$48*$Y$48</f>
        <v>0</v>
      </c>
      <c r="AF48" s="6">
        <f ca="1">$M$48*$Z$48</f>
        <v>15099.017235759758</v>
      </c>
      <c r="AG48" s="6">
        <f>$O$48*$AA$48</f>
        <v>35843.887150857554</v>
      </c>
    </row>
    <row r="49" spans="1:33" ht="11.25" customHeight="1" x14ac:dyDescent="0.25">
      <c r="A49" s="4" t="s">
        <v>55</v>
      </c>
      <c r="B49" s="4" t="s">
        <v>38</v>
      </c>
      <c r="C49" s="4" t="s">
        <v>39</v>
      </c>
      <c r="D49" s="4" t="s">
        <v>40</v>
      </c>
      <c r="E49" s="4" t="s">
        <v>25</v>
      </c>
      <c r="F49" s="4" t="s">
        <v>25</v>
      </c>
      <c r="G49" s="4" t="s">
        <v>25</v>
      </c>
      <c r="H49" s="4" t="s">
        <v>34</v>
      </c>
      <c r="I49" s="5">
        <v>44743</v>
      </c>
      <c r="J49" s="6">
        <v>0</v>
      </c>
      <c r="K49" s="6">
        <v>0</v>
      </c>
      <c r="L49" s="6">
        <v>181.31399999999999</v>
      </c>
      <c r="M49" s="6">
        <v>181.31399999999999</v>
      </c>
      <c r="N49" s="6">
        <v>181.31399999999999</v>
      </c>
      <c r="O49" s="6">
        <v>181.31399999999999</v>
      </c>
      <c r="P49" s="6">
        <v>0</v>
      </c>
      <c r="Q49" s="4" t="s">
        <v>26</v>
      </c>
      <c r="R49" s="4">
        <v>0</v>
      </c>
      <c r="S49" s="6">
        <v>0</v>
      </c>
      <c r="T49" s="6">
        <v>21</v>
      </c>
      <c r="U49" s="6">
        <v>70</v>
      </c>
      <c r="V49" s="6">
        <f>IF(ISERROR(VLOOKUP($S$49,'TAR FIN'!$A$1:$O$88,15,0)),0,VLOOKUP($S$49,'TAR FIN'!$A$1:$O$88,15,0))</f>
        <v>0</v>
      </c>
      <c r="W49" s="6">
        <f>IF(ISERROR(VLOOKUP($T$49,'TAR FIN'!$A$1:$O$88,15,0)),0,VLOOKUP($T$49,'TAR FIN'!$A$1:$O$88,15,0))</f>
        <v>73.790000000000006</v>
      </c>
      <c r="X49" s="6">
        <f>IF(ISERROR(VLOOKUP($U$49,'TAR FIN'!$A$1:$O$88,15,0)),0,VLOOKUP($U$49,'TAR FIN'!$A$1:$O$88,15,0))</f>
        <v>266.70999999999998</v>
      </c>
      <c r="Y49" s="6"/>
      <c r="Z49" s="6">
        <f ca="1">('TUSD BE'!$AM$12+'TUSD BF'!$AM$12+'TUSD CVA'!$AM$12)*1</f>
        <v>83.275517807559041</v>
      </c>
      <c r="AA49" s="6">
        <f>('TE BE'!$AB$6+'TE BF'!$AB$6+'TE CVA'!$AB$6)*1</f>
        <v>197.6895725142987</v>
      </c>
      <c r="AB49" s="6">
        <f>$K$49*$V$49</f>
        <v>0</v>
      </c>
      <c r="AC49" s="6">
        <f>$M$49*$W$49</f>
        <v>13379.16006</v>
      </c>
      <c r="AD49" s="6">
        <f>$O$49*$X$49</f>
        <v>48358.256939999992</v>
      </c>
      <c r="AE49" s="6">
        <f>$K$49*$Y$49</f>
        <v>0</v>
      </c>
      <c r="AF49" s="6">
        <f ca="1">$M$49*$Z$49</f>
        <v>15099.017235759758</v>
      </c>
      <c r="AG49" s="6">
        <f>$O$49*$AA$49</f>
        <v>35843.887150857554</v>
      </c>
    </row>
    <row r="50" spans="1:33" ht="11.25" customHeight="1" x14ac:dyDescent="0.25">
      <c r="A50" s="4" t="s">
        <v>21</v>
      </c>
      <c r="B50" s="4" t="s">
        <v>38</v>
      </c>
      <c r="C50" s="4" t="s">
        <v>39</v>
      </c>
      <c r="D50" s="4" t="s">
        <v>40</v>
      </c>
      <c r="E50" s="4" t="s">
        <v>25</v>
      </c>
      <c r="F50" s="4" t="s">
        <v>25</v>
      </c>
      <c r="G50" s="4" t="s">
        <v>25</v>
      </c>
      <c r="H50" s="4" t="s">
        <v>25</v>
      </c>
      <c r="I50" s="5">
        <v>44409</v>
      </c>
      <c r="J50" s="6">
        <v>957</v>
      </c>
      <c r="K50" s="6">
        <v>957</v>
      </c>
      <c r="L50" s="6">
        <v>0</v>
      </c>
      <c r="M50" s="6">
        <v>0</v>
      </c>
      <c r="N50" s="6">
        <v>0</v>
      </c>
      <c r="O50" s="6">
        <v>0</v>
      </c>
      <c r="P50" s="6">
        <v>9</v>
      </c>
      <c r="Q50" s="4" t="s">
        <v>26</v>
      </c>
      <c r="R50" s="4">
        <v>0</v>
      </c>
      <c r="S50" s="6">
        <v>15</v>
      </c>
      <c r="T50" s="6">
        <v>0</v>
      </c>
      <c r="U50" s="6">
        <v>0</v>
      </c>
      <c r="V50" s="6">
        <f>IF(ISERROR(VLOOKUP($S$50,'TAR FIN'!$A$1:$O$88,15,0)),0,VLOOKUP($S$50,'TAR FIN'!$A$1:$O$88,15,0))</f>
        <v>17.190000000000001</v>
      </c>
      <c r="W50" s="6">
        <f>IF(ISERROR(VLOOKUP($T$50,'TAR FIN'!$A$1:$O$88,15,0)),0,VLOOKUP($T$50,'TAR FIN'!$A$1:$O$88,15,0))</f>
        <v>0</v>
      </c>
      <c r="X50" s="6">
        <f>IF(ISERROR(VLOOKUP($U$50,'TAR FIN'!$A$1:$O$88,15,0)),0,VLOOKUP($U$50,'TAR FIN'!$A$1:$O$88,15,0))</f>
        <v>0</v>
      </c>
      <c r="Y50" s="6">
        <f ca="1">('TUSD BE'!$AM$10+'TUSD BF'!$AM$10+'TUSD CVA'!$AM$10)*1</f>
        <v>13.66046481326768</v>
      </c>
      <c r="Z50" s="6"/>
      <c r="AA50" s="6"/>
      <c r="AB50" s="6">
        <f>$K$50*$V$50</f>
        <v>16450.830000000002</v>
      </c>
      <c r="AC50" s="6">
        <f>$M$50*$W$50</f>
        <v>0</v>
      </c>
      <c r="AD50" s="6">
        <f>$O$50*$X$50</f>
        <v>0</v>
      </c>
      <c r="AE50" s="6">
        <f ca="1">$K$50*$Y$50</f>
        <v>13073.06482629717</v>
      </c>
      <c r="AF50" s="6">
        <f>$M$50*$Z$50</f>
        <v>0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38</v>
      </c>
      <c r="C51" s="4" t="s">
        <v>39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25</v>
      </c>
      <c r="I51" s="5">
        <v>44440</v>
      </c>
      <c r="J51" s="6">
        <v>955</v>
      </c>
      <c r="K51" s="6">
        <v>955</v>
      </c>
      <c r="L51" s="6">
        <v>0</v>
      </c>
      <c r="M51" s="6">
        <v>0</v>
      </c>
      <c r="N51" s="6">
        <v>0</v>
      </c>
      <c r="O51" s="6">
        <v>0</v>
      </c>
      <c r="P51" s="6">
        <v>9</v>
      </c>
      <c r="Q51" s="4" t="s">
        <v>26</v>
      </c>
      <c r="R51" s="4">
        <v>0</v>
      </c>
      <c r="S51" s="6">
        <v>15</v>
      </c>
      <c r="T51" s="6">
        <v>0</v>
      </c>
      <c r="U51" s="6">
        <v>0</v>
      </c>
      <c r="V51" s="6">
        <f>IF(ISERROR(VLOOKUP($S$51,'TAR FIN'!$A$1:$O$88,15,0)),0,VLOOKUP($S$51,'TAR FIN'!$A$1:$O$88,15,0))</f>
        <v>17.190000000000001</v>
      </c>
      <c r="W51" s="6">
        <f>IF(ISERROR(VLOOKUP($T$51,'TAR FIN'!$A$1:$O$88,15,0)),0,VLOOKUP($T$51,'TAR FIN'!$A$1:$O$88,15,0))</f>
        <v>0</v>
      </c>
      <c r="X51" s="6">
        <f>IF(ISERROR(VLOOKUP($U$51,'TAR FIN'!$A$1:$O$88,15,0)),0,VLOOKUP($U$51,'TAR FIN'!$A$1:$O$88,15,0))</f>
        <v>0</v>
      </c>
      <c r="Y51" s="6">
        <f ca="1">('TUSD BE'!$AM$10+'TUSD BF'!$AM$10+'TUSD CVA'!$AM$10)*1</f>
        <v>13.66046481326768</v>
      </c>
      <c r="Z51" s="6"/>
      <c r="AA51" s="6"/>
      <c r="AB51" s="6">
        <f>$K$51*$V$51</f>
        <v>16416.45</v>
      </c>
      <c r="AC51" s="6">
        <f>$M$51*$W$51</f>
        <v>0</v>
      </c>
      <c r="AD51" s="6">
        <f>$O$51*$X$51</f>
        <v>0</v>
      </c>
      <c r="AE51" s="6">
        <f ca="1">$K$51*$Y$51</f>
        <v>13045.743896670634</v>
      </c>
      <c r="AF51" s="6">
        <f>$M$51*$Z$51</f>
        <v>0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38</v>
      </c>
      <c r="C52" s="4" t="s">
        <v>39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25</v>
      </c>
      <c r="I52" s="5">
        <v>44470</v>
      </c>
      <c r="J52" s="6">
        <v>1196</v>
      </c>
      <c r="K52" s="6">
        <v>1196</v>
      </c>
      <c r="L52" s="6">
        <v>0</v>
      </c>
      <c r="M52" s="6">
        <v>0</v>
      </c>
      <c r="N52" s="6">
        <v>0</v>
      </c>
      <c r="O52" s="6">
        <v>0</v>
      </c>
      <c r="P52" s="6">
        <v>9</v>
      </c>
      <c r="Q52" s="4" t="s">
        <v>26</v>
      </c>
      <c r="R52" s="4">
        <v>0</v>
      </c>
      <c r="S52" s="6">
        <v>15</v>
      </c>
      <c r="T52" s="6">
        <v>0</v>
      </c>
      <c r="U52" s="6">
        <v>0</v>
      </c>
      <c r="V52" s="6">
        <f>IF(ISERROR(VLOOKUP($S$52,'TAR FIN'!$A$1:$O$88,15,0)),0,VLOOKUP($S$52,'TAR FIN'!$A$1:$O$88,15,0))</f>
        <v>17.190000000000001</v>
      </c>
      <c r="W52" s="6">
        <f>IF(ISERROR(VLOOKUP($T$52,'TAR FIN'!$A$1:$O$88,15,0)),0,VLOOKUP($T$52,'TAR FIN'!$A$1:$O$88,15,0))</f>
        <v>0</v>
      </c>
      <c r="X52" s="6">
        <f>IF(ISERROR(VLOOKUP($U$52,'TAR FIN'!$A$1:$O$88,15,0)),0,VLOOKUP($U$52,'TAR FIN'!$A$1:$O$88,15,0))</f>
        <v>0</v>
      </c>
      <c r="Y52" s="6">
        <f ca="1">('TUSD BE'!$AM$10+'TUSD BF'!$AM$10+'TUSD CVA'!$AM$10)*1</f>
        <v>13.66046481326768</v>
      </c>
      <c r="Z52" s="6"/>
      <c r="AA52" s="6"/>
      <c r="AB52" s="6">
        <f>$K$52*$V$52</f>
        <v>20559.240000000002</v>
      </c>
      <c r="AC52" s="6">
        <f>$M$52*$W$52</f>
        <v>0</v>
      </c>
      <c r="AD52" s="6">
        <f>$O$52*$X$52</f>
        <v>0</v>
      </c>
      <c r="AE52" s="6">
        <f ca="1">$K$52*$Y$52</f>
        <v>16337.915916668146</v>
      </c>
      <c r="AF52" s="6">
        <f>$M$52*$Z$52</f>
        <v>0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38</v>
      </c>
      <c r="C53" s="4" t="s">
        <v>39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25</v>
      </c>
      <c r="I53" s="5">
        <v>44501</v>
      </c>
      <c r="J53" s="6">
        <v>1105</v>
      </c>
      <c r="K53" s="6">
        <v>1105</v>
      </c>
      <c r="L53" s="6">
        <v>0</v>
      </c>
      <c r="M53" s="6">
        <v>0</v>
      </c>
      <c r="N53" s="6">
        <v>0</v>
      </c>
      <c r="O53" s="6">
        <v>0</v>
      </c>
      <c r="P53" s="6">
        <v>9</v>
      </c>
      <c r="Q53" s="4" t="s">
        <v>26</v>
      </c>
      <c r="R53" s="4">
        <v>0</v>
      </c>
      <c r="S53" s="6">
        <v>15</v>
      </c>
      <c r="T53" s="6">
        <v>0</v>
      </c>
      <c r="U53" s="6">
        <v>0</v>
      </c>
      <c r="V53" s="6">
        <f>IF(ISERROR(VLOOKUP($S$53,'TAR FIN'!$A$1:$O$88,15,0)),0,VLOOKUP($S$53,'TAR FIN'!$A$1:$O$88,15,0))</f>
        <v>17.190000000000001</v>
      </c>
      <c r="W53" s="6">
        <f>IF(ISERROR(VLOOKUP($T$53,'TAR FIN'!$A$1:$O$88,15,0)),0,VLOOKUP($T$53,'TAR FIN'!$A$1:$O$88,15,0))</f>
        <v>0</v>
      </c>
      <c r="X53" s="6">
        <f>IF(ISERROR(VLOOKUP($U$53,'TAR FIN'!$A$1:$O$88,15,0)),0,VLOOKUP($U$53,'TAR FIN'!$A$1:$O$88,15,0))</f>
        <v>0</v>
      </c>
      <c r="Y53" s="6">
        <f ca="1">('TUSD BE'!$AM$10+'TUSD BF'!$AM$10+'TUSD CVA'!$AM$10)*1</f>
        <v>13.66046481326768</v>
      </c>
      <c r="Z53" s="6"/>
      <c r="AA53" s="6"/>
      <c r="AB53" s="6">
        <f>$K$53*$V$53</f>
        <v>18994.95</v>
      </c>
      <c r="AC53" s="6">
        <f>$M$53*$W$53</f>
        <v>0</v>
      </c>
      <c r="AD53" s="6">
        <f>$O$53*$X$53</f>
        <v>0</v>
      </c>
      <c r="AE53" s="6">
        <f ca="1">$K$53*$Y$53</f>
        <v>15094.813618660786</v>
      </c>
      <c r="AF53" s="6">
        <f>$M$53*$Z$53</f>
        <v>0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38</v>
      </c>
      <c r="C54" s="4" t="s">
        <v>39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25</v>
      </c>
      <c r="I54" s="5">
        <v>44531</v>
      </c>
      <c r="J54" s="6">
        <v>1006</v>
      </c>
      <c r="K54" s="6">
        <v>1006</v>
      </c>
      <c r="L54" s="6">
        <v>0</v>
      </c>
      <c r="M54" s="6">
        <v>0</v>
      </c>
      <c r="N54" s="6">
        <v>0</v>
      </c>
      <c r="O54" s="6">
        <v>0</v>
      </c>
      <c r="P54" s="6">
        <v>9</v>
      </c>
      <c r="Q54" s="4" t="s">
        <v>26</v>
      </c>
      <c r="R54" s="4">
        <v>0</v>
      </c>
      <c r="S54" s="6">
        <v>15</v>
      </c>
      <c r="T54" s="6">
        <v>0</v>
      </c>
      <c r="U54" s="6">
        <v>0</v>
      </c>
      <c r="V54" s="6">
        <f>IF(ISERROR(VLOOKUP($S$54,'TAR FIN'!$A$1:$O$88,15,0)),0,VLOOKUP($S$54,'TAR FIN'!$A$1:$O$88,15,0))</f>
        <v>17.190000000000001</v>
      </c>
      <c r="W54" s="6">
        <f>IF(ISERROR(VLOOKUP($T$54,'TAR FIN'!$A$1:$O$88,15,0)),0,VLOOKUP($T$54,'TAR FIN'!$A$1:$O$88,15,0))</f>
        <v>0</v>
      </c>
      <c r="X54" s="6">
        <f>IF(ISERROR(VLOOKUP($U$54,'TAR FIN'!$A$1:$O$88,15,0)),0,VLOOKUP($U$54,'TAR FIN'!$A$1:$O$88,15,0))</f>
        <v>0</v>
      </c>
      <c r="Y54" s="6">
        <f ca="1">('TUSD BE'!$AM$10+'TUSD BF'!$AM$10+'TUSD CVA'!$AM$10)*1</f>
        <v>13.66046481326768</v>
      </c>
      <c r="Z54" s="6"/>
      <c r="AA54" s="6"/>
      <c r="AB54" s="6">
        <f>$K$54*$V$54</f>
        <v>17293.140000000003</v>
      </c>
      <c r="AC54" s="6">
        <f>$M$54*$W$54</f>
        <v>0</v>
      </c>
      <c r="AD54" s="6">
        <f>$O$54*$X$54</f>
        <v>0</v>
      </c>
      <c r="AE54" s="6">
        <f ca="1">$K$54*$Y$54</f>
        <v>13742.427602147287</v>
      </c>
      <c r="AF54" s="6">
        <f>$M$54*$Z$54</f>
        <v>0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38</v>
      </c>
      <c r="C55" s="4" t="s">
        <v>39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25</v>
      </c>
      <c r="I55" s="5">
        <v>44562</v>
      </c>
      <c r="J55" s="6">
        <v>1017</v>
      </c>
      <c r="K55" s="6">
        <v>1017</v>
      </c>
      <c r="L55" s="6">
        <v>0</v>
      </c>
      <c r="M55" s="6">
        <v>0</v>
      </c>
      <c r="N55" s="6">
        <v>0</v>
      </c>
      <c r="O55" s="6">
        <v>0</v>
      </c>
      <c r="P55" s="6">
        <v>9</v>
      </c>
      <c r="Q55" s="4" t="s">
        <v>26</v>
      </c>
      <c r="R55" s="4">
        <v>0</v>
      </c>
      <c r="S55" s="6">
        <v>15</v>
      </c>
      <c r="T55" s="6">
        <v>0</v>
      </c>
      <c r="U55" s="6">
        <v>0</v>
      </c>
      <c r="V55" s="6">
        <f>IF(ISERROR(VLOOKUP($S$55,'TAR FIN'!$A$1:$O$88,15,0)),0,VLOOKUP($S$55,'TAR FIN'!$A$1:$O$88,15,0))</f>
        <v>17.190000000000001</v>
      </c>
      <c r="W55" s="6">
        <f>IF(ISERROR(VLOOKUP($T$55,'TAR FIN'!$A$1:$O$88,15,0)),0,VLOOKUP($T$55,'TAR FIN'!$A$1:$O$88,15,0))</f>
        <v>0</v>
      </c>
      <c r="X55" s="6">
        <f>IF(ISERROR(VLOOKUP($U$55,'TAR FIN'!$A$1:$O$88,15,0)),0,VLOOKUP($U$55,'TAR FIN'!$A$1:$O$88,15,0))</f>
        <v>0</v>
      </c>
      <c r="Y55" s="6">
        <f ca="1">('TUSD BE'!$AM$10+'TUSD BF'!$AM$10+'TUSD CVA'!$AM$10)*1</f>
        <v>13.66046481326768</v>
      </c>
      <c r="Z55" s="6"/>
      <c r="AA55" s="6"/>
      <c r="AB55" s="6">
        <f>$K$55*$V$55</f>
        <v>17482.23</v>
      </c>
      <c r="AC55" s="6">
        <f>$M$55*$W$55</f>
        <v>0</v>
      </c>
      <c r="AD55" s="6">
        <f>$O$55*$X$55</f>
        <v>0</v>
      </c>
      <c r="AE55" s="6">
        <f ca="1">$K$55*$Y$55</f>
        <v>13892.69271509323</v>
      </c>
      <c r="AF55" s="6">
        <f>$M$55*$Z$55</f>
        <v>0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38</v>
      </c>
      <c r="C56" s="4" t="s">
        <v>39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25</v>
      </c>
      <c r="I56" s="5">
        <v>44593</v>
      </c>
      <c r="J56" s="6">
        <v>1181</v>
      </c>
      <c r="K56" s="6">
        <v>1181</v>
      </c>
      <c r="L56" s="6">
        <v>0</v>
      </c>
      <c r="M56" s="6">
        <v>0</v>
      </c>
      <c r="N56" s="6">
        <v>0</v>
      </c>
      <c r="O56" s="6">
        <v>0</v>
      </c>
      <c r="P56" s="6">
        <v>9</v>
      </c>
      <c r="Q56" s="4" t="s">
        <v>26</v>
      </c>
      <c r="R56" s="4">
        <v>0</v>
      </c>
      <c r="S56" s="6">
        <v>15</v>
      </c>
      <c r="T56" s="6">
        <v>0</v>
      </c>
      <c r="U56" s="6">
        <v>0</v>
      </c>
      <c r="V56" s="6">
        <f>IF(ISERROR(VLOOKUP($S$56,'TAR FIN'!$A$1:$O$88,15,0)),0,VLOOKUP($S$56,'TAR FIN'!$A$1:$O$88,15,0))</f>
        <v>17.190000000000001</v>
      </c>
      <c r="W56" s="6">
        <f>IF(ISERROR(VLOOKUP($T$56,'TAR FIN'!$A$1:$O$88,15,0)),0,VLOOKUP($T$56,'TAR FIN'!$A$1:$O$88,15,0))</f>
        <v>0</v>
      </c>
      <c r="X56" s="6">
        <f>IF(ISERROR(VLOOKUP($U$56,'TAR FIN'!$A$1:$O$88,15,0)),0,VLOOKUP($U$56,'TAR FIN'!$A$1:$O$88,15,0))</f>
        <v>0</v>
      </c>
      <c r="Y56" s="6">
        <f ca="1">('TUSD BE'!$AM$10+'TUSD BF'!$AM$10+'TUSD CVA'!$AM$10)*1</f>
        <v>13.66046481326768</v>
      </c>
      <c r="Z56" s="6"/>
      <c r="AA56" s="6"/>
      <c r="AB56" s="6">
        <f>$K$56*$V$56</f>
        <v>20301.390000000003</v>
      </c>
      <c r="AC56" s="6">
        <f>$M$56*$W$56</f>
        <v>0</v>
      </c>
      <c r="AD56" s="6">
        <f>$O$56*$X$56</f>
        <v>0</v>
      </c>
      <c r="AE56" s="6">
        <f ca="1">$K$56*$Y$56</f>
        <v>16133.008944469129</v>
      </c>
      <c r="AF56" s="6">
        <f>$M$56*$Z$56</f>
        <v>0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38</v>
      </c>
      <c r="C57" s="4" t="s">
        <v>39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25</v>
      </c>
      <c r="I57" s="5">
        <v>44621</v>
      </c>
      <c r="J57" s="6">
        <v>1171</v>
      </c>
      <c r="K57" s="6">
        <v>1171</v>
      </c>
      <c r="L57" s="6">
        <v>0</v>
      </c>
      <c r="M57" s="6">
        <v>0</v>
      </c>
      <c r="N57" s="6">
        <v>0</v>
      </c>
      <c r="O57" s="6">
        <v>0</v>
      </c>
      <c r="P57" s="6">
        <v>8</v>
      </c>
      <c r="Q57" s="4" t="s">
        <v>26</v>
      </c>
      <c r="R57" s="4">
        <v>0</v>
      </c>
      <c r="S57" s="6">
        <v>15</v>
      </c>
      <c r="T57" s="6">
        <v>0</v>
      </c>
      <c r="U57" s="6">
        <v>0</v>
      </c>
      <c r="V57" s="6">
        <f>IF(ISERROR(VLOOKUP($S$57,'TAR FIN'!$A$1:$O$88,15,0)),0,VLOOKUP($S$57,'TAR FIN'!$A$1:$O$88,15,0))</f>
        <v>17.190000000000001</v>
      </c>
      <c r="W57" s="6">
        <f>IF(ISERROR(VLOOKUP($T$57,'TAR FIN'!$A$1:$O$88,15,0)),0,VLOOKUP($T$57,'TAR FIN'!$A$1:$O$88,15,0))</f>
        <v>0</v>
      </c>
      <c r="X57" s="6">
        <f>IF(ISERROR(VLOOKUP($U$57,'TAR FIN'!$A$1:$O$88,15,0)),0,VLOOKUP($U$57,'TAR FIN'!$A$1:$O$88,15,0))</f>
        <v>0</v>
      </c>
      <c r="Y57" s="6">
        <f ca="1">('TUSD BE'!$AM$10+'TUSD BF'!$AM$10+'TUSD CVA'!$AM$10)*1</f>
        <v>13.66046481326768</v>
      </c>
      <c r="Z57" s="6"/>
      <c r="AA57" s="6"/>
      <c r="AB57" s="6">
        <f>$K$57*$V$57</f>
        <v>20129.490000000002</v>
      </c>
      <c r="AC57" s="6">
        <f>$M$57*$W$57</f>
        <v>0</v>
      </c>
      <c r="AD57" s="6">
        <f>$O$57*$X$57</f>
        <v>0</v>
      </c>
      <c r="AE57" s="6">
        <f ca="1">$K$57*$Y$57</f>
        <v>15996.404296336454</v>
      </c>
      <c r="AF57" s="6">
        <f>$M$57*$Z$57</f>
        <v>0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38</v>
      </c>
      <c r="C58" s="4" t="s">
        <v>39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25</v>
      </c>
      <c r="I58" s="5">
        <v>44652</v>
      </c>
      <c r="J58" s="6">
        <v>1188</v>
      </c>
      <c r="K58" s="6">
        <v>1188</v>
      </c>
      <c r="L58" s="6">
        <v>0</v>
      </c>
      <c r="M58" s="6">
        <v>0</v>
      </c>
      <c r="N58" s="6">
        <v>0</v>
      </c>
      <c r="O58" s="6">
        <v>0</v>
      </c>
      <c r="P58" s="6">
        <v>8</v>
      </c>
      <c r="Q58" s="4" t="s">
        <v>26</v>
      </c>
      <c r="R58" s="4">
        <v>0</v>
      </c>
      <c r="S58" s="6">
        <v>15</v>
      </c>
      <c r="T58" s="6">
        <v>0</v>
      </c>
      <c r="U58" s="6">
        <v>0</v>
      </c>
      <c r="V58" s="6">
        <f>IF(ISERROR(VLOOKUP($S$58,'TAR FIN'!$A$1:$O$88,15,0)),0,VLOOKUP($S$58,'TAR FIN'!$A$1:$O$88,15,0))</f>
        <v>17.190000000000001</v>
      </c>
      <c r="W58" s="6">
        <f>IF(ISERROR(VLOOKUP($T$58,'TAR FIN'!$A$1:$O$88,15,0)),0,VLOOKUP($T$58,'TAR FIN'!$A$1:$O$88,15,0))</f>
        <v>0</v>
      </c>
      <c r="X58" s="6">
        <f>IF(ISERROR(VLOOKUP($U$58,'TAR FIN'!$A$1:$O$88,15,0)),0,VLOOKUP($U$58,'TAR FIN'!$A$1:$O$88,15,0))</f>
        <v>0</v>
      </c>
      <c r="Y58" s="6">
        <f ca="1">('TUSD BE'!$AM$10+'TUSD BF'!$AM$10+'TUSD CVA'!$AM$10)*1</f>
        <v>13.66046481326768</v>
      </c>
      <c r="Z58" s="6"/>
      <c r="AA58" s="6"/>
      <c r="AB58" s="6">
        <f>$K$58*$V$58</f>
        <v>20421.72</v>
      </c>
      <c r="AC58" s="6">
        <f>$M$58*$W$58</f>
        <v>0</v>
      </c>
      <c r="AD58" s="6">
        <f>$O$58*$X$58</f>
        <v>0</v>
      </c>
      <c r="AE58" s="6">
        <f ca="1">$K$58*$Y$58</f>
        <v>16228.632198162004</v>
      </c>
      <c r="AF58" s="6">
        <f>$M$58*$Z$58</f>
        <v>0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38</v>
      </c>
      <c r="C59" s="4" t="s">
        <v>39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25</v>
      </c>
      <c r="I59" s="5">
        <v>44682</v>
      </c>
      <c r="J59" s="6">
        <v>952</v>
      </c>
      <c r="K59" s="6">
        <v>952</v>
      </c>
      <c r="L59" s="6">
        <v>0</v>
      </c>
      <c r="M59" s="6">
        <v>0</v>
      </c>
      <c r="N59" s="6">
        <v>0</v>
      </c>
      <c r="O59" s="6">
        <v>0</v>
      </c>
      <c r="P59" s="6">
        <v>8</v>
      </c>
      <c r="Q59" s="4" t="s">
        <v>26</v>
      </c>
      <c r="R59" s="4">
        <v>0</v>
      </c>
      <c r="S59" s="6">
        <v>15</v>
      </c>
      <c r="T59" s="6">
        <v>0</v>
      </c>
      <c r="U59" s="6">
        <v>0</v>
      </c>
      <c r="V59" s="6">
        <f>IF(ISERROR(VLOOKUP($S$59,'TAR FIN'!$A$1:$O$88,15,0)),0,VLOOKUP($S$59,'TAR FIN'!$A$1:$O$88,15,0))</f>
        <v>17.190000000000001</v>
      </c>
      <c r="W59" s="6">
        <f>IF(ISERROR(VLOOKUP($T$59,'TAR FIN'!$A$1:$O$88,15,0)),0,VLOOKUP($T$59,'TAR FIN'!$A$1:$O$88,15,0))</f>
        <v>0</v>
      </c>
      <c r="X59" s="6">
        <f>IF(ISERROR(VLOOKUP($U$59,'TAR FIN'!$A$1:$O$88,15,0)),0,VLOOKUP($U$59,'TAR FIN'!$A$1:$O$88,15,0))</f>
        <v>0</v>
      </c>
      <c r="Y59" s="6">
        <f ca="1">('TUSD BE'!$AM$10+'TUSD BF'!$AM$10+'TUSD CVA'!$AM$10)*1</f>
        <v>13.66046481326768</v>
      </c>
      <c r="Z59" s="6"/>
      <c r="AA59" s="6"/>
      <c r="AB59" s="6">
        <f>$K$59*$V$59</f>
        <v>16364.880000000001</v>
      </c>
      <c r="AC59" s="6">
        <f>$M$59*$W$59</f>
        <v>0</v>
      </c>
      <c r="AD59" s="6">
        <f>$O$59*$X$59</f>
        <v>0</v>
      </c>
      <c r="AE59" s="6">
        <f ca="1">$K$59*$Y$59</f>
        <v>13004.762502230831</v>
      </c>
      <c r="AF59" s="6">
        <f>$M$59*$Z$59</f>
        <v>0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38</v>
      </c>
      <c r="C60" s="4" t="s">
        <v>39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25</v>
      </c>
      <c r="I60" s="5">
        <v>44713</v>
      </c>
      <c r="J60" s="6">
        <v>882</v>
      </c>
      <c r="K60" s="6">
        <v>882</v>
      </c>
      <c r="L60" s="6">
        <v>0</v>
      </c>
      <c r="M60" s="6">
        <v>0</v>
      </c>
      <c r="N60" s="6">
        <v>0</v>
      </c>
      <c r="O60" s="6">
        <v>0</v>
      </c>
      <c r="P60" s="6">
        <v>8</v>
      </c>
      <c r="Q60" s="4" t="s">
        <v>26</v>
      </c>
      <c r="R60" s="4">
        <v>0</v>
      </c>
      <c r="S60" s="6">
        <v>15</v>
      </c>
      <c r="T60" s="6">
        <v>0</v>
      </c>
      <c r="U60" s="6">
        <v>0</v>
      </c>
      <c r="V60" s="6">
        <f>IF(ISERROR(VLOOKUP($S$60,'TAR FIN'!$A$1:$O$88,15,0)),0,VLOOKUP($S$60,'TAR FIN'!$A$1:$O$88,15,0))</f>
        <v>17.190000000000001</v>
      </c>
      <c r="W60" s="6">
        <f>IF(ISERROR(VLOOKUP($T$60,'TAR FIN'!$A$1:$O$88,15,0)),0,VLOOKUP($T$60,'TAR FIN'!$A$1:$O$88,15,0))</f>
        <v>0</v>
      </c>
      <c r="X60" s="6">
        <f>IF(ISERROR(VLOOKUP($U$60,'TAR FIN'!$A$1:$O$88,15,0)),0,VLOOKUP($U$60,'TAR FIN'!$A$1:$O$88,15,0))</f>
        <v>0</v>
      </c>
      <c r="Y60" s="6">
        <f ca="1">('TUSD BE'!$AM$10+'TUSD BF'!$AM$10+'TUSD CVA'!$AM$10)*1</f>
        <v>13.66046481326768</v>
      </c>
      <c r="Z60" s="6"/>
      <c r="AA60" s="6"/>
      <c r="AB60" s="6">
        <f>$K$60*$V$60</f>
        <v>15161.580000000002</v>
      </c>
      <c r="AC60" s="6">
        <f>$M$60*$W$60</f>
        <v>0</v>
      </c>
      <c r="AD60" s="6">
        <f>$O$60*$X$60</f>
        <v>0</v>
      </c>
      <c r="AE60" s="6">
        <f ca="1">$K$60*$Y$60</f>
        <v>12048.529965302094</v>
      </c>
      <c r="AF60" s="6">
        <f>$M$60*$Z$60</f>
        <v>0</v>
      </c>
      <c r="AG60" s="6">
        <f>$O$60*$AA$60</f>
        <v>0</v>
      </c>
    </row>
    <row r="61" spans="1:33" ht="11.25" customHeight="1" x14ac:dyDescent="0.25">
      <c r="A61" s="4" t="s">
        <v>55</v>
      </c>
      <c r="B61" s="4" t="s">
        <v>38</v>
      </c>
      <c r="C61" s="4" t="s">
        <v>39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25</v>
      </c>
      <c r="I61" s="5">
        <v>44743</v>
      </c>
      <c r="J61" s="6">
        <v>882</v>
      </c>
      <c r="K61" s="6">
        <v>882</v>
      </c>
      <c r="L61" s="6">
        <v>0</v>
      </c>
      <c r="M61" s="6">
        <v>0</v>
      </c>
      <c r="N61" s="6">
        <v>0</v>
      </c>
      <c r="O61" s="6">
        <v>0</v>
      </c>
      <c r="P61" s="6">
        <v>8</v>
      </c>
      <c r="Q61" s="4" t="s">
        <v>26</v>
      </c>
      <c r="R61" s="4">
        <v>0</v>
      </c>
      <c r="S61" s="6">
        <v>15</v>
      </c>
      <c r="T61" s="6">
        <v>0</v>
      </c>
      <c r="U61" s="6">
        <v>0</v>
      </c>
      <c r="V61" s="6">
        <f>IF(ISERROR(VLOOKUP($S$61,'TAR FIN'!$A$1:$O$88,15,0)),0,VLOOKUP($S$61,'TAR FIN'!$A$1:$O$88,15,0))</f>
        <v>17.190000000000001</v>
      </c>
      <c r="W61" s="6">
        <f>IF(ISERROR(VLOOKUP($T$61,'TAR FIN'!$A$1:$O$88,15,0)),0,VLOOKUP($T$61,'TAR FIN'!$A$1:$O$88,15,0))</f>
        <v>0</v>
      </c>
      <c r="X61" s="6">
        <f>IF(ISERROR(VLOOKUP($U$61,'TAR FIN'!$A$1:$O$88,15,0)),0,VLOOKUP($U$61,'TAR FIN'!$A$1:$O$88,15,0))</f>
        <v>0</v>
      </c>
      <c r="Y61" s="6">
        <f ca="1">('TUSD BE'!$AM$10+'TUSD BF'!$AM$10+'TUSD CVA'!$AM$10)*1</f>
        <v>13.66046481326768</v>
      </c>
      <c r="Z61" s="6"/>
      <c r="AA61" s="6"/>
      <c r="AB61" s="6">
        <f>$K$61*$V$61</f>
        <v>15161.580000000002</v>
      </c>
      <c r="AC61" s="6">
        <f>$M$61*$W$61</f>
        <v>0</v>
      </c>
      <c r="AD61" s="6">
        <f>$O$61*$X$61</f>
        <v>0</v>
      </c>
      <c r="AE61" s="6">
        <f ca="1">$K$61*$Y$61</f>
        <v>12048.529965302094</v>
      </c>
      <c r="AF61" s="6">
        <f>$M$61*$Z$61</f>
        <v>0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38</v>
      </c>
      <c r="C62" s="4" t="s">
        <v>39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33</v>
      </c>
      <c r="I62" s="5">
        <v>44409</v>
      </c>
      <c r="J62" s="6">
        <v>0</v>
      </c>
      <c r="K62" s="6">
        <v>0</v>
      </c>
      <c r="L62" s="6">
        <v>13.484999999999999</v>
      </c>
      <c r="M62" s="6">
        <v>13.484999999999999</v>
      </c>
      <c r="N62" s="6">
        <v>13.484999999999999</v>
      </c>
      <c r="O62" s="6">
        <v>13.484999999999999</v>
      </c>
      <c r="P62" s="6">
        <v>0</v>
      </c>
      <c r="Q62" s="4" t="s">
        <v>26</v>
      </c>
      <c r="R62" s="4">
        <v>0</v>
      </c>
      <c r="S62" s="6">
        <v>0</v>
      </c>
      <c r="T62" s="6">
        <v>18</v>
      </c>
      <c r="U62" s="6">
        <v>69</v>
      </c>
      <c r="V62" s="6">
        <f>IF(ISERROR(VLOOKUP($S$62,'TAR FIN'!$A$1:$O$88,15,0)),0,VLOOKUP($S$62,'TAR FIN'!$A$1:$O$88,15,0))</f>
        <v>0</v>
      </c>
      <c r="W62" s="6">
        <f>IF(ISERROR(VLOOKUP($T$62,'TAR FIN'!$A$1:$O$88,15,0)),0,VLOOKUP($T$62,'TAR FIN'!$A$1:$O$88,15,0))</f>
        <v>1295.8499999999999</v>
      </c>
      <c r="X62" s="6">
        <f>IF(ISERROR(VLOOKUP($U$62,'TAR FIN'!$A$1:$O$88,15,0)),0,VLOOKUP($U$62,'TAR FIN'!$A$1:$O$88,15,0))</f>
        <v>434.95</v>
      </c>
      <c r="Y62" s="6"/>
      <c r="Z62" s="6">
        <f ca="1">('TUSD BE'!$AM$11+'TUSD BF'!$AM$11+'TUSD CVA'!$AM$11)*1</f>
        <v>1048.5801557334262</v>
      </c>
      <c r="AA62" s="6">
        <f>('TE BE'!$AB$5+'TE BF'!$AB$5+'TE CVA'!$AB$5)*1</f>
        <v>316.97983140624547</v>
      </c>
      <c r="AB62" s="6">
        <f>$K$62*$V$62</f>
        <v>0</v>
      </c>
      <c r="AC62" s="6">
        <f>$M$62*$W$62</f>
        <v>17474.537249999998</v>
      </c>
      <c r="AD62" s="6">
        <f>$O$62*$X$62</f>
        <v>5865.3007499999994</v>
      </c>
      <c r="AE62" s="6">
        <f>$K$62*$Y$62</f>
        <v>0</v>
      </c>
      <c r="AF62" s="6">
        <f ca="1">$M$62*$Z$62</f>
        <v>14140.103400065251</v>
      </c>
      <c r="AG62" s="6">
        <f>$O$62*$AA$62</f>
        <v>4274.4730265132202</v>
      </c>
    </row>
    <row r="63" spans="1:33" ht="11.25" customHeight="1" x14ac:dyDescent="0.25">
      <c r="A63" s="4" t="s">
        <v>21</v>
      </c>
      <c r="B63" s="4" t="s">
        <v>38</v>
      </c>
      <c r="C63" s="4" t="s">
        <v>39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33</v>
      </c>
      <c r="I63" s="5">
        <v>44440</v>
      </c>
      <c r="J63" s="6">
        <v>0</v>
      </c>
      <c r="K63" s="6">
        <v>0</v>
      </c>
      <c r="L63" s="6">
        <v>13.756</v>
      </c>
      <c r="M63" s="6">
        <v>13.756</v>
      </c>
      <c r="N63" s="6">
        <v>13.756</v>
      </c>
      <c r="O63" s="6">
        <v>13.756</v>
      </c>
      <c r="P63" s="6">
        <v>0</v>
      </c>
      <c r="Q63" s="4" t="s">
        <v>26</v>
      </c>
      <c r="R63" s="4">
        <v>0</v>
      </c>
      <c r="S63" s="6">
        <v>0</v>
      </c>
      <c r="T63" s="6">
        <v>18</v>
      </c>
      <c r="U63" s="6">
        <v>69</v>
      </c>
      <c r="V63" s="6">
        <f>IF(ISERROR(VLOOKUP($S$63,'TAR FIN'!$A$1:$O$88,15,0)),0,VLOOKUP($S$63,'TAR FIN'!$A$1:$O$88,15,0))</f>
        <v>0</v>
      </c>
      <c r="W63" s="6">
        <f>IF(ISERROR(VLOOKUP($T$63,'TAR FIN'!$A$1:$O$88,15,0)),0,VLOOKUP($T$63,'TAR FIN'!$A$1:$O$88,15,0))</f>
        <v>1295.8499999999999</v>
      </c>
      <c r="X63" s="6">
        <f>IF(ISERROR(VLOOKUP($U$63,'TAR FIN'!$A$1:$O$88,15,0)),0,VLOOKUP($U$63,'TAR FIN'!$A$1:$O$88,15,0))</f>
        <v>434.95</v>
      </c>
      <c r="Y63" s="6"/>
      <c r="Z63" s="6">
        <f ca="1">('TUSD BE'!$AM$11+'TUSD BF'!$AM$11+'TUSD CVA'!$AM$11)*1</f>
        <v>1048.5801557334262</v>
      </c>
      <c r="AA63" s="6">
        <f>('TE BE'!$AB$5+'TE BF'!$AB$5+'TE CVA'!$AB$5)*1</f>
        <v>316.97983140624547</v>
      </c>
      <c r="AB63" s="6">
        <f>$K$63*$V$63</f>
        <v>0</v>
      </c>
      <c r="AC63" s="6">
        <f>$M$63*$W$63</f>
        <v>17825.712599999999</v>
      </c>
      <c r="AD63" s="6">
        <f>$O$63*$X$63</f>
        <v>5983.1722</v>
      </c>
      <c r="AE63" s="6">
        <f>$K$63*$Y$63</f>
        <v>0</v>
      </c>
      <c r="AF63" s="6">
        <f ca="1">$M$63*$Z$63</f>
        <v>14424.26862226901</v>
      </c>
      <c r="AG63" s="6">
        <f>$O$63*$AA$63</f>
        <v>4360.3745608243125</v>
      </c>
    </row>
    <row r="64" spans="1:33" ht="11.25" customHeight="1" x14ac:dyDescent="0.25">
      <c r="A64" s="4" t="s">
        <v>21</v>
      </c>
      <c r="B64" s="4" t="s">
        <v>38</v>
      </c>
      <c r="C64" s="4" t="s">
        <v>39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33</v>
      </c>
      <c r="I64" s="5">
        <v>44470</v>
      </c>
      <c r="J64" s="6">
        <v>0</v>
      </c>
      <c r="K64" s="6">
        <v>0</v>
      </c>
      <c r="L64" s="6">
        <v>20.298999999999999</v>
      </c>
      <c r="M64" s="6">
        <v>20.298999999999999</v>
      </c>
      <c r="N64" s="6">
        <v>20.298999999999999</v>
      </c>
      <c r="O64" s="6">
        <v>20.298999999999999</v>
      </c>
      <c r="P64" s="6">
        <v>0</v>
      </c>
      <c r="Q64" s="4" t="s">
        <v>26</v>
      </c>
      <c r="R64" s="4">
        <v>0</v>
      </c>
      <c r="S64" s="6">
        <v>0</v>
      </c>
      <c r="T64" s="6">
        <v>18</v>
      </c>
      <c r="U64" s="6">
        <v>69</v>
      </c>
      <c r="V64" s="6">
        <f>IF(ISERROR(VLOOKUP($S$64,'TAR FIN'!$A$1:$O$88,15,0)),0,VLOOKUP($S$64,'TAR FIN'!$A$1:$O$88,15,0))</f>
        <v>0</v>
      </c>
      <c r="W64" s="6">
        <f>IF(ISERROR(VLOOKUP($T$64,'TAR FIN'!$A$1:$O$88,15,0)),0,VLOOKUP($T$64,'TAR FIN'!$A$1:$O$88,15,0))</f>
        <v>1295.8499999999999</v>
      </c>
      <c r="X64" s="6">
        <f>IF(ISERROR(VLOOKUP($U$64,'TAR FIN'!$A$1:$O$88,15,0)),0,VLOOKUP($U$64,'TAR FIN'!$A$1:$O$88,15,0))</f>
        <v>434.95</v>
      </c>
      <c r="Y64" s="6"/>
      <c r="Z64" s="6">
        <f ca="1">('TUSD BE'!$AM$11+'TUSD BF'!$AM$11+'TUSD CVA'!$AM$11)*1</f>
        <v>1048.5801557334262</v>
      </c>
      <c r="AA64" s="6">
        <f>('TE BE'!$AB$5+'TE BF'!$AB$5+'TE CVA'!$AB$5)*1</f>
        <v>316.97983140624547</v>
      </c>
      <c r="AB64" s="6">
        <f>$K$64*$V$64</f>
        <v>0</v>
      </c>
      <c r="AC64" s="6">
        <f>$M$64*$W$64</f>
        <v>26304.459149999999</v>
      </c>
      <c r="AD64" s="6">
        <f>$O$64*$X$64</f>
        <v>8829.0500499999998</v>
      </c>
      <c r="AE64" s="6">
        <f>$K$64*$Y$64</f>
        <v>0</v>
      </c>
      <c r="AF64" s="6">
        <f ca="1">$M$64*$Z$64</f>
        <v>21285.128581232817</v>
      </c>
      <c r="AG64" s="6">
        <f>$O$64*$AA$64</f>
        <v>6434.3735977153765</v>
      </c>
    </row>
    <row r="65" spans="1:33" ht="11.25" customHeight="1" x14ac:dyDescent="0.25">
      <c r="A65" s="4" t="s">
        <v>21</v>
      </c>
      <c r="B65" s="4" t="s">
        <v>38</v>
      </c>
      <c r="C65" s="4" t="s">
        <v>39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33</v>
      </c>
      <c r="I65" s="5">
        <v>44501</v>
      </c>
      <c r="J65" s="6">
        <v>0</v>
      </c>
      <c r="K65" s="6">
        <v>0</v>
      </c>
      <c r="L65" s="6">
        <v>13.86</v>
      </c>
      <c r="M65" s="6">
        <v>13.86</v>
      </c>
      <c r="N65" s="6">
        <v>13.86</v>
      </c>
      <c r="O65" s="6">
        <v>13.86</v>
      </c>
      <c r="P65" s="6">
        <v>0</v>
      </c>
      <c r="Q65" s="4" t="s">
        <v>26</v>
      </c>
      <c r="R65" s="4">
        <v>0</v>
      </c>
      <c r="S65" s="6">
        <v>0</v>
      </c>
      <c r="T65" s="6">
        <v>18</v>
      </c>
      <c r="U65" s="6">
        <v>69</v>
      </c>
      <c r="V65" s="6">
        <f>IF(ISERROR(VLOOKUP($S$65,'TAR FIN'!$A$1:$O$88,15,0)),0,VLOOKUP($S$65,'TAR FIN'!$A$1:$O$88,15,0))</f>
        <v>0</v>
      </c>
      <c r="W65" s="6">
        <f>IF(ISERROR(VLOOKUP($T$65,'TAR FIN'!$A$1:$O$88,15,0)),0,VLOOKUP($T$65,'TAR FIN'!$A$1:$O$88,15,0))</f>
        <v>1295.8499999999999</v>
      </c>
      <c r="X65" s="6">
        <f>IF(ISERROR(VLOOKUP($U$65,'TAR FIN'!$A$1:$O$88,15,0)),0,VLOOKUP($U$65,'TAR FIN'!$A$1:$O$88,15,0))</f>
        <v>434.95</v>
      </c>
      <c r="Y65" s="6"/>
      <c r="Z65" s="6">
        <f ca="1">('TUSD BE'!$AM$11+'TUSD BF'!$AM$11+'TUSD CVA'!$AM$11)*1</f>
        <v>1048.5801557334262</v>
      </c>
      <c r="AA65" s="6">
        <f>('TE BE'!$AB$5+'TE BF'!$AB$5+'TE CVA'!$AB$5)*1</f>
        <v>316.97983140624547</v>
      </c>
      <c r="AB65" s="6">
        <f>$K$65*$V$65</f>
        <v>0</v>
      </c>
      <c r="AC65" s="6">
        <f>$M$65*$W$65</f>
        <v>17960.481</v>
      </c>
      <c r="AD65" s="6">
        <f>$O$65*$X$65</f>
        <v>6028.4069999999992</v>
      </c>
      <c r="AE65" s="6">
        <f>$K$65*$Y$65</f>
        <v>0</v>
      </c>
      <c r="AF65" s="6">
        <f ca="1">$M$65*$Z$65</f>
        <v>14533.320958465287</v>
      </c>
      <c r="AG65" s="6">
        <f>$O$65*$AA$65</f>
        <v>4393.3404632905622</v>
      </c>
    </row>
    <row r="66" spans="1:33" ht="11.25" customHeight="1" x14ac:dyDescent="0.25">
      <c r="A66" s="4" t="s">
        <v>21</v>
      </c>
      <c r="B66" s="4" t="s">
        <v>38</v>
      </c>
      <c r="C66" s="4" t="s">
        <v>39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33</v>
      </c>
      <c r="I66" s="5">
        <v>44531</v>
      </c>
      <c r="J66" s="6">
        <v>0</v>
      </c>
      <c r="K66" s="6">
        <v>0</v>
      </c>
      <c r="L66" s="6">
        <v>18.306999999999999</v>
      </c>
      <c r="M66" s="6">
        <v>18.306999999999999</v>
      </c>
      <c r="N66" s="6">
        <v>18.306999999999999</v>
      </c>
      <c r="O66" s="6">
        <v>18.306999999999999</v>
      </c>
      <c r="P66" s="6">
        <v>0</v>
      </c>
      <c r="Q66" s="4" t="s">
        <v>26</v>
      </c>
      <c r="R66" s="4">
        <v>0</v>
      </c>
      <c r="S66" s="6">
        <v>0</v>
      </c>
      <c r="T66" s="6">
        <v>18</v>
      </c>
      <c r="U66" s="6">
        <v>69</v>
      </c>
      <c r="V66" s="6">
        <f>IF(ISERROR(VLOOKUP($S$66,'TAR FIN'!$A$1:$O$88,15,0)),0,VLOOKUP($S$66,'TAR FIN'!$A$1:$O$88,15,0))</f>
        <v>0</v>
      </c>
      <c r="W66" s="6">
        <f>IF(ISERROR(VLOOKUP($T$66,'TAR FIN'!$A$1:$O$88,15,0)),0,VLOOKUP($T$66,'TAR FIN'!$A$1:$O$88,15,0))</f>
        <v>1295.8499999999999</v>
      </c>
      <c r="X66" s="6">
        <f>IF(ISERROR(VLOOKUP($U$66,'TAR FIN'!$A$1:$O$88,15,0)),0,VLOOKUP($U$66,'TAR FIN'!$A$1:$O$88,15,0))</f>
        <v>434.95</v>
      </c>
      <c r="Y66" s="6"/>
      <c r="Z66" s="6">
        <f ca="1">('TUSD BE'!$AM$11+'TUSD BF'!$AM$11+'TUSD CVA'!$AM$11)*1</f>
        <v>1048.5801557334262</v>
      </c>
      <c r="AA66" s="6">
        <f>('TE BE'!$AB$5+'TE BF'!$AB$5+'TE CVA'!$AB$5)*1</f>
        <v>316.97983140624547</v>
      </c>
      <c r="AB66" s="6">
        <f>$K$66*$V$66</f>
        <v>0</v>
      </c>
      <c r="AC66" s="6">
        <f>$M$66*$W$66</f>
        <v>23723.125949999998</v>
      </c>
      <c r="AD66" s="6">
        <f>$O$66*$X$66</f>
        <v>7962.6296499999989</v>
      </c>
      <c r="AE66" s="6">
        <f>$K$66*$Y$66</f>
        <v>0</v>
      </c>
      <c r="AF66" s="6">
        <f ca="1">$M$66*$Z$66</f>
        <v>19196.356911011833</v>
      </c>
      <c r="AG66" s="6">
        <f>$O$66*$AA$66</f>
        <v>5802.9497735541354</v>
      </c>
    </row>
    <row r="67" spans="1:33" ht="11.25" customHeight="1" x14ac:dyDescent="0.25">
      <c r="A67" s="4" t="s">
        <v>21</v>
      </c>
      <c r="B67" s="4" t="s">
        <v>38</v>
      </c>
      <c r="C67" s="4" t="s">
        <v>39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33</v>
      </c>
      <c r="I67" s="5">
        <v>44562</v>
      </c>
      <c r="J67" s="6">
        <v>0</v>
      </c>
      <c r="K67" s="6">
        <v>0</v>
      </c>
      <c r="L67" s="6">
        <v>16.87</v>
      </c>
      <c r="M67" s="6">
        <v>16.87</v>
      </c>
      <c r="N67" s="6">
        <v>16.87</v>
      </c>
      <c r="O67" s="6">
        <v>16.87</v>
      </c>
      <c r="P67" s="6">
        <v>0</v>
      </c>
      <c r="Q67" s="4" t="s">
        <v>26</v>
      </c>
      <c r="R67" s="4">
        <v>0</v>
      </c>
      <c r="S67" s="6">
        <v>0</v>
      </c>
      <c r="T67" s="6">
        <v>18</v>
      </c>
      <c r="U67" s="6">
        <v>69</v>
      </c>
      <c r="V67" s="6">
        <f>IF(ISERROR(VLOOKUP($S$67,'TAR FIN'!$A$1:$O$88,15,0)),0,VLOOKUP($S$67,'TAR FIN'!$A$1:$O$88,15,0))</f>
        <v>0</v>
      </c>
      <c r="W67" s="6">
        <f>IF(ISERROR(VLOOKUP($T$67,'TAR FIN'!$A$1:$O$88,15,0)),0,VLOOKUP($T$67,'TAR FIN'!$A$1:$O$88,15,0))</f>
        <v>1295.8499999999999</v>
      </c>
      <c r="X67" s="6">
        <f>IF(ISERROR(VLOOKUP($U$67,'TAR FIN'!$A$1:$O$88,15,0)),0,VLOOKUP($U$67,'TAR FIN'!$A$1:$O$88,15,0))</f>
        <v>434.95</v>
      </c>
      <c r="Y67" s="6"/>
      <c r="Z67" s="6">
        <f ca="1">('TUSD BE'!$AM$11+'TUSD BF'!$AM$11+'TUSD CVA'!$AM$11)*1</f>
        <v>1048.5801557334262</v>
      </c>
      <c r="AA67" s="6">
        <f>('TE BE'!$AB$5+'TE BF'!$AB$5+'TE CVA'!$AB$5)*1</f>
        <v>316.97983140624547</v>
      </c>
      <c r="AB67" s="6">
        <f>$K$67*$V$67</f>
        <v>0</v>
      </c>
      <c r="AC67" s="6">
        <f>$M$67*$W$67</f>
        <v>21860.9895</v>
      </c>
      <c r="AD67" s="6">
        <f>$O$67*$X$67</f>
        <v>7337.6064999999999</v>
      </c>
      <c r="AE67" s="6">
        <f>$K$67*$Y$67</f>
        <v>0</v>
      </c>
      <c r="AF67" s="6">
        <f ca="1">$M$67*$Z$67</f>
        <v>17689.547227222902</v>
      </c>
      <c r="AG67" s="6">
        <f>$O$67*$AA$67</f>
        <v>5347.4497558233616</v>
      </c>
    </row>
    <row r="68" spans="1:33" ht="11.25" customHeight="1" x14ac:dyDescent="0.25">
      <c r="A68" s="4" t="s">
        <v>21</v>
      </c>
      <c r="B68" s="4" t="s">
        <v>38</v>
      </c>
      <c r="C68" s="4" t="s">
        <v>39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33</v>
      </c>
      <c r="I68" s="5">
        <v>44593</v>
      </c>
      <c r="J68" s="6">
        <v>0</v>
      </c>
      <c r="K68" s="6">
        <v>0</v>
      </c>
      <c r="L68" s="6">
        <v>16.728000000000002</v>
      </c>
      <c r="M68" s="6">
        <v>16.728000000000002</v>
      </c>
      <c r="N68" s="6">
        <v>16.728000000000002</v>
      </c>
      <c r="O68" s="6">
        <v>16.728000000000002</v>
      </c>
      <c r="P68" s="6">
        <v>0</v>
      </c>
      <c r="Q68" s="4" t="s">
        <v>26</v>
      </c>
      <c r="R68" s="4">
        <v>0</v>
      </c>
      <c r="S68" s="6">
        <v>0</v>
      </c>
      <c r="T68" s="6">
        <v>18</v>
      </c>
      <c r="U68" s="6">
        <v>69</v>
      </c>
      <c r="V68" s="6">
        <f>IF(ISERROR(VLOOKUP($S$68,'TAR FIN'!$A$1:$O$88,15,0)),0,VLOOKUP($S$68,'TAR FIN'!$A$1:$O$88,15,0))</f>
        <v>0</v>
      </c>
      <c r="W68" s="6">
        <f>IF(ISERROR(VLOOKUP($T$68,'TAR FIN'!$A$1:$O$88,15,0)),0,VLOOKUP($T$68,'TAR FIN'!$A$1:$O$88,15,0))</f>
        <v>1295.8499999999999</v>
      </c>
      <c r="X68" s="6">
        <f>IF(ISERROR(VLOOKUP($U$68,'TAR FIN'!$A$1:$O$88,15,0)),0,VLOOKUP($U$68,'TAR FIN'!$A$1:$O$88,15,0))</f>
        <v>434.95</v>
      </c>
      <c r="Y68" s="6"/>
      <c r="Z68" s="6">
        <f ca="1">('TUSD BE'!$AM$11+'TUSD BF'!$AM$11+'TUSD CVA'!$AM$11)*1</f>
        <v>1048.5801557334262</v>
      </c>
      <c r="AA68" s="6">
        <f>('TE BE'!$AB$5+'TE BF'!$AB$5+'TE CVA'!$AB$5)*1</f>
        <v>316.97983140624547</v>
      </c>
      <c r="AB68" s="6">
        <f>$K$68*$V$68</f>
        <v>0</v>
      </c>
      <c r="AC68" s="6">
        <f>$M$68*$W$68</f>
        <v>21676.978800000001</v>
      </c>
      <c r="AD68" s="6">
        <f>$O$68*$X$68</f>
        <v>7275.8436000000002</v>
      </c>
      <c r="AE68" s="6">
        <f>$K$68*$Y$68</f>
        <v>0</v>
      </c>
      <c r="AF68" s="6">
        <f ca="1">$M$68*$Z$68</f>
        <v>17540.648845108753</v>
      </c>
      <c r="AG68" s="6">
        <f>$O$68*$AA$68</f>
        <v>5302.438619763675</v>
      </c>
    </row>
    <row r="69" spans="1:33" ht="11.25" customHeight="1" x14ac:dyDescent="0.25">
      <c r="A69" s="4" t="s">
        <v>21</v>
      </c>
      <c r="B69" s="4" t="s">
        <v>38</v>
      </c>
      <c r="C69" s="4" t="s">
        <v>39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33</v>
      </c>
      <c r="I69" s="5">
        <v>44621</v>
      </c>
      <c r="J69" s="6">
        <v>0</v>
      </c>
      <c r="K69" s="6">
        <v>0</v>
      </c>
      <c r="L69" s="6">
        <v>19.248999999999999</v>
      </c>
      <c r="M69" s="6">
        <v>19.248999999999999</v>
      </c>
      <c r="N69" s="6">
        <v>19.248999999999999</v>
      </c>
      <c r="O69" s="6">
        <v>19.248999999999999</v>
      </c>
      <c r="P69" s="6">
        <v>0</v>
      </c>
      <c r="Q69" s="4" t="s">
        <v>26</v>
      </c>
      <c r="R69" s="4">
        <v>0</v>
      </c>
      <c r="S69" s="6">
        <v>0</v>
      </c>
      <c r="T69" s="6">
        <v>18</v>
      </c>
      <c r="U69" s="6">
        <v>69</v>
      </c>
      <c r="V69" s="6">
        <f>IF(ISERROR(VLOOKUP($S$69,'TAR FIN'!$A$1:$O$88,15,0)),0,VLOOKUP($S$69,'TAR FIN'!$A$1:$O$88,15,0))</f>
        <v>0</v>
      </c>
      <c r="W69" s="6">
        <f>IF(ISERROR(VLOOKUP($T$69,'TAR FIN'!$A$1:$O$88,15,0)),0,VLOOKUP($T$69,'TAR FIN'!$A$1:$O$88,15,0))</f>
        <v>1295.8499999999999</v>
      </c>
      <c r="X69" s="6">
        <f>IF(ISERROR(VLOOKUP($U$69,'TAR FIN'!$A$1:$O$88,15,0)),0,VLOOKUP($U$69,'TAR FIN'!$A$1:$O$88,15,0))</f>
        <v>434.95</v>
      </c>
      <c r="Y69" s="6"/>
      <c r="Z69" s="6">
        <f ca="1">('TUSD BE'!$AM$11+'TUSD BF'!$AM$11+'TUSD CVA'!$AM$11)*1</f>
        <v>1048.5801557334262</v>
      </c>
      <c r="AA69" s="6">
        <f>('TE BE'!$AB$5+'TE BF'!$AB$5+'TE CVA'!$AB$5)*1</f>
        <v>316.97983140624547</v>
      </c>
      <c r="AB69" s="6">
        <f>$K$69*$V$69</f>
        <v>0</v>
      </c>
      <c r="AC69" s="6">
        <f>$M$69*$W$69</f>
        <v>24943.816649999997</v>
      </c>
      <c r="AD69" s="6">
        <f>$O$69*$X$69</f>
        <v>8372.3525499999996</v>
      </c>
      <c r="AE69" s="6">
        <f>$K$69*$Y$69</f>
        <v>0</v>
      </c>
      <c r="AF69" s="6">
        <f ca="1">$M$69*$Z$69</f>
        <v>20184.119417712718</v>
      </c>
      <c r="AG69" s="6">
        <f>$O$69*$AA$69</f>
        <v>6101.5447747388189</v>
      </c>
    </row>
    <row r="70" spans="1:33" ht="11.25" customHeight="1" x14ac:dyDescent="0.25">
      <c r="A70" s="4" t="s">
        <v>21</v>
      </c>
      <c r="B70" s="4" t="s">
        <v>38</v>
      </c>
      <c r="C70" s="4" t="s">
        <v>39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33</v>
      </c>
      <c r="I70" s="5">
        <v>44652</v>
      </c>
      <c r="J70" s="6">
        <v>0</v>
      </c>
      <c r="K70" s="6">
        <v>0</v>
      </c>
      <c r="L70" s="6">
        <v>12.563000000000001</v>
      </c>
      <c r="M70" s="6">
        <v>12.563000000000001</v>
      </c>
      <c r="N70" s="6">
        <v>12.563000000000001</v>
      </c>
      <c r="O70" s="6">
        <v>12.563000000000001</v>
      </c>
      <c r="P70" s="6">
        <v>0</v>
      </c>
      <c r="Q70" s="4" t="s">
        <v>26</v>
      </c>
      <c r="R70" s="4">
        <v>0</v>
      </c>
      <c r="S70" s="6">
        <v>0</v>
      </c>
      <c r="T70" s="6">
        <v>18</v>
      </c>
      <c r="U70" s="6">
        <v>69</v>
      </c>
      <c r="V70" s="6">
        <f>IF(ISERROR(VLOOKUP($S$70,'TAR FIN'!$A$1:$O$88,15,0)),0,VLOOKUP($S$70,'TAR FIN'!$A$1:$O$88,15,0))</f>
        <v>0</v>
      </c>
      <c r="W70" s="6">
        <f>IF(ISERROR(VLOOKUP($T$70,'TAR FIN'!$A$1:$O$88,15,0)),0,VLOOKUP($T$70,'TAR FIN'!$A$1:$O$88,15,0))</f>
        <v>1295.8499999999999</v>
      </c>
      <c r="X70" s="6">
        <f>IF(ISERROR(VLOOKUP($U$70,'TAR FIN'!$A$1:$O$88,15,0)),0,VLOOKUP($U$70,'TAR FIN'!$A$1:$O$88,15,0))</f>
        <v>434.95</v>
      </c>
      <c r="Y70" s="6"/>
      <c r="Z70" s="6">
        <f ca="1">('TUSD BE'!$AM$11+'TUSD BF'!$AM$11+'TUSD CVA'!$AM$11)*1</f>
        <v>1048.5801557334262</v>
      </c>
      <c r="AA70" s="6">
        <f>('TE BE'!$AB$5+'TE BF'!$AB$5+'TE CVA'!$AB$5)*1</f>
        <v>316.97983140624547</v>
      </c>
      <c r="AB70" s="6">
        <f>$K$70*$V$70</f>
        <v>0</v>
      </c>
      <c r="AC70" s="6">
        <f>$M$70*$W$70</f>
        <v>16279.76355</v>
      </c>
      <c r="AD70" s="6">
        <f>$O$70*$X$70</f>
        <v>5464.2768500000002</v>
      </c>
      <c r="AE70" s="6">
        <f>$K$70*$Y$70</f>
        <v>0</v>
      </c>
      <c r="AF70" s="6">
        <f ca="1">$M$70*$Z$70</f>
        <v>13173.312496479033</v>
      </c>
      <c r="AG70" s="6">
        <f>$O$70*$AA$70</f>
        <v>3982.2176219566618</v>
      </c>
    </row>
    <row r="71" spans="1:33" ht="11.25" customHeight="1" x14ac:dyDescent="0.25">
      <c r="A71" s="4" t="s">
        <v>21</v>
      </c>
      <c r="B71" s="4" t="s">
        <v>38</v>
      </c>
      <c r="C71" s="4" t="s">
        <v>39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33</v>
      </c>
      <c r="I71" s="5">
        <v>44682</v>
      </c>
      <c r="J71" s="6">
        <v>0</v>
      </c>
      <c r="K71" s="6">
        <v>0</v>
      </c>
      <c r="L71" s="6">
        <v>13.327999999999999</v>
      </c>
      <c r="M71" s="6">
        <v>13.327999999999999</v>
      </c>
      <c r="N71" s="6">
        <v>13.327999999999999</v>
      </c>
      <c r="O71" s="6">
        <v>13.327999999999999</v>
      </c>
      <c r="P71" s="6">
        <v>0</v>
      </c>
      <c r="Q71" s="4" t="s">
        <v>26</v>
      </c>
      <c r="R71" s="4">
        <v>0</v>
      </c>
      <c r="S71" s="6">
        <v>0</v>
      </c>
      <c r="T71" s="6">
        <v>18</v>
      </c>
      <c r="U71" s="6">
        <v>69</v>
      </c>
      <c r="V71" s="6">
        <f>IF(ISERROR(VLOOKUP($S$71,'TAR FIN'!$A$1:$O$88,15,0)),0,VLOOKUP($S$71,'TAR FIN'!$A$1:$O$88,15,0))</f>
        <v>0</v>
      </c>
      <c r="W71" s="6">
        <f>IF(ISERROR(VLOOKUP($T$71,'TAR FIN'!$A$1:$O$88,15,0)),0,VLOOKUP($T$71,'TAR FIN'!$A$1:$O$88,15,0))</f>
        <v>1295.8499999999999</v>
      </c>
      <c r="X71" s="6">
        <f>IF(ISERROR(VLOOKUP($U$71,'TAR FIN'!$A$1:$O$88,15,0)),0,VLOOKUP($U$71,'TAR FIN'!$A$1:$O$88,15,0))</f>
        <v>434.95</v>
      </c>
      <c r="Y71" s="6"/>
      <c r="Z71" s="6">
        <f ca="1">('TUSD BE'!$AM$11+'TUSD BF'!$AM$11+'TUSD CVA'!$AM$11)*1</f>
        <v>1048.5801557334262</v>
      </c>
      <c r="AA71" s="6">
        <f>('TE BE'!$AB$5+'TE BF'!$AB$5+'TE CVA'!$AB$5)*1</f>
        <v>316.97983140624547</v>
      </c>
      <c r="AB71" s="6">
        <f>$K$71*$V$71</f>
        <v>0</v>
      </c>
      <c r="AC71" s="6">
        <f>$M$71*$W$71</f>
        <v>17271.088799999998</v>
      </c>
      <c r="AD71" s="6">
        <f>$O$71*$X$71</f>
        <v>5797.0135999999993</v>
      </c>
      <c r="AE71" s="6">
        <f>$K$71*$Y$71</f>
        <v>0</v>
      </c>
      <c r="AF71" s="6">
        <f ca="1">$M$71*$Z$71</f>
        <v>13975.476315615104</v>
      </c>
      <c r="AG71" s="6">
        <f>$O$71*$AA$71</f>
        <v>4224.7071929824397</v>
      </c>
    </row>
    <row r="72" spans="1:33" ht="11.25" customHeight="1" x14ac:dyDescent="0.25">
      <c r="A72" s="4" t="s">
        <v>21</v>
      </c>
      <c r="B72" s="4" t="s">
        <v>38</v>
      </c>
      <c r="C72" s="4" t="s">
        <v>39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33</v>
      </c>
      <c r="I72" s="5">
        <v>44713</v>
      </c>
      <c r="J72" s="6">
        <v>0</v>
      </c>
      <c r="K72" s="6">
        <v>0</v>
      </c>
      <c r="L72" s="6">
        <v>12.855</v>
      </c>
      <c r="M72" s="6">
        <v>12.855</v>
      </c>
      <c r="N72" s="6">
        <v>12.855</v>
      </c>
      <c r="O72" s="6">
        <v>12.855</v>
      </c>
      <c r="P72" s="6">
        <v>0</v>
      </c>
      <c r="Q72" s="4" t="s">
        <v>26</v>
      </c>
      <c r="R72" s="4">
        <v>0</v>
      </c>
      <c r="S72" s="6">
        <v>0</v>
      </c>
      <c r="T72" s="6">
        <v>18</v>
      </c>
      <c r="U72" s="6">
        <v>69</v>
      </c>
      <c r="V72" s="6">
        <f>IF(ISERROR(VLOOKUP($S$72,'TAR FIN'!$A$1:$O$88,15,0)),0,VLOOKUP($S$72,'TAR FIN'!$A$1:$O$88,15,0))</f>
        <v>0</v>
      </c>
      <c r="W72" s="6">
        <f>IF(ISERROR(VLOOKUP($T$72,'TAR FIN'!$A$1:$O$88,15,0)),0,VLOOKUP($T$72,'TAR FIN'!$A$1:$O$88,15,0))</f>
        <v>1295.8499999999999</v>
      </c>
      <c r="X72" s="6">
        <f>IF(ISERROR(VLOOKUP($U$72,'TAR FIN'!$A$1:$O$88,15,0)),0,VLOOKUP($U$72,'TAR FIN'!$A$1:$O$88,15,0))</f>
        <v>434.95</v>
      </c>
      <c r="Y72" s="6"/>
      <c r="Z72" s="6">
        <f ca="1">('TUSD BE'!$AM$11+'TUSD BF'!$AM$11+'TUSD CVA'!$AM$11)*1</f>
        <v>1048.5801557334262</v>
      </c>
      <c r="AA72" s="6">
        <f>('TE BE'!$AB$5+'TE BF'!$AB$5+'TE CVA'!$AB$5)*1</f>
        <v>316.97983140624547</v>
      </c>
      <c r="AB72" s="6">
        <f>$K$72*$V$72</f>
        <v>0</v>
      </c>
      <c r="AC72" s="6">
        <f>$M$72*$W$72</f>
        <v>16658.151750000001</v>
      </c>
      <c r="AD72" s="6">
        <f>$O$72*$X$72</f>
        <v>5591.2822500000002</v>
      </c>
      <c r="AE72" s="6">
        <f>$K$72*$Y$72</f>
        <v>0</v>
      </c>
      <c r="AF72" s="6">
        <f ca="1">$M$72*$Z$72</f>
        <v>13479.497901953195</v>
      </c>
      <c r="AG72" s="6">
        <f>$O$72*$AA$72</f>
        <v>4074.7757327272857</v>
      </c>
    </row>
    <row r="73" spans="1:33" ht="11.25" customHeight="1" x14ac:dyDescent="0.25">
      <c r="A73" s="4" t="s">
        <v>55</v>
      </c>
      <c r="B73" s="4" t="s">
        <v>38</v>
      </c>
      <c r="C73" s="4" t="s">
        <v>39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33</v>
      </c>
      <c r="I73" s="5">
        <v>44743</v>
      </c>
      <c r="J73" s="6">
        <v>0</v>
      </c>
      <c r="K73" s="6">
        <v>0</v>
      </c>
      <c r="L73" s="6">
        <v>12.855</v>
      </c>
      <c r="M73" s="6">
        <v>12.855</v>
      </c>
      <c r="N73" s="6">
        <v>12.855</v>
      </c>
      <c r="O73" s="6">
        <v>12.855</v>
      </c>
      <c r="P73" s="6">
        <v>0</v>
      </c>
      <c r="Q73" s="4" t="s">
        <v>26</v>
      </c>
      <c r="R73" s="4">
        <v>0</v>
      </c>
      <c r="S73" s="6">
        <v>0</v>
      </c>
      <c r="T73" s="6">
        <v>18</v>
      </c>
      <c r="U73" s="6">
        <v>69</v>
      </c>
      <c r="V73" s="6">
        <f>IF(ISERROR(VLOOKUP($S$73,'TAR FIN'!$A$1:$O$88,15,0)),0,VLOOKUP($S$73,'TAR FIN'!$A$1:$O$88,15,0))</f>
        <v>0</v>
      </c>
      <c r="W73" s="6">
        <f>IF(ISERROR(VLOOKUP($T$73,'TAR FIN'!$A$1:$O$88,15,0)),0,VLOOKUP($T$73,'TAR FIN'!$A$1:$O$88,15,0))</f>
        <v>1295.8499999999999</v>
      </c>
      <c r="X73" s="6">
        <f>IF(ISERROR(VLOOKUP($U$73,'TAR FIN'!$A$1:$O$88,15,0)),0,VLOOKUP($U$73,'TAR FIN'!$A$1:$O$88,15,0))</f>
        <v>434.95</v>
      </c>
      <c r="Y73" s="6"/>
      <c r="Z73" s="6">
        <f ca="1">('TUSD BE'!$AM$11+'TUSD BF'!$AM$11+'TUSD CVA'!$AM$11)*1</f>
        <v>1048.5801557334262</v>
      </c>
      <c r="AA73" s="6">
        <f>('TE BE'!$AB$5+'TE BF'!$AB$5+'TE CVA'!$AB$5)*1</f>
        <v>316.97983140624547</v>
      </c>
      <c r="AB73" s="6">
        <f>$K$73*$V$73</f>
        <v>0</v>
      </c>
      <c r="AC73" s="6">
        <f>$M$73*$W$73</f>
        <v>16658.151750000001</v>
      </c>
      <c r="AD73" s="6">
        <f>$O$73*$X$73</f>
        <v>5591.2822500000002</v>
      </c>
      <c r="AE73" s="6">
        <f>$K$73*$Y$73</f>
        <v>0</v>
      </c>
      <c r="AF73" s="6">
        <f ca="1">$M$73*$Z$73</f>
        <v>13479.497901953195</v>
      </c>
      <c r="AG73" s="6">
        <f>$O$73*$AA$73</f>
        <v>4074.7757327272857</v>
      </c>
    </row>
    <row r="74" spans="1:33" ht="11.25" customHeight="1" x14ac:dyDescent="0.25">
      <c r="A74" s="4" t="s">
        <v>21</v>
      </c>
      <c r="B74" s="4" t="s">
        <v>38</v>
      </c>
      <c r="C74" s="4" t="s">
        <v>39</v>
      </c>
      <c r="D74" s="4" t="s">
        <v>37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44409</v>
      </c>
      <c r="J74" s="6">
        <v>0</v>
      </c>
      <c r="K74" s="6">
        <v>0</v>
      </c>
      <c r="L74" s="6">
        <v>303.74400000000003</v>
      </c>
      <c r="M74" s="6">
        <v>303.74400000000003</v>
      </c>
      <c r="N74" s="6">
        <v>303.74400000000003</v>
      </c>
      <c r="O74" s="6">
        <v>303.74400000000003</v>
      </c>
      <c r="P74" s="6">
        <v>0</v>
      </c>
      <c r="Q74" s="4" t="s">
        <v>26</v>
      </c>
      <c r="R74" s="4">
        <v>0</v>
      </c>
      <c r="S74" s="6">
        <v>0</v>
      </c>
      <c r="T74" s="6">
        <v>21</v>
      </c>
      <c r="U74" s="6">
        <v>70</v>
      </c>
      <c r="V74" s="6">
        <f>IF(ISERROR(VLOOKUP($S$74,'TAR FIN'!$A$1:$O$88,15,0)),0,VLOOKUP($S$74,'TAR FIN'!$A$1:$O$88,15,0))</f>
        <v>0</v>
      </c>
      <c r="W74" s="6">
        <f>IF(ISERROR(VLOOKUP($T$74,'TAR FIN'!$A$1:$O$88,15,0)),0,VLOOKUP($T$74,'TAR FIN'!$A$1:$O$88,15,0))</f>
        <v>73.790000000000006</v>
      </c>
      <c r="X74" s="6">
        <f>IF(ISERROR(VLOOKUP($U$74,'TAR FIN'!$A$1:$O$88,15,0)),0,VLOOKUP($U$74,'TAR FIN'!$A$1:$O$88,15,0))</f>
        <v>266.70999999999998</v>
      </c>
      <c r="Y74" s="6"/>
      <c r="Z74" s="6">
        <f ca="1">('TUSD BE'!$AM$12+'TUSD BF'!$AM$12+'TUSD CVA'!$AM$12)*1</f>
        <v>83.275517807559041</v>
      </c>
      <c r="AA74" s="6">
        <f>('TE BE'!$AB$6+'TE BF'!$AB$6+'TE CVA'!$AB$6)*1</f>
        <v>197.6895725142987</v>
      </c>
      <c r="AB74" s="6">
        <f>$K$74*$V$74</f>
        <v>0</v>
      </c>
      <c r="AC74" s="6">
        <f>$M$74*$W$74</f>
        <v>22413.269760000003</v>
      </c>
      <c r="AD74" s="6">
        <f>$O$74*$X$74</f>
        <v>81011.562239999999</v>
      </c>
      <c r="AE74" s="6">
        <f>$K$74*$Y$74</f>
        <v>0</v>
      </c>
      <c r="AF74" s="6">
        <f ca="1">$M$74*$Z$74</f>
        <v>25294.438880939215</v>
      </c>
      <c r="AG74" s="6">
        <f>$O$74*$AA$74</f>
        <v>60047.021513783147</v>
      </c>
    </row>
    <row r="75" spans="1:33" ht="11.25" customHeight="1" x14ac:dyDescent="0.25">
      <c r="A75" s="4" t="s">
        <v>21</v>
      </c>
      <c r="B75" s="4" t="s">
        <v>38</v>
      </c>
      <c r="C75" s="4" t="s">
        <v>39</v>
      </c>
      <c r="D75" s="4" t="s">
        <v>37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44440</v>
      </c>
      <c r="J75" s="6">
        <v>0</v>
      </c>
      <c r="K75" s="6">
        <v>0</v>
      </c>
      <c r="L75" s="6">
        <v>289.48399999999998</v>
      </c>
      <c r="M75" s="6">
        <v>289.48399999999998</v>
      </c>
      <c r="N75" s="6">
        <v>289.48399999999998</v>
      </c>
      <c r="O75" s="6">
        <v>289.48399999999998</v>
      </c>
      <c r="P75" s="6">
        <v>0</v>
      </c>
      <c r="Q75" s="4" t="s">
        <v>26</v>
      </c>
      <c r="R75" s="4">
        <v>0</v>
      </c>
      <c r="S75" s="6">
        <v>0</v>
      </c>
      <c r="T75" s="6">
        <v>21</v>
      </c>
      <c r="U75" s="6">
        <v>70</v>
      </c>
      <c r="V75" s="6">
        <f>IF(ISERROR(VLOOKUP($S$75,'TAR FIN'!$A$1:$O$88,15,0)),0,VLOOKUP($S$75,'TAR FIN'!$A$1:$O$88,15,0))</f>
        <v>0</v>
      </c>
      <c r="W75" s="6">
        <f>IF(ISERROR(VLOOKUP($T$75,'TAR FIN'!$A$1:$O$88,15,0)),0,VLOOKUP($T$75,'TAR FIN'!$A$1:$O$88,15,0))</f>
        <v>73.790000000000006</v>
      </c>
      <c r="X75" s="6">
        <f>IF(ISERROR(VLOOKUP($U$75,'TAR FIN'!$A$1:$O$88,15,0)),0,VLOOKUP($U$75,'TAR FIN'!$A$1:$O$88,15,0))</f>
        <v>266.70999999999998</v>
      </c>
      <c r="Y75" s="6"/>
      <c r="Z75" s="6">
        <f ca="1">('TUSD BE'!$AM$12+'TUSD BF'!$AM$12+'TUSD CVA'!$AM$12)*1</f>
        <v>83.275517807559041</v>
      </c>
      <c r="AA75" s="6">
        <f>('TE BE'!$AB$6+'TE BF'!$AB$6+'TE CVA'!$AB$6)*1</f>
        <v>197.6895725142987</v>
      </c>
      <c r="AB75" s="6">
        <f>$K$75*$V$75</f>
        <v>0</v>
      </c>
      <c r="AC75" s="6">
        <f>$M$75*$W$75</f>
        <v>21361.024359999999</v>
      </c>
      <c r="AD75" s="6">
        <f>$O$75*$X$75</f>
        <v>77208.277639999986</v>
      </c>
      <c r="AE75" s="6">
        <f>$K$75*$Y$75</f>
        <v>0</v>
      </c>
      <c r="AF75" s="6">
        <f ca="1">$M$75*$Z$75</f>
        <v>24106.929997003419</v>
      </c>
      <c r="AG75" s="6">
        <f>$O$75*$AA$75</f>
        <v>57227.968209729239</v>
      </c>
    </row>
    <row r="76" spans="1:33" ht="11.25" customHeight="1" x14ac:dyDescent="0.25">
      <c r="A76" s="4" t="s">
        <v>21</v>
      </c>
      <c r="B76" s="4" t="s">
        <v>38</v>
      </c>
      <c r="C76" s="4" t="s">
        <v>39</v>
      </c>
      <c r="D76" s="4" t="s">
        <v>37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44470</v>
      </c>
      <c r="J76" s="6">
        <v>0</v>
      </c>
      <c r="K76" s="6">
        <v>0</v>
      </c>
      <c r="L76" s="6">
        <v>272.87900000000002</v>
      </c>
      <c r="M76" s="6">
        <v>272.87900000000002</v>
      </c>
      <c r="N76" s="6">
        <v>272.87900000000002</v>
      </c>
      <c r="O76" s="6">
        <v>272.87900000000002</v>
      </c>
      <c r="P76" s="6">
        <v>0</v>
      </c>
      <c r="Q76" s="4" t="s">
        <v>26</v>
      </c>
      <c r="R76" s="4">
        <v>0</v>
      </c>
      <c r="S76" s="6">
        <v>0</v>
      </c>
      <c r="T76" s="6">
        <v>21</v>
      </c>
      <c r="U76" s="6">
        <v>70</v>
      </c>
      <c r="V76" s="6">
        <f>IF(ISERROR(VLOOKUP($S$76,'TAR FIN'!$A$1:$O$88,15,0)),0,VLOOKUP($S$76,'TAR FIN'!$A$1:$O$88,15,0))</f>
        <v>0</v>
      </c>
      <c r="W76" s="6">
        <f>IF(ISERROR(VLOOKUP($T$76,'TAR FIN'!$A$1:$O$88,15,0)),0,VLOOKUP($T$76,'TAR FIN'!$A$1:$O$88,15,0))</f>
        <v>73.790000000000006</v>
      </c>
      <c r="X76" s="6">
        <f>IF(ISERROR(VLOOKUP($U$76,'TAR FIN'!$A$1:$O$88,15,0)),0,VLOOKUP($U$76,'TAR FIN'!$A$1:$O$88,15,0))</f>
        <v>266.70999999999998</v>
      </c>
      <c r="Y76" s="6"/>
      <c r="Z76" s="6">
        <f ca="1">('TUSD BE'!$AM$12+'TUSD BF'!$AM$12+'TUSD CVA'!$AM$12)*1</f>
        <v>83.275517807559041</v>
      </c>
      <c r="AA76" s="6">
        <f>('TE BE'!$AB$6+'TE BF'!$AB$6+'TE CVA'!$AB$6)*1</f>
        <v>197.6895725142987</v>
      </c>
      <c r="AB76" s="6">
        <f>$K$76*$V$76</f>
        <v>0</v>
      </c>
      <c r="AC76" s="6">
        <f>$M$76*$W$76</f>
        <v>20135.741410000002</v>
      </c>
      <c r="AD76" s="6">
        <f>$O$76*$X$76</f>
        <v>72779.558090000006</v>
      </c>
      <c r="AE76" s="6">
        <f>$K$76*$Y$76</f>
        <v>0</v>
      </c>
      <c r="AF76" s="6">
        <f ca="1">$M$76*$Z$76</f>
        <v>22724.140023808905</v>
      </c>
      <c r="AG76" s="6">
        <f>$O$76*$AA$76</f>
        <v>53945.332858129317</v>
      </c>
    </row>
    <row r="77" spans="1:33" ht="11.25" customHeight="1" x14ac:dyDescent="0.25">
      <c r="A77" s="4" t="s">
        <v>21</v>
      </c>
      <c r="B77" s="4" t="s">
        <v>38</v>
      </c>
      <c r="C77" s="4" t="s">
        <v>39</v>
      </c>
      <c r="D77" s="4" t="s">
        <v>37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44501</v>
      </c>
      <c r="J77" s="6">
        <v>0</v>
      </c>
      <c r="K77" s="6">
        <v>0</v>
      </c>
      <c r="L77" s="6">
        <v>281.43900000000002</v>
      </c>
      <c r="M77" s="6">
        <v>281.43900000000002</v>
      </c>
      <c r="N77" s="6">
        <v>281.43900000000002</v>
      </c>
      <c r="O77" s="6">
        <v>281.43900000000002</v>
      </c>
      <c r="P77" s="6">
        <v>0</v>
      </c>
      <c r="Q77" s="4" t="s">
        <v>26</v>
      </c>
      <c r="R77" s="4">
        <v>0</v>
      </c>
      <c r="S77" s="6">
        <v>0</v>
      </c>
      <c r="T77" s="6">
        <v>21</v>
      </c>
      <c r="U77" s="6">
        <v>70</v>
      </c>
      <c r="V77" s="6">
        <f>IF(ISERROR(VLOOKUP($S$77,'TAR FIN'!$A$1:$O$88,15,0)),0,VLOOKUP($S$77,'TAR FIN'!$A$1:$O$88,15,0))</f>
        <v>0</v>
      </c>
      <c r="W77" s="6">
        <f>IF(ISERROR(VLOOKUP($T$77,'TAR FIN'!$A$1:$O$88,15,0)),0,VLOOKUP($T$77,'TAR FIN'!$A$1:$O$88,15,0))</f>
        <v>73.790000000000006</v>
      </c>
      <c r="X77" s="6">
        <f>IF(ISERROR(VLOOKUP($U$77,'TAR FIN'!$A$1:$O$88,15,0)),0,VLOOKUP($U$77,'TAR FIN'!$A$1:$O$88,15,0))</f>
        <v>266.70999999999998</v>
      </c>
      <c r="Y77" s="6"/>
      <c r="Z77" s="6">
        <f ca="1">('TUSD BE'!$AM$12+'TUSD BF'!$AM$12+'TUSD CVA'!$AM$12)*1</f>
        <v>83.275517807559041</v>
      </c>
      <c r="AA77" s="6">
        <f>('TE BE'!$AB$6+'TE BF'!$AB$6+'TE CVA'!$AB$6)*1</f>
        <v>197.6895725142987</v>
      </c>
      <c r="AB77" s="6">
        <f>$K$77*$V$77</f>
        <v>0</v>
      </c>
      <c r="AC77" s="6">
        <f>$M$77*$W$77</f>
        <v>20767.383810000003</v>
      </c>
      <c r="AD77" s="6">
        <f>$O$77*$X$77</f>
        <v>75062.595690000002</v>
      </c>
      <c r="AE77" s="6">
        <f>$K$77*$Y$77</f>
        <v>0</v>
      </c>
      <c r="AF77" s="6">
        <f ca="1">$M$77*$Z$77</f>
        <v>23436.97845624161</v>
      </c>
      <c r="AG77" s="6">
        <f>$O$77*$AA$77</f>
        <v>55637.555598851715</v>
      </c>
    </row>
    <row r="78" spans="1:33" ht="11.25" customHeight="1" x14ac:dyDescent="0.25">
      <c r="A78" s="4" t="s">
        <v>21</v>
      </c>
      <c r="B78" s="4" t="s">
        <v>38</v>
      </c>
      <c r="C78" s="4" t="s">
        <v>39</v>
      </c>
      <c r="D78" s="4" t="s">
        <v>37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44531</v>
      </c>
      <c r="J78" s="6">
        <v>0</v>
      </c>
      <c r="K78" s="6">
        <v>0</v>
      </c>
      <c r="L78" s="6">
        <v>267.35599999999999</v>
      </c>
      <c r="M78" s="6">
        <v>267.35599999999999</v>
      </c>
      <c r="N78" s="6">
        <v>267.35599999999999</v>
      </c>
      <c r="O78" s="6">
        <v>267.35599999999999</v>
      </c>
      <c r="P78" s="6">
        <v>0</v>
      </c>
      <c r="Q78" s="4" t="s">
        <v>26</v>
      </c>
      <c r="R78" s="4">
        <v>0</v>
      </c>
      <c r="S78" s="6">
        <v>0</v>
      </c>
      <c r="T78" s="6">
        <v>21</v>
      </c>
      <c r="U78" s="6">
        <v>70</v>
      </c>
      <c r="V78" s="6">
        <f>IF(ISERROR(VLOOKUP($S$78,'TAR FIN'!$A$1:$O$88,15,0)),0,VLOOKUP($S$78,'TAR FIN'!$A$1:$O$88,15,0))</f>
        <v>0</v>
      </c>
      <c r="W78" s="6">
        <f>IF(ISERROR(VLOOKUP($T$78,'TAR FIN'!$A$1:$O$88,15,0)),0,VLOOKUP($T$78,'TAR FIN'!$A$1:$O$88,15,0))</f>
        <v>73.790000000000006</v>
      </c>
      <c r="X78" s="6">
        <f>IF(ISERROR(VLOOKUP($U$78,'TAR FIN'!$A$1:$O$88,15,0)),0,VLOOKUP($U$78,'TAR FIN'!$A$1:$O$88,15,0))</f>
        <v>266.70999999999998</v>
      </c>
      <c r="Y78" s="6"/>
      <c r="Z78" s="6">
        <f ca="1">('TUSD BE'!$AM$12+'TUSD BF'!$AM$12+'TUSD CVA'!$AM$12)*1</f>
        <v>83.275517807559041</v>
      </c>
      <c r="AA78" s="6">
        <f>('TE BE'!$AB$6+'TE BF'!$AB$6+'TE CVA'!$AB$6)*1</f>
        <v>197.6895725142987</v>
      </c>
      <c r="AB78" s="6">
        <f>$K$78*$V$78</f>
        <v>0</v>
      </c>
      <c r="AC78" s="6">
        <f>$M$78*$W$78</f>
        <v>19728.199240000002</v>
      </c>
      <c r="AD78" s="6">
        <f>$O$78*$X$78</f>
        <v>71306.518759999992</v>
      </c>
      <c r="AE78" s="6">
        <f>$K$78*$Y$78</f>
        <v>0</v>
      </c>
      <c r="AF78" s="6">
        <f ca="1">$M$78*$Z$78</f>
        <v>22264.209338957753</v>
      </c>
      <c r="AG78" s="6">
        <f>$O$78*$AA$78</f>
        <v>52853.493349132841</v>
      </c>
    </row>
    <row r="79" spans="1:33" ht="11.25" customHeight="1" x14ac:dyDescent="0.25">
      <c r="A79" s="4" t="s">
        <v>21</v>
      </c>
      <c r="B79" s="4" t="s">
        <v>38</v>
      </c>
      <c r="C79" s="4" t="s">
        <v>39</v>
      </c>
      <c r="D79" s="4" t="s">
        <v>37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0</v>
      </c>
      <c r="K79" s="6">
        <v>0</v>
      </c>
      <c r="L79" s="6">
        <v>243.958</v>
      </c>
      <c r="M79" s="6">
        <v>243.958</v>
      </c>
      <c r="N79" s="6">
        <v>243.958</v>
      </c>
      <c r="O79" s="6">
        <v>243.958</v>
      </c>
      <c r="P79" s="6">
        <v>0</v>
      </c>
      <c r="Q79" s="4" t="s">
        <v>26</v>
      </c>
      <c r="R79" s="4">
        <v>0</v>
      </c>
      <c r="S79" s="6">
        <v>0</v>
      </c>
      <c r="T79" s="6">
        <v>21</v>
      </c>
      <c r="U79" s="6">
        <v>70</v>
      </c>
      <c r="V79" s="6">
        <f>IF(ISERROR(VLOOKUP($S$79,'TAR FIN'!$A$1:$O$88,15,0)),0,VLOOKUP($S$79,'TAR FIN'!$A$1:$O$88,15,0))</f>
        <v>0</v>
      </c>
      <c r="W79" s="6">
        <f>IF(ISERROR(VLOOKUP($T$79,'TAR FIN'!$A$1:$O$88,15,0)),0,VLOOKUP($T$79,'TAR FIN'!$A$1:$O$88,15,0))</f>
        <v>73.790000000000006</v>
      </c>
      <c r="X79" s="6">
        <f>IF(ISERROR(VLOOKUP($U$79,'TAR FIN'!$A$1:$O$88,15,0)),0,VLOOKUP($U$79,'TAR FIN'!$A$1:$O$88,15,0))</f>
        <v>266.70999999999998</v>
      </c>
      <c r="Y79" s="6"/>
      <c r="Z79" s="6">
        <f ca="1">('TUSD BE'!$AM$12+'TUSD BF'!$AM$12+'TUSD CVA'!$AM$12)*1</f>
        <v>83.275517807559041</v>
      </c>
      <c r="AA79" s="6">
        <f>('TE BE'!$AB$6+'TE BF'!$AB$6+'TE CVA'!$AB$6)*1</f>
        <v>197.6895725142987</v>
      </c>
      <c r="AB79" s="6">
        <f>$K$79*$V$79</f>
        <v>0</v>
      </c>
      <c r="AC79" s="6">
        <f>$M$79*$W$79</f>
        <v>18001.660820000001</v>
      </c>
      <c r="AD79" s="6">
        <f>$O$79*$X$79</f>
        <v>65066.038179999996</v>
      </c>
      <c r="AE79" s="6">
        <f>$K$79*$Y$79</f>
        <v>0</v>
      </c>
      <c r="AF79" s="6">
        <f ca="1">$M$79*$Z$79</f>
        <v>20315.728773296487</v>
      </c>
      <c r="AG79" s="6">
        <f>$O$79*$AA$79</f>
        <v>48227.952731443285</v>
      </c>
    </row>
    <row r="80" spans="1:33" ht="11.25" customHeight="1" x14ac:dyDescent="0.25">
      <c r="A80" s="4" t="s">
        <v>21</v>
      </c>
      <c r="B80" s="4" t="s">
        <v>38</v>
      </c>
      <c r="C80" s="4" t="s">
        <v>39</v>
      </c>
      <c r="D80" s="4" t="s">
        <v>37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0</v>
      </c>
      <c r="K80" s="6">
        <v>0</v>
      </c>
      <c r="L80" s="6">
        <v>279.60899999999998</v>
      </c>
      <c r="M80" s="6">
        <v>279.60899999999998</v>
      </c>
      <c r="N80" s="6">
        <v>279.60899999999998</v>
      </c>
      <c r="O80" s="6">
        <v>279.60899999999998</v>
      </c>
      <c r="P80" s="6">
        <v>0</v>
      </c>
      <c r="Q80" s="4" t="s">
        <v>26</v>
      </c>
      <c r="R80" s="4">
        <v>0</v>
      </c>
      <c r="S80" s="6">
        <v>0</v>
      </c>
      <c r="T80" s="6">
        <v>21</v>
      </c>
      <c r="U80" s="6">
        <v>70</v>
      </c>
      <c r="V80" s="6">
        <f>IF(ISERROR(VLOOKUP($S$80,'TAR FIN'!$A$1:$O$88,15,0)),0,VLOOKUP($S$80,'TAR FIN'!$A$1:$O$88,15,0))</f>
        <v>0</v>
      </c>
      <c r="W80" s="6">
        <f>IF(ISERROR(VLOOKUP($T$80,'TAR FIN'!$A$1:$O$88,15,0)),0,VLOOKUP($T$80,'TAR FIN'!$A$1:$O$88,15,0))</f>
        <v>73.790000000000006</v>
      </c>
      <c r="X80" s="6">
        <f>IF(ISERROR(VLOOKUP($U$80,'TAR FIN'!$A$1:$O$88,15,0)),0,VLOOKUP($U$80,'TAR FIN'!$A$1:$O$88,15,0))</f>
        <v>266.70999999999998</v>
      </c>
      <c r="Y80" s="6"/>
      <c r="Z80" s="6">
        <f ca="1">('TUSD BE'!$AM$12+'TUSD BF'!$AM$12+'TUSD CVA'!$AM$12)*1</f>
        <v>83.275517807559041</v>
      </c>
      <c r="AA80" s="6">
        <f>('TE BE'!$AB$6+'TE BF'!$AB$6+'TE CVA'!$AB$6)*1</f>
        <v>197.6895725142987</v>
      </c>
      <c r="AB80" s="6">
        <f>$K$80*$V$80</f>
        <v>0</v>
      </c>
      <c r="AC80" s="6">
        <f>$M$80*$W$80</f>
        <v>20632.348109999999</v>
      </c>
      <c r="AD80" s="6">
        <f>$O$80*$X$80</f>
        <v>74574.51638999999</v>
      </c>
      <c r="AE80" s="6">
        <f>$K$80*$Y$80</f>
        <v>0</v>
      </c>
      <c r="AF80" s="6">
        <f ca="1">$M$80*$Z$80</f>
        <v>23284.584258653773</v>
      </c>
      <c r="AG80" s="6">
        <f>$O$80*$AA$80</f>
        <v>55275.78368115054</v>
      </c>
    </row>
    <row r="81" spans="1:33" ht="11.25" customHeight="1" x14ac:dyDescent="0.25">
      <c r="A81" s="4" t="s">
        <v>21</v>
      </c>
      <c r="B81" s="4" t="s">
        <v>38</v>
      </c>
      <c r="C81" s="4" t="s">
        <v>39</v>
      </c>
      <c r="D81" s="4" t="s">
        <v>37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44621</v>
      </c>
      <c r="J81" s="6">
        <v>0</v>
      </c>
      <c r="K81" s="6">
        <v>0</v>
      </c>
      <c r="L81" s="6">
        <v>312.495</v>
      </c>
      <c r="M81" s="6">
        <v>312.495</v>
      </c>
      <c r="N81" s="6">
        <v>312.495</v>
      </c>
      <c r="O81" s="6">
        <v>312.495</v>
      </c>
      <c r="P81" s="6">
        <v>0</v>
      </c>
      <c r="Q81" s="4" t="s">
        <v>26</v>
      </c>
      <c r="R81" s="4">
        <v>0</v>
      </c>
      <c r="S81" s="6">
        <v>0</v>
      </c>
      <c r="T81" s="6">
        <v>21</v>
      </c>
      <c r="U81" s="6">
        <v>70</v>
      </c>
      <c r="V81" s="6">
        <f>IF(ISERROR(VLOOKUP($S$81,'TAR FIN'!$A$1:$O$88,15,0)),0,VLOOKUP($S$81,'TAR FIN'!$A$1:$O$88,15,0))</f>
        <v>0</v>
      </c>
      <c r="W81" s="6">
        <f>IF(ISERROR(VLOOKUP($T$81,'TAR FIN'!$A$1:$O$88,15,0)),0,VLOOKUP($T$81,'TAR FIN'!$A$1:$O$88,15,0))</f>
        <v>73.790000000000006</v>
      </c>
      <c r="X81" s="6">
        <f>IF(ISERROR(VLOOKUP($U$81,'TAR FIN'!$A$1:$O$88,15,0)),0,VLOOKUP($U$81,'TAR FIN'!$A$1:$O$88,15,0))</f>
        <v>266.70999999999998</v>
      </c>
      <c r="Y81" s="6"/>
      <c r="Z81" s="6">
        <f ca="1">('TUSD BE'!$AM$12+'TUSD BF'!$AM$12+'TUSD CVA'!$AM$12)*1</f>
        <v>83.275517807559041</v>
      </c>
      <c r="AA81" s="6">
        <f>('TE BE'!$AB$6+'TE BF'!$AB$6+'TE CVA'!$AB$6)*1</f>
        <v>197.6895725142987</v>
      </c>
      <c r="AB81" s="6">
        <f>$K$81*$V$81</f>
        <v>0</v>
      </c>
      <c r="AC81" s="6">
        <f>$M$81*$W$81</f>
        <v>23059.006050000004</v>
      </c>
      <c r="AD81" s="6">
        <f>$O$81*$X$81</f>
        <v>83345.54144999999</v>
      </c>
      <c r="AE81" s="6">
        <f>$K$81*$Y$81</f>
        <v>0</v>
      </c>
      <c r="AF81" s="6">
        <f ca="1">$M$81*$Z$81</f>
        <v>26023.182937273163</v>
      </c>
      <c r="AG81" s="6">
        <f>$O$81*$AA$81</f>
        <v>61777.002962855775</v>
      </c>
    </row>
    <row r="82" spans="1:33" ht="11.25" customHeight="1" x14ac:dyDescent="0.25">
      <c r="A82" s="4" t="s">
        <v>21</v>
      </c>
      <c r="B82" s="4" t="s">
        <v>38</v>
      </c>
      <c r="C82" s="4" t="s">
        <v>39</v>
      </c>
      <c r="D82" s="4" t="s">
        <v>37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44652</v>
      </c>
      <c r="J82" s="6">
        <v>0</v>
      </c>
      <c r="K82" s="6">
        <v>0</v>
      </c>
      <c r="L82" s="6">
        <v>284.56400000000002</v>
      </c>
      <c r="M82" s="6">
        <v>284.56400000000002</v>
      </c>
      <c r="N82" s="6">
        <v>284.56400000000002</v>
      </c>
      <c r="O82" s="6">
        <v>284.56400000000002</v>
      </c>
      <c r="P82" s="6">
        <v>0</v>
      </c>
      <c r="Q82" s="4" t="s">
        <v>26</v>
      </c>
      <c r="R82" s="4">
        <v>0</v>
      </c>
      <c r="S82" s="6">
        <v>0</v>
      </c>
      <c r="T82" s="6">
        <v>21</v>
      </c>
      <c r="U82" s="6">
        <v>70</v>
      </c>
      <c r="V82" s="6">
        <f>IF(ISERROR(VLOOKUP($S$82,'TAR FIN'!$A$1:$O$88,15,0)),0,VLOOKUP($S$82,'TAR FIN'!$A$1:$O$88,15,0))</f>
        <v>0</v>
      </c>
      <c r="W82" s="6">
        <f>IF(ISERROR(VLOOKUP($T$82,'TAR FIN'!$A$1:$O$88,15,0)),0,VLOOKUP($T$82,'TAR FIN'!$A$1:$O$88,15,0))</f>
        <v>73.790000000000006</v>
      </c>
      <c r="X82" s="6">
        <f>IF(ISERROR(VLOOKUP($U$82,'TAR FIN'!$A$1:$O$88,15,0)),0,VLOOKUP($U$82,'TAR FIN'!$A$1:$O$88,15,0))</f>
        <v>266.70999999999998</v>
      </c>
      <c r="Y82" s="6"/>
      <c r="Z82" s="6">
        <f ca="1">('TUSD BE'!$AM$12+'TUSD BF'!$AM$12+'TUSD CVA'!$AM$12)*1</f>
        <v>83.275517807559041</v>
      </c>
      <c r="AA82" s="6">
        <f>('TE BE'!$AB$6+'TE BF'!$AB$6+'TE CVA'!$AB$6)*1</f>
        <v>197.6895725142987</v>
      </c>
      <c r="AB82" s="6">
        <f>$K$82*$V$82</f>
        <v>0</v>
      </c>
      <c r="AC82" s="6">
        <f>$M$82*$W$82</f>
        <v>20997.977560000003</v>
      </c>
      <c r="AD82" s="6">
        <f>$O$82*$X$82</f>
        <v>75896.064440000002</v>
      </c>
      <c r="AE82" s="6">
        <f>$K$82*$Y$82</f>
        <v>0</v>
      </c>
      <c r="AF82" s="6">
        <f ca="1">$M$82*$Z$82</f>
        <v>23697.214449390234</v>
      </c>
      <c r="AG82" s="6">
        <f>$O$82*$AA$82</f>
        <v>56255.335512958904</v>
      </c>
    </row>
    <row r="83" spans="1:33" ht="11.25" customHeight="1" x14ac:dyDescent="0.25">
      <c r="A83" s="4" t="s">
        <v>21</v>
      </c>
      <c r="B83" s="4" t="s">
        <v>38</v>
      </c>
      <c r="C83" s="4" t="s">
        <v>39</v>
      </c>
      <c r="D83" s="4" t="s">
        <v>37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44682</v>
      </c>
      <c r="J83" s="6">
        <v>0</v>
      </c>
      <c r="K83" s="6">
        <v>0</v>
      </c>
      <c r="L83" s="6">
        <v>324.16500000000002</v>
      </c>
      <c r="M83" s="6">
        <v>324.16500000000002</v>
      </c>
      <c r="N83" s="6">
        <v>324.16500000000002</v>
      </c>
      <c r="O83" s="6">
        <v>324.16500000000002</v>
      </c>
      <c r="P83" s="6">
        <v>0</v>
      </c>
      <c r="Q83" s="4" t="s">
        <v>26</v>
      </c>
      <c r="R83" s="4">
        <v>0</v>
      </c>
      <c r="S83" s="6">
        <v>0</v>
      </c>
      <c r="T83" s="6">
        <v>21</v>
      </c>
      <c r="U83" s="6">
        <v>70</v>
      </c>
      <c r="V83" s="6">
        <f>IF(ISERROR(VLOOKUP($S$83,'TAR FIN'!$A$1:$O$88,15,0)),0,VLOOKUP($S$83,'TAR FIN'!$A$1:$O$88,15,0))</f>
        <v>0</v>
      </c>
      <c r="W83" s="6">
        <f>IF(ISERROR(VLOOKUP($T$83,'TAR FIN'!$A$1:$O$88,15,0)),0,VLOOKUP($T$83,'TAR FIN'!$A$1:$O$88,15,0))</f>
        <v>73.790000000000006</v>
      </c>
      <c r="X83" s="6">
        <f>IF(ISERROR(VLOOKUP($U$83,'TAR FIN'!$A$1:$O$88,15,0)),0,VLOOKUP($U$83,'TAR FIN'!$A$1:$O$88,15,0))</f>
        <v>266.70999999999998</v>
      </c>
      <c r="Y83" s="6"/>
      <c r="Z83" s="6">
        <f ca="1">('TUSD BE'!$AM$12+'TUSD BF'!$AM$12+'TUSD CVA'!$AM$12)*1</f>
        <v>83.275517807559041</v>
      </c>
      <c r="AA83" s="6">
        <f>('TE BE'!$AB$6+'TE BF'!$AB$6+'TE CVA'!$AB$6)*1</f>
        <v>197.6895725142987</v>
      </c>
      <c r="AB83" s="6">
        <f>$K$83*$V$83</f>
        <v>0</v>
      </c>
      <c r="AC83" s="6">
        <f>$M$83*$W$83</f>
        <v>23920.135350000004</v>
      </c>
      <c r="AD83" s="6">
        <f>$O$83*$X$83</f>
        <v>86458.047149999999</v>
      </c>
      <c r="AE83" s="6">
        <f>$K$83*$Y$83</f>
        <v>0</v>
      </c>
      <c r="AF83" s="6">
        <f ca="1">$M$83*$Z$83</f>
        <v>26995.008230087376</v>
      </c>
      <c r="AG83" s="6">
        <f>$O$83*$AA$83</f>
        <v>64084.040274097642</v>
      </c>
    </row>
    <row r="84" spans="1:33" ht="11.25" customHeight="1" x14ac:dyDescent="0.25">
      <c r="A84" s="4" t="s">
        <v>21</v>
      </c>
      <c r="B84" s="4" t="s">
        <v>38</v>
      </c>
      <c r="C84" s="4" t="s">
        <v>39</v>
      </c>
      <c r="D84" s="4" t="s">
        <v>37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44713</v>
      </c>
      <c r="J84" s="6">
        <v>0</v>
      </c>
      <c r="K84" s="6">
        <v>0</v>
      </c>
      <c r="L84" s="6">
        <v>287.36500000000001</v>
      </c>
      <c r="M84" s="6">
        <v>287.36500000000001</v>
      </c>
      <c r="N84" s="6">
        <v>287.36500000000001</v>
      </c>
      <c r="O84" s="6">
        <v>287.36500000000001</v>
      </c>
      <c r="P84" s="6">
        <v>0</v>
      </c>
      <c r="Q84" s="4" t="s">
        <v>26</v>
      </c>
      <c r="R84" s="4">
        <v>0</v>
      </c>
      <c r="S84" s="6">
        <v>0</v>
      </c>
      <c r="T84" s="6">
        <v>21</v>
      </c>
      <c r="U84" s="6">
        <v>70</v>
      </c>
      <c r="V84" s="6">
        <f>IF(ISERROR(VLOOKUP($S$84,'TAR FIN'!$A$1:$O$88,15,0)),0,VLOOKUP($S$84,'TAR FIN'!$A$1:$O$88,15,0))</f>
        <v>0</v>
      </c>
      <c r="W84" s="6">
        <f>IF(ISERROR(VLOOKUP($T$84,'TAR FIN'!$A$1:$O$88,15,0)),0,VLOOKUP($T$84,'TAR FIN'!$A$1:$O$88,15,0))</f>
        <v>73.790000000000006</v>
      </c>
      <c r="X84" s="6">
        <f>IF(ISERROR(VLOOKUP($U$84,'TAR FIN'!$A$1:$O$88,15,0)),0,VLOOKUP($U$84,'TAR FIN'!$A$1:$O$88,15,0))</f>
        <v>266.70999999999998</v>
      </c>
      <c r="Y84" s="6"/>
      <c r="Z84" s="6">
        <f ca="1">('TUSD BE'!$AM$12+'TUSD BF'!$AM$12+'TUSD CVA'!$AM$12)*1</f>
        <v>83.275517807559041</v>
      </c>
      <c r="AA84" s="6">
        <f>('TE BE'!$AB$6+'TE BF'!$AB$6+'TE CVA'!$AB$6)*1</f>
        <v>197.6895725142987</v>
      </c>
      <c r="AB84" s="6">
        <f>$K$84*$V$84</f>
        <v>0</v>
      </c>
      <c r="AC84" s="6">
        <f>$M$84*$W$84</f>
        <v>21204.663350000003</v>
      </c>
      <c r="AD84" s="6">
        <f>$O$84*$X$84</f>
        <v>76643.119149999999</v>
      </c>
      <c r="AE84" s="6">
        <f>$K$84*$Y$84</f>
        <v>0</v>
      </c>
      <c r="AF84" s="6">
        <f ca="1">$M$84*$Z$84</f>
        <v>23930.469174769205</v>
      </c>
      <c r="AG84" s="6">
        <f>$O$84*$AA$84</f>
        <v>56809.064005571447</v>
      </c>
    </row>
    <row r="85" spans="1:33" ht="11.25" customHeight="1" x14ac:dyDescent="0.25">
      <c r="A85" s="4" t="s">
        <v>55</v>
      </c>
      <c r="B85" s="4" t="s">
        <v>38</v>
      </c>
      <c r="C85" s="4" t="s">
        <v>39</v>
      </c>
      <c r="D85" s="4" t="s">
        <v>37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44743</v>
      </c>
      <c r="J85" s="6">
        <v>0</v>
      </c>
      <c r="K85" s="6">
        <v>0</v>
      </c>
      <c r="L85" s="6">
        <v>287.36500000000001</v>
      </c>
      <c r="M85" s="6">
        <v>287.36500000000001</v>
      </c>
      <c r="N85" s="6">
        <v>287.36500000000001</v>
      </c>
      <c r="O85" s="6">
        <v>287.36500000000001</v>
      </c>
      <c r="P85" s="6">
        <v>0</v>
      </c>
      <c r="Q85" s="4" t="s">
        <v>26</v>
      </c>
      <c r="R85" s="4">
        <v>0</v>
      </c>
      <c r="S85" s="6">
        <v>0</v>
      </c>
      <c r="T85" s="6">
        <v>21</v>
      </c>
      <c r="U85" s="6">
        <v>70</v>
      </c>
      <c r="V85" s="6">
        <f>IF(ISERROR(VLOOKUP($S$85,'TAR FIN'!$A$1:$O$88,15,0)),0,VLOOKUP($S$85,'TAR FIN'!$A$1:$O$88,15,0))</f>
        <v>0</v>
      </c>
      <c r="W85" s="6">
        <f>IF(ISERROR(VLOOKUP($T$85,'TAR FIN'!$A$1:$O$88,15,0)),0,VLOOKUP($T$85,'TAR FIN'!$A$1:$O$88,15,0))</f>
        <v>73.790000000000006</v>
      </c>
      <c r="X85" s="6">
        <f>IF(ISERROR(VLOOKUP($U$85,'TAR FIN'!$A$1:$O$88,15,0)),0,VLOOKUP($U$85,'TAR FIN'!$A$1:$O$88,15,0))</f>
        <v>266.70999999999998</v>
      </c>
      <c r="Y85" s="6"/>
      <c r="Z85" s="6">
        <f ca="1">('TUSD BE'!$AM$12+'TUSD BF'!$AM$12+'TUSD CVA'!$AM$12)*1</f>
        <v>83.275517807559041</v>
      </c>
      <c r="AA85" s="6">
        <f>('TE BE'!$AB$6+'TE BF'!$AB$6+'TE CVA'!$AB$6)*1</f>
        <v>197.6895725142987</v>
      </c>
      <c r="AB85" s="6">
        <f>$K$85*$V$85</f>
        <v>0</v>
      </c>
      <c r="AC85" s="6">
        <f>$M$85*$W$85</f>
        <v>21204.663350000003</v>
      </c>
      <c r="AD85" s="6">
        <f>$O$85*$X$85</f>
        <v>76643.119149999999</v>
      </c>
      <c r="AE85" s="6">
        <f>$K$85*$Y$85</f>
        <v>0</v>
      </c>
      <c r="AF85" s="6">
        <f ca="1">$M$85*$Z$85</f>
        <v>23930.469174769205</v>
      </c>
      <c r="AG85" s="6">
        <f>$O$85*$AA$85</f>
        <v>56809.064005571447</v>
      </c>
    </row>
    <row r="86" spans="1:33" ht="11.25" customHeight="1" x14ac:dyDescent="0.25">
      <c r="A86" s="4" t="s">
        <v>21</v>
      </c>
      <c r="B86" s="4" t="s">
        <v>38</v>
      </c>
      <c r="C86" s="4" t="s">
        <v>39</v>
      </c>
      <c r="D86" s="4" t="s">
        <v>37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44409</v>
      </c>
      <c r="J86" s="6">
        <v>1735</v>
      </c>
      <c r="K86" s="6">
        <v>1735</v>
      </c>
      <c r="L86" s="6">
        <v>0</v>
      </c>
      <c r="M86" s="6">
        <v>0</v>
      </c>
      <c r="N86" s="6">
        <v>0</v>
      </c>
      <c r="O86" s="6">
        <v>0</v>
      </c>
      <c r="P86" s="6">
        <v>10</v>
      </c>
      <c r="Q86" s="4" t="s">
        <v>26</v>
      </c>
      <c r="R86" s="4">
        <v>0</v>
      </c>
      <c r="S86" s="6">
        <v>15</v>
      </c>
      <c r="T86" s="6">
        <v>0</v>
      </c>
      <c r="U86" s="6">
        <v>0</v>
      </c>
      <c r="V86" s="6">
        <f>IF(ISERROR(VLOOKUP($S$86,'TAR FIN'!$A$1:$O$88,15,0)),0,VLOOKUP($S$86,'TAR FIN'!$A$1:$O$88,15,0))</f>
        <v>17.190000000000001</v>
      </c>
      <c r="W86" s="6">
        <f>IF(ISERROR(VLOOKUP($T$86,'TAR FIN'!$A$1:$O$88,15,0)),0,VLOOKUP($T$86,'TAR FIN'!$A$1:$O$88,15,0))</f>
        <v>0</v>
      </c>
      <c r="X86" s="6">
        <f>IF(ISERROR(VLOOKUP($U$86,'TAR FIN'!$A$1:$O$88,15,0)),0,VLOOKUP($U$86,'TAR FIN'!$A$1:$O$88,15,0))</f>
        <v>0</v>
      </c>
      <c r="Y86" s="6">
        <f ca="1">('TUSD BE'!$AM$10+'TUSD BF'!$AM$10+'TUSD CVA'!$AM$10)*1</f>
        <v>13.66046481326768</v>
      </c>
      <c r="Z86" s="6"/>
      <c r="AA86" s="6"/>
      <c r="AB86" s="6">
        <f>$K$86*$V$86</f>
        <v>29824.65</v>
      </c>
      <c r="AC86" s="6">
        <f>$M$86*$W$86</f>
        <v>0</v>
      </c>
      <c r="AD86" s="6">
        <f>$O$86*$X$86</f>
        <v>0</v>
      </c>
      <c r="AE86" s="6">
        <f ca="1">$K$86*$Y$86</f>
        <v>23700.906451019426</v>
      </c>
      <c r="AF86" s="6">
        <f>$M$86*$Z$86</f>
        <v>0</v>
      </c>
      <c r="AG86" s="6">
        <f>$O$86*$AA$86</f>
        <v>0</v>
      </c>
    </row>
    <row r="87" spans="1:33" ht="11.25" customHeight="1" x14ac:dyDescent="0.25">
      <c r="A87" s="4" t="s">
        <v>21</v>
      </c>
      <c r="B87" s="4" t="s">
        <v>38</v>
      </c>
      <c r="C87" s="4" t="s">
        <v>39</v>
      </c>
      <c r="D87" s="4" t="s">
        <v>37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44440</v>
      </c>
      <c r="J87" s="6">
        <v>1718</v>
      </c>
      <c r="K87" s="6">
        <v>1718</v>
      </c>
      <c r="L87" s="6">
        <v>0</v>
      </c>
      <c r="M87" s="6">
        <v>0</v>
      </c>
      <c r="N87" s="6">
        <v>0</v>
      </c>
      <c r="O87" s="6">
        <v>0</v>
      </c>
      <c r="P87" s="6">
        <v>10</v>
      </c>
      <c r="Q87" s="4" t="s">
        <v>26</v>
      </c>
      <c r="R87" s="4">
        <v>0</v>
      </c>
      <c r="S87" s="6">
        <v>15</v>
      </c>
      <c r="T87" s="6">
        <v>0</v>
      </c>
      <c r="U87" s="6">
        <v>0</v>
      </c>
      <c r="V87" s="6">
        <f>IF(ISERROR(VLOOKUP($S$87,'TAR FIN'!$A$1:$O$88,15,0)),0,VLOOKUP($S$87,'TAR FIN'!$A$1:$O$88,15,0))</f>
        <v>17.190000000000001</v>
      </c>
      <c r="W87" s="6">
        <f>IF(ISERROR(VLOOKUP($T$87,'TAR FIN'!$A$1:$O$88,15,0)),0,VLOOKUP($T$87,'TAR FIN'!$A$1:$O$88,15,0))</f>
        <v>0</v>
      </c>
      <c r="X87" s="6">
        <f>IF(ISERROR(VLOOKUP($U$87,'TAR FIN'!$A$1:$O$88,15,0)),0,VLOOKUP($U$87,'TAR FIN'!$A$1:$O$88,15,0))</f>
        <v>0</v>
      </c>
      <c r="Y87" s="6">
        <f ca="1">('TUSD BE'!$AM$10+'TUSD BF'!$AM$10+'TUSD CVA'!$AM$10)*1</f>
        <v>13.66046481326768</v>
      </c>
      <c r="Z87" s="6"/>
      <c r="AA87" s="6"/>
      <c r="AB87" s="6">
        <f>$K$87*$V$87</f>
        <v>29532.420000000002</v>
      </c>
      <c r="AC87" s="6">
        <f>$M$87*$W$87</f>
        <v>0</v>
      </c>
      <c r="AD87" s="6">
        <f>$O$87*$X$87</f>
        <v>0</v>
      </c>
      <c r="AE87" s="6">
        <f ca="1">$K$87*$Y$87</f>
        <v>23468.678549193875</v>
      </c>
      <c r="AF87" s="6">
        <f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38</v>
      </c>
      <c r="C88" s="4" t="s">
        <v>39</v>
      </c>
      <c r="D88" s="4" t="s">
        <v>37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44470</v>
      </c>
      <c r="J88" s="6">
        <v>1701</v>
      </c>
      <c r="K88" s="6">
        <v>1701</v>
      </c>
      <c r="L88" s="6">
        <v>0</v>
      </c>
      <c r="M88" s="6">
        <v>0</v>
      </c>
      <c r="N88" s="6">
        <v>0</v>
      </c>
      <c r="O88" s="6">
        <v>0</v>
      </c>
      <c r="P88" s="6">
        <v>10</v>
      </c>
      <c r="Q88" s="4" t="s">
        <v>26</v>
      </c>
      <c r="R88" s="4">
        <v>0</v>
      </c>
      <c r="S88" s="6">
        <v>15</v>
      </c>
      <c r="T88" s="6">
        <v>0</v>
      </c>
      <c r="U88" s="6">
        <v>0</v>
      </c>
      <c r="V88" s="6">
        <f>IF(ISERROR(VLOOKUP($S$88,'TAR FIN'!$A$1:$O$88,15,0)),0,VLOOKUP($S$88,'TAR FIN'!$A$1:$O$88,15,0))</f>
        <v>17.190000000000001</v>
      </c>
      <c r="W88" s="6">
        <f>IF(ISERROR(VLOOKUP($T$88,'TAR FIN'!$A$1:$O$88,15,0)),0,VLOOKUP($T$88,'TAR FIN'!$A$1:$O$88,15,0))</f>
        <v>0</v>
      </c>
      <c r="X88" s="6">
        <f>IF(ISERROR(VLOOKUP($U$88,'TAR FIN'!$A$1:$O$88,15,0)),0,VLOOKUP($U$88,'TAR FIN'!$A$1:$O$88,15,0))</f>
        <v>0</v>
      </c>
      <c r="Y88" s="6">
        <f ca="1">('TUSD BE'!$AM$10+'TUSD BF'!$AM$10+'TUSD CVA'!$AM$10)*1</f>
        <v>13.66046481326768</v>
      </c>
      <c r="Z88" s="6"/>
      <c r="AA88" s="6"/>
      <c r="AB88" s="6">
        <f>$K$88*$V$88</f>
        <v>29240.190000000002</v>
      </c>
      <c r="AC88" s="6">
        <f>$M$88*$W$88</f>
        <v>0</v>
      </c>
      <c r="AD88" s="6">
        <f>$O$88*$X$88</f>
        <v>0</v>
      </c>
      <c r="AE88" s="6">
        <f ca="1">$K$88*$Y$88</f>
        <v>23236.450647368325</v>
      </c>
      <c r="AF88" s="6">
        <f>$M$88*$Z$88</f>
        <v>0</v>
      </c>
      <c r="AG88" s="6">
        <f>$O$88*$AA$88</f>
        <v>0</v>
      </c>
    </row>
    <row r="89" spans="1:33" ht="11.25" customHeight="1" x14ac:dyDescent="0.25">
      <c r="A89" s="4" t="s">
        <v>21</v>
      </c>
      <c r="B89" s="4" t="s">
        <v>38</v>
      </c>
      <c r="C89" s="4" t="s">
        <v>39</v>
      </c>
      <c r="D89" s="4" t="s">
        <v>37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44501</v>
      </c>
      <c r="J89" s="6">
        <v>1707</v>
      </c>
      <c r="K89" s="6">
        <v>1707</v>
      </c>
      <c r="L89" s="6">
        <v>0</v>
      </c>
      <c r="M89" s="6">
        <v>0</v>
      </c>
      <c r="N89" s="6">
        <v>0</v>
      </c>
      <c r="O89" s="6">
        <v>0</v>
      </c>
      <c r="P89" s="6">
        <v>10</v>
      </c>
      <c r="Q89" s="4" t="s">
        <v>26</v>
      </c>
      <c r="R89" s="4">
        <v>0</v>
      </c>
      <c r="S89" s="6">
        <v>15</v>
      </c>
      <c r="T89" s="6">
        <v>0</v>
      </c>
      <c r="U89" s="6">
        <v>0</v>
      </c>
      <c r="V89" s="6">
        <f>IF(ISERROR(VLOOKUP($S$89,'TAR FIN'!$A$1:$O$88,15,0)),0,VLOOKUP($S$89,'TAR FIN'!$A$1:$O$88,15,0))</f>
        <v>17.190000000000001</v>
      </c>
      <c r="W89" s="6">
        <f>IF(ISERROR(VLOOKUP($T$89,'TAR FIN'!$A$1:$O$88,15,0)),0,VLOOKUP($T$89,'TAR FIN'!$A$1:$O$88,15,0))</f>
        <v>0</v>
      </c>
      <c r="X89" s="6">
        <f>IF(ISERROR(VLOOKUP($U$89,'TAR FIN'!$A$1:$O$88,15,0)),0,VLOOKUP($U$89,'TAR FIN'!$A$1:$O$88,15,0))</f>
        <v>0</v>
      </c>
      <c r="Y89" s="6">
        <f ca="1">('TUSD BE'!$AM$10+'TUSD BF'!$AM$10+'TUSD CVA'!$AM$10)*1</f>
        <v>13.66046481326768</v>
      </c>
      <c r="Z89" s="6"/>
      <c r="AA89" s="6"/>
      <c r="AB89" s="6">
        <f>$K$89*$V$89</f>
        <v>29343.33</v>
      </c>
      <c r="AC89" s="6">
        <f>$M$89*$W$89</f>
        <v>0</v>
      </c>
      <c r="AD89" s="6">
        <f>$O$89*$X$89</f>
        <v>0</v>
      </c>
      <c r="AE89" s="6">
        <f ca="1">$K$89*$Y$89</f>
        <v>23318.413436247931</v>
      </c>
      <c r="AF89" s="6">
        <f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38</v>
      </c>
      <c r="C90" s="4" t="s">
        <v>39</v>
      </c>
      <c r="D90" s="4" t="s">
        <v>37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44531</v>
      </c>
      <c r="J90" s="6">
        <v>1732</v>
      </c>
      <c r="K90" s="6">
        <v>1732</v>
      </c>
      <c r="L90" s="6">
        <v>0</v>
      </c>
      <c r="M90" s="6">
        <v>0</v>
      </c>
      <c r="N90" s="6">
        <v>0</v>
      </c>
      <c r="O90" s="6">
        <v>0</v>
      </c>
      <c r="P90" s="6">
        <v>10</v>
      </c>
      <c r="Q90" s="4" t="s">
        <v>26</v>
      </c>
      <c r="R90" s="4">
        <v>0</v>
      </c>
      <c r="S90" s="6">
        <v>15</v>
      </c>
      <c r="T90" s="6">
        <v>0</v>
      </c>
      <c r="U90" s="6">
        <v>0</v>
      </c>
      <c r="V90" s="6">
        <f>IF(ISERROR(VLOOKUP($S$90,'TAR FIN'!$A$1:$O$88,15,0)),0,VLOOKUP($S$90,'TAR FIN'!$A$1:$O$88,15,0))</f>
        <v>17.190000000000001</v>
      </c>
      <c r="W90" s="6">
        <f>IF(ISERROR(VLOOKUP($T$90,'TAR FIN'!$A$1:$O$88,15,0)),0,VLOOKUP($T$90,'TAR FIN'!$A$1:$O$88,15,0))</f>
        <v>0</v>
      </c>
      <c r="X90" s="6">
        <f>IF(ISERROR(VLOOKUP($U$90,'TAR FIN'!$A$1:$O$88,15,0)),0,VLOOKUP($U$90,'TAR FIN'!$A$1:$O$88,15,0))</f>
        <v>0</v>
      </c>
      <c r="Y90" s="6">
        <f ca="1">('TUSD BE'!$AM$10+'TUSD BF'!$AM$10+'TUSD CVA'!$AM$10)*1</f>
        <v>13.66046481326768</v>
      </c>
      <c r="Z90" s="6"/>
      <c r="AA90" s="6"/>
      <c r="AB90" s="6">
        <f>$K$90*$V$90</f>
        <v>29773.08</v>
      </c>
      <c r="AC90" s="6">
        <f>$M$90*$W$90</f>
        <v>0</v>
      </c>
      <c r="AD90" s="6">
        <f>$O$90*$X$90</f>
        <v>0</v>
      </c>
      <c r="AE90" s="6">
        <f ca="1">$K$90*$Y$90</f>
        <v>23659.925056579621</v>
      </c>
      <c r="AF90" s="6">
        <f>$M$90*$Z$90</f>
        <v>0</v>
      </c>
      <c r="AG90" s="6">
        <f>$O$90*$AA$90</f>
        <v>0</v>
      </c>
    </row>
    <row r="91" spans="1:33" ht="11.25" customHeight="1" x14ac:dyDescent="0.25">
      <c r="A91" s="4" t="s">
        <v>21</v>
      </c>
      <c r="B91" s="4" t="s">
        <v>38</v>
      </c>
      <c r="C91" s="4" t="s">
        <v>39</v>
      </c>
      <c r="D91" s="4" t="s">
        <v>37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44562</v>
      </c>
      <c r="J91" s="6">
        <v>1740</v>
      </c>
      <c r="K91" s="6">
        <v>1740</v>
      </c>
      <c r="L91" s="6">
        <v>0</v>
      </c>
      <c r="M91" s="6">
        <v>0</v>
      </c>
      <c r="N91" s="6">
        <v>0</v>
      </c>
      <c r="O91" s="6">
        <v>0</v>
      </c>
      <c r="P91" s="6">
        <v>10</v>
      </c>
      <c r="Q91" s="4" t="s">
        <v>26</v>
      </c>
      <c r="R91" s="4">
        <v>0</v>
      </c>
      <c r="S91" s="6">
        <v>15</v>
      </c>
      <c r="T91" s="6">
        <v>0</v>
      </c>
      <c r="U91" s="6">
        <v>0</v>
      </c>
      <c r="V91" s="6">
        <f>IF(ISERROR(VLOOKUP($S$91,'TAR FIN'!$A$1:$O$88,15,0)),0,VLOOKUP($S$91,'TAR FIN'!$A$1:$O$88,15,0))</f>
        <v>17.190000000000001</v>
      </c>
      <c r="W91" s="6">
        <f>IF(ISERROR(VLOOKUP($T$91,'TAR FIN'!$A$1:$O$88,15,0)),0,VLOOKUP($T$91,'TAR FIN'!$A$1:$O$88,15,0))</f>
        <v>0</v>
      </c>
      <c r="X91" s="6">
        <f>IF(ISERROR(VLOOKUP($U$91,'TAR FIN'!$A$1:$O$88,15,0)),0,VLOOKUP($U$91,'TAR FIN'!$A$1:$O$88,15,0))</f>
        <v>0</v>
      </c>
      <c r="Y91" s="6">
        <f ca="1">('TUSD BE'!$AM$10+'TUSD BF'!$AM$10+'TUSD CVA'!$AM$10)*1</f>
        <v>13.66046481326768</v>
      </c>
      <c r="Z91" s="6"/>
      <c r="AA91" s="6"/>
      <c r="AB91" s="6">
        <f>$K$91*$V$91</f>
        <v>29910.600000000002</v>
      </c>
      <c r="AC91" s="6">
        <f>$M$91*$W$91</f>
        <v>0</v>
      </c>
      <c r="AD91" s="6">
        <f>$O$91*$X$91</f>
        <v>0</v>
      </c>
      <c r="AE91" s="6">
        <f ca="1">$K$91*$Y$91</f>
        <v>23769.208775085765</v>
      </c>
      <c r="AF91" s="6">
        <f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38</v>
      </c>
      <c r="C92" s="4" t="s">
        <v>39</v>
      </c>
      <c r="D92" s="4" t="s">
        <v>37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44593</v>
      </c>
      <c r="J92" s="6">
        <v>1747</v>
      </c>
      <c r="K92" s="6">
        <v>1747</v>
      </c>
      <c r="L92" s="6">
        <v>0</v>
      </c>
      <c r="M92" s="6">
        <v>0</v>
      </c>
      <c r="N92" s="6">
        <v>0</v>
      </c>
      <c r="O92" s="6">
        <v>0</v>
      </c>
      <c r="P92" s="6">
        <v>10</v>
      </c>
      <c r="Q92" s="4" t="s">
        <v>26</v>
      </c>
      <c r="R92" s="4">
        <v>0</v>
      </c>
      <c r="S92" s="6">
        <v>15</v>
      </c>
      <c r="T92" s="6">
        <v>0</v>
      </c>
      <c r="U92" s="6">
        <v>0</v>
      </c>
      <c r="V92" s="6">
        <f>IF(ISERROR(VLOOKUP($S$92,'TAR FIN'!$A$1:$O$88,15,0)),0,VLOOKUP($S$92,'TAR FIN'!$A$1:$O$88,15,0))</f>
        <v>17.190000000000001</v>
      </c>
      <c r="W92" s="6">
        <f>IF(ISERROR(VLOOKUP($T$92,'TAR FIN'!$A$1:$O$88,15,0)),0,VLOOKUP($T$92,'TAR FIN'!$A$1:$O$88,15,0))</f>
        <v>0</v>
      </c>
      <c r="X92" s="6">
        <f>IF(ISERROR(VLOOKUP($U$92,'TAR FIN'!$A$1:$O$88,15,0)),0,VLOOKUP($U$92,'TAR FIN'!$A$1:$O$88,15,0))</f>
        <v>0</v>
      </c>
      <c r="Y92" s="6">
        <f ca="1">('TUSD BE'!$AM$10+'TUSD BF'!$AM$10+'TUSD CVA'!$AM$10)*1</f>
        <v>13.66046481326768</v>
      </c>
      <c r="Z92" s="6"/>
      <c r="AA92" s="6"/>
      <c r="AB92" s="6">
        <f>$K$92*$V$92</f>
        <v>30030.930000000004</v>
      </c>
      <c r="AC92" s="6">
        <f>$M$92*$W$92</f>
        <v>0</v>
      </c>
      <c r="AD92" s="6">
        <f>$O$92*$X$92</f>
        <v>0</v>
      </c>
      <c r="AE92" s="6">
        <f ca="1">$K$92*$Y$92</f>
        <v>23864.832028778637</v>
      </c>
      <c r="AF92" s="6">
        <f>$M$92*$Z$92</f>
        <v>0</v>
      </c>
      <c r="AG92" s="6">
        <f>$O$92*$AA$92</f>
        <v>0</v>
      </c>
    </row>
    <row r="93" spans="1:33" ht="11.25" customHeight="1" x14ac:dyDescent="0.25">
      <c r="A93" s="4" t="s">
        <v>21</v>
      </c>
      <c r="B93" s="4" t="s">
        <v>38</v>
      </c>
      <c r="C93" s="4" t="s">
        <v>39</v>
      </c>
      <c r="D93" s="4" t="s">
        <v>37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44621</v>
      </c>
      <c r="J93" s="6">
        <v>1748</v>
      </c>
      <c r="K93" s="6">
        <v>1748</v>
      </c>
      <c r="L93" s="6">
        <v>0</v>
      </c>
      <c r="M93" s="6">
        <v>0</v>
      </c>
      <c r="N93" s="6">
        <v>0</v>
      </c>
      <c r="O93" s="6">
        <v>0</v>
      </c>
      <c r="P93" s="6">
        <v>10</v>
      </c>
      <c r="Q93" s="4" t="s">
        <v>26</v>
      </c>
      <c r="R93" s="4">
        <v>0</v>
      </c>
      <c r="S93" s="6">
        <v>15</v>
      </c>
      <c r="T93" s="6">
        <v>0</v>
      </c>
      <c r="U93" s="6">
        <v>0</v>
      </c>
      <c r="V93" s="6">
        <f>IF(ISERROR(VLOOKUP($S$93,'TAR FIN'!$A$1:$O$88,15,0)),0,VLOOKUP($S$93,'TAR FIN'!$A$1:$O$88,15,0))</f>
        <v>17.190000000000001</v>
      </c>
      <c r="W93" s="6">
        <f>IF(ISERROR(VLOOKUP($T$93,'TAR FIN'!$A$1:$O$88,15,0)),0,VLOOKUP($T$93,'TAR FIN'!$A$1:$O$88,15,0))</f>
        <v>0</v>
      </c>
      <c r="X93" s="6">
        <f>IF(ISERROR(VLOOKUP($U$93,'TAR FIN'!$A$1:$O$88,15,0)),0,VLOOKUP($U$93,'TAR FIN'!$A$1:$O$88,15,0))</f>
        <v>0</v>
      </c>
      <c r="Y93" s="6">
        <f ca="1">('TUSD BE'!$AM$10+'TUSD BF'!$AM$10+'TUSD CVA'!$AM$10)*1</f>
        <v>13.66046481326768</v>
      </c>
      <c r="Z93" s="6"/>
      <c r="AA93" s="6"/>
      <c r="AB93" s="6">
        <f>$K$93*$V$93</f>
        <v>30048.120000000003</v>
      </c>
      <c r="AC93" s="6">
        <f>$M$93*$W$93</f>
        <v>0</v>
      </c>
      <c r="AD93" s="6">
        <f>$O$93*$X$93</f>
        <v>0</v>
      </c>
      <c r="AE93" s="6">
        <f ca="1">$K$93*$Y$93</f>
        <v>23878.492493591904</v>
      </c>
      <c r="AF93" s="6">
        <f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38</v>
      </c>
      <c r="C94" s="4" t="s">
        <v>39</v>
      </c>
      <c r="D94" s="4" t="s">
        <v>37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44652</v>
      </c>
      <c r="J94" s="6">
        <v>1724</v>
      </c>
      <c r="K94" s="6">
        <v>1724</v>
      </c>
      <c r="L94" s="6">
        <v>0</v>
      </c>
      <c r="M94" s="6">
        <v>0</v>
      </c>
      <c r="N94" s="6">
        <v>0</v>
      </c>
      <c r="O94" s="6">
        <v>0</v>
      </c>
      <c r="P94" s="6">
        <v>10</v>
      </c>
      <c r="Q94" s="4" t="s">
        <v>26</v>
      </c>
      <c r="R94" s="4">
        <v>0</v>
      </c>
      <c r="S94" s="6">
        <v>15</v>
      </c>
      <c r="T94" s="6">
        <v>0</v>
      </c>
      <c r="U94" s="6">
        <v>0</v>
      </c>
      <c r="V94" s="6">
        <f>IF(ISERROR(VLOOKUP($S$94,'TAR FIN'!$A$1:$O$88,15,0)),0,VLOOKUP($S$94,'TAR FIN'!$A$1:$O$88,15,0))</f>
        <v>17.190000000000001</v>
      </c>
      <c r="W94" s="6">
        <f>IF(ISERROR(VLOOKUP($T$94,'TAR FIN'!$A$1:$O$88,15,0)),0,VLOOKUP($T$94,'TAR FIN'!$A$1:$O$88,15,0))</f>
        <v>0</v>
      </c>
      <c r="X94" s="6">
        <f>IF(ISERROR(VLOOKUP($U$94,'TAR FIN'!$A$1:$O$88,15,0)),0,VLOOKUP($U$94,'TAR FIN'!$A$1:$O$88,15,0))</f>
        <v>0</v>
      </c>
      <c r="Y94" s="6">
        <f ca="1">('TUSD BE'!$AM$10+'TUSD BF'!$AM$10+'TUSD CVA'!$AM$10)*1</f>
        <v>13.66046481326768</v>
      </c>
      <c r="Z94" s="6"/>
      <c r="AA94" s="6"/>
      <c r="AB94" s="6">
        <f>$K$94*$V$94</f>
        <v>29635.56</v>
      </c>
      <c r="AC94" s="6">
        <f>$M$94*$W$94</f>
        <v>0</v>
      </c>
      <c r="AD94" s="6">
        <f>$O$94*$X$94</f>
        <v>0</v>
      </c>
      <c r="AE94" s="6">
        <f ca="1">$K$94*$Y$94</f>
        <v>23550.641338073481</v>
      </c>
      <c r="AF94" s="6">
        <f>$M$94*$Z$94</f>
        <v>0</v>
      </c>
      <c r="AG94" s="6">
        <f>$O$94*$AA$94</f>
        <v>0</v>
      </c>
    </row>
    <row r="95" spans="1:33" ht="11.25" customHeight="1" x14ac:dyDescent="0.25">
      <c r="A95" s="4" t="s">
        <v>21</v>
      </c>
      <c r="B95" s="4" t="s">
        <v>38</v>
      </c>
      <c r="C95" s="4" t="s">
        <v>39</v>
      </c>
      <c r="D95" s="4" t="s">
        <v>37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44682</v>
      </c>
      <c r="J95" s="6">
        <v>1734</v>
      </c>
      <c r="K95" s="6">
        <v>1734</v>
      </c>
      <c r="L95" s="6">
        <v>0</v>
      </c>
      <c r="M95" s="6">
        <v>0</v>
      </c>
      <c r="N95" s="6">
        <v>0</v>
      </c>
      <c r="O95" s="6">
        <v>0</v>
      </c>
      <c r="P95" s="6">
        <v>10</v>
      </c>
      <c r="Q95" s="4" t="s">
        <v>26</v>
      </c>
      <c r="R95" s="4">
        <v>0</v>
      </c>
      <c r="S95" s="6">
        <v>15</v>
      </c>
      <c r="T95" s="6">
        <v>0</v>
      </c>
      <c r="U95" s="6">
        <v>0</v>
      </c>
      <c r="V95" s="6">
        <f>IF(ISERROR(VLOOKUP($S$95,'TAR FIN'!$A$1:$O$88,15,0)),0,VLOOKUP($S$95,'TAR FIN'!$A$1:$O$88,15,0))</f>
        <v>17.190000000000001</v>
      </c>
      <c r="W95" s="6">
        <f>IF(ISERROR(VLOOKUP($T$95,'TAR FIN'!$A$1:$O$88,15,0)),0,VLOOKUP($T$95,'TAR FIN'!$A$1:$O$88,15,0))</f>
        <v>0</v>
      </c>
      <c r="X95" s="6">
        <f>IF(ISERROR(VLOOKUP($U$95,'TAR FIN'!$A$1:$O$88,15,0)),0,VLOOKUP($U$95,'TAR FIN'!$A$1:$O$88,15,0))</f>
        <v>0</v>
      </c>
      <c r="Y95" s="6">
        <f ca="1">('TUSD BE'!$AM$10+'TUSD BF'!$AM$10+'TUSD CVA'!$AM$10)*1</f>
        <v>13.66046481326768</v>
      </c>
      <c r="Z95" s="6"/>
      <c r="AA95" s="6"/>
      <c r="AB95" s="6">
        <f>$K$95*$V$95</f>
        <v>29807.460000000003</v>
      </c>
      <c r="AC95" s="6">
        <f>$M$95*$W$95</f>
        <v>0</v>
      </c>
      <c r="AD95" s="6">
        <f>$O$95*$X$95</f>
        <v>0</v>
      </c>
      <c r="AE95" s="6">
        <f ca="1">$K$95*$Y$95</f>
        <v>23687.245986206159</v>
      </c>
      <c r="AF95" s="6">
        <f>$M$95*$Z$95</f>
        <v>0</v>
      </c>
      <c r="AG95" s="6">
        <f>$O$95*$AA$95</f>
        <v>0</v>
      </c>
    </row>
    <row r="96" spans="1:33" ht="11.25" customHeight="1" x14ac:dyDescent="0.25">
      <c r="A96" s="4" t="s">
        <v>21</v>
      </c>
      <c r="B96" s="4" t="s">
        <v>38</v>
      </c>
      <c r="C96" s="4" t="s">
        <v>39</v>
      </c>
      <c r="D96" s="4" t="s">
        <v>37</v>
      </c>
      <c r="E96" s="4" t="s">
        <v>25</v>
      </c>
      <c r="F96" s="4" t="s">
        <v>25</v>
      </c>
      <c r="G96" s="4" t="s">
        <v>25</v>
      </c>
      <c r="H96" s="4" t="s">
        <v>25</v>
      </c>
      <c r="I96" s="5">
        <v>44713</v>
      </c>
      <c r="J96" s="6">
        <v>1748</v>
      </c>
      <c r="K96" s="6">
        <v>1748</v>
      </c>
      <c r="L96" s="6">
        <v>0</v>
      </c>
      <c r="M96" s="6">
        <v>0</v>
      </c>
      <c r="N96" s="6">
        <v>0</v>
      </c>
      <c r="O96" s="6">
        <v>0</v>
      </c>
      <c r="P96" s="6">
        <v>10</v>
      </c>
      <c r="Q96" s="4" t="s">
        <v>26</v>
      </c>
      <c r="R96" s="4">
        <v>0</v>
      </c>
      <c r="S96" s="6">
        <v>15</v>
      </c>
      <c r="T96" s="6">
        <v>0</v>
      </c>
      <c r="U96" s="6">
        <v>0</v>
      </c>
      <c r="V96" s="6">
        <f>IF(ISERROR(VLOOKUP($S$96,'TAR FIN'!$A$1:$O$88,15,0)),0,VLOOKUP($S$96,'TAR FIN'!$A$1:$O$88,15,0))</f>
        <v>17.190000000000001</v>
      </c>
      <c r="W96" s="6">
        <f>IF(ISERROR(VLOOKUP($T$96,'TAR FIN'!$A$1:$O$88,15,0)),0,VLOOKUP($T$96,'TAR FIN'!$A$1:$O$88,15,0))</f>
        <v>0</v>
      </c>
      <c r="X96" s="6">
        <f>IF(ISERROR(VLOOKUP($U$96,'TAR FIN'!$A$1:$O$88,15,0)),0,VLOOKUP($U$96,'TAR FIN'!$A$1:$O$88,15,0))</f>
        <v>0</v>
      </c>
      <c r="Y96" s="6">
        <f ca="1">('TUSD BE'!$AM$10+'TUSD BF'!$AM$10+'TUSD CVA'!$AM$10)*1</f>
        <v>13.66046481326768</v>
      </c>
      <c r="Z96" s="6"/>
      <c r="AA96" s="6"/>
      <c r="AB96" s="6">
        <f>$K$96*$V$96</f>
        <v>30048.120000000003</v>
      </c>
      <c r="AC96" s="6">
        <f>$M$96*$W$96</f>
        <v>0</v>
      </c>
      <c r="AD96" s="6">
        <f>$O$96*$X$96</f>
        <v>0</v>
      </c>
      <c r="AE96" s="6">
        <f ca="1">$K$96*$Y$96</f>
        <v>23878.492493591904</v>
      </c>
      <c r="AF96" s="6">
        <f>$M$96*$Z$96</f>
        <v>0</v>
      </c>
      <c r="AG96" s="6">
        <f>$O$96*$AA$96</f>
        <v>0</v>
      </c>
    </row>
    <row r="97" spans="1:33" ht="11.25" customHeight="1" x14ac:dyDescent="0.25">
      <c r="A97" s="4" t="s">
        <v>55</v>
      </c>
      <c r="B97" s="4" t="s">
        <v>38</v>
      </c>
      <c r="C97" s="4" t="s">
        <v>39</v>
      </c>
      <c r="D97" s="4" t="s">
        <v>37</v>
      </c>
      <c r="E97" s="4" t="s">
        <v>25</v>
      </c>
      <c r="F97" s="4" t="s">
        <v>25</v>
      </c>
      <c r="G97" s="4" t="s">
        <v>25</v>
      </c>
      <c r="H97" s="4" t="s">
        <v>25</v>
      </c>
      <c r="I97" s="5">
        <v>44743</v>
      </c>
      <c r="J97" s="6">
        <v>1748</v>
      </c>
      <c r="K97" s="6">
        <v>1748</v>
      </c>
      <c r="L97" s="6">
        <v>0</v>
      </c>
      <c r="M97" s="6">
        <v>0</v>
      </c>
      <c r="N97" s="6">
        <v>0</v>
      </c>
      <c r="O97" s="6">
        <v>0</v>
      </c>
      <c r="P97" s="6">
        <v>10</v>
      </c>
      <c r="Q97" s="4" t="s">
        <v>26</v>
      </c>
      <c r="R97" s="4">
        <v>0</v>
      </c>
      <c r="S97" s="6">
        <v>15</v>
      </c>
      <c r="T97" s="6">
        <v>0</v>
      </c>
      <c r="U97" s="6">
        <v>0</v>
      </c>
      <c r="V97" s="6">
        <f>IF(ISERROR(VLOOKUP($S$97,'TAR FIN'!$A$1:$O$88,15,0)),0,VLOOKUP($S$97,'TAR FIN'!$A$1:$O$88,15,0))</f>
        <v>17.190000000000001</v>
      </c>
      <c r="W97" s="6">
        <f>IF(ISERROR(VLOOKUP($T$97,'TAR FIN'!$A$1:$O$88,15,0)),0,VLOOKUP($T$97,'TAR FIN'!$A$1:$O$88,15,0))</f>
        <v>0</v>
      </c>
      <c r="X97" s="6">
        <f>IF(ISERROR(VLOOKUP($U$97,'TAR FIN'!$A$1:$O$88,15,0)),0,VLOOKUP($U$97,'TAR FIN'!$A$1:$O$88,15,0))</f>
        <v>0</v>
      </c>
      <c r="Y97" s="6">
        <f ca="1">('TUSD BE'!$AM$10+'TUSD BF'!$AM$10+'TUSD CVA'!$AM$10)*1</f>
        <v>13.66046481326768</v>
      </c>
      <c r="Z97" s="6"/>
      <c r="AA97" s="6"/>
      <c r="AB97" s="6">
        <f>$K$97*$V$97</f>
        <v>30048.120000000003</v>
      </c>
      <c r="AC97" s="6">
        <f>$M$97*$W$97</f>
        <v>0</v>
      </c>
      <c r="AD97" s="6">
        <f>$O$97*$X$97</f>
        <v>0</v>
      </c>
      <c r="AE97" s="6">
        <f ca="1">$K$97*$Y$97</f>
        <v>23878.492493591904</v>
      </c>
      <c r="AF97" s="6">
        <f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38</v>
      </c>
      <c r="C98" s="4" t="s">
        <v>39</v>
      </c>
      <c r="D98" s="4" t="s">
        <v>37</v>
      </c>
      <c r="E98" s="4" t="s">
        <v>25</v>
      </c>
      <c r="F98" s="4" t="s">
        <v>25</v>
      </c>
      <c r="G98" s="4" t="s">
        <v>25</v>
      </c>
      <c r="H98" s="4" t="s">
        <v>33</v>
      </c>
      <c r="I98" s="5">
        <v>44409</v>
      </c>
      <c r="J98" s="6">
        <v>0</v>
      </c>
      <c r="K98" s="6">
        <v>0</v>
      </c>
      <c r="L98" s="6">
        <v>6.9489999999999998</v>
      </c>
      <c r="M98" s="6">
        <v>6.9489999999999998</v>
      </c>
      <c r="N98" s="6">
        <v>6.9489999999999998</v>
      </c>
      <c r="O98" s="6">
        <v>6.9489999999999998</v>
      </c>
      <c r="P98" s="6">
        <v>0</v>
      </c>
      <c r="Q98" s="4" t="s">
        <v>26</v>
      </c>
      <c r="R98" s="4">
        <v>0</v>
      </c>
      <c r="S98" s="6">
        <v>0</v>
      </c>
      <c r="T98" s="6">
        <v>18</v>
      </c>
      <c r="U98" s="6">
        <v>69</v>
      </c>
      <c r="V98" s="6">
        <f>IF(ISERROR(VLOOKUP($S$98,'TAR FIN'!$A$1:$O$88,15,0)),0,VLOOKUP($S$98,'TAR FIN'!$A$1:$O$88,15,0))</f>
        <v>0</v>
      </c>
      <c r="W98" s="6">
        <f>IF(ISERROR(VLOOKUP($T$98,'TAR FIN'!$A$1:$O$88,15,0)),0,VLOOKUP($T$98,'TAR FIN'!$A$1:$O$88,15,0))</f>
        <v>1295.8499999999999</v>
      </c>
      <c r="X98" s="6">
        <f>IF(ISERROR(VLOOKUP($U$98,'TAR FIN'!$A$1:$O$88,15,0)),0,VLOOKUP($U$98,'TAR FIN'!$A$1:$O$88,15,0))</f>
        <v>434.95</v>
      </c>
      <c r="Y98" s="6"/>
      <c r="Z98" s="6">
        <f ca="1">('TUSD BE'!$AM$11+'TUSD BF'!$AM$11+'TUSD CVA'!$AM$11)*1</f>
        <v>1048.5801557334262</v>
      </c>
      <c r="AA98" s="6">
        <f>('TE BE'!$AB$5+'TE BF'!$AB$5+'TE CVA'!$AB$5)*1</f>
        <v>316.97983140624547</v>
      </c>
      <c r="AB98" s="6">
        <f>$K$98*$V$98</f>
        <v>0</v>
      </c>
      <c r="AC98" s="6">
        <f>$M$98*$W$98</f>
        <v>9004.8616499999989</v>
      </c>
      <c r="AD98" s="6">
        <f>$O$98*$X$98</f>
        <v>3022.4675499999998</v>
      </c>
      <c r="AE98" s="6">
        <f>$K$98*$Y$98</f>
        <v>0</v>
      </c>
      <c r="AF98" s="6">
        <f ca="1">$M$98*$Z$98</f>
        <v>7286.5835021915782</v>
      </c>
      <c r="AG98" s="6">
        <f>$O$98*$AA$98</f>
        <v>2202.6928484419996</v>
      </c>
    </row>
    <row r="99" spans="1:33" ht="11.25" customHeight="1" x14ac:dyDescent="0.25">
      <c r="A99" s="4" t="s">
        <v>21</v>
      </c>
      <c r="B99" s="4" t="s">
        <v>38</v>
      </c>
      <c r="C99" s="4" t="s">
        <v>39</v>
      </c>
      <c r="D99" s="4" t="s">
        <v>37</v>
      </c>
      <c r="E99" s="4" t="s">
        <v>25</v>
      </c>
      <c r="F99" s="4" t="s">
        <v>25</v>
      </c>
      <c r="G99" s="4" t="s">
        <v>25</v>
      </c>
      <c r="H99" s="4" t="s">
        <v>33</v>
      </c>
      <c r="I99" s="5">
        <v>44440</v>
      </c>
      <c r="J99" s="6">
        <v>0</v>
      </c>
      <c r="K99" s="6">
        <v>0</v>
      </c>
      <c r="L99" s="6">
        <v>5.7329999999999997</v>
      </c>
      <c r="M99" s="6">
        <v>5.7329999999999997</v>
      </c>
      <c r="N99" s="6">
        <v>5.7329999999999997</v>
      </c>
      <c r="O99" s="6">
        <v>5.7329999999999997</v>
      </c>
      <c r="P99" s="6">
        <v>0</v>
      </c>
      <c r="Q99" s="4" t="s">
        <v>26</v>
      </c>
      <c r="R99" s="4">
        <v>0</v>
      </c>
      <c r="S99" s="6">
        <v>0</v>
      </c>
      <c r="T99" s="6">
        <v>18</v>
      </c>
      <c r="U99" s="6">
        <v>69</v>
      </c>
      <c r="V99" s="6">
        <f>IF(ISERROR(VLOOKUP($S$99,'TAR FIN'!$A$1:$O$88,15,0)),0,VLOOKUP($S$99,'TAR FIN'!$A$1:$O$88,15,0))</f>
        <v>0</v>
      </c>
      <c r="W99" s="6">
        <f>IF(ISERROR(VLOOKUP($T$99,'TAR FIN'!$A$1:$O$88,15,0)),0,VLOOKUP($T$99,'TAR FIN'!$A$1:$O$88,15,0))</f>
        <v>1295.8499999999999</v>
      </c>
      <c r="X99" s="6">
        <f>IF(ISERROR(VLOOKUP($U$99,'TAR FIN'!$A$1:$O$88,15,0)),0,VLOOKUP($U$99,'TAR FIN'!$A$1:$O$88,15,0))</f>
        <v>434.95</v>
      </c>
      <c r="Y99" s="6"/>
      <c r="Z99" s="6">
        <f ca="1">('TUSD BE'!$AM$11+'TUSD BF'!$AM$11+'TUSD CVA'!$AM$11)*1</f>
        <v>1048.5801557334262</v>
      </c>
      <c r="AA99" s="6">
        <f>('TE BE'!$AB$5+'TE BF'!$AB$5+'TE CVA'!$AB$5)*1</f>
        <v>316.97983140624547</v>
      </c>
      <c r="AB99" s="6">
        <f>$K$99*$V$99</f>
        <v>0</v>
      </c>
      <c r="AC99" s="6">
        <f>$M$99*$W$99</f>
        <v>7429.1080499999989</v>
      </c>
      <c r="AD99" s="6">
        <f>$O$99*$X$99</f>
        <v>2493.56835</v>
      </c>
      <c r="AE99" s="6">
        <f>$K$99*$Y$99</f>
        <v>0</v>
      </c>
      <c r="AF99" s="6">
        <f ca="1">$M$99*$Z$99</f>
        <v>6011.5100328197323</v>
      </c>
      <c r="AG99" s="6">
        <f>$O$99*$AA$99</f>
        <v>1817.2453734520052</v>
      </c>
    </row>
    <row r="100" spans="1:33" ht="11.25" customHeight="1" x14ac:dyDescent="0.25">
      <c r="A100" s="4" t="s">
        <v>21</v>
      </c>
      <c r="B100" s="4" t="s">
        <v>38</v>
      </c>
      <c r="C100" s="4" t="s">
        <v>39</v>
      </c>
      <c r="D100" s="4" t="s">
        <v>37</v>
      </c>
      <c r="E100" s="4" t="s">
        <v>25</v>
      </c>
      <c r="F100" s="4" t="s">
        <v>25</v>
      </c>
      <c r="G100" s="4" t="s">
        <v>25</v>
      </c>
      <c r="H100" s="4" t="s">
        <v>33</v>
      </c>
      <c r="I100" s="5">
        <v>44470</v>
      </c>
      <c r="J100" s="6">
        <v>0</v>
      </c>
      <c r="K100" s="6">
        <v>0</v>
      </c>
      <c r="L100" s="6">
        <v>5.7930000000000001</v>
      </c>
      <c r="M100" s="6">
        <v>5.7930000000000001</v>
      </c>
      <c r="N100" s="6">
        <v>5.7930000000000001</v>
      </c>
      <c r="O100" s="6">
        <v>5.7930000000000001</v>
      </c>
      <c r="P100" s="6">
        <v>0</v>
      </c>
      <c r="Q100" s="4" t="s">
        <v>26</v>
      </c>
      <c r="R100" s="4">
        <v>0</v>
      </c>
      <c r="S100" s="6">
        <v>0</v>
      </c>
      <c r="T100" s="6">
        <v>18</v>
      </c>
      <c r="U100" s="6">
        <v>69</v>
      </c>
      <c r="V100" s="6">
        <f>IF(ISERROR(VLOOKUP($S$100,'TAR FIN'!$A$1:$O$88,15,0)),0,VLOOKUP($S$100,'TAR FIN'!$A$1:$O$88,15,0))</f>
        <v>0</v>
      </c>
      <c r="W100" s="6">
        <f>IF(ISERROR(VLOOKUP($T$100,'TAR FIN'!$A$1:$O$88,15,0)),0,VLOOKUP($T$100,'TAR FIN'!$A$1:$O$88,15,0))</f>
        <v>1295.8499999999999</v>
      </c>
      <c r="X100" s="6">
        <f>IF(ISERROR(VLOOKUP($U$100,'TAR FIN'!$A$1:$O$88,15,0)),0,VLOOKUP($U$100,'TAR FIN'!$A$1:$O$88,15,0))</f>
        <v>434.95</v>
      </c>
      <c r="Y100" s="6"/>
      <c r="Z100" s="6">
        <f ca="1">('TUSD BE'!$AM$11+'TUSD BF'!$AM$11+'TUSD CVA'!$AM$11)*1</f>
        <v>1048.5801557334262</v>
      </c>
      <c r="AA100" s="6">
        <f>('TE BE'!$AB$5+'TE BF'!$AB$5+'TE CVA'!$AB$5)*1</f>
        <v>316.97983140624547</v>
      </c>
      <c r="AB100" s="6">
        <f>$K$100*$V$100</f>
        <v>0</v>
      </c>
      <c r="AC100" s="6">
        <f>$M$100*$W$100</f>
        <v>7506.85905</v>
      </c>
      <c r="AD100" s="6">
        <f>$O$100*$X$100</f>
        <v>2519.6653500000002</v>
      </c>
      <c r="AE100" s="6">
        <f>$K$100*$Y$100</f>
        <v>0</v>
      </c>
      <c r="AF100" s="6">
        <f ca="1">$M$100*$Z$100</f>
        <v>6074.4248421637376</v>
      </c>
      <c r="AG100" s="6">
        <f>$O$100*$AA$100</f>
        <v>1836.2641633363801</v>
      </c>
    </row>
    <row r="101" spans="1:33" ht="11.25" customHeight="1" x14ac:dyDescent="0.25">
      <c r="A101" s="4" t="s">
        <v>21</v>
      </c>
      <c r="B101" s="4" t="s">
        <v>38</v>
      </c>
      <c r="C101" s="4" t="s">
        <v>39</v>
      </c>
      <c r="D101" s="4" t="s">
        <v>37</v>
      </c>
      <c r="E101" s="4" t="s">
        <v>25</v>
      </c>
      <c r="F101" s="4" t="s">
        <v>25</v>
      </c>
      <c r="G101" s="4" t="s">
        <v>25</v>
      </c>
      <c r="H101" s="4" t="s">
        <v>33</v>
      </c>
      <c r="I101" s="5">
        <v>44501</v>
      </c>
      <c r="J101" s="6">
        <v>0</v>
      </c>
      <c r="K101" s="6">
        <v>0</v>
      </c>
      <c r="L101" s="6">
        <v>5.2130000000000001</v>
      </c>
      <c r="M101" s="6">
        <v>5.2130000000000001</v>
      </c>
      <c r="N101" s="6">
        <v>5.2130000000000001</v>
      </c>
      <c r="O101" s="6">
        <v>5.2130000000000001</v>
      </c>
      <c r="P101" s="6">
        <v>0</v>
      </c>
      <c r="Q101" s="4" t="s">
        <v>26</v>
      </c>
      <c r="R101" s="4">
        <v>0</v>
      </c>
      <c r="S101" s="6">
        <v>0</v>
      </c>
      <c r="T101" s="6">
        <v>18</v>
      </c>
      <c r="U101" s="6">
        <v>69</v>
      </c>
      <c r="V101" s="6">
        <f>IF(ISERROR(VLOOKUP($S$101,'TAR FIN'!$A$1:$O$88,15,0)),0,VLOOKUP($S$101,'TAR FIN'!$A$1:$O$88,15,0))</f>
        <v>0</v>
      </c>
      <c r="W101" s="6">
        <f>IF(ISERROR(VLOOKUP($T$101,'TAR FIN'!$A$1:$O$88,15,0)),0,VLOOKUP($T$101,'TAR FIN'!$A$1:$O$88,15,0))</f>
        <v>1295.8499999999999</v>
      </c>
      <c r="X101" s="6">
        <f>IF(ISERROR(VLOOKUP($U$101,'TAR FIN'!$A$1:$O$88,15,0)),0,VLOOKUP($U$101,'TAR FIN'!$A$1:$O$88,15,0))</f>
        <v>434.95</v>
      </c>
      <c r="Y101" s="6"/>
      <c r="Z101" s="6">
        <f ca="1">('TUSD BE'!$AM$11+'TUSD BF'!$AM$11+'TUSD CVA'!$AM$11)*1</f>
        <v>1048.5801557334262</v>
      </c>
      <c r="AA101" s="6">
        <f>('TE BE'!$AB$5+'TE BF'!$AB$5+'TE CVA'!$AB$5)*1</f>
        <v>316.97983140624547</v>
      </c>
      <c r="AB101" s="6">
        <f>$K$101*$V$101</f>
        <v>0</v>
      </c>
      <c r="AC101" s="6">
        <f>$M$101*$W$101</f>
        <v>6755.2660499999993</v>
      </c>
      <c r="AD101" s="6">
        <f>$O$101*$X$101</f>
        <v>2267.39435</v>
      </c>
      <c r="AE101" s="6">
        <f>$K$101*$Y$101</f>
        <v>0</v>
      </c>
      <c r="AF101" s="6">
        <f ca="1">$M$101*$Z$101</f>
        <v>5466.2483518383506</v>
      </c>
      <c r="AG101" s="6">
        <f>$O$101*$AA$101</f>
        <v>1652.4158611207577</v>
      </c>
    </row>
    <row r="102" spans="1:33" ht="11.25" customHeight="1" x14ac:dyDescent="0.25">
      <c r="A102" s="4" t="s">
        <v>21</v>
      </c>
      <c r="B102" s="4" t="s">
        <v>38</v>
      </c>
      <c r="C102" s="4" t="s">
        <v>39</v>
      </c>
      <c r="D102" s="4" t="s">
        <v>37</v>
      </c>
      <c r="E102" s="4" t="s">
        <v>25</v>
      </c>
      <c r="F102" s="4" t="s">
        <v>25</v>
      </c>
      <c r="G102" s="4" t="s">
        <v>25</v>
      </c>
      <c r="H102" s="4" t="s">
        <v>33</v>
      </c>
      <c r="I102" s="5">
        <v>44531</v>
      </c>
      <c r="J102" s="6">
        <v>0</v>
      </c>
      <c r="K102" s="6">
        <v>0</v>
      </c>
      <c r="L102" s="6">
        <v>6.1479999999999997</v>
      </c>
      <c r="M102" s="6">
        <v>6.1479999999999997</v>
      </c>
      <c r="N102" s="6">
        <v>6.1479999999999997</v>
      </c>
      <c r="O102" s="6">
        <v>6.1479999999999997</v>
      </c>
      <c r="P102" s="6">
        <v>0</v>
      </c>
      <c r="Q102" s="4" t="s">
        <v>26</v>
      </c>
      <c r="R102" s="4">
        <v>0</v>
      </c>
      <c r="S102" s="6">
        <v>0</v>
      </c>
      <c r="T102" s="6">
        <v>18</v>
      </c>
      <c r="U102" s="6">
        <v>69</v>
      </c>
      <c r="V102" s="6">
        <f>IF(ISERROR(VLOOKUP($S$102,'TAR FIN'!$A$1:$O$88,15,0)),0,VLOOKUP($S$102,'TAR FIN'!$A$1:$O$88,15,0))</f>
        <v>0</v>
      </c>
      <c r="W102" s="6">
        <f>IF(ISERROR(VLOOKUP($T$102,'TAR FIN'!$A$1:$O$88,15,0)),0,VLOOKUP($T$102,'TAR FIN'!$A$1:$O$88,15,0))</f>
        <v>1295.8499999999999</v>
      </c>
      <c r="X102" s="6">
        <f>IF(ISERROR(VLOOKUP($U$102,'TAR FIN'!$A$1:$O$88,15,0)),0,VLOOKUP($U$102,'TAR FIN'!$A$1:$O$88,15,0))</f>
        <v>434.95</v>
      </c>
      <c r="Y102" s="6"/>
      <c r="Z102" s="6">
        <f ca="1">('TUSD BE'!$AM$11+'TUSD BF'!$AM$11+'TUSD CVA'!$AM$11)*1</f>
        <v>1048.5801557334262</v>
      </c>
      <c r="AA102" s="6">
        <f>('TE BE'!$AB$5+'TE BF'!$AB$5+'TE CVA'!$AB$5)*1</f>
        <v>316.97983140624547</v>
      </c>
      <c r="AB102" s="6">
        <f>$K$102*$V$102</f>
        <v>0</v>
      </c>
      <c r="AC102" s="6">
        <f>$M$102*$W$102</f>
        <v>7966.8857999999991</v>
      </c>
      <c r="AD102" s="6">
        <f>$O$102*$X$102</f>
        <v>2674.0726</v>
      </c>
      <c r="AE102" s="6">
        <f>$K$102*$Y$102</f>
        <v>0</v>
      </c>
      <c r="AF102" s="6">
        <f ca="1">$M$102*$Z$102</f>
        <v>6446.6707974491037</v>
      </c>
      <c r="AG102" s="6">
        <f>$O$102*$AA$102</f>
        <v>1948.792003485597</v>
      </c>
    </row>
    <row r="103" spans="1:33" ht="11.25" customHeight="1" x14ac:dyDescent="0.25">
      <c r="A103" s="4" t="s">
        <v>21</v>
      </c>
      <c r="B103" s="4" t="s">
        <v>38</v>
      </c>
      <c r="C103" s="4" t="s">
        <v>39</v>
      </c>
      <c r="D103" s="4" t="s">
        <v>37</v>
      </c>
      <c r="E103" s="4" t="s">
        <v>25</v>
      </c>
      <c r="F103" s="4" t="s">
        <v>25</v>
      </c>
      <c r="G103" s="4" t="s">
        <v>25</v>
      </c>
      <c r="H103" s="4" t="s">
        <v>33</v>
      </c>
      <c r="I103" s="5">
        <v>44562</v>
      </c>
      <c r="J103" s="6">
        <v>0</v>
      </c>
      <c r="K103" s="6">
        <v>0</v>
      </c>
      <c r="L103" s="6">
        <v>5.6349999999999998</v>
      </c>
      <c r="M103" s="6">
        <v>5.6349999999999998</v>
      </c>
      <c r="N103" s="6">
        <v>5.6349999999999998</v>
      </c>
      <c r="O103" s="6">
        <v>5.6349999999999998</v>
      </c>
      <c r="P103" s="6">
        <v>0</v>
      </c>
      <c r="Q103" s="4" t="s">
        <v>26</v>
      </c>
      <c r="R103" s="4">
        <v>0</v>
      </c>
      <c r="S103" s="6">
        <v>0</v>
      </c>
      <c r="T103" s="6">
        <v>18</v>
      </c>
      <c r="U103" s="6">
        <v>69</v>
      </c>
      <c r="V103" s="6">
        <f>IF(ISERROR(VLOOKUP($S$103,'TAR FIN'!$A$1:$O$88,15,0)),0,VLOOKUP($S$103,'TAR FIN'!$A$1:$O$88,15,0))</f>
        <v>0</v>
      </c>
      <c r="W103" s="6">
        <f>IF(ISERROR(VLOOKUP($T$103,'TAR FIN'!$A$1:$O$88,15,0)),0,VLOOKUP($T$103,'TAR FIN'!$A$1:$O$88,15,0))</f>
        <v>1295.8499999999999</v>
      </c>
      <c r="X103" s="6">
        <f>IF(ISERROR(VLOOKUP($U$103,'TAR FIN'!$A$1:$O$88,15,0)),0,VLOOKUP($U$103,'TAR FIN'!$A$1:$O$88,15,0))</f>
        <v>434.95</v>
      </c>
      <c r="Y103" s="6"/>
      <c r="Z103" s="6">
        <f ca="1">('TUSD BE'!$AM$11+'TUSD BF'!$AM$11+'TUSD CVA'!$AM$11)*1</f>
        <v>1048.5801557334262</v>
      </c>
      <c r="AA103" s="6">
        <f>('TE BE'!$AB$5+'TE BF'!$AB$5+'TE CVA'!$AB$5)*1</f>
        <v>316.97983140624547</v>
      </c>
      <c r="AB103" s="6">
        <f>$K$103*$V$103</f>
        <v>0</v>
      </c>
      <c r="AC103" s="6">
        <f>$M$103*$W$103</f>
        <v>7302.1147499999988</v>
      </c>
      <c r="AD103" s="6">
        <f>$O$103*$X$103</f>
        <v>2450.9432499999998</v>
      </c>
      <c r="AE103" s="6">
        <f>$K$103*$Y$103</f>
        <v>0</v>
      </c>
      <c r="AF103" s="6">
        <f ca="1">$M$103*$Z$103</f>
        <v>5908.7491775578565</v>
      </c>
      <c r="AG103" s="6">
        <f>$O$103*$AA$103</f>
        <v>1786.1813499741932</v>
      </c>
    </row>
    <row r="104" spans="1:33" ht="11.25" customHeight="1" x14ac:dyDescent="0.25">
      <c r="A104" s="4" t="s">
        <v>21</v>
      </c>
      <c r="B104" s="4" t="s">
        <v>38</v>
      </c>
      <c r="C104" s="4" t="s">
        <v>39</v>
      </c>
      <c r="D104" s="4" t="s">
        <v>37</v>
      </c>
      <c r="E104" s="4" t="s">
        <v>25</v>
      </c>
      <c r="F104" s="4" t="s">
        <v>25</v>
      </c>
      <c r="G104" s="4" t="s">
        <v>25</v>
      </c>
      <c r="H104" s="4" t="s">
        <v>33</v>
      </c>
      <c r="I104" s="5">
        <v>44593</v>
      </c>
      <c r="J104" s="6">
        <v>0</v>
      </c>
      <c r="K104" s="6">
        <v>0</v>
      </c>
      <c r="L104" s="6">
        <v>6.2969999999999997</v>
      </c>
      <c r="M104" s="6">
        <v>6.2969999999999997</v>
      </c>
      <c r="N104" s="6">
        <v>6.2969999999999997</v>
      </c>
      <c r="O104" s="6">
        <v>6.2969999999999997</v>
      </c>
      <c r="P104" s="6">
        <v>0</v>
      </c>
      <c r="Q104" s="4" t="s">
        <v>26</v>
      </c>
      <c r="R104" s="4">
        <v>0</v>
      </c>
      <c r="S104" s="6">
        <v>0</v>
      </c>
      <c r="T104" s="6">
        <v>18</v>
      </c>
      <c r="U104" s="6">
        <v>69</v>
      </c>
      <c r="V104" s="6">
        <f>IF(ISERROR(VLOOKUP($S$104,'TAR FIN'!$A$1:$O$88,15,0)),0,VLOOKUP($S$104,'TAR FIN'!$A$1:$O$88,15,0))</f>
        <v>0</v>
      </c>
      <c r="W104" s="6">
        <f>IF(ISERROR(VLOOKUP($T$104,'TAR FIN'!$A$1:$O$88,15,0)),0,VLOOKUP($T$104,'TAR FIN'!$A$1:$O$88,15,0))</f>
        <v>1295.8499999999999</v>
      </c>
      <c r="X104" s="6">
        <f>IF(ISERROR(VLOOKUP($U$104,'TAR FIN'!$A$1:$O$88,15,0)),0,VLOOKUP($U$104,'TAR FIN'!$A$1:$O$88,15,0))</f>
        <v>434.95</v>
      </c>
      <c r="Y104" s="6"/>
      <c r="Z104" s="6">
        <f ca="1">('TUSD BE'!$AM$11+'TUSD BF'!$AM$11+'TUSD CVA'!$AM$11)*1</f>
        <v>1048.5801557334262</v>
      </c>
      <c r="AA104" s="6">
        <f>('TE BE'!$AB$5+'TE BF'!$AB$5+'TE CVA'!$AB$5)*1</f>
        <v>316.97983140624547</v>
      </c>
      <c r="AB104" s="6">
        <f>$K$104*$V$104</f>
        <v>0</v>
      </c>
      <c r="AC104" s="6">
        <f>$M$104*$W$104</f>
        <v>8159.9674499999992</v>
      </c>
      <c r="AD104" s="6">
        <f>$O$104*$X$104</f>
        <v>2738.88015</v>
      </c>
      <c r="AE104" s="6">
        <f>$K$104*$Y$104</f>
        <v>0</v>
      </c>
      <c r="AF104" s="6">
        <f ca="1">$M$104*$Z$104</f>
        <v>6602.9092406533846</v>
      </c>
      <c r="AG104" s="6">
        <f>$O$104*$AA$104</f>
        <v>1996.0219983651275</v>
      </c>
    </row>
    <row r="105" spans="1:33" ht="11.25" customHeight="1" x14ac:dyDescent="0.25">
      <c r="A105" s="4" t="s">
        <v>21</v>
      </c>
      <c r="B105" s="4" t="s">
        <v>38</v>
      </c>
      <c r="C105" s="4" t="s">
        <v>39</v>
      </c>
      <c r="D105" s="4" t="s">
        <v>37</v>
      </c>
      <c r="E105" s="4" t="s">
        <v>25</v>
      </c>
      <c r="F105" s="4" t="s">
        <v>25</v>
      </c>
      <c r="G105" s="4" t="s">
        <v>25</v>
      </c>
      <c r="H105" s="4" t="s">
        <v>33</v>
      </c>
      <c r="I105" s="5">
        <v>44621</v>
      </c>
      <c r="J105" s="6">
        <v>0</v>
      </c>
      <c r="K105" s="6">
        <v>0</v>
      </c>
      <c r="L105" s="6">
        <v>6.0910000000000002</v>
      </c>
      <c r="M105" s="6">
        <v>6.0910000000000002</v>
      </c>
      <c r="N105" s="6">
        <v>6.0910000000000002</v>
      </c>
      <c r="O105" s="6">
        <v>6.0910000000000002</v>
      </c>
      <c r="P105" s="6">
        <v>0</v>
      </c>
      <c r="Q105" s="4" t="s">
        <v>26</v>
      </c>
      <c r="R105" s="4">
        <v>0</v>
      </c>
      <c r="S105" s="6">
        <v>0</v>
      </c>
      <c r="T105" s="6">
        <v>18</v>
      </c>
      <c r="U105" s="6">
        <v>69</v>
      </c>
      <c r="V105" s="6">
        <f>IF(ISERROR(VLOOKUP($S$105,'TAR FIN'!$A$1:$O$88,15,0)),0,VLOOKUP($S$105,'TAR FIN'!$A$1:$O$88,15,0))</f>
        <v>0</v>
      </c>
      <c r="W105" s="6">
        <f>IF(ISERROR(VLOOKUP($T$105,'TAR FIN'!$A$1:$O$88,15,0)),0,VLOOKUP($T$105,'TAR FIN'!$A$1:$O$88,15,0))</f>
        <v>1295.8499999999999</v>
      </c>
      <c r="X105" s="6">
        <f>IF(ISERROR(VLOOKUP($U$105,'TAR FIN'!$A$1:$O$88,15,0)),0,VLOOKUP($U$105,'TAR FIN'!$A$1:$O$88,15,0))</f>
        <v>434.95</v>
      </c>
      <c r="Y105" s="6"/>
      <c r="Z105" s="6">
        <f ca="1">('TUSD BE'!$AM$11+'TUSD BF'!$AM$11+'TUSD CVA'!$AM$11)*1</f>
        <v>1048.5801557334262</v>
      </c>
      <c r="AA105" s="6">
        <f>('TE BE'!$AB$5+'TE BF'!$AB$5+'TE CVA'!$AB$5)*1</f>
        <v>316.97983140624547</v>
      </c>
      <c r="AB105" s="6">
        <f>$K$105*$V$105</f>
        <v>0</v>
      </c>
      <c r="AC105" s="6">
        <f>$M$105*$W$105</f>
        <v>7893.0223499999993</v>
      </c>
      <c r="AD105" s="6">
        <f>$O$105*$X$105</f>
        <v>2649.2804500000002</v>
      </c>
      <c r="AE105" s="6">
        <f>$K$105*$Y$105</f>
        <v>0</v>
      </c>
      <c r="AF105" s="6">
        <f ca="1">$M$105*$Z$105</f>
        <v>6386.9017285722994</v>
      </c>
      <c r="AG105" s="6">
        <f>$O$105*$AA$105</f>
        <v>1930.7241530954411</v>
      </c>
    </row>
    <row r="106" spans="1:33" ht="11.25" customHeight="1" x14ac:dyDescent="0.25">
      <c r="A106" s="4" t="s">
        <v>21</v>
      </c>
      <c r="B106" s="4" t="s">
        <v>38</v>
      </c>
      <c r="C106" s="4" t="s">
        <v>39</v>
      </c>
      <c r="D106" s="4" t="s">
        <v>37</v>
      </c>
      <c r="E106" s="4" t="s">
        <v>25</v>
      </c>
      <c r="F106" s="4" t="s">
        <v>25</v>
      </c>
      <c r="G106" s="4" t="s">
        <v>25</v>
      </c>
      <c r="H106" s="4" t="s">
        <v>33</v>
      </c>
      <c r="I106" s="5">
        <v>44652</v>
      </c>
      <c r="J106" s="6">
        <v>0</v>
      </c>
      <c r="K106" s="6">
        <v>0</v>
      </c>
      <c r="L106" s="6">
        <v>4.9980000000000002</v>
      </c>
      <c r="M106" s="6">
        <v>4.9980000000000002</v>
      </c>
      <c r="N106" s="6">
        <v>4.9980000000000002</v>
      </c>
      <c r="O106" s="6">
        <v>4.9980000000000002</v>
      </c>
      <c r="P106" s="6">
        <v>0</v>
      </c>
      <c r="Q106" s="4" t="s">
        <v>26</v>
      </c>
      <c r="R106" s="4">
        <v>0</v>
      </c>
      <c r="S106" s="6">
        <v>0</v>
      </c>
      <c r="T106" s="6">
        <v>18</v>
      </c>
      <c r="U106" s="6">
        <v>69</v>
      </c>
      <c r="V106" s="6">
        <f>IF(ISERROR(VLOOKUP($S$106,'TAR FIN'!$A$1:$O$88,15,0)),0,VLOOKUP($S$106,'TAR FIN'!$A$1:$O$88,15,0))</f>
        <v>0</v>
      </c>
      <c r="W106" s="6">
        <f>IF(ISERROR(VLOOKUP($T$106,'TAR FIN'!$A$1:$O$88,15,0)),0,VLOOKUP($T$106,'TAR FIN'!$A$1:$O$88,15,0))</f>
        <v>1295.8499999999999</v>
      </c>
      <c r="X106" s="6">
        <f>IF(ISERROR(VLOOKUP($U$106,'TAR FIN'!$A$1:$O$88,15,0)),0,VLOOKUP($U$106,'TAR FIN'!$A$1:$O$88,15,0))</f>
        <v>434.95</v>
      </c>
      <c r="Y106" s="6"/>
      <c r="Z106" s="6">
        <f ca="1">('TUSD BE'!$AM$11+'TUSD BF'!$AM$11+'TUSD CVA'!$AM$11)*1</f>
        <v>1048.5801557334262</v>
      </c>
      <c r="AA106" s="6">
        <f>('TE BE'!$AB$5+'TE BF'!$AB$5+'TE CVA'!$AB$5)*1</f>
        <v>316.97983140624547</v>
      </c>
      <c r="AB106" s="6">
        <f>$K$106*$V$106</f>
        <v>0</v>
      </c>
      <c r="AC106" s="6">
        <f>$M$106*$W$106</f>
        <v>6476.6583000000001</v>
      </c>
      <c r="AD106" s="6">
        <f>$O$106*$X$106</f>
        <v>2173.8800999999999</v>
      </c>
      <c r="AE106" s="6">
        <f>$K$106*$Y$106</f>
        <v>0</v>
      </c>
      <c r="AF106" s="6">
        <f ca="1">$M$106*$Z$106</f>
        <v>5240.8036183556642</v>
      </c>
      <c r="AG106" s="6">
        <f>$O$106*$AA$106</f>
        <v>1584.2651973684149</v>
      </c>
    </row>
    <row r="107" spans="1:33" ht="11.25" customHeight="1" x14ac:dyDescent="0.25">
      <c r="A107" s="4" t="s">
        <v>21</v>
      </c>
      <c r="B107" s="4" t="s">
        <v>38</v>
      </c>
      <c r="C107" s="4" t="s">
        <v>39</v>
      </c>
      <c r="D107" s="4" t="s">
        <v>37</v>
      </c>
      <c r="E107" s="4" t="s">
        <v>25</v>
      </c>
      <c r="F107" s="4" t="s">
        <v>25</v>
      </c>
      <c r="G107" s="4" t="s">
        <v>25</v>
      </c>
      <c r="H107" s="4" t="s">
        <v>33</v>
      </c>
      <c r="I107" s="5">
        <v>44682</v>
      </c>
      <c r="J107" s="6">
        <v>0</v>
      </c>
      <c r="K107" s="6">
        <v>0</v>
      </c>
      <c r="L107" s="6">
        <v>5.8559999999999999</v>
      </c>
      <c r="M107" s="6">
        <v>5.8559999999999999</v>
      </c>
      <c r="N107" s="6">
        <v>5.8559999999999999</v>
      </c>
      <c r="O107" s="6">
        <v>5.8559999999999999</v>
      </c>
      <c r="P107" s="6">
        <v>0</v>
      </c>
      <c r="Q107" s="4" t="s">
        <v>26</v>
      </c>
      <c r="R107" s="4">
        <v>0</v>
      </c>
      <c r="S107" s="6">
        <v>0</v>
      </c>
      <c r="T107" s="6">
        <v>18</v>
      </c>
      <c r="U107" s="6">
        <v>69</v>
      </c>
      <c r="V107" s="6">
        <f>IF(ISERROR(VLOOKUP($S$107,'TAR FIN'!$A$1:$O$88,15,0)),0,VLOOKUP($S$107,'TAR FIN'!$A$1:$O$88,15,0))</f>
        <v>0</v>
      </c>
      <c r="W107" s="6">
        <f>IF(ISERROR(VLOOKUP($T$107,'TAR FIN'!$A$1:$O$88,15,0)),0,VLOOKUP($T$107,'TAR FIN'!$A$1:$O$88,15,0))</f>
        <v>1295.8499999999999</v>
      </c>
      <c r="X107" s="6">
        <f>IF(ISERROR(VLOOKUP($U$107,'TAR FIN'!$A$1:$O$88,15,0)),0,VLOOKUP($U$107,'TAR FIN'!$A$1:$O$88,15,0))</f>
        <v>434.95</v>
      </c>
      <c r="Y107" s="6"/>
      <c r="Z107" s="6">
        <f ca="1">('TUSD BE'!$AM$11+'TUSD BF'!$AM$11+'TUSD CVA'!$AM$11)*1</f>
        <v>1048.5801557334262</v>
      </c>
      <c r="AA107" s="6">
        <f>('TE BE'!$AB$5+'TE BF'!$AB$5+'TE CVA'!$AB$5)*1</f>
        <v>316.97983140624547</v>
      </c>
      <c r="AB107" s="6">
        <f>$K$107*$V$107</f>
        <v>0</v>
      </c>
      <c r="AC107" s="6">
        <f>$M$107*$W$107</f>
        <v>7588.4975999999997</v>
      </c>
      <c r="AD107" s="6">
        <f>$O$107*$X$107</f>
        <v>2547.0672</v>
      </c>
      <c r="AE107" s="6">
        <f>$K$107*$Y$107</f>
        <v>0</v>
      </c>
      <c r="AF107" s="6">
        <f ca="1">$M$107*$Z$107</f>
        <v>6140.4853919749439</v>
      </c>
      <c r="AG107" s="6">
        <f>$O$107*$AA$107</f>
        <v>1856.2338927149733</v>
      </c>
    </row>
    <row r="108" spans="1:33" ht="11.25" customHeight="1" x14ac:dyDescent="0.25">
      <c r="A108" s="4" t="s">
        <v>21</v>
      </c>
      <c r="B108" s="4" t="s">
        <v>38</v>
      </c>
      <c r="C108" s="4" t="s">
        <v>39</v>
      </c>
      <c r="D108" s="4" t="s">
        <v>37</v>
      </c>
      <c r="E108" s="4" t="s">
        <v>25</v>
      </c>
      <c r="F108" s="4" t="s">
        <v>25</v>
      </c>
      <c r="G108" s="4" t="s">
        <v>25</v>
      </c>
      <c r="H108" s="4" t="s">
        <v>33</v>
      </c>
      <c r="I108" s="5">
        <v>44713</v>
      </c>
      <c r="J108" s="6">
        <v>0</v>
      </c>
      <c r="K108" s="6">
        <v>0</v>
      </c>
      <c r="L108" s="6">
        <v>6.7539999999999996</v>
      </c>
      <c r="M108" s="6">
        <v>6.7539999999999996</v>
      </c>
      <c r="N108" s="6">
        <v>6.7539999999999996</v>
      </c>
      <c r="O108" s="6">
        <v>6.7539999999999996</v>
      </c>
      <c r="P108" s="6">
        <v>0</v>
      </c>
      <c r="Q108" s="4" t="s">
        <v>26</v>
      </c>
      <c r="R108" s="4">
        <v>0</v>
      </c>
      <c r="S108" s="6">
        <v>0</v>
      </c>
      <c r="T108" s="6">
        <v>18</v>
      </c>
      <c r="U108" s="6">
        <v>69</v>
      </c>
      <c r="V108" s="6">
        <f>IF(ISERROR(VLOOKUP($S$108,'TAR FIN'!$A$1:$O$88,15,0)),0,VLOOKUP($S$108,'TAR FIN'!$A$1:$O$88,15,0))</f>
        <v>0</v>
      </c>
      <c r="W108" s="6">
        <f>IF(ISERROR(VLOOKUP($T$108,'TAR FIN'!$A$1:$O$88,15,0)),0,VLOOKUP($T$108,'TAR FIN'!$A$1:$O$88,15,0))</f>
        <v>1295.8499999999999</v>
      </c>
      <c r="X108" s="6">
        <f>IF(ISERROR(VLOOKUP($U$108,'TAR FIN'!$A$1:$O$88,15,0)),0,VLOOKUP($U$108,'TAR FIN'!$A$1:$O$88,15,0))</f>
        <v>434.95</v>
      </c>
      <c r="Y108" s="6"/>
      <c r="Z108" s="6">
        <f ca="1">('TUSD BE'!$AM$11+'TUSD BF'!$AM$11+'TUSD CVA'!$AM$11)*1</f>
        <v>1048.5801557334262</v>
      </c>
      <c r="AA108" s="6">
        <f>('TE BE'!$AB$5+'TE BF'!$AB$5+'TE CVA'!$AB$5)*1</f>
        <v>316.97983140624547</v>
      </c>
      <c r="AB108" s="6">
        <f>$K$108*$V$108</f>
        <v>0</v>
      </c>
      <c r="AC108" s="6">
        <f>$M$108*$W$108</f>
        <v>8752.1708999999992</v>
      </c>
      <c r="AD108" s="6">
        <f>$O$108*$X$108</f>
        <v>2937.6522999999997</v>
      </c>
      <c r="AE108" s="6">
        <f>$K$108*$Y$108</f>
        <v>0</v>
      </c>
      <c r="AF108" s="6">
        <f ca="1">$M$108*$Z$108</f>
        <v>7082.1103718235599</v>
      </c>
      <c r="AG108" s="6">
        <f>$O$108*$AA$108</f>
        <v>2140.8817813177816</v>
      </c>
    </row>
    <row r="109" spans="1:33" ht="11.25" customHeight="1" x14ac:dyDescent="0.25">
      <c r="A109" s="4" t="s">
        <v>55</v>
      </c>
      <c r="B109" s="4" t="s">
        <v>38</v>
      </c>
      <c r="C109" s="4" t="s">
        <v>39</v>
      </c>
      <c r="D109" s="4" t="s">
        <v>37</v>
      </c>
      <c r="E109" s="4" t="s">
        <v>25</v>
      </c>
      <c r="F109" s="4" t="s">
        <v>25</v>
      </c>
      <c r="G109" s="4" t="s">
        <v>25</v>
      </c>
      <c r="H109" s="4" t="s">
        <v>33</v>
      </c>
      <c r="I109" s="5">
        <v>44743</v>
      </c>
      <c r="J109" s="6">
        <v>0</v>
      </c>
      <c r="K109" s="6">
        <v>0</v>
      </c>
      <c r="L109" s="6">
        <v>6.7539999999999996</v>
      </c>
      <c r="M109" s="6">
        <v>6.7539999999999996</v>
      </c>
      <c r="N109" s="6">
        <v>6.7539999999999996</v>
      </c>
      <c r="O109" s="6">
        <v>6.7539999999999996</v>
      </c>
      <c r="P109" s="6">
        <v>0</v>
      </c>
      <c r="Q109" s="4" t="s">
        <v>26</v>
      </c>
      <c r="R109" s="4">
        <v>0</v>
      </c>
      <c r="S109" s="6">
        <v>0</v>
      </c>
      <c r="T109" s="6">
        <v>18</v>
      </c>
      <c r="U109" s="6">
        <v>69</v>
      </c>
      <c r="V109" s="6">
        <f>IF(ISERROR(VLOOKUP($S$109,'TAR FIN'!$A$1:$O$88,15,0)),0,VLOOKUP($S$109,'TAR FIN'!$A$1:$O$88,15,0))</f>
        <v>0</v>
      </c>
      <c r="W109" s="6">
        <f>IF(ISERROR(VLOOKUP($T$109,'TAR FIN'!$A$1:$O$88,15,0)),0,VLOOKUP($T$109,'TAR FIN'!$A$1:$O$88,15,0))</f>
        <v>1295.8499999999999</v>
      </c>
      <c r="X109" s="6">
        <f>IF(ISERROR(VLOOKUP($U$109,'TAR FIN'!$A$1:$O$88,15,0)),0,VLOOKUP($U$109,'TAR FIN'!$A$1:$O$88,15,0))</f>
        <v>434.95</v>
      </c>
      <c r="Y109" s="6"/>
      <c r="Z109" s="6">
        <f ca="1">('TUSD BE'!$AM$11+'TUSD BF'!$AM$11+'TUSD CVA'!$AM$11)*1</f>
        <v>1048.5801557334262</v>
      </c>
      <c r="AA109" s="6">
        <f>('TE BE'!$AB$5+'TE BF'!$AB$5+'TE CVA'!$AB$5)*1</f>
        <v>316.97983140624547</v>
      </c>
      <c r="AB109" s="6">
        <f>$K$109*$V$109</f>
        <v>0</v>
      </c>
      <c r="AC109" s="6">
        <f>$M$109*$W$109</f>
        <v>8752.1708999999992</v>
      </c>
      <c r="AD109" s="6">
        <f>$O$109*$X$109</f>
        <v>2937.6522999999997</v>
      </c>
      <c r="AE109" s="6">
        <f>$K$109*$Y$109</f>
        <v>0</v>
      </c>
      <c r="AF109" s="6">
        <f ca="1">$M$109*$Z$109</f>
        <v>7082.1103718235599</v>
      </c>
      <c r="AG109" s="6">
        <f>$O$109*$AA$109</f>
        <v>2140.8817813177816</v>
      </c>
    </row>
    <row r="110" spans="1:33" ht="11.25" customHeight="1" x14ac:dyDescent="0.25">
      <c r="A110" s="4" t="s">
        <v>21</v>
      </c>
      <c r="B110" s="4" t="s">
        <v>38</v>
      </c>
      <c r="C110" s="4" t="s">
        <v>39</v>
      </c>
      <c r="D110" s="4" t="s">
        <v>43</v>
      </c>
      <c r="E110" s="4" t="s">
        <v>25</v>
      </c>
      <c r="F110" s="4" t="s">
        <v>25</v>
      </c>
      <c r="G110" s="4" t="s">
        <v>25</v>
      </c>
      <c r="H110" s="4" t="s">
        <v>34</v>
      </c>
      <c r="I110" s="5">
        <v>44409</v>
      </c>
      <c r="J110" s="6">
        <v>0</v>
      </c>
      <c r="K110" s="6">
        <v>0</v>
      </c>
      <c r="L110" s="6">
        <v>7.9420000000000002</v>
      </c>
      <c r="M110" s="6">
        <v>7.9420000000000002</v>
      </c>
      <c r="N110" s="6">
        <v>7.9420000000000002</v>
      </c>
      <c r="O110" s="6">
        <v>7.9420000000000002</v>
      </c>
      <c r="P110" s="6">
        <v>0</v>
      </c>
      <c r="Q110" s="4" t="s">
        <v>26</v>
      </c>
      <c r="R110" s="4">
        <v>0</v>
      </c>
      <c r="S110" s="6">
        <v>0</v>
      </c>
      <c r="T110" s="6">
        <v>21</v>
      </c>
      <c r="U110" s="6">
        <v>70</v>
      </c>
      <c r="V110" s="6">
        <f>IF(ISERROR(VLOOKUP($S$110,'TAR FIN'!$A$1:$O$88,15,0)),0,VLOOKUP($S$110,'TAR FIN'!$A$1:$O$88,15,0))</f>
        <v>0</v>
      </c>
      <c r="W110" s="6">
        <f>IF(ISERROR(VLOOKUP($T$110,'TAR FIN'!$A$1:$O$88,15,0)),0,VLOOKUP($T$110,'TAR FIN'!$A$1:$O$88,15,0))</f>
        <v>73.790000000000006</v>
      </c>
      <c r="X110" s="6">
        <f>IF(ISERROR(VLOOKUP($U$110,'TAR FIN'!$A$1:$O$88,15,0)),0,VLOOKUP($U$110,'TAR FIN'!$A$1:$O$88,15,0))</f>
        <v>266.70999999999998</v>
      </c>
      <c r="Y110" s="6"/>
      <c r="Z110" s="6">
        <f ca="1">('TUSD BE'!$AM$12+'TUSD BF'!$AM$12+'TUSD CVA'!$AM$12)*1</f>
        <v>83.275517807559041</v>
      </c>
      <c r="AA110" s="6">
        <f>('TE BE'!$AB$6+'TE BF'!$AB$6+'TE CVA'!$AB$6)*1</f>
        <v>197.6895725142987</v>
      </c>
      <c r="AB110" s="6">
        <f>$K$110*$V$110</f>
        <v>0</v>
      </c>
      <c r="AC110" s="6">
        <f>$M$110*$W$110</f>
        <v>586.04018000000008</v>
      </c>
      <c r="AD110" s="6">
        <f>$O$110*$X$110</f>
        <v>2118.2108199999998</v>
      </c>
      <c r="AE110" s="6">
        <f>$K$110*$Y$110</f>
        <v>0</v>
      </c>
      <c r="AF110" s="6">
        <f ca="1">$M$110*$Z$110</f>
        <v>661.37416242763391</v>
      </c>
      <c r="AG110" s="6">
        <f>$O$110*$AA$110</f>
        <v>1570.0505849085603</v>
      </c>
    </row>
    <row r="111" spans="1:33" ht="11.25" customHeight="1" x14ac:dyDescent="0.25">
      <c r="A111" s="4" t="s">
        <v>21</v>
      </c>
      <c r="B111" s="4" t="s">
        <v>38</v>
      </c>
      <c r="C111" s="4" t="s">
        <v>39</v>
      </c>
      <c r="D111" s="4" t="s">
        <v>43</v>
      </c>
      <c r="E111" s="4" t="s">
        <v>25</v>
      </c>
      <c r="F111" s="4" t="s">
        <v>25</v>
      </c>
      <c r="G111" s="4" t="s">
        <v>25</v>
      </c>
      <c r="H111" s="4" t="s">
        <v>34</v>
      </c>
      <c r="I111" s="5">
        <v>44440</v>
      </c>
      <c r="J111" s="6">
        <v>0</v>
      </c>
      <c r="K111" s="6">
        <v>0</v>
      </c>
      <c r="L111" s="6">
        <v>6.1440000000000001</v>
      </c>
      <c r="M111" s="6">
        <v>6.1440000000000001</v>
      </c>
      <c r="N111" s="6">
        <v>6.1440000000000001</v>
      </c>
      <c r="O111" s="6">
        <v>6.1440000000000001</v>
      </c>
      <c r="P111" s="6">
        <v>0</v>
      </c>
      <c r="Q111" s="4" t="s">
        <v>26</v>
      </c>
      <c r="R111" s="4">
        <v>0</v>
      </c>
      <c r="S111" s="6">
        <v>0</v>
      </c>
      <c r="T111" s="6">
        <v>21</v>
      </c>
      <c r="U111" s="6">
        <v>70</v>
      </c>
      <c r="V111" s="6">
        <f>IF(ISERROR(VLOOKUP($S$111,'TAR FIN'!$A$1:$O$88,15,0)),0,VLOOKUP($S$111,'TAR FIN'!$A$1:$O$88,15,0))</f>
        <v>0</v>
      </c>
      <c r="W111" s="6">
        <f>IF(ISERROR(VLOOKUP($T$111,'TAR FIN'!$A$1:$O$88,15,0)),0,VLOOKUP($T$111,'TAR FIN'!$A$1:$O$88,15,0))</f>
        <v>73.790000000000006</v>
      </c>
      <c r="X111" s="6">
        <f>IF(ISERROR(VLOOKUP($U$111,'TAR FIN'!$A$1:$O$88,15,0)),0,VLOOKUP($U$111,'TAR FIN'!$A$1:$O$88,15,0))</f>
        <v>266.70999999999998</v>
      </c>
      <c r="Y111" s="6"/>
      <c r="Z111" s="6">
        <f ca="1">('TUSD BE'!$AM$12+'TUSD BF'!$AM$12+'TUSD CVA'!$AM$12)*1</f>
        <v>83.275517807559041</v>
      </c>
      <c r="AA111" s="6">
        <f>('TE BE'!$AB$6+'TE BF'!$AB$6+'TE CVA'!$AB$6)*1</f>
        <v>197.6895725142987</v>
      </c>
      <c r="AB111" s="6">
        <f>$K$111*$V$111</f>
        <v>0</v>
      </c>
      <c r="AC111" s="6">
        <f>$M$111*$W$111</f>
        <v>453.36576000000002</v>
      </c>
      <c r="AD111" s="6">
        <f>$O$111*$X$111</f>
        <v>1638.66624</v>
      </c>
      <c r="AE111" s="6">
        <f>$K$111*$Y$111</f>
        <v>0</v>
      </c>
      <c r="AF111" s="6">
        <f ca="1">$M$111*$Z$111</f>
        <v>511.64478140964275</v>
      </c>
      <c r="AG111" s="6">
        <f>$O$111*$AA$111</f>
        <v>1214.6047335278513</v>
      </c>
    </row>
    <row r="112" spans="1:33" ht="11.25" customHeight="1" x14ac:dyDescent="0.25">
      <c r="A112" s="4" t="s">
        <v>21</v>
      </c>
      <c r="B112" s="4" t="s">
        <v>38</v>
      </c>
      <c r="C112" s="4" t="s">
        <v>39</v>
      </c>
      <c r="D112" s="4" t="s">
        <v>43</v>
      </c>
      <c r="E112" s="4" t="s">
        <v>25</v>
      </c>
      <c r="F112" s="4" t="s">
        <v>25</v>
      </c>
      <c r="G112" s="4" t="s">
        <v>25</v>
      </c>
      <c r="H112" s="4" t="s">
        <v>34</v>
      </c>
      <c r="I112" s="5">
        <v>44470</v>
      </c>
      <c r="J112" s="6">
        <v>0</v>
      </c>
      <c r="K112" s="6">
        <v>0</v>
      </c>
      <c r="L112" s="6">
        <v>5.9240000000000004</v>
      </c>
      <c r="M112" s="6">
        <v>5.9240000000000004</v>
      </c>
      <c r="N112" s="6">
        <v>5.9240000000000004</v>
      </c>
      <c r="O112" s="6">
        <v>5.9240000000000004</v>
      </c>
      <c r="P112" s="6">
        <v>0</v>
      </c>
      <c r="Q112" s="4" t="s">
        <v>26</v>
      </c>
      <c r="R112" s="4">
        <v>0</v>
      </c>
      <c r="S112" s="6">
        <v>0</v>
      </c>
      <c r="T112" s="6">
        <v>21</v>
      </c>
      <c r="U112" s="6">
        <v>70</v>
      </c>
      <c r="V112" s="6">
        <f>IF(ISERROR(VLOOKUP($S$112,'TAR FIN'!$A$1:$O$88,15,0)),0,VLOOKUP($S$112,'TAR FIN'!$A$1:$O$88,15,0))</f>
        <v>0</v>
      </c>
      <c r="W112" s="6">
        <f>IF(ISERROR(VLOOKUP($T$112,'TAR FIN'!$A$1:$O$88,15,0)),0,VLOOKUP($T$112,'TAR FIN'!$A$1:$O$88,15,0))</f>
        <v>73.790000000000006</v>
      </c>
      <c r="X112" s="6">
        <f>IF(ISERROR(VLOOKUP($U$112,'TAR FIN'!$A$1:$O$88,15,0)),0,VLOOKUP($U$112,'TAR FIN'!$A$1:$O$88,15,0))</f>
        <v>266.70999999999998</v>
      </c>
      <c r="Y112" s="6"/>
      <c r="Z112" s="6">
        <f ca="1">('TUSD BE'!$AM$12+'TUSD BF'!$AM$12+'TUSD CVA'!$AM$12)*1</f>
        <v>83.275517807559041</v>
      </c>
      <c r="AA112" s="6">
        <f>('TE BE'!$AB$6+'TE BF'!$AB$6+'TE CVA'!$AB$6)*1</f>
        <v>197.6895725142987</v>
      </c>
      <c r="AB112" s="6">
        <f>$K$112*$V$112</f>
        <v>0</v>
      </c>
      <c r="AC112" s="6">
        <f>$M$112*$W$112</f>
        <v>437.13196000000005</v>
      </c>
      <c r="AD112" s="6">
        <f>$O$112*$X$112</f>
        <v>1579.9900399999999</v>
      </c>
      <c r="AE112" s="6">
        <f>$K$112*$Y$112</f>
        <v>0</v>
      </c>
      <c r="AF112" s="6">
        <f ca="1">$M$112*$Z$112</f>
        <v>493.32416749197978</v>
      </c>
      <c r="AG112" s="6">
        <f>$O$112*$AA$112</f>
        <v>1171.1130275747055</v>
      </c>
    </row>
    <row r="113" spans="1:33" ht="11.25" customHeight="1" x14ac:dyDescent="0.25">
      <c r="A113" s="4" t="s">
        <v>21</v>
      </c>
      <c r="B113" s="4" t="s">
        <v>38</v>
      </c>
      <c r="C113" s="4" t="s">
        <v>39</v>
      </c>
      <c r="D113" s="4" t="s">
        <v>43</v>
      </c>
      <c r="E113" s="4" t="s">
        <v>25</v>
      </c>
      <c r="F113" s="4" t="s">
        <v>25</v>
      </c>
      <c r="G113" s="4" t="s">
        <v>25</v>
      </c>
      <c r="H113" s="4" t="s">
        <v>34</v>
      </c>
      <c r="I113" s="5">
        <v>44501</v>
      </c>
      <c r="J113" s="6">
        <v>0</v>
      </c>
      <c r="K113" s="6">
        <v>0</v>
      </c>
      <c r="L113" s="6">
        <v>8.7520000000000007</v>
      </c>
      <c r="M113" s="6">
        <v>8.7520000000000007</v>
      </c>
      <c r="N113" s="6">
        <v>8.7520000000000007</v>
      </c>
      <c r="O113" s="6">
        <v>8.7520000000000007</v>
      </c>
      <c r="P113" s="6">
        <v>0</v>
      </c>
      <c r="Q113" s="4" t="s">
        <v>26</v>
      </c>
      <c r="R113" s="4">
        <v>0</v>
      </c>
      <c r="S113" s="6">
        <v>0</v>
      </c>
      <c r="T113" s="6">
        <v>21</v>
      </c>
      <c r="U113" s="6">
        <v>70</v>
      </c>
      <c r="V113" s="6">
        <f>IF(ISERROR(VLOOKUP($S$113,'TAR FIN'!$A$1:$O$88,15,0)),0,VLOOKUP($S$113,'TAR FIN'!$A$1:$O$88,15,0))</f>
        <v>0</v>
      </c>
      <c r="W113" s="6">
        <f>IF(ISERROR(VLOOKUP($T$113,'TAR FIN'!$A$1:$O$88,15,0)),0,VLOOKUP($T$113,'TAR FIN'!$A$1:$O$88,15,0))</f>
        <v>73.790000000000006</v>
      </c>
      <c r="X113" s="6">
        <f>IF(ISERROR(VLOOKUP($U$113,'TAR FIN'!$A$1:$O$88,15,0)),0,VLOOKUP($U$113,'TAR FIN'!$A$1:$O$88,15,0))</f>
        <v>266.70999999999998</v>
      </c>
      <c r="Y113" s="6"/>
      <c r="Z113" s="6">
        <f ca="1">('TUSD BE'!$AM$12+'TUSD BF'!$AM$12+'TUSD CVA'!$AM$12)*1</f>
        <v>83.275517807559041</v>
      </c>
      <c r="AA113" s="6">
        <f>('TE BE'!$AB$6+'TE BF'!$AB$6+'TE CVA'!$AB$6)*1</f>
        <v>197.6895725142987</v>
      </c>
      <c r="AB113" s="6">
        <f>$K$113*$V$113</f>
        <v>0</v>
      </c>
      <c r="AC113" s="6">
        <f>$M$113*$W$113</f>
        <v>645.81008000000008</v>
      </c>
      <c r="AD113" s="6">
        <f>$O$113*$X$113</f>
        <v>2334.2459199999998</v>
      </c>
      <c r="AE113" s="6">
        <f>$K$113*$Y$113</f>
        <v>0</v>
      </c>
      <c r="AF113" s="6">
        <f ca="1">$M$113*$Z$113</f>
        <v>728.82733185175675</v>
      </c>
      <c r="AG113" s="6">
        <f>$O$113*$AA$113</f>
        <v>1730.1791386451423</v>
      </c>
    </row>
    <row r="114" spans="1:33" ht="11.25" customHeight="1" x14ac:dyDescent="0.25">
      <c r="A114" s="4" t="s">
        <v>21</v>
      </c>
      <c r="B114" s="4" t="s">
        <v>38</v>
      </c>
      <c r="C114" s="4" t="s">
        <v>39</v>
      </c>
      <c r="D114" s="4" t="s">
        <v>43</v>
      </c>
      <c r="E114" s="4" t="s">
        <v>25</v>
      </c>
      <c r="F114" s="4" t="s">
        <v>25</v>
      </c>
      <c r="G114" s="4" t="s">
        <v>25</v>
      </c>
      <c r="H114" s="4" t="s">
        <v>34</v>
      </c>
      <c r="I114" s="5">
        <v>44531</v>
      </c>
      <c r="J114" s="6">
        <v>0</v>
      </c>
      <c r="K114" s="6">
        <v>0</v>
      </c>
      <c r="L114" s="6">
        <v>8.3049999999999997</v>
      </c>
      <c r="M114" s="6">
        <v>8.3049999999999997</v>
      </c>
      <c r="N114" s="6">
        <v>8.3049999999999997</v>
      </c>
      <c r="O114" s="6">
        <v>8.3049999999999997</v>
      </c>
      <c r="P114" s="6">
        <v>0</v>
      </c>
      <c r="Q114" s="4" t="s">
        <v>26</v>
      </c>
      <c r="R114" s="4">
        <v>0</v>
      </c>
      <c r="S114" s="6">
        <v>0</v>
      </c>
      <c r="T114" s="6">
        <v>21</v>
      </c>
      <c r="U114" s="6">
        <v>70</v>
      </c>
      <c r="V114" s="6">
        <f>IF(ISERROR(VLOOKUP($S$114,'TAR FIN'!$A$1:$O$88,15,0)),0,VLOOKUP($S$114,'TAR FIN'!$A$1:$O$88,15,0))</f>
        <v>0</v>
      </c>
      <c r="W114" s="6">
        <f>IF(ISERROR(VLOOKUP($T$114,'TAR FIN'!$A$1:$O$88,15,0)),0,VLOOKUP($T$114,'TAR FIN'!$A$1:$O$88,15,0))</f>
        <v>73.790000000000006</v>
      </c>
      <c r="X114" s="6">
        <f>IF(ISERROR(VLOOKUP($U$114,'TAR FIN'!$A$1:$O$88,15,0)),0,VLOOKUP($U$114,'TAR FIN'!$A$1:$O$88,15,0))</f>
        <v>266.70999999999998</v>
      </c>
      <c r="Y114" s="6"/>
      <c r="Z114" s="6">
        <f ca="1">('TUSD BE'!$AM$12+'TUSD BF'!$AM$12+'TUSD CVA'!$AM$12)*1</f>
        <v>83.275517807559041</v>
      </c>
      <c r="AA114" s="6">
        <f>('TE BE'!$AB$6+'TE BF'!$AB$6+'TE CVA'!$AB$6)*1</f>
        <v>197.6895725142987</v>
      </c>
      <c r="AB114" s="6">
        <f>$K$114*$V$114</f>
        <v>0</v>
      </c>
      <c r="AC114" s="6">
        <f>$M$114*$W$114</f>
        <v>612.82595000000003</v>
      </c>
      <c r="AD114" s="6">
        <f>$O$114*$X$114</f>
        <v>2215.0265499999996</v>
      </c>
      <c r="AE114" s="6">
        <f>$K$114*$Y$114</f>
        <v>0</v>
      </c>
      <c r="AF114" s="6">
        <f ca="1">$M$114*$Z$114</f>
        <v>691.60317539177777</v>
      </c>
      <c r="AG114" s="6">
        <f>$O$114*$AA$114</f>
        <v>1641.8118997312506</v>
      </c>
    </row>
    <row r="115" spans="1:33" ht="11.25" customHeight="1" x14ac:dyDescent="0.25">
      <c r="A115" s="4" t="s">
        <v>21</v>
      </c>
      <c r="B115" s="4" t="s">
        <v>38</v>
      </c>
      <c r="C115" s="4" t="s">
        <v>39</v>
      </c>
      <c r="D115" s="4" t="s">
        <v>43</v>
      </c>
      <c r="E115" s="4" t="s">
        <v>25</v>
      </c>
      <c r="F115" s="4" t="s">
        <v>25</v>
      </c>
      <c r="G115" s="4" t="s">
        <v>25</v>
      </c>
      <c r="H115" s="4" t="s">
        <v>34</v>
      </c>
      <c r="I115" s="5">
        <v>44562</v>
      </c>
      <c r="J115" s="6">
        <v>0</v>
      </c>
      <c r="K115" s="6">
        <v>0</v>
      </c>
      <c r="L115" s="6">
        <v>8.02</v>
      </c>
      <c r="M115" s="6">
        <v>8.02</v>
      </c>
      <c r="N115" s="6">
        <v>8.02</v>
      </c>
      <c r="O115" s="6">
        <v>8.02</v>
      </c>
      <c r="P115" s="6">
        <v>0</v>
      </c>
      <c r="Q115" s="4" t="s">
        <v>26</v>
      </c>
      <c r="R115" s="4">
        <v>0</v>
      </c>
      <c r="S115" s="6">
        <v>0</v>
      </c>
      <c r="T115" s="6">
        <v>21</v>
      </c>
      <c r="U115" s="6">
        <v>70</v>
      </c>
      <c r="V115" s="6">
        <f>IF(ISERROR(VLOOKUP($S$115,'TAR FIN'!$A$1:$O$88,15,0)),0,VLOOKUP($S$115,'TAR FIN'!$A$1:$O$88,15,0))</f>
        <v>0</v>
      </c>
      <c r="W115" s="6">
        <f>IF(ISERROR(VLOOKUP($T$115,'TAR FIN'!$A$1:$O$88,15,0)),0,VLOOKUP($T$115,'TAR FIN'!$A$1:$O$88,15,0))</f>
        <v>73.790000000000006</v>
      </c>
      <c r="X115" s="6">
        <f>IF(ISERROR(VLOOKUP($U$115,'TAR FIN'!$A$1:$O$88,15,0)),0,VLOOKUP($U$115,'TAR FIN'!$A$1:$O$88,15,0))</f>
        <v>266.70999999999998</v>
      </c>
      <c r="Y115" s="6"/>
      <c r="Z115" s="6">
        <f ca="1">('TUSD BE'!$AM$12+'TUSD BF'!$AM$12+'TUSD CVA'!$AM$12)*1</f>
        <v>83.275517807559041</v>
      </c>
      <c r="AA115" s="6">
        <f>('TE BE'!$AB$6+'TE BF'!$AB$6+'TE CVA'!$AB$6)*1</f>
        <v>197.6895725142987</v>
      </c>
      <c r="AB115" s="6">
        <f>$K$115*$V$115</f>
        <v>0</v>
      </c>
      <c r="AC115" s="6">
        <f>$M$115*$W$115</f>
        <v>591.79579999999999</v>
      </c>
      <c r="AD115" s="6">
        <f>$O$115*$X$115</f>
        <v>2139.0141999999996</v>
      </c>
      <c r="AE115" s="6">
        <f>$K$115*$Y$115</f>
        <v>0</v>
      </c>
      <c r="AF115" s="6">
        <f ca="1">$M$115*$Z$115</f>
        <v>667.86965281662344</v>
      </c>
      <c r="AG115" s="6">
        <f>$O$115*$AA$115</f>
        <v>1585.4703715646756</v>
      </c>
    </row>
    <row r="116" spans="1:33" ht="11.25" customHeight="1" x14ac:dyDescent="0.25">
      <c r="A116" s="4" t="s">
        <v>21</v>
      </c>
      <c r="B116" s="4" t="s">
        <v>38</v>
      </c>
      <c r="C116" s="4" t="s">
        <v>39</v>
      </c>
      <c r="D116" s="4" t="s">
        <v>43</v>
      </c>
      <c r="E116" s="4" t="s">
        <v>25</v>
      </c>
      <c r="F116" s="4" t="s">
        <v>25</v>
      </c>
      <c r="G116" s="4" t="s">
        <v>25</v>
      </c>
      <c r="H116" s="4" t="s">
        <v>34</v>
      </c>
      <c r="I116" s="5">
        <v>44593</v>
      </c>
      <c r="J116" s="6">
        <v>0</v>
      </c>
      <c r="K116" s="6">
        <v>0</v>
      </c>
      <c r="L116" s="6">
        <v>9.1739999999999995</v>
      </c>
      <c r="M116" s="6">
        <v>9.1739999999999995</v>
      </c>
      <c r="N116" s="6">
        <v>9.1739999999999995</v>
      </c>
      <c r="O116" s="6">
        <v>9.1739999999999995</v>
      </c>
      <c r="P116" s="6">
        <v>0</v>
      </c>
      <c r="Q116" s="4" t="s">
        <v>26</v>
      </c>
      <c r="R116" s="4">
        <v>0</v>
      </c>
      <c r="S116" s="6">
        <v>0</v>
      </c>
      <c r="T116" s="6">
        <v>21</v>
      </c>
      <c r="U116" s="6">
        <v>70</v>
      </c>
      <c r="V116" s="6">
        <f>IF(ISERROR(VLOOKUP($S$116,'TAR FIN'!$A$1:$O$88,15,0)),0,VLOOKUP($S$116,'TAR FIN'!$A$1:$O$88,15,0))</f>
        <v>0</v>
      </c>
      <c r="W116" s="6">
        <f>IF(ISERROR(VLOOKUP($T$116,'TAR FIN'!$A$1:$O$88,15,0)),0,VLOOKUP($T$116,'TAR FIN'!$A$1:$O$88,15,0))</f>
        <v>73.790000000000006</v>
      </c>
      <c r="X116" s="6">
        <f>IF(ISERROR(VLOOKUP($U$116,'TAR FIN'!$A$1:$O$88,15,0)),0,VLOOKUP($U$116,'TAR FIN'!$A$1:$O$88,15,0))</f>
        <v>266.70999999999998</v>
      </c>
      <c r="Y116" s="6"/>
      <c r="Z116" s="6">
        <f ca="1">('TUSD BE'!$AM$12+'TUSD BF'!$AM$12+'TUSD CVA'!$AM$12)*1</f>
        <v>83.275517807559041</v>
      </c>
      <c r="AA116" s="6">
        <f>('TE BE'!$AB$6+'TE BF'!$AB$6+'TE CVA'!$AB$6)*1</f>
        <v>197.6895725142987</v>
      </c>
      <c r="AB116" s="6">
        <f>$K$116*$V$116</f>
        <v>0</v>
      </c>
      <c r="AC116" s="6">
        <f>$M$116*$W$116</f>
        <v>676.94946000000004</v>
      </c>
      <c r="AD116" s="6">
        <f>$O$116*$X$116</f>
        <v>2446.7975399999996</v>
      </c>
      <c r="AE116" s="6">
        <f>$K$116*$Y$116</f>
        <v>0</v>
      </c>
      <c r="AF116" s="6">
        <f ca="1">$M$116*$Z$116</f>
        <v>763.96960036654662</v>
      </c>
      <c r="AG116" s="6">
        <f>$O$116*$AA$116</f>
        <v>1813.6041382461763</v>
      </c>
    </row>
    <row r="117" spans="1:33" ht="11.25" customHeight="1" x14ac:dyDescent="0.25">
      <c r="A117" s="4" t="s">
        <v>21</v>
      </c>
      <c r="B117" s="4" t="s">
        <v>38</v>
      </c>
      <c r="C117" s="4" t="s">
        <v>39</v>
      </c>
      <c r="D117" s="4" t="s">
        <v>43</v>
      </c>
      <c r="E117" s="4" t="s">
        <v>25</v>
      </c>
      <c r="F117" s="4" t="s">
        <v>25</v>
      </c>
      <c r="G117" s="4" t="s">
        <v>25</v>
      </c>
      <c r="H117" s="4" t="s">
        <v>34</v>
      </c>
      <c r="I117" s="5">
        <v>44621</v>
      </c>
      <c r="J117" s="6">
        <v>0</v>
      </c>
      <c r="K117" s="6">
        <v>0</v>
      </c>
      <c r="L117" s="6">
        <v>7.5529999999999999</v>
      </c>
      <c r="M117" s="6">
        <v>7.5529999999999999</v>
      </c>
      <c r="N117" s="6">
        <v>7.5529999999999999</v>
      </c>
      <c r="O117" s="6">
        <v>7.5529999999999999</v>
      </c>
      <c r="P117" s="6">
        <v>0</v>
      </c>
      <c r="Q117" s="4" t="s">
        <v>26</v>
      </c>
      <c r="R117" s="4">
        <v>0</v>
      </c>
      <c r="S117" s="6">
        <v>0</v>
      </c>
      <c r="T117" s="6">
        <v>21</v>
      </c>
      <c r="U117" s="6">
        <v>70</v>
      </c>
      <c r="V117" s="6">
        <f>IF(ISERROR(VLOOKUP($S$117,'TAR FIN'!$A$1:$O$88,15,0)),0,VLOOKUP($S$117,'TAR FIN'!$A$1:$O$88,15,0))</f>
        <v>0</v>
      </c>
      <c r="W117" s="6">
        <f>IF(ISERROR(VLOOKUP($T$117,'TAR FIN'!$A$1:$O$88,15,0)),0,VLOOKUP($T$117,'TAR FIN'!$A$1:$O$88,15,0))</f>
        <v>73.790000000000006</v>
      </c>
      <c r="X117" s="6">
        <f>IF(ISERROR(VLOOKUP($U$117,'TAR FIN'!$A$1:$O$88,15,0)),0,VLOOKUP($U$117,'TAR FIN'!$A$1:$O$88,15,0))</f>
        <v>266.70999999999998</v>
      </c>
      <c r="Y117" s="6"/>
      <c r="Z117" s="6">
        <f ca="1">('TUSD BE'!$AM$12+'TUSD BF'!$AM$12+'TUSD CVA'!$AM$12)*1</f>
        <v>83.275517807559041</v>
      </c>
      <c r="AA117" s="6">
        <f>('TE BE'!$AB$6+'TE BF'!$AB$6+'TE CVA'!$AB$6)*1</f>
        <v>197.6895725142987</v>
      </c>
      <c r="AB117" s="6">
        <f>$K$117*$V$117</f>
        <v>0</v>
      </c>
      <c r="AC117" s="6">
        <f>$M$117*$W$117</f>
        <v>557.33587</v>
      </c>
      <c r="AD117" s="6">
        <f>$O$117*$X$117</f>
        <v>2014.4606299999998</v>
      </c>
      <c r="AE117" s="6">
        <f>$K$117*$Y$117</f>
        <v>0</v>
      </c>
      <c r="AF117" s="6">
        <f ca="1">$M$117*$Z$117</f>
        <v>628.97998600049345</v>
      </c>
      <c r="AG117" s="6">
        <f>$O$117*$AA$117</f>
        <v>1493.1493412004982</v>
      </c>
    </row>
    <row r="118" spans="1:33" ht="11.25" customHeight="1" x14ac:dyDescent="0.25">
      <c r="A118" s="4" t="s">
        <v>21</v>
      </c>
      <c r="B118" s="4" t="s">
        <v>38</v>
      </c>
      <c r="C118" s="4" t="s">
        <v>39</v>
      </c>
      <c r="D118" s="4" t="s">
        <v>43</v>
      </c>
      <c r="E118" s="4" t="s">
        <v>25</v>
      </c>
      <c r="F118" s="4" t="s">
        <v>25</v>
      </c>
      <c r="G118" s="4" t="s">
        <v>25</v>
      </c>
      <c r="H118" s="4" t="s">
        <v>34</v>
      </c>
      <c r="I118" s="5">
        <v>44652</v>
      </c>
      <c r="J118" s="6">
        <v>0</v>
      </c>
      <c r="K118" s="6">
        <v>0</v>
      </c>
      <c r="L118" s="6">
        <v>5.3319999999999999</v>
      </c>
      <c r="M118" s="6">
        <v>5.3319999999999999</v>
      </c>
      <c r="N118" s="6">
        <v>5.3319999999999999</v>
      </c>
      <c r="O118" s="6">
        <v>5.3319999999999999</v>
      </c>
      <c r="P118" s="6">
        <v>0</v>
      </c>
      <c r="Q118" s="4" t="s">
        <v>26</v>
      </c>
      <c r="R118" s="4">
        <v>0</v>
      </c>
      <c r="S118" s="6">
        <v>0</v>
      </c>
      <c r="T118" s="6">
        <v>21</v>
      </c>
      <c r="U118" s="6">
        <v>70</v>
      </c>
      <c r="V118" s="6">
        <f>IF(ISERROR(VLOOKUP($S$118,'TAR FIN'!$A$1:$O$88,15,0)),0,VLOOKUP($S$118,'TAR FIN'!$A$1:$O$88,15,0))</f>
        <v>0</v>
      </c>
      <c r="W118" s="6">
        <f>IF(ISERROR(VLOOKUP($T$118,'TAR FIN'!$A$1:$O$88,15,0)),0,VLOOKUP($T$118,'TAR FIN'!$A$1:$O$88,15,0))</f>
        <v>73.790000000000006</v>
      </c>
      <c r="X118" s="6">
        <f>IF(ISERROR(VLOOKUP($U$118,'TAR FIN'!$A$1:$O$88,15,0)),0,VLOOKUP($U$118,'TAR FIN'!$A$1:$O$88,15,0))</f>
        <v>266.70999999999998</v>
      </c>
      <c r="Y118" s="6"/>
      <c r="Z118" s="6">
        <f ca="1">('TUSD BE'!$AM$12+'TUSD BF'!$AM$12+'TUSD CVA'!$AM$12)*1</f>
        <v>83.275517807559041</v>
      </c>
      <c r="AA118" s="6">
        <f>('TE BE'!$AB$6+'TE BF'!$AB$6+'TE CVA'!$AB$6)*1</f>
        <v>197.6895725142987</v>
      </c>
      <c r="AB118" s="6">
        <f>$K$118*$V$118</f>
        <v>0</v>
      </c>
      <c r="AC118" s="6">
        <f>$M$118*$W$118</f>
        <v>393.44828000000001</v>
      </c>
      <c r="AD118" s="6">
        <f>$O$118*$X$118</f>
        <v>1422.0977199999998</v>
      </c>
      <c r="AE118" s="6">
        <f>$K$118*$Y$118</f>
        <v>0</v>
      </c>
      <c r="AF118" s="6">
        <f ca="1">$M$118*$Z$118</f>
        <v>444.0250609499048</v>
      </c>
      <c r="AG118" s="6">
        <f>$O$118*$AA$118</f>
        <v>1054.0808006462407</v>
      </c>
    </row>
    <row r="119" spans="1:33" ht="11.25" customHeight="1" x14ac:dyDescent="0.25">
      <c r="A119" s="4" t="s">
        <v>21</v>
      </c>
      <c r="B119" s="4" t="s">
        <v>38</v>
      </c>
      <c r="C119" s="4" t="s">
        <v>39</v>
      </c>
      <c r="D119" s="4" t="s">
        <v>43</v>
      </c>
      <c r="E119" s="4" t="s">
        <v>25</v>
      </c>
      <c r="F119" s="4" t="s">
        <v>25</v>
      </c>
      <c r="G119" s="4" t="s">
        <v>25</v>
      </c>
      <c r="H119" s="4" t="s">
        <v>34</v>
      </c>
      <c r="I119" s="5">
        <v>44682</v>
      </c>
      <c r="J119" s="6">
        <v>0</v>
      </c>
      <c r="K119" s="6">
        <v>0</v>
      </c>
      <c r="L119" s="6">
        <v>7.4889999999999999</v>
      </c>
      <c r="M119" s="6">
        <v>7.4889999999999999</v>
      </c>
      <c r="N119" s="6">
        <v>7.4889999999999999</v>
      </c>
      <c r="O119" s="6">
        <v>7.4889999999999999</v>
      </c>
      <c r="P119" s="6">
        <v>0</v>
      </c>
      <c r="Q119" s="4" t="s">
        <v>26</v>
      </c>
      <c r="R119" s="4">
        <v>0</v>
      </c>
      <c r="S119" s="6">
        <v>0</v>
      </c>
      <c r="T119" s="6">
        <v>21</v>
      </c>
      <c r="U119" s="6">
        <v>70</v>
      </c>
      <c r="V119" s="6">
        <f>IF(ISERROR(VLOOKUP($S$119,'TAR FIN'!$A$1:$O$88,15,0)),0,VLOOKUP($S$119,'TAR FIN'!$A$1:$O$88,15,0))</f>
        <v>0</v>
      </c>
      <c r="W119" s="6">
        <f>IF(ISERROR(VLOOKUP($T$119,'TAR FIN'!$A$1:$O$88,15,0)),0,VLOOKUP($T$119,'TAR FIN'!$A$1:$O$88,15,0))</f>
        <v>73.790000000000006</v>
      </c>
      <c r="X119" s="6">
        <f>IF(ISERROR(VLOOKUP($U$119,'TAR FIN'!$A$1:$O$88,15,0)),0,VLOOKUP($U$119,'TAR FIN'!$A$1:$O$88,15,0))</f>
        <v>266.70999999999998</v>
      </c>
      <c r="Y119" s="6"/>
      <c r="Z119" s="6">
        <f ca="1">('TUSD BE'!$AM$12+'TUSD BF'!$AM$12+'TUSD CVA'!$AM$12)*1</f>
        <v>83.275517807559041</v>
      </c>
      <c r="AA119" s="6">
        <f>('TE BE'!$AB$6+'TE BF'!$AB$6+'TE CVA'!$AB$6)*1</f>
        <v>197.6895725142987</v>
      </c>
      <c r="AB119" s="6">
        <f>$K$119*$V$119</f>
        <v>0</v>
      </c>
      <c r="AC119" s="6">
        <f>$M$119*$W$119</f>
        <v>552.61331000000007</v>
      </c>
      <c r="AD119" s="6">
        <f>$O$119*$X$119</f>
        <v>1997.3911899999998</v>
      </c>
      <c r="AE119" s="6">
        <f>$K$119*$Y$119</f>
        <v>0</v>
      </c>
      <c r="AF119" s="6">
        <f ca="1">$M$119*$Z$119</f>
        <v>623.65035286080968</v>
      </c>
      <c r="AG119" s="6">
        <f>$O$119*$AA$119</f>
        <v>1480.497208559583</v>
      </c>
    </row>
    <row r="120" spans="1:33" ht="11.25" customHeight="1" x14ac:dyDescent="0.25">
      <c r="A120" s="4" t="s">
        <v>21</v>
      </c>
      <c r="B120" s="4" t="s">
        <v>38</v>
      </c>
      <c r="C120" s="4" t="s">
        <v>39</v>
      </c>
      <c r="D120" s="4" t="s">
        <v>43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44713</v>
      </c>
      <c r="J120" s="6">
        <v>0</v>
      </c>
      <c r="K120" s="6">
        <v>0</v>
      </c>
      <c r="L120" s="6">
        <v>7.5709999999999997</v>
      </c>
      <c r="M120" s="6">
        <v>7.5709999999999997</v>
      </c>
      <c r="N120" s="6">
        <v>7.5709999999999997</v>
      </c>
      <c r="O120" s="6">
        <v>7.5709999999999997</v>
      </c>
      <c r="P120" s="6">
        <v>0</v>
      </c>
      <c r="Q120" s="4" t="s">
        <v>26</v>
      </c>
      <c r="R120" s="4">
        <v>0</v>
      </c>
      <c r="S120" s="6">
        <v>0</v>
      </c>
      <c r="T120" s="6">
        <v>21</v>
      </c>
      <c r="U120" s="6">
        <v>70</v>
      </c>
      <c r="V120" s="6">
        <f>IF(ISERROR(VLOOKUP($S$120,'TAR FIN'!$A$1:$O$88,15,0)),0,VLOOKUP($S$120,'TAR FIN'!$A$1:$O$88,15,0))</f>
        <v>0</v>
      </c>
      <c r="W120" s="6">
        <f>IF(ISERROR(VLOOKUP($T$120,'TAR FIN'!$A$1:$O$88,15,0)),0,VLOOKUP($T$120,'TAR FIN'!$A$1:$O$88,15,0))</f>
        <v>73.790000000000006</v>
      </c>
      <c r="X120" s="6">
        <f>IF(ISERROR(VLOOKUP($U$120,'TAR FIN'!$A$1:$O$88,15,0)),0,VLOOKUP($U$120,'TAR FIN'!$A$1:$O$88,15,0))</f>
        <v>266.70999999999998</v>
      </c>
      <c r="Y120" s="6"/>
      <c r="Z120" s="6">
        <f ca="1">('TUSD BE'!$AM$12+'TUSD BF'!$AM$12+'TUSD CVA'!$AM$12)*1</f>
        <v>83.275517807559041</v>
      </c>
      <c r="AA120" s="6">
        <f>('TE BE'!$AB$6+'TE BF'!$AB$6+'TE CVA'!$AB$6)*1</f>
        <v>197.6895725142987</v>
      </c>
      <c r="AB120" s="6">
        <f>$K$120*$V$120</f>
        <v>0</v>
      </c>
      <c r="AC120" s="6">
        <f>$M$120*$W$120</f>
        <v>558.66408999999999</v>
      </c>
      <c r="AD120" s="6">
        <f>$O$120*$X$120</f>
        <v>2019.2614099999998</v>
      </c>
      <c r="AE120" s="6">
        <f>$K$120*$Y$120</f>
        <v>0</v>
      </c>
      <c r="AF120" s="6">
        <f ca="1">$M$120*$Z$120</f>
        <v>630.47894532102953</v>
      </c>
      <c r="AG120" s="6">
        <f>$O$120*$AA$120</f>
        <v>1496.7077535057554</v>
      </c>
    </row>
    <row r="121" spans="1:33" ht="11.25" customHeight="1" x14ac:dyDescent="0.25">
      <c r="A121" s="4" t="s">
        <v>55</v>
      </c>
      <c r="B121" s="4" t="s">
        <v>38</v>
      </c>
      <c r="C121" s="4" t="s">
        <v>39</v>
      </c>
      <c r="D121" s="4" t="s">
        <v>43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44743</v>
      </c>
      <c r="J121" s="6">
        <v>0</v>
      </c>
      <c r="K121" s="6">
        <v>0</v>
      </c>
      <c r="L121" s="6">
        <v>7.5709999999999997</v>
      </c>
      <c r="M121" s="6">
        <v>7.5709999999999997</v>
      </c>
      <c r="N121" s="6">
        <v>7.5709999999999997</v>
      </c>
      <c r="O121" s="6">
        <v>7.5709999999999997</v>
      </c>
      <c r="P121" s="6">
        <v>0</v>
      </c>
      <c r="Q121" s="4" t="s">
        <v>26</v>
      </c>
      <c r="R121" s="4">
        <v>0</v>
      </c>
      <c r="S121" s="6">
        <v>0</v>
      </c>
      <c r="T121" s="6">
        <v>21</v>
      </c>
      <c r="U121" s="6">
        <v>70</v>
      </c>
      <c r="V121" s="6">
        <f>IF(ISERROR(VLOOKUP($S$121,'TAR FIN'!$A$1:$O$88,15,0)),0,VLOOKUP($S$121,'TAR FIN'!$A$1:$O$88,15,0))</f>
        <v>0</v>
      </c>
      <c r="W121" s="6">
        <f>IF(ISERROR(VLOOKUP($T$121,'TAR FIN'!$A$1:$O$88,15,0)),0,VLOOKUP($T$121,'TAR FIN'!$A$1:$O$88,15,0))</f>
        <v>73.790000000000006</v>
      </c>
      <c r="X121" s="6">
        <f>IF(ISERROR(VLOOKUP($U$121,'TAR FIN'!$A$1:$O$88,15,0)),0,VLOOKUP($U$121,'TAR FIN'!$A$1:$O$88,15,0))</f>
        <v>266.70999999999998</v>
      </c>
      <c r="Y121" s="6"/>
      <c r="Z121" s="6">
        <f ca="1">('TUSD BE'!$AM$12+'TUSD BF'!$AM$12+'TUSD CVA'!$AM$12)*1</f>
        <v>83.275517807559041</v>
      </c>
      <c r="AA121" s="6">
        <f>('TE BE'!$AB$6+'TE BF'!$AB$6+'TE CVA'!$AB$6)*1</f>
        <v>197.6895725142987</v>
      </c>
      <c r="AB121" s="6">
        <f>$K$121*$V$121</f>
        <v>0</v>
      </c>
      <c r="AC121" s="6">
        <f>$M$121*$W$121</f>
        <v>558.66408999999999</v>
      </c>
      <c r="AD121" s="6">
        <f>$O$121*$X$121</f>
        <v>2019.2614099999998</v>
      </c>
      <c r="AE121" s="6">
        <f>$K$121*$Y$121</f>
        <v>0</v>
      </c>
      <c r="AF121" s="6">
        <f ca="1">$M$121*$Z$121</f>
        <v>630.47894532102953</v>
      </c>
      <c r="AG121" s="6">
        <f>$O$121*$AA$121</f>
        <v>1496.7077535057554</v>
      </c>
    </row>
    <row r="122" spans="1:33" ht="11.25" customHeight="1" x14ac:dyDescent="0.25">
      <c r="A122" s="4" t="s">
        <v>21</v>
      </c>
      <c r="B122" s="4" t="s">
        <v>38</v>
      </c>
      <c r="C122" s="4" t="s">
        <v>39</v>
      </c>
      <c r="D122" s="4" t="s">
        <v>43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44409</v>
      </c>
      <c r="J122" s="6">
        <v>70</v>
      </c>
      <c r="K122" s="6">
        <v>70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4" t="s">
        <v>26</v>
      </c>
      <c r="R122" s="4">
        <v>0</v>
      </c>
      <c r="S122" s="6">
        <v>15</v>
      </c>
      <c r="T122" s="6">
        <v>0</v>
      </c>
      <c r="U122" s="6">
        <v>0</v>
      </c>
      <c r="V122" s="6">
        <f>IF(ISERROR(VLOOKUP($S$122,'TAR FIN'!$A$1:$O$88,15,0)),0,VLOOKUP($S$122,'TAR FIN'!$A$1:$O$88,15,0))</f>
        <v>17.190000000000001</v>
      </c>
      <c r="W122" s="6">
        <f>IF(ISERROR(VLOOKUP($T$122,'TAR FIN'!$A$1:$O$88,15,0)),0,VLOOKUP($T$122,'TAR FIN'!$A$1:$O$88,15,0))</f>
        <v>0</v>
      </c>
      <c r="X122" s="6">
        <f>IF(ISERROR(VLOOKUP($U$122,'TAR FIN'!$A$1:$O$88,15,0)),0,VLOOKUP($U$122,'TAR FIN'!$A$1:$O$88,15,0))</f>
        <v>0</v>
      </c>
      <c r="Y122" s="6">
        <f ca="1">('TUSD BE'!$AM$10+'TUSD BF'!$AM$10+'TUSD CVA'!$AM$10)*1</f>
        <v>13.66046481326768</v>
      </c>
      <c r="Z122" s="6"/>
      <c r="AA122" s="6"/>
      <c r="AB122" s="6">
        <f>$K$122*$V$122</f>
        <v>1203.3000000000002</v>
      </c>
      <c r="AC122" s="6">
        <f>$M$122*$W$122</f>
        <v>0</v>
      </c>
      <c r="AD122" s="6">
        <f>$O$122*$X$122</f>
        <v>0</v>
      </c>
      <c r="AE122" s="6">
        <f ca="1">$K$122*$Y$122</f>
        <v>956.23253692873755</v>
      </c>
      <c r="AF122" s="6">
        <f>$M$122*$Z$122</f>
        <v>0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38</v>
      </c>
      <c r="C123" s="4" t="s">
        <v>39</v>
      </c>
      <c r="D123" s="4" t="s">
        <v>43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44440</v>
      </c>
      <c r="J123" s="6">
        <v>70</v>
      </c>
      <c r="K123" s="6">
        <v>70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4" t="s">
        <v>26</v>
      </c>
      <c r="R123" s="4">
        <v>0</v>
      </c>
      <c r="S123" s="6">
        <v>15</v>
      </c>
      <c r="T123" s="6">
        <v>0</v>
      </c>
      <c r="U123" s="6">
        <v>0</v>
      </c>
      <c r="V123" s="6">
        <f>IF(ISERROR(VLOOKUP($S$123,'TAR FIN'!$A$1:$O$88,15,0)),0,VLOOKUP($S$123,'TAR FIN'!$A$1:$O$88,15,0))</f>
        <v>17.190000000000001</v>
      </c>
      <c r="W123" s="6">
        <f>IF(ISERROR(VLOOKUP($T$123,'TAR FIN'!$A$1:$O$88,15,0)),0,VLOOKUP($T$123,'TAR FIN'!$A$1:$O$88,15,0))</f>
        <v>0</v>
      </c>
      <c r="X123" s="6">
        <f>IF(ISERROR(VLOOKUP($U$123,'TAR FIN'!$A$1:$O$88,15,0)),0,VLOOKUP($U$123,'TAR FIN'!$A$1:$O$88,15,0))</f>
        <v>0</v>
      </c>
      <c r="Y123" s="6">
        <f ca="1">('TUSD BE'!$AM$10+'TUSD BF'!$AM$10+'TUSD CVA'!$AM$10)*1</f>
        <v>13.66046481326768</v>
      </c>
      <c r="Z123" s="6"/>
      <c r="AA123" s="6"/>
      <c r="AB123" s="6">
        <f>$K$123*$V$123</f>
        <v>1203.3000000000002</v>
      </c>
      <c r="AC123" s="6">
        <f>$M$123*$W$123</f>
        <v>0</v>
      </c>
      <c r="AD123" s="6">
        <f>$O$123*$X$123</f>
        <v>0</v>
      </c>
      <c r="AE123" s="6">
        <f ca="1">$K$123*$Y$123</f>
        <v>956.23253692873755</v>
      </c>
      <c r="AF123" s="6">
        <f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38</v>
      </c>
      <c r="C124" s="4" t="s">
        <v>39</v>
      </c>
      <c r="D124" s="4" t="s">
        <v>43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44470</v>
      </c>
      <c r="J124" s="6">
        <v>70</v>
      </c>
      <c r="K124" s="6">
        <v>70</v>
      </c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4" t="s">
        <v>26</v>
      </c>
      <c r="R124" s="4">
        <v>0</v>
      </c>
      <c r="S124" s="6">
        <v>15</v>
      </c>
      <c r="T124" s="6">
        <v>0</v>
      </c>
      <c r="U124" s="6">
        <v>0</v>
      </c>
      <c r="V124" s="6">
        <f>IF(ISERROR(VLOOKUP($S$124,'TAR FIN'!$A$1:$O$88,15,0)),0,VLOOKUP($S$124,'TAR FIN'!$A$1:$O$88,15,0))</f>
        <v>17.190000000000001</v>
      </c>
      <c r="W124" s="6">
        <f>IF(ISERROR(VLOOKUP($T$124,'TAR FIN'!$A$1:$O$88,15,0)),0,VLOOKUP($T$124,'TAR FIN'!$A$1:$O$88,15,0))</f>
        <v>0</v>
      </c>
      <c r="X124" s="6">
        <f>IF(ISERROR(VLOOKUP($U$124,'TAR FIN'!$A$1:$O$88,15,0)),0,VLOOKUP($U$124,'TAR FIN'!$A$1:$O$88,15,0))</f>
        <v>0</v>
      </c>
      <c r="Y124" s="6">
        <f ca="1">('TUSD BE'!$AM$10+'TUSD BF'!$AM$10+'TUSD CVA'!$AM$10)*1</f>
        <v>13.66046481326768</v>
      </c>
      <c r="Z124" s="6"/>
      <c r="AA124" s="6"/>
      <c r="AB124" s="6">
        <f>$K$124*$V$124</f>
        <v>1203.3000000000002</v>
      </c>
      <c r="AC124" s="6">
        <f>$M$124*$W$124</f>
        <v>0</v>
      </c>
      <c r="AD124" s="6">
        <f>$O$124*$X$124</f>
        <v>0</v>
      </c>
      <c r="AE124" s="6">
        <f ca="1">$K$124*$Y$124</f>
        <v>956.23253692873755</v>
      </c>
      <c r="AF124" s="6">
        <f>$M$124*$Z$124</f>
        <v>0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38</v>
      </c>
      <c r="C125" s="4" t="s">
        <v>39</v>
      </c>
      <c r="D125" s="4" t="s">
        <v>43</v>
      </c>
      <c r="E125" s="4" t="s">
        <v>25</v>
      </c>
      <c r="F125" s="4" t="s">
        <v>25</v>
      </c>
      <c r="G125" s="4" t="s">
        <v>25</v>
      </c>
      <c r="H125" s="4" t="s">
        <v>25</v>
      </c>
      <c r="I125" s="5">
        <v>44501</v>
      </c>
      <c r="J125" s="6">
        <v>70</v>
      </c>
      <c r="K125" s="6">
        <v>70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4" t="s">
        <v>26</v>
      </c>
      <c r="R125" s="4">
        <v>0</v>
      </c>
      <c r="S125" s="6">
        <v>15</v>
      </c>
      <c r="T125" s="6">
        <v>0</v>
      </c>
      <c r="U125" s="6">
        <v>0</v>
      </c>
      <c r="V125" s="6">
        <f>IF(ISERROR(VLOOKUP($S$125,'TAR FIN'!$A$1:$O$88,15,0)),0,VLOOKUP($S$125,'TAR FIN'!$A$1:$O$88,15,0))</f>
        <v>17.190000000000001</v>
      </c>
      <c r="W125" s="6">
        <f>IF(ISERROR(VLOOKUP($T$125,'TAR FIN'!$A$1:$O$88,15,0)),0,VLOOKUP($T$125,'TAR FIN'!$A$1:$O$88,15,0))</f>
        <v>0</v>
      </c>
      <c r="X125" s="6">
        <f>IF(ISERROR(VLOOKUP($U$125,'TAR FIN'!$A$1:$O$88,15,0)),0,VLOOKUP($U$125,'TAR FIN'!$A$1:$O$88,15,0))</f>
        <v>0</v>
      </c>
      <c r="Y125" s="6">
        <f ca="1">('TUSD BE'!$AM$10+'TUSD BF'!$AM$10+'TUSD CVA'!$AM$10)*1</f>
        <v>13.66046481326768</v>
      </c>
      <c r="Z125" s="6"/>
      <c r="AA125" s="6"/>
      <c r="AB125" s="6">
        <f>$K$125*$V$125</f>
        <v>1203.3000000000002</v>
      </c>
      <c r="AC125" s="6">
        <f>$M$125*$W$125</f>
        <v>0</v>
      </c>
      <c r="AD125" s="6">
        <f>$O$125*$X$125</f>
        <v>0</v>
      </c>
      <c r="AE125" s="6">
        <f ca="1">$K$125*$Y$125</f>
        <v>956.23253692873755</v>
      </c>
      <c r="AF125" s="6">
        <f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38</v>
      </c>
      <c r="C126" s="4" t="s">
        <v>39</v>
      </c>
      <c r="D126" s="4" t="s">
        <v>43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44531</v>
      </c>
      <c r="J126" s="6">
        <v>70</v>
      </c>
      <c r="K126" s="6">
        <v>70</v>
      </c>
      <c r="L126" s="6">
        <v>0</v>
      </c>
      <c r="M126" s="6">
        <v>0</v>
      </c>
      <c r="N126" s="6">
        <v>0</v>
      </c>
      <c r="O126" s="6">
        <v>0</v>
      </c>
      <c r="P126" s="6">
        <v>1</v>
      </c>
      <c r="Q126" s="4" t="s">
        <v>26</v>
      </c>
      <c r="R126" s="4">
        <v>0</v>
      </c>
      <c r="S126" s="6">
        <v>15</v>
      </c>
      <c r="T126" s="6">
        <v>0</v>
      </c>
      <c r="U126" s="6">
        <v>0</v>
      </c>
      <c r="V126" s="6">
        <f>IF(ISERROR(VLOOKUP($S$126,'TAR FIN'!$A$1:$O$88,15,0)),0,VLOOKUP($S$126,'TAR FIN'!$A$1:$O$88,15,0))</f>
        <v>17.190000000000001</v>
      </c>
      <c r="W126" s="6">
        <f>IF(ISERROR(VLOOKUP($T$126,'TAR FIN'!$A$1:$O$88,15,0)),0,VLOOKUP($T$126,'TAR FIN'!$A$1:$O$88,15,0))</f>
        <v>0</v>
      </c>
      <c r="X126" s="6">
        <f>IF(ISERROR(VLOOKUP($U$126,'TAR FIN'!$A$1:$O$88,15,0)),0,VLOOKUP($U$126,'TAR FIN'!$A$1:$O$88,15,0))</f>
        <v>0</v>
      </c>
      <c r="Y126" s="6">
        <f ca="1">('TUSD BE'!$AM$10+'TUSD BF'!$AM$10+'TUSD CVA'!$AM$10)*1</f>
        <v>13.66046481326768</v>
      </c>
      <c r="Z126" s="6"/>
      <c r="AA126" s="6"/>
      <c r="AB126" s="6">
        <f>$K$126*$V$126</f>
        <v>1203.3000000000002</v>
      </c>
      <c r="AC126" s="6">
        <f>$M$126*$W$126</f>
        <v>0</v>
      </c>
      <c r="AD126" s="6">
        <f>$O$126*$X$126</f>
        <v>0</v>
      </c>
      <c r="AE126" s="6">
        <f ca="1">$K$126*$Y$126</f>
        <v>956.23253692873755</v>
      </c>
      <c r="AF126" s="6">
        <f>$M$126*$Z$126</f>
        <v>0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38</v>
      </c>
      <c r="C127" s="4" t="s">
        <v>39</v>
      </c>
      <c r="D127" s="4" t="s">
        <v>43</v>
      </c>
      <c r="E127" s="4" t="s">
        <v>25</v>
      </c>
      <c r="F127" s="4" t="s">
        <v>25</v>
      </c>
      <c r="G127" s="4" t="s">
        <v>25</v>
      </c>
      <c r="H127" s="4" t="s">
        <v>25</v>
      </c>
      <c r="I127" s="5">
        <v>44562</v>
      </c>
      <c r="J127" s="6">
        <v>70</v>
      </c>
      <c r="K127" s="6">
        <v>70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4" t="s">
        <v>26</v>
      </c>
      <c r="R127" s="4">
        <v>0</v>
      </c>
      <c r="S127" s="6">
        <v>15</v>
      </c>
      <c r="T127" s="6">
        <v>0</v>
      </c>
      <c r="U127" s="6">
        <v>0</v>
      </c>
      <c r="V127" s="6">
        <f>IF(ISERROR(VLOOKUP($S$127,'TAR FIN'!$A$1:$O$88,15,0)),0,VLOOKUP($S$127,'TAR FIN'!$A$1:$O$88,15,0))</f>
        <v>17.190000000000001</v>
      </c>
      <c r="W127" s="6">
        <f>IF(ISERROR(VLOOKUP($T$127,'TAR FIN'!$A$1:$O$88,15,0)),0,VLOOKUP($T$127,'TAR FIN'!$A$1:$O$88,15,0))</f>
        <v>0</v>
      </c>
      <c r="X127" s="6">
        <f>IF(ISERROR(VLOOKUP($U$127,'TAR FIN'!$A$1:$O$88,15,0)),0,VLOOKUP($U$127,'TAR FIN'!$A$1:$O$88,15,0))</f>
        <v>0</v>
      </c>
      <c r="Y127" s="6">
        <f ca="1">('TUSD BE'!$AM$10+'TUSD BF'!$AM$10+'TUSD CVA'!$AM$10)*1</f>
        <v>13.66046481326768</v>
      </c>
      <c r="Z127" s="6"/>
      <c r="AA127" s="6"/>
      <c r="AB127" s="6">
        <f>$K$127*$V$127</f>
        <v>1203.3000000000002</v>
      </c>
      <c r="AC127" s="6">
        <f>$M$127*$W$127</f>
        <v>0</v>
      </c>
      <c r="AD127" s="6">
        <f>$O$127*$X$127</f>
        <v>0</v>
      </c>
      <c r="AE127" s="6">
        <f ca="1">$K$127*$Y$127</f>
        <v>956.23253692873755</v>
      </c>
      <c r="AF127" s="6">
        <f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38</v>
      </c>
      <c r="C128" s="4" t="s">
        <v>39</v>
      </c>
      <c r="D128" s="4" t="s">
        <v>43</v>
      </c>
      <c r="E128" s="4" t="s">
        <v>25</v>
      </c>
      <c r="F128" s="4" t="s">
        <v>25</v>
      </c>
      <c r="G128" s="4" t="s">
        <v>25</v>
      </c>
      <c r="H128" s="4" t="s">
        <v>25</v>
      </c>
      <c r="I128" s="5">
        <v>44593</v>
      </c>
      <c r="J128" s="6">
        <v>100</v>
      </c>
      <c r="K128" s="6">
        <v>100</v>
      </c>
      <c r="L128" s="6">
        <v>0</v>
      </c>
      <c r="M128" s="6">
        <v>0</v>
      </c>
      <c r="N128" s="6">
        <v>0</v>
      </c>
      <c r="O128" s="6">
        <v>0</v>
      </c>
      <c r="P128" s="6">
        <v>1</v>
      </c>
      <c r="Q128" s="4" t="s">
        <v>26</v>
      </c>
      <c r="R128" s="4">
        <v>0</v>
      </c>
      <c r="S128" s="6">
        <v>15</v>
      </c>
      <c r="T128" s="6">
        <v>0</v>
      </c>
      <c r="U128" s="6">
        <v>0</v>
      </c>
      <c r="V128" s="6">
        <f>IF(ISERROR(VLOOKUP($S$128,'TAR FIN'!$A$1:$O$88,15,0)),0,VLOOKUP($S$128,'TAR FIN'!$A$1:$O$88,15,0))</f>
        <v>17.190000000000001</v>
      </c>
      <c r="W128" s="6">
        <f>IF(ISERROR(VLOOKUP($T$128,'TAR FIN'!$A$1:$O$88,15,0)),0,VLOOKUP($T$128,'TAR FIN'!$A$1:$O$88,15,0))</f>
        <v>0</v>
      </c>
      <c r="X128" s="6">
        <f>IF(ISERROR(VLOOKUP($U$128,'TAR FIN'!$A$1:$O$88,15,0)),0,VLOOKUP($U$128,'TAR FIN'!$A$1:$O$88,15,0))</f>
        <v>0</v>
      </c>
      <c r="Y128" s="6">
        <f ca="1">('TUSD BE'!$AM$10+'TUSD BF'!$AM$10+'TUSD CVA'!$AM$10)*1</f>
        <v>13.66046481326768</v>
      </c>
      <c r="Z128" s="6"/>
      <c r="AA128" s="6"/>
      <c r="AB128" s="6">
        <f>$K$128*$V$128</f>
        <v>1719.0000000000002</v>
      </c>
      <c r="AC128" s="6">
        <f>$M$128*$W$128</f>
        <v>0</v>
      </c>
      <c r="AD128" s="6">
        <f>$O$128*$X$128</f>
        <v>0</v>
      </c>
      <c r="AE128" s="6">
        <f ca="1">$K$128*$Y$128</f>
        <v>1366.0464813267681</v>
      </c>
      <c r="AF128" s="6">
        <f>$M$128*$Z$128</f>
        <v>0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38</v>
      </c>
      <c r="C129" s="4" t="s">
        <v>39</v>
      </c>
      <c r="D129" s="4" t="s">
        <v>43</v>
      </c>
      <c r="E129" s="4" t="s">
        <v>25</v>
      </c>
      <c r="F129" s="4" t="s">
        <v>25</v>
      </c>
      <c r="G129" s="4" t="s">
        <v>25</v>
      </c>
      <c r="H129" s="4" t="s">
        <v>25</v>
      </c>
      <c r="I129" s="5">
        <v>44621</v>
      </c>
      <c r="J129" s="6">
        <v>70</v>
      </c>
      <c r="K129" s="6">
        <v>70</v>
      </c>
      <c r="L129" s="6">
        <v>0</v>
      </c>
      <c r="M129" s="6">
        <v>0</v>
      </c>
      <c r="N129" s="6">
        <v>0</v>
      </c>
      <c r="O129" s="6">
        <v>0</v>
      </c>
      <c r="P129" s="6">
        <v>1</v>
      </c>
      <c r="Q129" s="4" t="s">
        <v>26</v>
      </c>
      <c r="R129" s="4">
        <v>0</v>
      </c>
      <c r="S129" s="6">
        <v>15</v>
      </c>
      <c r="T129" s="6">
        <v>0</v>
      </c>
      <c r="U129" s="6">
        <v>0</v>
      </c>
      <c r="V129" s="6">
        <f>IF(ISERROR(VLOOKUP($S$129,'TAR FIN'!$A$1:$O$88,15,0)),0,VLOOKUP($S$129,'TAR FIN'!$A$1:$O$88,15,0))</f>
        <v>17.190000000000001</v>
      </c>
      <c r="W129" s="6">
        <f>IF(ISERROR(VLOOKUP($T$129,'TAR FIN'!$A$1:$O$88,15,0)),0,VLOOKUP($T$129,'TAR FIN'!$A$1:$O$88,15,0))</f>
        <v>0</v>
      </c>
      <c r="X129" s="6">
        <f>IF(ISERROR(VLOOKUP($U$129,'TAR FIN'!$A$1:$O$88,15,0)),0,VLOOKUP($U$129,'TAR FIN'!$A$1:$O$88,15,0))</f>
        <v>0</v>
      </c>
      <c r="Y129" s="6">
        <f ca="1">('TUSD BE'!$AM$10+'TUSD BF'!$AM$10+'TUSD CVA'!$AM$10)*1</f>
        <v>13.66046481326768</v>
      </c>
      <c r="Z129" s="6"/>
      <c r="AA129" s="6"/>
      <c r="AB129" s="6">
        <f>$K$129*$V$129</f>
        <v>1203.3000000000002</v>
      </c>
      <c r="AC129" s="6">
        <f>$M$129*$W$129</f>
        <v>0</v>
      </c>
      <c r="AD129" s="6">
        <f>$O$129*$X$129</f>
        <v>0</v>
      </c>
      <c r="AE129" s="6">
        <f ca="1">$K$129*$Y$129</f>
        <v>956.23253692873755</v>
      </c>
      <c r="AF129" s="6">
        <f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38</v>
      </c>
      <c r="C130" s="4" t="s">
        <v>39</v>
      </c>
      <c r="D130" s="4" t="s">
        <v>43</v>
      </c>
      <c r="E130" s="4" t="s">
        <v>25</v>
      </c>
      <c r="F130" s="4" t="s">
        <v>25</v>
      </c>
      <c r="G130" s="4" t="s">
        <v>25</v>
      </c>
      <c r="H130" s="4" t="s">
        <v>25</v>
      </c>
      <c r="I130" s="5">
        <v>44652</v>
      </c>
      <c r="J130" s="6">
        <v>70</v>
      </c>
      <c r="K130" s="6">
        <v>70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4" t="s">
        <v>26</v>
      </c>
      <c r="R130" s="4">
        <v>0</v>
      </c>
      <c r="S130" s="6">
        <v>15</v>
      </c>
      <c r="T130" s="6">
        <v>0</v>
      </c>
      <c r="U130" s="6">
        <v>0</v>
      </c>
      <c r="V130" s="6">
        <f>IF(ISERROR(VLOOKUP($S$130,'TAR FIN'!$A$1:$O$88,15,0)),0,VLOOKUP($S$130,'TAR FIN'!$A$1:$O$88,15,0))</f>
        <v>17.190000000000001</v>
      </c>
      <c r="W130" s="6">
        <f>IF(ISERROR(VLOOKUP($T$130,'TAR FIN'!$A$1:$O$88,15,0)),0,VLOOKUP($T$130,'TAR FIN'!$A$1:$O$88,15,0))</f>
        <v>0</v>
      </c>
      <c r="X130" s="6">
        <f>IF(ISERROR(VLOOKUP($U$130,'TAR FIN'!$A$1:$O$88,15,0)),0,VLOOKUP($U$130,'TAR FIN'!$A$1:$O$88,15,0))</f>
        <v>0</v>
      </c>
      <c r="Y130" s="6">
        <f ca="1">('TUSD BE'!$AM$10+'TUSD BF'!$AM$10+'TUSD CVA'!$AM$10)*1</f>
        <v>13.66046481326768</v>
      </c>
      <c r="Z130" s="6"/>
      <c r="AA130" s="6"/>
      <c r="AB130" s="6">
        <f>$K$130*$V$130</f>
        <v>1203.3000000000002</v>
      </c>
      <c r="AC130" s="6">
        <f>$M$130*$W$130</f>
        <v>0</v>
      </c>
      <c r="AD130" s="6">
        <f>$O$130*$X$130</f>
        <v>0</v>
      </c>
      <c r="AE130" s="6">
        <f ca="1">$K$130*$Y$130</f>
        <v>956.23253692873755</v>
      </c>
      <c r="AF130" s="6">
        <f>$M$130*$Z$130</f>
        <v>0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38</v>
      </c>
      <c r="C131" s="4" t="s">
        <v>39</v>
      </c>
      <c r="D131" s="4" t="s">
        <v>43</v>
      </c>
      <c r="E131" s="4" t="s">
        <v>25</v>
      </c>
      <c r="F131" s="4" t="s">
        <v>25</v>
      </c>
      <c r="G131" s="4" t="s">
        <v>25</v>
      </c>
      <c r="H131" s="4" t="s">
        <v>25</v>
      </c>
      <c r="I131" s="5">
        <v>44682</v>
      </c>
      <c r="J131" s="6">
        <v>70</v>
      </c>
      <c r="K131" s="6">
        <v>70</v>
      </c>
      <c r="L131" s="6">
        <v>0</v>
      </c>
      <c r="M131" s="6">
        <v>0</v>
      </c>
      <c r="N131" s="6">
        <v>0</v>
      </c>
      <c r="O131" s="6">
        <v>0</v>
      </c>
      <c r="P131" s="6">
        <v>1</v>
      </c>
      <c r="Q131" s="4" t="s">
        <v>26</v>
      </c>
      <c r="R131" s="4">
        <v>0</v>
      </c>
      <c r="S131" s="6">
        <v>15</v>
      </c>
      <c r="T131" s="6">
        <v>0</v>
      </c>
      <c r="U131" s="6">
        <v>0</v>
      </c>
      <c r="V131" s="6">
        <f>IF(ISERROR(VLOOKUP($S$131,'TAR FIN'!$A$1:$O$88,15,0)),0,VLOOKUP($S$131,'TAR FIN'!$A$1:$O$88,15,0))</f>
        <v>17.190000000000001</v>
      </c>
      <c r="W131" s="6">
        <f>IF(ISERROR(VLOOKUP($T$131,'TAR FIN'!$A$1:$O$88,15,0)),0,VLOOKUP($T$131,'TAR FIN'!$A$1:$O$88,15,0))</f>
        <v>0</v>
      </c>
      <c r="X131" s="6">
        <f>IF(ISERROR(VLOOKUP($U$131,'TAR FIN'!$A$1:$O$88,15,0)),0,VLOOKUP($U$131,'TAR FIN'!$A$1:$O$88,15,0))</f>
        <v>0</v>
      </c>
      <c r="Y131" s="6">
        <f ca="1">('TUSD BE'!$AM$10+'TUSD BF'!$AM$10+'TUSD CVA'!$AM$10)*1</f>
        <v>13.66046481326768</v>
      </c>
      <c r="Z131" s="6"/>
      <c r="AA131" s="6"/>
      <c r="AB131" s="6">
        <f>$K$131*$V$131</f>
        <v>1203.3000000000002</v>
      </c>
      <c r="AC131" s="6">
        <f>$M$131*$W$131</f>
        <v>0</v>
      </c>
      <c r="AD131" s="6">
        <f>$O$131*$X$131</f>
        <v>0</v>
      </c>
      <c r="AE131" s="6">
        <f ca="1">$K$131*$Y$131</f>
        <v>956.23253692873755</v>
      </c>
      <c r="AF131" s="6">
        <f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38</v>
      </c>
      <c r="C132" s="4" t="s">
        <v>39</v>
      </c>
      <c r="D132" s="4" t="s">
        <v>43</v>
      </c>
      <c r="E132" s="4" t="s">
        <v>25</v>
      </c>
      <c r="F132" s="4" t="s">
        <v>25</v>
      </c>
      <c r="G132" s="4" t="s">
        <v>25</v>
      </c>
      <c r="H132" s="4" t="s">
        <v>25</v>
      </c>
      <c r="I132" s="5">
        <v>44713</v>
      </c>
      <c r="J132" s="6">
        <v>70</v>
      </c>
      <c r="K132" s="6">
        <v>70</v>
      </c>
      <c r="L132" s="6">
        <v>0</v>
      </c>
      <c r="M132" s="6">
        <v>0</v>
      </c>
      <c r="N132" s="6">
        <v>0</v>
      </c>
      <c r="O132" s="6">
        <v>0</v>
      </c>
      <c r="P132" s="6">
        <v>1</v>
      </c>
      <c r="Q132" s="4" t="s">
        <v>26</v>
      </c>
      <c r="R132" s="4">
        <v>0</v>
      </c>
      <c r="S132" s="6">
        <v>15</v>
      </c>
      <c r="T132" s="6">
        <v>0</v>
      </c>
      <c r="U132" s="6">
        <v>0</v>
      </c>
      <c r="V132" s="6">
        <f>IF(ISERROR(VLOOKUP($S$132,'TAR FIN'!$A$1:$O$88,15,0)),0,VLOOKUP($S$132,'TAR FIN'!$A$1:$O$88,15,0))</f>
        <v>17.190000000000001</v>
      </c>
      <c r="W132" s="6">
        <f>IF(ISERROR(VLOOKUP($T$132,'TAR FIN'!$A$1:$O$88,15,0)),0,VLOOKUP($T$132,'TAR FIN'!$A$1:$O$88,15,0))</f>
        <v>0</v>
      </c>
      <c r="X132" s="6">
        <f>IF(ISERROR(VLOOKUP($U$132,'TAR FIN'!$A$1:$O$88,15,0)),0,VLOOKUP($U$132,'TAR FIN'!$A$1:$O$88,15,0))</f>
        <v>0</v>
      </c>
      <c r="Y132" s="6">
        <f ca="1">('TUSD BE'!$AM$10+'TUSD BF'!$AM$10+'TUSD CVA'!$AM$10)*1</f>
        <v>13.66046481326768</v>
      </c>
      <c r="Z132" s="6"/>
      <c r="AA132" s="6"/>
      <c r="AB132" s="6">
        <f>$K$132*$V$132</f>
        <v>1203.3000000000002</v>
      </c>
      <c r="AC132" s="6">
        <f>$M$132*$W$132</f>
        <v>0</v>
      </c>
      <c r="AD132" s="6">
        <f>$O$132*$X$132</f>
        <v>0</v>
      </c>
      <c r="AE132" s="6">
        <f ca="1">$K$132*$Y$132</f>
        <v>956.23253692873755</v>
      </c>
      <c r="AF132" s="6">
        <f>$M$132*$Z$132</f>
        <v>0</v>
      </c>
      <c r="AG132" s="6">
        <f>$O$132*$AA$132</f>
        <v>0</v>
      </c>
    </row>
    <row r="133" spans="1:33" ht="11.25" customHeight="1" x14ac:dyDescent="0.25">
      <c r="A133" s="4" t="s">
        <v>55</v>
      </c>
      <c r="B133" s="4" t="s">
        <v>38</v>
      </c>
      <c r="C133" s="4" t="s">
        <v>39</v>
      </c>
      <c r="D133" s="4" t="s">
        <v>43</v>
      </c>
      <c r="E133" s="4" t="s">
        <v>25</v>
      </c>
      <c r="F133" s="4" t="s">
        <v>25</v>
      </c>
      <c r="G133" s="4" t="s">
        <v>25</v>
      </c>
      <c r="H133" s="4" t="s">
        <v>25</v>
      </c>
      <c r="I133" s="5">
        <v>44743</v>
      </c>
      <c r="J133" s="6">
        <v>70</v>
      </c>
      <c r="K133" s="6">
        <v>70</v>
      </c>
      <c r="L133" s="6">
        <v>0</v>
      </c>
      <c r="M133" s="6">
        <v>0</v>
      </c>
      <c r="N133" s="6">
        <v>0</v>
      </c>
      <c r="O133" s="6">
        <v>0</v>
      </c>
      <c r="P133" s="6">
        <v>1</v>
      </c>
      <c r="Q133" s="4" t="s">
        <v>26</v>
      </c>
      <c r="R133" s="4">
        <v>0</v>
      </c>
      <c r="S133" s="6">
        <v>15</v>
      </c>
      <c r="T133" s="6">
        <v>0</v>
      </c>
      <c r="U133" s="6">
        <v>0</v>
      </c>
      <c r="V133" s="6">
        <f>IF(ISERROR(VLOOKUP($S$133,'TAR FIN'!$A$1:$O$88,15,0)),0,VLOOKUP($S$133,'TAR FIN'!$A$1:$O$88,15,0))</f>
        <v>17.190000000000001</v>
      </c>
      <c r="W133" s="6">
        <f>IF(ISERROR(VLOOKUP($T$133,'TAR FIN'!$A$1:$O$88,15,0)),0,VLOOKUP($T$133,'TAR FIN'!$A$1:$O$88,15,0))</f>
        <v>0</v>
      </c>
      <c r="X133" s="6">
        <f>IF(ISERROR(VLOOKUP($U$133,'TAR FIN'!$A$1:$O$88,15,0)),0,VLOOKUP($U$133,'TAR FIN'!$A$1:$O$88,15,0))</f>
        <v>0</v>
      </c>
      <c r="Y133" s="6">
        <f ca="1">('TUSD BE'!$AM$10+'TUSD BF'!$AM$10+'TUSD CVA'!$AM$10)*1</f>
        <v>13.66046481326768</v>
      </c>
      <c r="Z133" s="6"/>
      <c r="AA133" s="6"/>
      <c r="AB133" s="6">
        <f>$K$133*$V$133</f>
        <v>1203.3000000000002</v>
      </c>
      <c r="AC133" s="6">
        <f>$M$133*$W$133</f>
        <v>0</v>
      </c>
      <c r="AD133" s="6">
        <f>$O$133*$X$133</f>
        <v>0</v>
      </c>
      <c r="AE133" s="6">
        <f ca="1">$K$133*$Y$133</f>
        <v>956.23253692873755</v>
      </c>
      <c r="AF133" s="6">
        <f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38</v>
      </c>
      <c r="C134" s="4" t="s">
        <v>39</v>
      </c>
      <c r="D134" s="4" t="s">
        <v>43</v>
      </c>
      <c r="E134" s="4" t="s">
        <v>25</v>
      </c>
      <c r="F134" s="4" t="s">
        <v>25</v>
      </c>
      <c r="G134" s="4" t="s">
        <v>25</v>
      </c>
      <c r="H134" s="4" t="s">
        <v>33</v>
      </c>
      <c r="I134" s="5">
        <v>44409</v>
      </c>
      <c r="J134" s="6">
        <v>0</v>
      </c>
      <c r="K134" s="6">
        <v>0</v>
      </c>
      <c r="L134" s="6">
        <v>0.80200000000000005</v>
      </c>
      <c r="M134" s="6">
        <v>0.80200000000000005</v>
      </c>
      <c r="N134" s="6">
        <v>0.80200000000000005</v>
      </c>
      <c r="O134" s="6">
        <v>0.80200000000000005</v>
      </c>
      <c r="P134" s="6">
        <v>0</v>
      </c>
      <c r="Q134" s="4" t="s">
        <v>26</v>
      </c>
      <c r="R134" s="4">
        <v>0</v>
      </c>
      <c r="S134" s="6">
        <v>0</v>
      </c>
      <c r="T134" s="6">
        <v>18</v>
      </c>
      <c r="U134" s="6">
        <v>69</v>
      </c>
      <c r="V134" s="6">
        <f>IF(ISERROR(VLOOKUP($S$134,'TAR FIN'!$A$1:$O$88,15,0)),0,VLOOKUP($S$134,'TAR FIN'!$A$1:$O$88,15,0))</f>
        <v>0</v>
      </c>
      <c r="W134" s="6">
        <f>IF(ISERROR(VLOOKUP($T$134,'TAR FIN'!$A$1:$O$88,15,0)),0,VLOOKUP($T$134,'TAR FIN'!$A$1:$O$88,15,0))</f>
        <v>1295.8499999999999</v>
      </c>
      <c r="X134" s="6">
        <f>IF(ISERROR(VLOOKUP($U$134,'TAR FIN'!$A$1:$O$88,15,0)),0,VLOOKUP($U$134,'TAR FIN'!$A$1:$O$88,15,0))</f>
        <v>434.95</v>
      </c>
      <c r="Y134" s="6"/>
      <c r="Z134" s="6">
        <f ca="1">('TUSD BE'!$AM$11+'TUSD BF'!$AM$11+'TUSD CVA'!$AM$11)*1</f>
        <v>1048.5801557334262</v>
      </c>
      <c r="AA134" s="6">
        <f>('TE BE'!$AB$5+'TE BF'!$AB$5+'TE CVA'!$AB$5)*1</f>
        <v>316.97983140624547</v>
      </c>
      <c r="AB134" s="6">
        <f>$K$134*$V$134</f>
        <v>0</v>
      </c>
      <c r="AC134" s="6">
        <f>$M$134*$W$134</f>
        <v>1039.2717</v>
      </c>
      <c r="AD134" s="6">
        <f>$O$134*$X$134</f>
        <v>348.82990000000001</v>
      </c>
      <c r="AE134" s="6">
        <f>$K$134*$Y$134</f>
        <v>0</v>
      </c>
      <c r="AF134" s="6">
        <f ca="1">$M$134*$Z$134</f>
        <v>840.96128489820785</v>
      </c>
      <c r="AG134" s="6">
        <f>$O$134*$AA$134</f>
        <v>254.21782478780887</v>
      </c>
    </row>
    <row r="135" spans="1:33" ht="11.25" customHeight="1" x14ac:dyDescent="0.25">
      <c r="A135" s="4" t="s">
        <v>21</v>
      </c>
      <c r="B135" s="4" t="s">
        <v>38</v>
      </c>
      <c r="C135" s="4" t="s">
        <v>39</v>
      </c>
      <c r="D135" s="4" t="s">
        <v>43</v>
      </c>
      <c r="E135" s="4" t="s">
        <v>25</v>
      </c>
      <c r="F135" s="4" t="s">
        <v>25</v>
      </c>
      <c r="G135" s="4" t="s">
        <v>25</v>
      </c>
      <c r="H135" s="4" t="s">
        <v>33</v>
      </c>
      <c r="I135" s="5">
        <v>44440</v>
      </c>
      <c r="J135" s="6">
        <v>0</v>
      </c>
      <c r="K135" s="6">
        <v>0</v>
      </c>
      <c r="L135" s="6">
        <v>0.61099999999999999</v>
      </c>
      <c r="M135" s="6">
        <v>0.61099999999999999</v>
      </c>
      <c r="N135" s="6">
        <v>0.61099999999999999</v>
      </c>
      <c r="O135" s="6">
        <v>0.61099999999999999</v>
      </c>
      <c r="P135" s="6">
        <v>0</v>
      </c>
      <c r="Q135" s="4" t="s">
        <v>26</v>
      </c>
      <c r="R135" s="4">
        <v>0</v>
      </c>
      <c r="S135" s="6">
        <v>0</v>
      </c>
      <c r="T135" s="6">
        <v>18</v>
      </c>
      <c r="U135" s="6">
        <v>69</v>
      </c>
      <c r="V135" s="6">
        <f>IF(ISERROR(VLOOKUP($S$135,'TAR FIN'!$A$1:$O$88,15,0)),0,VLOOKUP($S$135,'TAR FIN'!$A$1:$O$88,15,0))</f>
        <v>0</v>
      </c>
      <c r="W135" s="6">
        <f>IF(ISERROR(VLOOKUP($T$135,'TAR FIN'!$A$1:$O$88,15,0)),0,VLOOKUP($T$135,'TAR FIN'!$A$1:$O$88,15,0))</f>
        <v>1295.8499999999999</v>
      </c>
      <c r="X135" s="6">
        <f>IF(ISERROR(VLOOKUP($U$135,'TAR FIN'!$A$1:$O$88,15,0)),0,VLOOKUP($U$135,'TAR FIN'!$A$1:$O$88,15,0))</f>
        <v>434.95</v>
      </c>
      <c r="Y135" s="6"/>
      <c r="Z135" s="6">
        <f ca="1">('TUSD BE'!$AM$11+'TUSD BF'!$AM$11+'TUSD CVA'!$AM$11)*1</f>
        <v>1048.5801557334262</v>
      </c>
      <c r="AA135" s="6">
        <f>('TE BE'!$AB$5+'TE BF'!$AB$5+'TE CVA'!$AB$5)*1</f>
        <v>316.97983140624547</v>
      </c>
      <c r="AB135" s="6">
        <f>$K$135*$V$135</f>
        <v>0</v>
      </c>
      <c r="AC135" s="6">
        <f>$M$135*$W$135</f>
        <v>791.76434999999992</v>
      </c>
      <c r="AD135" s="6">
        <f>$O$135*$X$135</f>
        <v>265.75444999999996</v>
      </c>
      <c r="AE135" s="6">
        <f>$K$135*$Y$135</f>
        <v>0</v>
      </c>
      <c r="AF135" s="6">
        <f ca="1">$M$135*$Z$135</f>
        <v>640.68247515312339</v>
      </c>
      <c r="AG135" s="6">
        <f>$O$135*$AA$135</f>
        <v>193.67467698921598</v>
      </c>
    </row>
    <row r="136" spans="1:33" ht="11.25" customHeight="1" x14ac:dyDescent="0.25">
      <c r="A136" s="4" t="s">
        <v>21</v>
      </c>
      <c r="B136" s="4" t="s">
        <v>38</v>
      </c>
      <c r="C136" s="4" t="s">
        <v>39</v>
      </c>
      <c r="D136" s="4" t="s">
        <v>43</v>
      </c>
      <c r="E136" s="4" t="s">
        <v>25</v>
      </c>
      <c r="F136" s="4" t="s">
        <v>25</v>
      </c>
      <c r="G136" s="4" t="s">
        <v>25</v>
      </c>
      <c r="H136" s="4" t="s">
        <v>33</v>
      </c>
      <c r="I136" s="5">
        <v>44470</v>
      </c>
      <c r="J136" s="6">
        <v>0</v>
      </c>
      <c r="K136" s="6">
        <v>0</v>
      </c>
      <c r="L136" s="6">
        <v>0.59399999999999997</v>
      </c>
      <c r="M136" s="6">
        <v>0.59399999999999997</v>
      </c>
      <c r="N136" s="6">
        <v>0.59399999999999997</v>
      </c>
      <c r="O136" s="6">
        <v>0.59399999999999997</v>
      </c>
      <c r="P136" s="6">
        <v>0</v>
      </c>
      <c r="Q136" s="4" t="s">
        <v>26</v>
      </c>
      <c r="R136" s="4">
        <v>0</v>
      </c>
      <c r="S136" s="6">
        <v>0</v>
      </c>
      <c r="T136" s="6">
        <v>18</v>
      </c>
      <c r="U136" s="6">
        <v>69</v>
      </c>
      <c r="V136" s="6">
        <f>IF(ISERROR(VLOOKUP($S$136,'TAR FIN'!$A$1:$O$88,15,0)),0,VLOOKUP($S$136,'TAR FIN'!$A$1:$O$88,15,0))</f>
        <v>0</v>
      </c>
      <c r="W136" s="6">
        <f>IF(ISERROR(VLOOKUP($T$136,'TAR FIN'!$A$1:$O$88,15,0)),0,VLOOKUP($T$136,'TAR FIN'!$A$1:$O$88,15,0))</f>
        <v>1295.8499999999999</v>
      </c>
      <c r="X136" s="6">
        <f>IF(ISERROR(VLOOKUP($U$136,'TAR FIN'!$A$1:$O$88,15,0)),0,VLOOKUP($U$136,'TAR FIN'!$A$1:$O$88,15,0))</f>
        <v>434.95</v>
      </c>
      <c r="Y136" s="6"/>
      <c r="Z136" s="6">
        <f ca="1">('TUSD BE'!$AM$11+'TUSD BF'!$AM$11+'TUSD CVA'!$AM$11)*1</f>
        <v>1048.5801557334262</v>
      </c>
      <c r="AA136" s="6">
        <f>('TE BE'!$AB$5+'TE BF'!$AB$5+'TE CVA'!$AB$5)*1</f>
        <v>316.97983140624547</v>
      </c>
      <c r="AB136" s="6">
        <f>$K$136*$V$136</f>
        <v>0</v>
      </c>
      <c r="AC136" s="6">
        <f>$M$136*$W$136</f>
        <v>769.73489999999993</v>
      </c>
      <c r="AD136" s="6">
        <f>$O$136*$X$136</f>
        <v>258.3603</v>
      </c>
      <c r="AE136" s="6">
        <f>$K$136*$Y$136</f>
        <v>0</v>
      </c>
      <c r="AF136" s="6">
        <f ca="1">$M$136*$Z$136</f>
        <v>622.85661250565511</v>
      </c>
      <c r="AG136" s="6">
        <f>$O$136*$AA$136</f>
        <v>188.2860198553098</v>
      </c>
    </row>
    <row r="137" spans="1:33" ht="11.25" customHeight="1" x14ac:dyDescent="0.25">
      <c r="A137" s="4" t="s">
        <v>21</v>
      </c>
      <c r="B137" s="4" t="s">
        <v>38</v>
      </c>
      <c r="C137" s="4" t="s">
        <v>39</v>
      </c>
      <c r="D137" s="4" t="s">
        <v>43</v>
      </c>
      <c r="E137" s="4" t="s">
        <v>25</v>
      </c>
      <c r="F137" s="4" t="s">
        <v>25</v>
      </c>
      <c r="G137" s="4" t="s">
        <v>25</v>
      </c>
      <c r="H137" s="4" t="s">
        <v>33</v>
      </c>
      <c r="I137" s="5">
        <v>44501</v>
      </c>
      <c r="J137" s="6">
        <v>0</v>
      </c>
      <c r="K137" s="6">
        <v>0</v>
      </c>
      <c r="L137" s="6">
        <v>0.72</v>
      </c>
      <c r="M137" s="6">
        <v>0.72</v>
      </c>
      <c r="N137" s="6">
        <v>0.72</v>
      </c>
      <c r="O137" s="6">
        <v>0.72</v>
      </c>
      <c r="P137" s="6">
        <v>0</v>
      </c>
      <c r="Q137" s="4" t="s">
        <v>26</v>
      </c>
      <c r="R137" s="4">
        <v>0</v>
      </c>
      <c r="S137" s="6">
        <v>0</v>
      </c>
      <c r="T137" s="6">
        <v>18</v>
      </c>
      <c r="U137" s="6">
        <v>69</v>
      </c>
      <c r="V137" s="6">
        <f>IF(ISERROR(VLOOKUP($S$137,'TAR FIN'!$A$1:$O$88,15,0)),0,VLOOKUP($S$137,'TAR FIN'!$A$1:$O$88,15,0))</f>
        <v>0</v>
      </c>
      <c r="W137" s="6">
        <f>IF(ISERROR(VLOOKUP($T$137,'TAR FIN'!$A$1:$O$88,15,0)),0,VLOOKUP($T$137,'TAR FIN'!$A$1:$O$88,15,0))</f>
        <v>1295.8499999999999</v>
      </c>
      <c r="X137" s="6">
        <f>IF(ISERROR(VLOOKUP($U$137,'TAR FIN'!$A$1:$O$88,15,0)),0,VLOOKUP($U$137,'TAR FIN'!$A$1:$O$88,15,0))</f>
        <v>434.95</v>
      </c>
      <c r="Y137" s="6"/>
      <c r="Z137" s="6">
        <f ca="1">('TUSD BE'!$AM$11+'TUSD BF'!$AM$11+'TUSD CVA'!$AM$11)*1</f>
        <v>1048.5801557334262</v>
      </c>
      <c r="AA137" s="6">
        <f>('TE BE'!$AB$5+'TE BF'!$AB$5+'TE CVA'!$AB$5)*1</f>
        <v>316.97983140624547</v>
      </c>
      <c r="AB137" s="6">
        <f>$K$137*$V$137</f>
        <v>0</v>
      </c>
      <c r="AC137" s="6">
        <f>$M$137*$W$137</f>
        <v>933.01199999999994</v>
      </c>
      <c r="AD137" s="6">
        <f>$O$137*$X$137</f>
        <v>313.16399999999999</v>
      </c>
      <c r="AE137" s="6">
        <f>$K$137*$Y$137</f>
        <v>0</v>
      </c>
      <c r="AF137" s="6">
        <f ca="1">$M$137*$Z$137</f>
        <v>754.97771212806686</v>
      </c>
      <c r="AG137" s="6">
        <f>$O$137*$AA$137</f>
        <v>228.22547861249672</v>
      </c>
    </row>
    <row r="138" spans="1:33" ht="11.25" customHeight="1" x14ac:dyDescent="0.25">
      <c r="A138" s="4" t="s">
        <v>21</v>
      </c>
      <c r="B138" s="4" t="s">
        <v>38</v>
      </c>
      <c r="C138" s="4" t="s">
        <v>39</v>
      </c>
      <c r="D138" s="4" t="s">
        <v>43</v>
      </c>
      <c r="E138" s="4" t="s">
        <v>25</v>
      </c>
      <c r="F138" s="4" t="s">
        <v>25</v>
      </c>
      <c r="G138" s="4" t="s">
        <v>25</v>
      </c>
      <c r="H138" s="4" t="s">
        <v>33</v>
      </c>
      <c r="I138" s="5">
        <v>44531</v>
      </c>
      <c r="J138" s="6">
        <v>0</v>
      </c>
      <c r="K138" s="6">
        <v>0</v>
      </c>
      <c r="L138" s="6">
        <v>0.77300000000000002</v>
      </c>
      <c r="M138" s="6">
        <v>0.77300000000000002</v>
      </c>
      <c r="N138" s="6">
        <v>0.77300000000000002</v>
      </c>
      <c r="O138" s="6">
        <v>0.77300000000000002</v>
      </c>
      <c r="P138" s="6">
        <v>0</v>
      </c>
      <c r="Q138" s="4" t="s">
        <v>26</v>
      </c>
      <c r="R138" s="4">
        <v>0</v>
      </c>
      <c r="S138" s="6">
        <v>0</v>
      </c>
      <c r="T138" s="6">
        <v>18</v>
      </c>
      <c r="U138" s="6">
        <v>69</v>
      </c>
      <c r="V138" s="6">
        <f>IF(ISERROR(VLOOKUP($S$138,'TAR FIN'!$A$1:$O$88,15,0)),0,VLOOKUP($S$138,'TAR FIN'!$A$1:$O$88,15,0))</f>
        <v>0</v>
      </c>
      <c r="W138" s="6">
        <f>IF(ISERROR(VLOOKUP($T$138,'TAR FIN'!$A$1:$O$88,15,0)),0,VLOOKUP($T$138,'TAR FIN'!$A$1:$O$88,15,0))</f>
        <v>1295.8499999999999</v>
      </c>
      <c r="X138" s="6">
        <f>IF(ISERROR(VLOOKUP($U$138,'TAR FIN'!$A$1:$O$88,15,0)),0,VLOOKUP($U$138,'TAR FIN'!$A$1:$O$88,15,0))</f>
        <v>434.95</v>
      </c>
      <c r="Y138" s="6"/>
      <c r="Z138" s="6">
        <f ca="1">('TUSD BE'!$AM$11+'TUSD BF'!$AM$11+'TUSD CVA'!$AM$11)*1</f>
        <v>1048.5801557334262</v>
      </c>
      <c r="AA138" s="6">
        <f>('TE BE'!$AB$5+'TE BF'!$AB$5+'TE CVA'!$AB$5)*1</f>
        <v>316.97983140624547</v>
      </c>
      <c r="AB138" s="6">
        <f>$K$138*$V$138</f>
        <v>0</v>
      </c>
      <c r="AC138" s="6">
        <f>$M$138*$W$138</f>
        <v>1001.69205</v>
      </c>
      <c r="AD138" s="6">
        <f>$O$138*$X$138</f>
        <v>336.21634999999998</v>
      </c>
      <c r="AE138" s="6">
        <f>$K$138*$Y$138</f>
        <v>0</v>
      </c>
      <c r="AF138" s="6">
        <f ca="1">$M$138*$Z$138</f>
        <v>810.55246038193843</v>
      </c>
      <c r="AG138" s="6">
        <f>$O$138*$AA$138</f>
        <v>245.02540967702774</v>
      </c>
    </row>
    <row r="139" spans="1:33" ht="11.25" customHeight="1" x14ac:dyDescent="0.25">
      <c r="A139" s="4" t="s">
        <v>21</v>
      </c>
      <c r="B139" s="4" t="s">
        <v>38</v>
      </c>
      <c r="C139" s="4" t="s">
        <v>39</v>
      </c>
      <c r="D139" s="4" t="s">
        <v>43</v>
      </c>
      <c r="E139" s="4" t="s">
        <v>25</v>
      </c>
      <c r="F139" s="4" t="s">
        <v>25</v>
      </c>
      <c r="G139" s="4" t="s">
        <v>25</v>
      </c>
      <c r="H139" s="4" t="s">
        <v>33</v>
      </c>
      <c r="I139" s="5">
        <v>44562</v>
      </c>
      <c r="J139" s="6">
        <v>0</v>
      </c>
      <c r="K139" s="6">
        <v>0</v>
      </c>
      <c r="L139" s="6">
        <v>0.74099999999999999</v>
      </c>
      <c r="M139" s="6">
        <v>0.74099999999999999</v>
      </c>
      <c r="N139" s="6">
        <v>0.74099999999999999</v>
      </c>
      <c r="O139" s="6">
        <v>0.74099999999999999</v>
      </c>
      <c r="P139" s="6">
        <v>0</v>
      </c>
      <c r="Q139" s="4" t="s">
        <v>26</v>
      </c>
      <c r="R139" s="4">
        <v>0</v>
      </c>
      <c r="S139" s="6">
        <v>0</v>
      </c>
      <c r="T139" s="6">
        <v>18</v>
      </c>
      <c r="U139" s="6">
        <v>69</v>
      </c>
      <c r="V139" s="6">
        <f>IF(ISERROR(VLOOKUP($S$139,'TAR FIN'!$A$1:$O$88,15,0)),0,VLOOKUP($S$139,'TAR FIN'!$A$1:$O$88,15,0))</f>
        <v>0</v>
      </c>
      <c r="W139" s="6">
        <f>IF(ISERROR(VLOOKUP($T$139,'TAR FIN'!$A$1:$O$88,15,0)),0,VLOOKUP($T$139,'TAR FIN'!$A$1:$O$88,15,0))</f>
        <v>1295.8499999999999</v>
      </c>
      <c r="X139" s="6">
        <f>IF(ISERROR(VLOOKUP($U$139,'TAR FIN'!$A$1:$O$88,15,0)),0,VLOOKUP($U$139,'TAR FIN'!$A$1:$O$88,15,0))</f>
        <v>434.95</v>
      </c>
      <c r="Y139" s="6"/>
      <c r="Z139" s="6">
        <f ca="1">('TUSD BE'!$AM$11+'TUSD BF'!$AM$11+'TUSD CVA'!$AM$11)*1</f>
        <v>1048.5801557334262</v>
      </c>
      <c r="AA139" s="6">
        <f>('TE BE'!$AB$5+'TE BF'!$AB$5+'TE CVA'!$AB$5)*1</f>
        <v>316.97983140624547</v>
      </c>
      <c r="AB139" s="6">
        <f>$K$139*$V$139</f>
        <v>0</v>
      </c>
      <c r="AC139" s="6">
        <f>$M$139*$W$139</f>
        <v>960.22484999999995</v>
      </c>
      <c r="AD139" s="6">
        <f>$O$139*$X$139</f>
        <v>322.29795000000001</v>
      </c>
      <c r="AE139" s="6">
        <f>$K$139*$Y$139</f>
        <v>0</v>
      </c>
      <c r="AF139" s="6">
        <f ca="1">$M$139*$Z$139</f>
        <v>776.99789539846881</v>
      </c>
      <c r="AG139" s="6">
        <f>$O$139*$AA$139</f>
        <v>234.8820550720279</v>
      </c>
    </row>
    <row r="140" spans="1:33" ht="11.25" customHeight="1" x14ac:dyDescent="0.25">
      <c r="A140" s="4" t="s">
        <v>21</v>
      </c>
      <c r="B140" s="4" t="s">
        <v>38</v>
      </c>
      <c r="C140" s="4" t="s">
        <v>39</v>
      </c>
      <c r="D140" s="4" t="s">
        <v>43</v>
      </c>
      <c r="E140" s="4" t="s">
        <v>25</v>
      </c>
      <c r="F140" s="4" t="s">
        <v>25</v>
      </c>
      <c r="G140" s="4" t="s">
        <v>25</v>
      </c>
      <c r="H140" s="4" t="s">
        <v>33</v>
      </c>
      <c r="I140" s="5">
        <v>44593</v>
      </c>
      <c r="J140" s="6">
        <v>0</v>
      </c>
      <c r="K140" s="6">
        <v>0</v>
      </c>
      <c r="L140" s="6">
        <v>0.89</v>
      </c>
      <c r="M140" s="6">
        <v>0.89</v>
      </c>
      <c r="N140" s="6">
        <v>0.89</v>
      </c>
      <c r="O140" s="6">
        <v>0.89</v>
      </c>
      <c r="P140" s="6">
        <v>0</v>
      </c>
      <c r="Q140" s="4" t="s">
        <v>26</v>
      </c>
      <c r="R140" s="4">
        <v>0</v>
      </c>
      <c r="S140" s="6">
        <v>0</v>
      </c>
      <c r="T140" s="6">
        <v>18</v>
      </c>
      <c r="U140" s="6">
        <v>69</v>
      </c>
      <c r="V140" s="6">
        <f>IF(ISERROR(VLOOKUP($S$140,'TAR FIN'!$A$1:$O$88,15,0)),0,VLOOKUP($S$140,'TAR FIN'!$A$1:$O$88,15,0))</f>
        <v>0</v>
      </c>
      <c r="W140" s="6">
        <f>IF(ISERROR(VLOOKUP($T$140,'TAR FIN'!$A$1:$O$88,15,0)),0,VLOOKUP($T$140,'TAR FIN'!$A$1:$O$88,15,0))</f>
        <v>1295.8499999999999</v>
      </c>
      <c r="X140" s="6">
        <f>IF(ISERROR(VLOOKUP($U$140,'TAR FIN'!$A$1:$O$88,15,0)),0,VLOOKUP($U$140,'TAR FIN'!$A$1:$O$88,15,0))</f>
        <v>434.95</v>
      </c>
      <c r="Y140" s="6"/>
      <c r="Z140" s="6">
        <f ca="1">('TUSD BE'!$AM$11+'TUSD BF'!$AM$11+'TUSD CVA'!$AM$11)*1</f>
        <v>1048.5801557334262</v>
      </c>
      <c r="AA140" s="6">
        <f>('TE BE'!$AB$5+'TE BF'!$AB$5+'TE CVA'!$AB$5)*1</f>
        <v>316.97983140624547</v>
      </c>
      <c r="AB140" s="6">
        <f>$K$140*$V$140</f>
        <v>0</v>
      </c>
      <c r="AC140" s="6">
        <f>$M$140*$W$140</f>
        <v>1153.3064999999999</v>
      </c>
      <c r="AD140" s="6">
        <f>$O$140*$X$140</f>
        <v>387.10550000000001</v>
      </c>
      <c r="AE140" s="6">
        <f>$K$140*$Y$140</f>
        <v>0</v>
      </c>
      <c r="AF140" s="6">
        <f ca="1">$M$140*$Z$140</f>
        <v>933.23633860274936</v>
      </c>
      <c r="AG140" s="6">
        <f>$O$140*$AA$140</f>
        <v>282.11204995155845</v>
      </c>
    </row>
    <row r="141" spans="1:33" ht="11.25" customHeight="1" x14ac:dyDescent="0.25">
      <c r="A141" s="4" t="s">
        <v>21</v>
      </c>
      <c r="B141" s="4" t="s">
        <v>38</v>
      </c>
      <c r="C141" s="4" t="s">
        <v>39</v>
      </c>
      <c r="D141" s="4" t="s">
        <v>43</v>
      </c>
      <c r="E141" s="4" t="s">
        <v>25</v>
      </c>
      <c r="F141" s="4" t="s">
        <v>25</v>
      </c>
      <c r="G141" s="4" t="s">
        <v>25</v>
      </c>
      <c r="H141" s="4" t="s">
        <v>33</v>
      </c>
      <c r="I141" s="5">
        <v>44621</v>
      </c>
      <c r="J141" s="6">
        <v>0</v>
      </c>
      <c r="K141" s="6">
        <v>0</v>
      </c>
      <c r="L141" s="6">
        <v>0.70899999999999996</v>
      </c>
      <c r="M141" s="6">
        <v>0.70899999999999996</v>
      </c>
      <c r="N141" s="6">
        <v>0.70899999999999996</v>
      </c>
      <c r="O141" s="6">
        <v>0.70899999999999996</v>
      </c>
      <c r="P141" s="6">
        <v>0</v>
      </c>
      <c r="Q141" s="4" t="s">
        <v>26</v>
      </c>
      <c r="R141" s="4">
        <v>0</v>
      </c>
      <c r="S141" s="6">
        <v>0</v>
      </c>
      <c r="T141" s="6">
        <v>18</v>
      </c>
      <c r="U141" s="6">
        <v>69</v>
      </c>
      <c r="V141" s="6">
        <f>IF(ISERROR(VLOOKUP($S$141,'TAR FIN'!$A$1:$O$88,15,0)),0,VLOOKUP($S$141,'TAR FIN'!$A$1:$O$88,15,0))</f>
        <v>0</v>
      </c>
      <c r="W141" s="6">
        <f>IF(ISERROR(VLOOKUP($T$141,'TAR FIN'!$A$1:$O$88,15,0)),0,VLOOKUP($T$141,'TAR FIN'!$A$1:$O$88,15,0))</f>
        <v>1295.8499999999999</v>
      </c>
      <c r="X141" s="6">
        <f>IF(ISERROR(VLOOKUP($U$141,'TAR FIN'!$A$1:$O$88,15,0)),0,VLOOKUP($U$141,'TAR FIN'!$A$1:$O$88,15,0))</f>
        <v>434.95</v>
      </c>
      <c r="Y141" s="6"/>
      <c r="Z141" s="6">
        <f ca="1">('TUSD BE'!$AM$11+'TUSD BF'!$AM$11+'TUSD CVA'!$AM$11)*1</f>
        <v>1048.5801557334262</v>
      </c>
      <c r="AA141" s="6">
        <f>('TE BE'!$AB$5+'TE BF'!$AB$5+'TE CVA'!$AB$5)*1</f>
        <v>316.97983140624547</v>
      </c>
      <c r="AB141" s="6">
        <f>$K$141*$V$141</f>
        <v>0</v>
      </c>
      <c r="AC141" s="6">
        <f>$M$141*$W$141</f>
        <v>918.7576499999999</v>
      </c>
      <c r="AD141" s="6">
        <f>$O$141*$X$141</f>
        <v>308.37954999999999</v>
      </c>
      <c r="AE141" s="6">
        <f>$K$141*$Y$141</f>
        <v>0</v>
      </c>
      <c r="AF141" s="6">
        <f ca="1">$M$141*$Z$141</f>
        <v>743.44333041499908</v>
      </c>
      <c r="AG141" s="6">
        <f>$O$141*$AA$141</f>
        <v>224.73870046702802</v>
      </c>
    </row>
    <row r="142" spans="1:33" ht="11.25" customHeight="1" x14ac:dyDescent="0.25">
      <c r="A142" s="4" t="s">
        <v>21</v>
      </c>
      <c r="B142" s="4" t="s">
        <v>38</v>
      </c>
      <c r="C142" s="4" t="s">
        <v>39</v>
      </c>
      <c r="D142" s="4" t="s">
        <v>43</v>
      </c>
      <c r="E142" s="4" t="s">
        <v>25</v>
      </c>
      <c r="F142" s="4" t="s">
        <v>25</v>
      </c>
      <c r="G142" s="4" t="s">
        <v>25</v>
      </c>
      <c r="H142" s="4" t="s">
        <v>33</v>
      </c>
      <c r="I142" s="5">
        <v>44652</v>
      </c>
      <c r="J142" s="6">
        <v>0</v>
      </c>
      <c r="K142" s="6">
        <v>0</v>
      </c>
      <c r="L142" s="6">
        <v>0.49099999999999999</v>
      </c>
      <c r="M142" s="6">
        <v>0.49099999999999999</v>
      </c>
      <c r="N142" s="6">
        <v>0.49099999999999999</v>
      </c>
      <c r="O142" s="6">
        <v>0.49099999999999999</v>
      </c>
      <c r="P142" s="6">
        <v>0</v>
      </c>
      <c r="Q142" s="4" t="s">
        <v>26</v>
      </c>
      <c r="R142" s="4">
        <v>0</v>
      </c>
      <c r="S142" s="6">
        <v>0</v>
      </c>
      <c r="T142" s="6">
        <v>18</v>
      </c>
      <c r="U142" s="6">
        <v>69</v>
      </c>
      <c r="V142" s="6">
        <f>IF(ISERROR(VLOOKUP($S$142,'TAR FIN'!$A$1:$O$88,15,0)),0,VLOOKUP($S$142,'TAR FIN'!$A$1:$O$88,15,0))</f>
        <v>0</v>
      </c>
      <c r="W142" s="6">
        <f>IF(ISERROR(VLOOKUP($T$142,'TAR FIN'!$A$1:$O$88,15,0)),0,VLOOKUP($T$142,'TAR FIN'!$A$1:$O$88,15,0))</f>
        <v>1295.8499999999999</v>
      </c>
      <c r="X142" s="6">
        <f>IF(ISERROR(VLOOKUP($U$142,'TAR FIN'!$A$1:$O$88,15,0)),0,VLOOKUP($U$142,'TAR FIN'!$A$1:$O$88,15,0))</f>
        <v>434.95</v>
      </c>
      <c r="Y142" s="6"/>
      <c r="Z142" s="6">
        <f ca="1">('TUSD BE'!$AM$11+'TUSD BF'!$AM$11+'TUSD CVA'!$AM$11)*1</f>
        <v>1048.5801557334262</v>
      </c>
      <c r="AA142" s="6">
        <f>('TE BE'!$AB$5+'TE BF'!$AB$5+'TE CVA'!$AB$5)*1</f>
        <v>316.97983140624547</v>
      </c>
      <c r="AB142" s="6">
        <f>$K$142*$V$142</f>
        <v>0</v>
      </c>
      <c r="AC142" s="6">
        <f>$M$142*$W$142</f>
        <v>636.26234999999997</v>
      </c>
      <c r="AD142" s="6">
        <f>$O$142*$X$142</f>
        <v>213.56045</v>
      </c>
      <c r="AE142" s="6">
        <f>$K$142*$Y$142</f>
        <v>0</v>
      </c>
      <c r="AF142" s="6">
        <f ca="1">$M$142*$Z$142</f>
        <v>514.85285646511227</v>
      </c>
      <c r="AG142" s="6">
        <f>$O$142*$AA$142</f>
        <v>155.63709722046653</v>
      </c>
    </row>
    <row r="143" spans="1:33" ht="11.25" customHeight="1" x14ac:dyDescent="0.25">
      <c r="A143" s="4" t="s">
        <v>21</v>
      </c>
      <c r="B143" s="4" t="s">
        <v>38</v>
      </c>
      <c r="C143" s="4" t="s">
        <v>39</v>
      </c>
      <c r="D143" s="4" t="s">
        <v>43</v>
      </c>
      <c r="E143" s="4" t="s">
        <v>25</v>
      </c>
      <c r="F143" s="4" t="s">
        <v>25</v>
      </c>
      <c r="G143" s="4" t="s">
        <v>25</v>
      </c>
      <c r="H143" s="4" t="s">
        <v>33</v>
      </c>
      <c r="I143" s="5">
        <v>44682</v>
      </c>
      <c r="J143" s="6">
        <v>0</v>
      </c>
      <c r="K143" s="6">
        <v>0</v>
      </c>
      <c r="L143" s="6">
        <v>0.73699999999999999</v>
      </c>
      <c r="M143" s="6">
        <v>0.73699999999999999</v>
      </c>
      <c r="N143" s="6">
        <v>0.73699999999999999</v>
      </c>
      <c r="O143" s="6">
        <v>0.73699999999999999</v>
      </c>
      <c r="P143" s="6">
        <v>0</v>
      </c>
      <c r="Q143" s="4" t="s">
        <v>26</v>
      </c>
      <c r="R143" s="4">
        <v>0</v>
      </c>
      <c r="S143" s="6">
        <v>0</v>
      </c>
      <c r="T143" s="6">
        <v>18</v>
      </c>
      <c r="U143" s="6">
        <v>69</v>
      </c>
      <c r="V143" s="6">
        <f>IF(ISERROR(VLOOKUP($S$143,'TAR FIN'!$A$1:$O$88,15,0)),0,VLOOKUP($S$143,'TAR FIN'!$A$1:$O$88,15,0))</f>
        <v>0</v>
      </c>
      <c r="W143" s="6">
        <f>IF(ISERROR(VLOOKUP($T$143,'TAR FIN'!$A$1:$O$88,15,0)),0,VLOOKUP($T$143,'TAR FIN'!$A$1:$O$88,15,0))</f>
        <v>1295.8499999999999</v>
      </c>
      <c r="X143" s="6">
        <f>IF(ISERROR(VLOOKUP($U$143,'TAR FIN'!$A$1:$O$88,15,0)),0,VLOOKUP($U$143,'TAR FIN'!$A$1:$O$88,15,0))</f>
        <v>434.95</v>
      </c>
      <c r="Y143" s="6"/>
      <c r="Z143" s="6">
        <f ca="1">('TUSD BE'!$AM$11+'TUSD BF'!$AM$11+'TUSD CVA'!$AM$11)*1</f>
        <v>1048.5801557334262</v>
      </c>
      <c r="AA143" s="6">
        <f>('TE BE'!$AB$5+'TE BF'!$AB$5+'TE CVA'!$AB$5)*1</f>
        <v>316.97983140624547</v>
      </c>
      <c r="AB143" s="6">
        <f>$K$143*$V$143</f>
        <v>0</v>
      </c>
      <c r="AC143" s="6">
        <f>$M$143*$W$143</f>
        <v>955.04144999999994</v>
      </c>
      <c r="AD143" s="6">
        <f>$O$143*$X$143</f>
        <v>320.55815000000001</v>
      </c>
      <c r="AE143" s="6">
        <f>$K$143*$Y$143</f>
        <v>0</v>
      </c>
      <c r="AF143" s="6">
        <f ca="1">$M$143*$Z$143</f>
        <v>772.80357477553514</v>
      </c>
      <c r="AG143" s="6">
        <f>$O$143*$AA$143</f>
        <v>233.61413574640289</v>
      </c>
    </row>
    <row r="144" spans="1:33" ht="11.25" customHeight="1" x14ac:dyDescent="0.25">
      <c r="A144" s="4" t="s">
        <v>21</v>
      </c>
      <c r="B144" s="4" t="s">
        <v>38</v>
      </c>
      <c r="C144" s="4" t="s">
        <v>39</v>
      </c>
      <c r="D144" s="4" t="s">
        <v>43</v>
      </c>
      <c r="E144" s="4" t="s">
        <v>25</v>
      </c>
      <c r="F144" s="4" t="s">
        <v>25</v>
      </c>
      <c r="G144" s="4" t="s">
        <v>25</v>
      </c>
      <c r="H144" s="4" t="s">
        <v>33</v>
      </c>
      <c r="I144" s="5">
        <v>44713</v>
      </c>
      <c r="J144" s="6">
        <v>0</v>
      </c>
      <c r="K144" s="6">
        <v>0</v>
      </c>
      <c r="L144" s="6">
        <v>0.69099999999999995</v>
      </c>
      <c r="M144" s="6">
        <v>0.69099999999999995</v>
      </c>
      <c r="N144" s="6">
        <v>0.69099999999999995</v>
      </c>
      <c r="O144" s="6">
        <v>0.69099999999999995</v>
      </c>
      <c r="P144" s="6">
        <v>0</v>
      </c>
      <c r="Q144" s="4" t="s">
        <v>26</v>
      </c>
      <c r="R144" s="4">
        <v>0</v>
      </c>
      <c r="S144" s="6">
        <v>0</v>
      </c>
      <c r="T144" s="6">
        <v>18</v>
      </c>
      <c r="U144" s="6">
        <v>69</v>
      </c>
      <c r="V144" s="6">
        <f>IF(ISERROR(VLOOKUP($S$144,'TAR FIN'!$A$1:$O$88,15,0)),0,VLOOKUP($S$144,'TAR FIN'!$A$1:$O$88,15,0))</f>
        <v>0</v>
      </c>
      <c r="W144" s="6">
        <f>IF(ISERROR(VLOOKUP($T$144,'TAR FIN'!$A$1:$O$88,15,0)),0,VLOOKUP($T$144,'TAR FIN'!$A$1:$O$88,15,0))</f>
        <v>1295.8499999999999</v>
      </c>
      <c r="X144" s="6">
        <f>IF(ISERROR(VLOOKUP($U$144,'TAR FIN'!$A$1:$O$88,15,0)),0,VLOOKUP($U$144,'TAR FIN'!$A$1:$O$88,15,0))</f>
        <v>434.95</v>
      </c>
      <c r="Y144" s="6"/>
      <c r="Z144" s="6">
        <f ca="1">('TUSD BE'!$AM$11+'TUSD BF'!$AM$11+'TUSD CVA'!$AM$11)*1</f>
        <v>1048.5801557334262</v>
      </c>
      <c r="AA144" s="6">
        <f>('TE BE'!$AB$5+'TE BF'!$AB$5+'TE CVA'!$AB$5)*1</f>
        <v>316.97983140624547</v>
      </c>
      <c r="AB144" s="6">
        <f>$K$144*$V$144</f>
        <v>0</v>
      </c>
      <c r="AC144" s="6">
        <f>$M$144*$W$144</f>
        <v>895.43234999999981</v>
      </c>
      <c r="AD144" s="6">
        <f>$O$144*$X$144</f>
        <v>300.55044999999996</v>
      </c>
      <c r="AE144" s="6">
        <f>$K$144*$Y$144</f>
        <v>0</v>
      </c>
      <c r="AF144" s="6">
        <f ca="1">$M$144*$Z$144</f>
        <v>724.56888761179744</v>
      </c>
      <c r="AG144" s="6">
        <f>$O$144*$AA$144</f>
        <v>219.03306350171559</v>
      </c>
    </row>
    <row r="145" spans="1:33" ht="11.25" customHeight="1" x14ac:dyDescent="0.25">
      <c r="A145" s="4" t="s">
        <v>55</v>
      </c>
      <c r="B145" s="4" t="s">
        <v>38</v>
      </c>
      <c r="C145" s="4" t="s">
        <v>39</v>
      </c>
      <c r="D145" s="4" t="s">
        <v>43</v>
      </c>
      <c r="E145" s="4" t="s">
        <v>25</v>
      </c>
      <c r="F145" s="4" t="s">
        <v>25</v>
      </c>
      <c r="G145" s="4" t="s">
        <v>25</v>
      </c>
      <c r="H145" s="4" t="s">
        <v>33</v>
      </c>
      <c r="I145" s="5">
        <v>44743</v>
      </c>
      <c r="J145" s="6">
        <v>0</v>
      </c>
      <c r="K145" s="6">
        <v>0</v>
      </c>
      <c r="L145" s="6">
        <v>0.69099999999999995</v>
      </c>
      <c r="M145" s="6">
        <v>0.69099999999999995</v>
      </c>
      <c r="N145" s="6">
        <v>0.69099999999999995</v>
      </c>
      <c r="O145" s="6">
        <v>0.69099999999999995</v>
      </c>
      <c r="P145" s="6">
        <v>0</v>
      </c>
      <c r="Q145" s="4" t="s">
        <v>26</v>
      </c>
      <c r="R145" s="4">
        <v>0</v>
      </c>
      <c r="S145" s="6">
        <v>0</v>
      </c>
      <c r="T145" s="6">
        <v>18</v>
      </c>
      <c r="U145" s="6">
        <v>69</v>
      </c>
      <c r="V145" s="6">
        <f>IF(ISERROR(VLOOKUP($S$145,'TAR FIN'!$A$1:$O$88,15,0)),0,VLOOKUP($S$145,'TAR FIN'!$A$1:$O$88,15,0))</f>
        <v>0</v>
      </c>
      <c r="W145" s="6">
        <f>IF(ISERROR(VLOOKUP($T$145,'TAR FIN'!$A$1:$O$88,15,0)),0,VLOOKUP($T$145,'TAR FIN'!$A$1:$O$88,15,0))</f>
        <v>1295.8499999999999</v>
      </c>
      <c r="X145" s="6">
        <f>IF(ISERROR(VLOOKUP($U$145,'TAR FIN'!$A$1:$O$88,15,0)),0,VLOOKUP($U$145,'TAR FIN'!$A$1:$O$88,15,0))</f>
        <v>434.95</v>
      </c>
      <c r="Y145" s="6"/>
      <c r="Z145" s="6">
        <f ca="1">('TUSD BE'!$AM$11+'TUSD BF'!$AM$11+'TUSD CVA'!$AM$11)*1</f>
        <v>1048.5801557334262</v>
      </c>
      <c r="AA145" s="6">
        <f>('TE BE'!$AB$5+'TE BF'!$AB$5+'TE CVA'!$AB$5)*1</f>
        <v>316.97983140624547</v>
      </c>
      <c r="AB145" s="6">
        <f>$K$145*$V$145</f>
        <v>0</v>
      </c>
      <c r="AC145" s="6">
        <f>$M$145*$W$145</f>
        <v>895.43234999999981</v>
      </c>
      <c r="AD145" s="6">
        <f>$O$145*$X$145</f>
        <v>300.55044999999996</v>
      </c>
      <c r="AE145" s="6">
        <f>$K$145*$Y$145</f>
        <v>0</v>
      </c>
      <c r="AF145" s="6">
        <f ca="1">$M$145*$Z$145</f>
        <v>724.56888761179744</v>
      </c>
      <c r="AG145" s="6">
        <f>$O$145*$AA$145</f>
        <v>219.03306350171559</v>
      </c>
    </row>
    <row r="146" spans="1:33" ht="11.25" customHeight="1" x14ac:dyDescent="0.25">
      <c r="A146" s="4" t="s">
        <v>21</v>
      </c>
      <c r="B146" s="4" t="s">
        <v>38</v>
      </c>
      <c r="C146" s="4" t="s">
        <v>39</v>
      </c>
      <c r="D146" s="4" t="s">
        <v>47</v>
      </c>
      <c r="E146" s="4" t="s">
        <v>48</v>
      </c>
      <c r="F146" s="4" t="s">
        <v>25</v>
      </c>
      <c r="G146" s="4" t="s">
        <v>25</v>
      </c>
      <c r="H146" s="4" t="s">
        <v>34</v>
      </c>
      <c r="I146" s="5">
        <v>44409</v>
      </c>
      <c r="J146" s="6">
        <v>0</v>
      </c>
      <c r="K146" s="58">
        <v>0</v>
      </c>
      <c r="L146" s="6">
        <v>91.888999999999996</v>
      </c>
      <c r="M146" s="58">
        <v>91.888999999999996</v>
      </c>
      <c r="N146" s="6">
        <v>91.888999999999996</v>
      </c>
      <c r="O146" s="58">
        <v>91.888999999999996</v>
      </c>
      <c r="P146" s="6">
        <v>0</v>
      </c>
      <c r="Q146" s="4" t="s">
        <v>26</v>
      </c>
      <c r="R146" s="4">
        <v>0</v>
      </c>
      <c r="S146" s="6">
        <v>0</v>
      </c>
      <c r="T146" s="6">
        <v>21</v>
      </c>
      <c r="U146" s="6">
        <v>70</v>
      </c>
      <c r="V146" s="58">
        <f>IF(ISERROR(VLOOKUP($S$146,'TAR FIN'!$A$1:$O$88,15,0)),0,VLOOKUP($S$146,'TAR FIN'!$A$1:$O$88,15,0))</f>
        <v>0</v>
      </c>
      <c r="W146" s="58">
        <f>IF(ISERROR(VLOOKUP($T$146,'TAR FIN'!$A$1:$O$88,15,0)),0,VLOOKUP($T$146,'TAR FIN'!$A$1:$O$88,15,0))*(1-0.06)</f>
        <v>69.3626</v>
      </c>
      <c r="X146" s="58">
        <f>IF(ISERROR(VLOOKUP($U$146,'TAR FIN'!$A$1:$O$88,15,0)),0,VLOOKUP($U$146,'TAR FIN'!$A$1:$O$88,15,0))*(1-0.06)</f>
        <v>250.70739999999998</v>
      </c>
      <c r="Y146" s="58"/>
      <c r="Z146" s="58">
        <f ca="1">('TUSD BE'!$AM$12+'TUSD BF'!$AM$12+'TUSD CVA'!$AM$12)*1*(1-0.03)</f>
        <v>80.777252273332266</v>
      </c>
      <c r="AA146" s="58">
        <f>('TE BE'!$AB$6+'TE BF'!$AB$6+'TE CVA'!$AB$6)*1*(1-0.03)</f>
        <v>191.75888533886973</v>
      </c>
      <c r="AB146" s="6">
        <f>$K$146*$V$146</f>
        <v>0</v>
      </c>
      <c r="AC146" s="6">
        <f>$M$146*$W$146</f>
        <v>6373.6599514</v>
      </c>
      <c r="AD146" s="6">
        <f>$O$146*$X$146</f>
        <v>23037.252278599997</v>
      </c>
      <c r="AE146" s="6">
        <f>$K$146*$Y$146</f>
        <v>0</v>
      </c>
      <c r="AF146" s="6">
        <f ca="1">$M$146*$Z$146</f>
        <v>7422.5409341442282</v>
      </c>
      <c r="AG146" s="6">
        <f>$O$146*$AA$146</f>
        <v>17620.5322149034</v>
      </c>
    </row>
    <row r="147" spans="1:33" ht="11.25" customHeight="1" x14ac:dyDescent="0.25">
      <c r="A147" s="4" t="s">
        <v>21</v>
      </c>
      <c r="B147" s="4" t="s">
        <v>38</v>
      </c>
      <c r="C147" s="4" t="s">
        <v>39</v>
      </c>
      <c r="D147" s="4" t="s">
        <v>47</v>
      </c>
      <c r="E147" s="4" t="s">
        <v>48</v>
      </c>
      <c r="F147" s="4" t="s">
        <v>25</v>
      </c>
      <c r="G147" s="4" t="s">
        <v>25</v>
      </c>
      <c r="H147" s="4" t="s">
        <v>34</v>
      </c>
      <c r="I147" s="5">
        <v>44440</v>
      </c>
      <c r="J147" s="6">
        <v>0</v>
      </c>
      <c r="K147" s="58">
        <v>0</v>
      </c>
      <c r="L147" s="6">
        <v>105.346</v>
      </c>
      <c r="M147" s="58">
        <v>105.346</v>
      </c>
      <c r="N147" s="6">
        <v>105.346</v>
      </c>
      <c r="O147" s="58">
        <v>105.346</v>
      </c>
      <c r="P147" s="6">
        <v>0</v>
      </c>
      <c r="Q147" s="4" t="s">
        <v>26</v>
      </c>
      <c r="R147" s="4">
        <v>0</v>
      </c>
      <c r="S147" s="6">
        <v>0</v>
      </c>
      <c r="T147" s="6">
        <v>21</v>
      </c>
      <c r="U147" s="6">
        <v>70</v>
      </c>
      <c r="V147" s="58">
        <f>IF(ISERROR(VLOOKUP($S$147,'TAR FIN'!$A$1:$O$88,15,0)),0,VLOOKUP($S$147,'TAR FIN'!$A$1:$O$88,15,0))</f>
        <v>0</v>
      </c>
      <c r="W147" s="58">
        <f>IF(ISERROR(VLOOKUP($T$147,'TAR FIN'!$A$1:$O$88,15,0)),0,VLOOKUP($T$147,'TAR FIN'!$A$1:$O$88,15,0))*(1-0.06)</f>
        <v>69.3626</v>
      </c>
      <c r="X147" s="58">
        <f>IF(ISERROR(VLOOKUP($U$147,'TAR FIN'!$A$1:$O$88,15,0)),0,VLOOKUP($U$147,'TAR FIN'!$A$1:$O$88,15,0))*(1-0.06)</f>
        <v>250.70739999999998</v>
      </c>
      <c r="Y147" s="58"/>
      <c r="Z147" s="58">
        <f ca="1">('TUSD BE'!$AM$12+'TUSD BF'!$AM$12+'TUSD CVA'!$AM$12)*1*(1-0.03)</f>
        <v>80.777252273332266</v>
      </c>
      <c r="AA147" s="58">
        <f>('TE BE'!$AB$6+'TE BF'!$AB$6+'TE CVA'!$AB$6)*1*(1-0.03)</f>
        <v>191.75888533886973</v>
      </c>
      <c r="AB147" s="6">
        <f>$K$147*$V$147</f>
        <v>0</v>
      </c>
      <c r="AC147" s="6">
        <f>$M$147*$W$147</f>
        <v>7307.0724596</v>
      </c>
      <c r="AD147" s="6">
        <f>$O$147*$X$147</f>
        <v>26411.021760399999</v>
      </c>
      <c r="AE147" s="6">
        <f>$K$147*$Y$147</f>
        <v>0</v>
      </c>
      <c r="AF147" s="6">
        <f ca="1">$M$147*$Z$147</f>
        <v>8509.5604179864604</v>
      </c>
      <c r="AG147" s="6">
        <f>$O$147*$AA$147</f>
        <v>20201.031534908572</v>
      </c>
    </row>
    <row r="148" spans="1:33" ht="11.25" customHeight="1" x14ac:dyDescent="0.25">
      <c r="A148" s="4" t="s">
        <v>21</v>
      </c>
      <c r="B148" s="4" t="s">
        <v>38</v>
      </c>
      <c r="C148" s="4" t="s">
        <v>39</v>
      </c>
      <c r="D148" s="4" t="s">
        <v>47</v>
      </c>
      <c r="E148" s="4" t="s">
        <v>48</v>
      </c>
      <c r="F148" s="4" t="s">
        <v>25</v>
      </c>
      <c r="G148" s="4" t="s">
        <v>25</v>
      </c>
      <c r="H148" s="4" t="s">
        <v>34</v>
      </c>
      <c r="I148" s="5">
        <v>44470</v>
      </c>
      <c r="J148" s="6">
        <v>0</v>
      </c>
      <c r="K148" s="58">
        <v>0</v>
      </c>
      <c r="L148" s="6">
        <v>91.350999999999999</v>
      </c>
      <c r="M148" s="58">
        <v>91.350999999999999</v>
      </c>
      <c r="N148" s="6">
        <v>91.350999999999999</v>
      </c>
      <c r="O148" s="58">
        <v>91.350999999999999</v>
      </c>
      <c r="P148" s="6">
        <v>0</v>
      </c>
      <c r="Q148" s="4" t="s">
        <v>26</v>
      </c>
      <c r="R148" s="4">
        <v>0</v>
      </c>
      <c r="S148" s="6">
        <v>0</v>
      </c>
      <c r="T148" s="6">
        <v>21</v>
      </c>
      <c r="U148" s="6">
        <v>70</v>
      </c>
      <c r="V148" s="58">
        <f>IF(ISERROR(VLOOKUP($S$148,'TAR FIN'!$A$1:$O$88,15,0)),0,VLOOKUP($S$148,'TAR FIN'!$A$1:$O$88,15,0))</f>
        <v>0</v>
      </c>
      <c r="W148" s="58">
        <f>IF(ISERROR(VLOOKUP($T$148,'TAR FIN'!$A$1:$O$88,15,0)),0,VLOOKUP($T$148,'TAR FIN'!$A$1:$O$88,15,0))*(1-0.06)</f>
        <v>69.3626</v>
      </c>
      <c r="X148" s="58">
        <f>IF(ISERROR(VLOOKUP($U$148,'TAR FIN'!$A$1:$O$88,15,0)),0,VLOOKUP($U$148,'TAR FIN'!$A$1:$O$88,15,0))*(1-0.06)</f>
        <v>250.70739999999998</v>
      </c>
      <c r="Y148" s="58"/>
      <c r="Z148" s="58">
        <f ca="1">('TUSD BE'!$AM$12+'TUSD BF'!$AM$12+'TUSD CVA'!$AM$12)*1*(1-0.03)</f>
        <v>80.777252273332266</v>
      </c>
      <c r="AA148" s="58">
        <f>('TE BE'!$AB$6+'TE BF'!$AB$6+'TE CVA'!$AB$6)*1*(1-0.03)</f>
        <v>191.75888533886973</v>
      </c>
      <c r="AB148" s="6">
        <f>$K$148*$V$148</f>
        <v>0</v>
      </c>
      <c r="AC148" s="6">
        <f>$M$148*$W$148</f>
        <v>6336.3428726000002</v>
      </c>
      <c r="AD148" s="6">
        <f>$O$148*$X$148</f>
        <v>22902.371697399998</v>
      </c>
      <c r="AE148" s="6">
        <f>$K$148*$Y$148</f>
        <v>0</v>
      </c>
      <c r="AF148" s="6">
        <f ca="1">$M$148*$Z$148</f>
        <v>7379.0827724211758</v>
      </c>
      <c r="AG148" s="6">
        <f>$O$148*$AA$148</f>
        <v>17517.365934591089</v>
      </c>
    </row>
    <row r="149" spans="1:33" ht="11.25" customHeight="1" x14ac:dyDescent="0.25">
      <c r="A149" s="4" t="s">
        <v>21</v>
      </c>
      <c r="B149" s="4" t="s">
        <v>38</v>
      </c>
      <c r="C149" s="4" t="s">
        <v>39</v>
      </c>
      <c r="D149" s="4" t="s">
        <v>47</v>
      </c>
      <c r="E149" s="4" t="s">
        <v>48</v>
      </c>
      <c r="F149" s="4" t="s">
        <v>25</v>
      </c>
      <c r="G149" s="4" t="s">
        <v>25</v>
      </c>
      <c r="H149" s="4" t="s">
        <v>34</v>
      </c>
      <c r="I149" s="5">
        <v>44501</v>
      </c>
      <c r="J149" s="6">
        <v>0</v>
      </c>
      <c r="K149" s="58">
        <v>0</v>
      </c>
      <c r="L149" s="6">
        <v>104.70699999999999</v>
      </c>
      <c r="M149" s="58">
        <v>104.70699999999999</v>
      </c>
      <c r="N149" s="6">
        <v>104.70699999999999</v>
      </c>
      <c r="O149" s="58">
        <v>104.70699999999999</v>
      </c>
      <c r="P149" s="6">
        <v>0</v>
      </c>
      <c r="Q149" s="4" t="s">
        <v>26</v>
      </c>
      <c r="R149" s="4">
        <v>0</v>
      </c>
      <c r="S149" s="6">
        <v>0</v>
      </c>
      <c r="T149" s="6">
        <v>21</v>
      </c>
      <c r="U149" s="6">
        <v>70</v>
      </c>
      <c r="V149" s="58">
        <f>IF(ISERROR(VLOOKUP($S$149,'TAR FIN'!$A$1:$O$88,15,0)),0,VLOOKUP($S$149,'TAR FIN'!$A$1:$O$88,15,0))</f>
        <v>0</v>
      </c>
      <c r="W149" s="58">
        <f>IF(ISERROR(VLOOKUP($T$149,'TAR FIN'!$A$1:$O$88,15,0)),0,VLOOKUP($T$149,'TAR FIN'!$A$1:$O$88,15,0))*(1-0.06)</f>
        <v>69.3626</v>
      </c>
      <c r="X149" s="58">
        <f>IF(ISERROR(VLOOKUP($U$149,'TAR FIN'!$A$1:$O$88,15,0)),0,VLOOKUP($U$149,'TAR FIN'!$A$1:$O$88,15,0))*(1-0.06)</f>
        <v>250.70739999999998</v>
      </c>
      <c r="Y149" s="58"/>
      <c r="Z149" s="58">
        <f ca="1">('TUSD BE'!$AM$12+'TUSD BF'!$AM$12+'TUSD CVA'!$AM$12)*1*(1-0.03)</f>
        <v>80.777252273332266</v>
      </c>
      <c r="AA149" s="58">
        <f>('TE BE'!$AB$6+'TE BF'!$AB$6+'TE CVA'!$AB$6)*1*(1-0.03)</f>
        <v>191.75888533886973</v>
      </c>
      <c r="AB149" s="6">
        <f>$K$149*$V$149</f>
        <v>0</v>
      </c>
      <c r="AC149" s="6">
        <f>$M$149*$W$149</f>
        <v>7262.7497581999996</v>
      </c>
      <c r="AD149" s="6">
        <f>$O$149*$X$149</f>
        <v>26250.819731799995</v>
      </c>
      <c r="AE149" s="6">
        <f>$K$149*$Y$149</f>
        <v>0</v>
      </c>
      <c r="AF149" s="6">
        <f ca="1">$M$149*$Z$149</f>
        <v>8457.9437537838003</v>
      </c>
      <c r="AG149" s="6">
        <f>$O$149*$AA$149</f>
        <v>20078.497607177032</v>
      </c>
    </row>
    <row r="150" spans="1:33" ht="11.25" customHeight="1" x14ac:dyDescent="0.25">
      <c r="A150" s="4" t="s">
        <v>21</v>
      </c>
      <c r="B150" s="4" t="s">
        <v>38</v>
      </c>
      <c r="C150" s="4" t="s">
        <v>39</v>
      </c>
      <c r="D150" s="4" t="s">
        <v>47</v>
      </c>
      <c r="E150" s="4" t="s">
        <v>48</v>
      </c>
      <c r="F150" s="4" t="s">
        <v>25</v>
      </c>
      <c r="G150" s="4" t="s">
        <v>25</v>
      </c>
      <c r="H150" s="4" t="s">
        <v>34</v>
      </c>
      <c r="I150" s="5">
        <v>44531</v>
      </c>
      <c r="J150" s="6">
        <v>0</v>
      </c>
      <c r="K150" s="58">
        <v>0</v>
      </c>
      <c r="L150" s="6">
        <v>120.598</v>
      </c>
      <c r="M150" s="58">
        <v>120.598</v>
      </c>
      <c r="N150" s="6">
        <v>120.598</v>
      </c>
      <c r="O150" s="58">
        <v>120.598</v>
      </c>
      <c r="P150" s="6">
        <v>0</v>
      </c>
      <c r="Q150" s="4" t="s">
        <v>26</v>
      </c>
      <c r="R150" s="4">
        <v>0</v>
      </c>
      <c r="S150" s="6">
        <v>0</v>
      </c>
      <c r="T150" s="6">
        <v>21</v>
      </c>
      <c r="U150" s="6">
        <v>70</v>
      </c>
      <c r="V150" s="58">
        <f>IF(ISERROR(VLOOKUP($S$150,'TAR FIN'!$A$1:$O$88,15,0)),0,VLOOKUP($S$150,'TAR FIN'!$A$1:$O$88,15,0))</f>
        <v>0</v>
      </c>
      <c r="W150" s="58">
        <f>IF(ISERROR(VLOOKUP($T$150,'TAR FIN'!$A$1:$O$88,15,0)),0,VLOOKUP($T$150,'TAR FIN'!$A$1:$O$88,15,0))*(1-0.06)</f>
        <v>69.3626</v>
      </c>
      <c r="X150" s="58">
        <f>IF(ISERROR(VLOOKUP($U$150,'TAR FIN'!$A$1:$O$88,15,0)),0,VLOOKUP($U$150,'TAR FIN'!$A$1:$O$88,15,0))*(1-0.06)</f>
        <v>250.70739999999998</v>
      </c>
      <c r="Y150" s="58"/>
      <c r="Z150" s="58">
        <f ca="1">('TUSD BE'!$AM$12+'TUSD BF'!$AM$12+'TUSD CVA'!$AM$12)*1*(1-0.03)</f>
        <v>80.777252273332266</v>
      </c>
      <c r="AA150" s="58">
        <f>('TE BE'!$AB$6+'TE BF'!$AB$6+'TE CVA'!$AB$6)*1*(1-0.03)</f>
        <v>191.75888533886973</v>
      </c>
      <c r="AB150" s="6">
        <f>$K$150*$V$150</f>
        <v>0</v>
      </c>
      <c r="AC150" s="6">
        <f>$M$150*$W$150</f>
        <v>8364.9908348000008</v>
      </c>
      <c r="AD150" s="6">
        <f>$O$150*$X$150</f>
        <v>30234.811025199997</v>
      </c>
      <c r="AE150" s="6">
        <f>$K$150*$Y$150</f>
        <v>0</v>
      </c>
      <c r="AF150" s="6">
        <f ca="1">$M$150*$Z$150</f>
        <v>9741.5750696593241</v>
      </c>
      <c r="AG150" s="6">
        <f>$O$150*$AA$150</f>
        <v>23125.738054097012</v>
      </c>
    </row>
    <row r="151" spans="1:33" ht="11.25" customHeight="1" x14ac:dyDescent="0.25">
      <c r="A151" s="4" t="s">
        <v>21</v>
      </c>
      <c r="B151" s="4" t="s">
        <v>38</v>
      </c>
      <c r="C151" s="4" t="s">
        <v>39</v>
      </c>
      <c r="D151" s="4" t="s">
        <v>47</v>
      </c>
      <c r="E151" s="4" t="s">
        <v>48</v>
      </c>
      <c r="F151" s="4" t="s">
        <v>25</v>
      </c>
      <c r="G151" s="4" t="s">
        <v>25</v>
      </c>
      <c r="H151" s="4" t="s">
        <v>34</v>
      </c>
      <c r="I151" s="5">
        <v>44562</v>
      </c>
      <c r="J151" s="6">
        <v>0</v>
      </c>
      <c r="K151" s="58">
        <v>0</v>
      </c>
      <c r="L151" s="6">
        <v>111.91200000000001</v>
      </c>
      <c r="M151" s="58">
        <v>111.91200000000001</v>
      </c>
      <c r="N151" s="6">
        <v>111.91200000000001</v>
      </c>
      <c r="O151" s="58">
        <v>111.91200000000001</v>
      </c>
      <c r="P151" s="6">
        <v>0</v>
      </c>
      <c r="Q151" s="4" t="s">
        <v>26</v>
      </c>
      <c r="R151" s="4">
        <v>0</v>
      </c>
      <c r="S151" s="6">
        <v>0</v>
      </c>
      <c r="T151" s="6">
        <v>21</v>
      </c>
      <c r="U151" s="6">
        <v>70</v>
      </c>
      <c r="V151" s="58">
        <f>IF(ISERROR(VLOOKUP($S$151,'TAR FIN'!$A$1:$O$88,15,0)),0,VLOOKUP($S$151,'TAR FIN'!$A$1:$O$88,15,0))</f>
        <v>0</v>
      </c>
      <c r="W151" s="58">
        <f>IF(ISERROR(VLOOKUP($T$151,'TAR FIN'!$A$1:$O$88,15,0)),0,VLOOKUP($T$151,'TAR FIN'!$A$1:$O$88,15,0))*(1-0.06)</f>
        <v>69.3626</v>
      </c>
      <c r="X151" s="58">
        <f>IF(ISERROR(VLOOKUP($U$151,'TAR FIN'!$A$1:$O$88,15,0)),0,VLOOKUP($U$151,'TAR FIN'!$A$1:$O$88,15,0))*(1-0.06)</f>
        <v>250.70739999999998</v>
      </c>
      <c r="Y151" s="58"/>
      <c r="Z151" s="58">
        <f ca="1">('TUSD BE'!$AM$12+'TUSD BF'!$AM$12+'TUSD CVA'!$AM$12)*1*(1-0.03)</f>
        <v>80.777252273332266</v>
      </c>
      <c r="AA151" s="58">
        <f>('TE BE'!$AB$6+'TE BF'!$AB$6+'TE CVA'!$AB$6)*1*(1-0.03)</f>
        <v>191.75888533886973</v>
      </c>
      <c r="AB151" s="6">
        <f>$K$151*$V$151</f>
        <v>0</v>
      </c>
      <c r="AC151" s="6">
        <f>$M$151*$W$151</f>
        <v>7762.5072912000005</v>
      </c>
      <c r="AD151" s="6">
        <f>$O$151*$X$151</f>
        <v>28057.1665488</v>
      </c>
      <c r="AE151" s="6">
        <f>$K$151*$Y$151</f>
        <v>0</v>
      </c>
      <c r="AF151" s="6">
        <f ca="1">$M$151*$Z$151</f>
        <v>9039.9438564131615</v>
      </c>
      <c r="AG151" s="6">
        <f>$O$151*$AA$151</f>
        <v>21460.120376043589</v>
      </c>
    </row>
    <row r="152" spans="1:33" ht="11.25" customHeight="1" x14ac:dyDescent="0.25">
      <c r="A152" s="4" t="s">
        <v>21</v>
      </c>
      <c r="B152" s="4" t="s">
        <v>38</v>
      </c>
      <c r="C152" s="4" t="s">
        <v>39</v>
      </c>
      <c r="D152" s="4" t="s">
        <v>47</v>
      </c>
      <c r="E152" s="4" t="s">
        <v>48</v>
      </c>
      <c r="F152" s="4" t="s">
        <v>25</v>
      </c>
      <c r="G152" s="4" t="s">
        <v>25</v>
      </c>
      <c r="H152" s="4" t="s">
        <v>34</v>
      </c>
      <c r="I152" s="5">
        <v>44593</v>
      </c>
      <c r="J152" s="6">
        <v>0</v>
      </c>
      <c r="K152" s="58">
        <v>0</v>
      </c>
      <c r="L152" s="6">
        <v>101.56</v>
      </c>
      <c r="M152" s="58">
        <v>101.56</v>
      </c>
      <c r="N152" s="6">
        <v>101.56</v>
      </c>
      <c r="O152" s="58">
        <v>101.56</v>
      </c>
      <c r="P152" s="6">
        <v>0</v>
      </c>
      <c r="Q152" s="4" t="s">
        <v>26</v>
      </c>
      <c r="R152" s="4">
        <v>0</v>
      </c>
      <c r="S152" s="6">
        <v>0</v>
      </c>
      <c r="T152" s="6">
        <v>21</v>
      </c>
      <c r="U152" s="6">
        <v>70</v>
      </c>
      <c r="V152" s="58">
        <f>IF(ISERROR(VLOOKUP($S$152,'TAR FIN'!$A$1:$O$88,15,0)),0,VLOOKUP($S$152,'TAR FIN'!$A$1:$O$88,15,0))</f>
        <v>0</v>
      </c>
      <c r="W152" s="58">
        <f>IF(ISERROR(VLOOKUP($T$152,'TAR FIN'!$A$1:$O$88,15,0)),0,VLOOKUP($T$152,'TAR FIN'!$A$1:$O$88,15,0))*(1-0.06)</f>
        <v>69.3626</v>
      </c>
      <c r="X152" s="58">
        <f>IF(ISERROR(VLOOKUP($U$152,'TAR FIN'!$A$1:$O$88,15,0)),0,VLOOKUP($U$152,'TAR FIN'!$A$1:$O$88,15,0))*(1-0.06)</f>
        <v>250.70739999999998</v>
      </c>
      <c r="Y152" s="58"/>
      <c r="Z152" s="58">
        <f ca="1">('TUSD BE'!$AM$12+'TUSD BF'!$AM$12+'TUSD CVA'!$AM$12)*1*(1-0.03)</f>
        <v>80.777252273332266</v>
      </c>
      <c r="AA152" s="58">
        <f>('TE BE'!$AB$6+'TE BF'!$AB$6+'TE CVA'!$AB$6)*1*(1-0.03)</f>
        <v>191.75888533886973</v>
      </c>
      <c r="AB152" s="6">
        <f>$K$152*$V$152</f>
        <v>0</v>
      </c>
      <c r="AC152" s="6">
        <f>$M$152*$W$152</f>
        <v>7044.4656560000003</v>
      </c>
      <c r="AD152" s="6">
        <f>$O$152*$X$152</f>
        <v>25461.843543999999</v>
      </c>
      <c r="AE152" s="6">
        <f>$K$152*$Y$152</f>
        <v>0</v>
      </c>
      <c r="AF152" s="6">
        <f ca="1">$M$152*$Z$152</f>
        <v>8203.7377408796256</v>
      </c>
      <c r="AG152" s="6">
        <f>$O$152*$AA$152</f>
        <v>19475.032395015609</v>
      </c>
    </row>
    <row r="153" spans="1:33" ht="11.25" customHeight="1" x14ac:dyDescent="0.25">
      <c r="A153" s="4" t="s">
        <v>21</v>
      </c>
      <c r="B153" s="4" t="s">
        <v>38</v>
      </c>
      <c r="C153" s="4" t="s">
        <v>39</v>
      </c>
      <c r="D153" s="4" t="s">
        <v>47</v>
      </c>
      <c r="E153" s="4" t="s">
        <v>48</v>
      </c>
      <c r="F153" s="4" t="s">
        <v>25</v>
      </c>
      <c r="G153" s="4" t="s">
        <v>25</v>
      </c>
      <c r="H153" s="4" t="s">
        <v>34</v>
      </c>
      <c r="I153" s="5">
        <v>44621</v>
      </c>
      <c r="J153" s="6">
        <v>0</v>
      </c>
      <c r="K153" s="58">
        <v>0</v>
      </c>
      <c r="L153" s="6">
        <v>116.85</v>
      </c>
      <c r="M153" s="58">
        <v>116.85</v>
      </c>
      <c r="N153" s="6">
        <v>116.85</v>
      </c>
      <c r="O153" s="58">
        <v>116.85</v>
      </c>
      <c r="P153" s="6">
        <v>0</v>
      </c>
      <c r="Q153" s="4" t="s">
        <v>26</v>
      </c>
      <c r="R153" s="4">
        <v>0</v>
      </c>
      <c r="S153" s="6">
        <v>0</v>
      </c>
      <c r="T153" s="6">
        <v>21</v>
      </c>
      <c r="U153" s="6">
        <v>70</v>
      </c>
      <c r="V153" s="58">
        <f>IF(ISERROR(VLOOKUP($S$153,'TAR FIN'!$A$1:$O$88,15,0)),0,VLOOKUP($S$153,'TAR FIN'!$A$1:$O$88,15,0))</f>
        <v>0</v>
      </c>
      <c r="W153" s="58">
        <f>IF(ISERROR(VLOOKUP($T$153,'TAR FIN'!$A$1:$O$88,15,0)),0,VLOOKUP($T$153,'TAR FIN'!$A$1:$O$88,15,0))*(1-0.06)</f>
        <v>69.3626</v>
      </c>
      <c r="X153" s="58">
        <f>IF(ISERROR(VLOOKUP($U$153,'TAR FIN'!$A$1:$O$88,15,0)),0,VLOOKUP($U$153,'TAR FIN'!$A$1:$O$88,15,0))*(1-0.06)</f>
        <v>250.70739999999998</v>
      </c>
      <c r="Y153" s="58"/>
      <c r="Z153" s="58">
        <f ca="1">('TUSD BE'!$AM$12+'TUSD BF'!$AM$12+'TUSD CVA'!$AM$12)*1*(1-0.03)</f>
        <v>80.777252273332266</v>
      </c>
      <c r="AA153" s="58">
        <f>('TE BE'!$AB$6+'TE BF'!$AB$6+'TE CVA'!$AB$6)*1*(1-0.03)</f>
        <v>191.75888533886973</v>
      </c>
      <c r="AB153" s="6">
        <f>$K$153*$V$153</f>
        <v>0</v>
      </c>
      <c r="AC153" s="6">
        <f>$M$153*$W$153</f>
        <v>8105.0198099999998</v>
      </c>
      <c r="AD153" s="6">
        <f>$O$153*$X$153</f>
        <v>29295.159689999997</v>
      </c>
      <c r="AE153" s="6">
        <f>$K$153*$Y$153</f>
        <v>0</v>
      </c>
      <c r="AF153" s="6">
        <f ca="1">$M$153*$Z$153</f>
        <v>9438.8219281388756</v>
      </c>
      <c r="AG153" s="6">
        <f>$O$153*$AA$153</f>
        <v>22407.025751846926</v>
      </c>
    </row>
    <row r="154" spans="1:33" ht="11.25" customHeight="1" x14ac:dyDescent="0.25">
      <c r="A154" s="4" t="s">
        <v>21</v>
      </c>
      <c r="B154" s="4" t="s">
        <v>38</v>
      </c>
      <c r="C154" s="4" t="s">
        <v>39</v>
      </c>
      <c r="D154" s="4" t="s">
        <v>47</v>
      </c>
      <c r="E154" s="4" t="s">
        <v>48</v>
      </c>
      <c r="F154" s="4" t="s">
        <v>25</v>
      </c>
      <c r="G154" s="4" t="s">
        <v>25</v>
      </c>
      <c r="H154" s="4" t="s">
        <v>34</v>
      </c>
      <c r="I154" s="5">
        <v>44652</v>
      </c>
      <c r="J154" s="6">
        <v>0</v>
      </c>
      <c r="K154" s="58">
        <v>0</v>
      </c>
      <c r="L154" s="6">
        <v>105.839</v>
      </c>
      <c r="M154" s="58">
        <v>105.839</v>
      </c>
      <c r="N154" s="6">
        <v>105.839</v>
      </c>
      <c r="O154" s="58">
        <v>105.839</v>
      </c>
      <c r="P154" s="6">
        <v>0</v>
      </c>
      <c r="Q154" s="4" t="s">
        <v>26</v>
      </c>
      <c r="R154" s="4">
        <v>0</v>
      </c>
      <c r="S154" s="6">
        <v>0</v>
      </c>
      <c r="T154" s="6">
        <v>21</v>
      </c>
      <c r="U154" s="6">
        <v>70</v>
      </c>
      <c r="V154" s="58">
        <f>IF(ISERROR(VLOOKUP($S$154,'TAR FIN'!$A$1:$O$88,15,0)),0,VLOOKUP($S$154,'TAR FIN'!$A$1:$O$88,15,0))</f>
        <v>0</v>
      </c>
      <c r="W154" s="58">
        <f>IF(ISERROR(VLOOKUP($T$154,'TAR FIN'!$A$1:$O$88,15,0)),0,VLOOKUP($T$154,'TAR FIN'!$A$1:$O$88,15,0))*(1-0.06)</f>
        <v>69.3626</v>
      </c>
      <c r="X154" s="58">
        <f>IF(ISERROR(VLOOKUP($U$154,'TAR FIN'!$A$1:$O$88,15,0)),0,VLOOKUP($U$154,'TAR FIN'!$A$1:$O$88,15,0))*(1-0.06)</f>
        <v>250.70739999999998</v>
      </c>
      <c r="Y154" s="58"/>
      <c r="Z154" s="58">
        <f ca="1">('TUSD BE'!$AM$12+'TUSD BF'!$AM$12+'TUSD CVA'!$AM$12)*1*(1-0.03)</f>
        <v>80.777252273332266</v>
      </c>
      <c r="AA154" s="58">
        <f>('TE BE'!$AB$6+'TE BF'!$AB$6+'TE CVA'!$AB$6)*1*(1-0.03)</f>
        <v>191.75888533886973</v>
      </c>
      <c r="AB154" s="6">
        <f>$K$154*$V$154</f>
        <v>0</v>
      </c>
      <c r="AC154" s="6">
        <f>$M$154*$W$154</f>
        <v>7341.2682213999997</v>
      </c>
      <c r="AD154" s="6">
        <f>$O$154*$X$154</f>
        <v>26534.620508599997</v>
      </c>
      <c r="AE154" s="6">
        <f>$K$154*$Y$154</f>
        <v>0</v>
      </c>
      <c r="AF154" s="6">
        <f ca="1">$M$154*$Z$154</f>
        <v>8549.3836033572134</v>
      </c>
      <c r="AG154" s="6">
        <f>$O$154*$AA$154</f>
        <v>20295.568665380633</v>
      </c>
    </row>
    <row r="155" spans="1:33" ht="11.25" customHeight="1" x14ac:dyDescent="0.25">
      <c r="A155" s="4" t="s">
        <v>21</v>
      </c>
      <c r="B155" s="4" t="s">
        <v>38</v>
      </c>
      <c r="C155" s="4" t="s">
        <v>39</v>
      </c>
      <c r="D155" s="4" t="s">
        <v>47</v>
      </c>
      <c r="E155" s="4" t="s">
        <v>48</v>
      </c>
      <c r="F155" s="4" t="s">
        <v>25</v>
      </c>
      <c r="G155" s="4" t="s">
        <v>25</v>
      </c>
      <c r="H155" s="4" t="s">
        <v>34</v>
      </c>
      <c r="I155" s="5">
        <v>44682</v>
      </c>
      <c r="J155" s="6">
        <v>0</v>
      </c>
      <c r="K155" s="58">
        <v>0</v>
      </c>
      <c r="L155" s="6">
        <v>110.95099999999999</v>
      </c>
      <c r="M155" s="58">
        <v>110.95099999999999</v>
      </c>
      <c r="N155" s="6">
        <v>110.95099999999999</v>
      </c>
      <c r="O155" s="58">
        <v>110.95099999999999</v>
      </c>
      <c r="P155" s="6">
        <v>0</v>
      </c>
      <c r="Q155" s="4" t="s">
        <v>26</v>
      </c>
      <c r="R155" s="4">
        <v>0</v>
      </c>
      <c r="S155" s="6">
        <v>0</v>
      </c>
      <c r="T155" s="6">
        <v>21</v>
      </c>
      <c r="U155" s="6">
        <v>70</v>
      </c>
      <c r="V155" s="58">
        <f>IF(ISERROR(VLOOKUP($S$155,'TAR FIN'!$A$1:$O$88,15,0)),0,VLOOKUP($S$155,'TAR FIN'!$A$1:$O$88,15,0))</f>
        <v>0</v>
      </c>
      <c r="W155" s="58">
        <f>IF(ISERROR(VLOOKUP($T$155,'TAR FIN'!$A$1:$O$88,15,0)),0,VLOOKUP($T$155,'TAR FIN'!$A$1:$O$88,15,0))*(1-0.06)</f>
        <v>69.3626</v>
      </c>
      <c r="X155" s="58">
        <f>IF(ISERROR(VLOOKUP($U$155,'TAR FIN'!$A$1:$O$88,15,0)),0,VLOOKUP($U$155,'TAR FIN'!$A$1:$O$88,15,0))*(1-0.06)</f>
        <v>250.70739999999998</v>
      </c>
      <c r="Y155" s="58"/>
      <c r="Z155" s="58">
        <f ca="1">('TUSD BE'!$AM$12+'TUSD BF'!$AM$12+'TUSD CVA'!$AM$12)*1*(1-0.03)</f>
        <v>80.777252273332266</v>
      </c>
      <c r="AA155" s="58">
        <f>('TE BE'!$AB$6+'TE BF'!$AB$6+'TE CVA'!$AB$6)*1*(1-0.03)</f>
        <v>191.75888533886973</v>
      </c>
      <c r="AB155" s="6">
        <f>$K$155*$V$155</f>
        <v>0</v>
      </c>
      <c r="AC155" s="6">
        <f>$M$155*$W$155</f>
        <v>7695.8498325999999</v>
      </c>
      <c r="AD155" s="6">
        <f>$O$155*$X$155</f>
        <v>27816.236737399995</v>
      </c>
      <c r="AE155" s="6">
        <f>$K$155*$Y$155</f>
        <v>0</v>
      </c>
      <c r="AF155" s="6">
        <f ca="1">$M$155*$Z$155</f>
        <v>8962.3169169784869</v>
      </c>
      <c r="AG155" s="6">
        <f>$O$155*$AA$155</f>
        <v>21275.840087232933</v>
      </c>
    </row>
    <row r="156" spans="1:33" ht="11.25" customHeight="1" x14ac:dyDescent="0.25">
      <c r="A156" s="4" t="s">
        <v>21</v>
      </c>
      <c r="B156" s="4" t="s">
        <v>38</v>
      </c>
      <c r="C156" s="4" t="s">
        <v>39</v>
      </c>
      <c r="D156" s="4" t="s">
        <v>47</v>
      </c>
      <c r="E156" s="4" t="s">
        <v>48</v>
      </c>
      <c r="F156" s="4" t="s">
        <v>25</v>
      </c>
      <c r="G156" s="4" t="s">
        <v>25</v>
      </c>
      <c r="H156" s="4" t="s">
        <v>34</v>
      </c>
      <c r="I156" s="5">
        <v>44713</v>
      </c>
      <c r="J156" s="6">
        <v>0</v>
      </c>
      <c r="K156" s="58">
        <v>0</v>
      </c>
      <c r="L156" s="6">
        <v>106.52</v>
      </c>
      <c r="M156" s="58">
        <v>106.52</v>
      </c>
      <c r="N156" s="6">
        <v>106.52</v>
      </c>
      <c r="O156" s="58">
        <v>106.52</v>
      </c>
      <c r="P156" s="6">
        <v>0</v>
      </c>
      <c r="Q156" s="4" t="s">
        <v>26</v>
      </c>
      <c r="R156" s="4">
        <v>0</v>
      </c>
      <c r="S156" s="6">
        <v>0</v>
      </c>
      <c r="T156" s="6">
        <v>21</v>
      </c>
      <c r="U156" s="6">
        <v>70</v>
      </c>
      <c r="V156" s="58">
        <f>IF(ISERROR(VLOOKUP($S$156,'TAR FIN'!$A$1:$O$88,15,0)),0,VLOOKUP($S$156,'TAR FIN'!$A$1:$O$88,15,0))</f>
        <v>0</v>
      </c>
      <c r="W156" s="58">
        <f>IF(ISERROR(VLOOKUP($T$156,'TAR FIN'!$A$1:$O$88,15,0)),0,VLOOKUP($T$156,'TAR FIN'!$A$1:$O$88,15,0))*(1-0.06)</f>
        <v>69.3626</v>
      </c>
      <c r="X156" s="58">
        <f>IF(ISERROR(VLOOKUP($U$156,'TAR FIN'!$A$1:$O$88,15,0)),0,VLOOKUP($U$156,'TAR FIN'!$A$1:$O$88,15,0))*(1-0.06)</f>
        <v>250.70739999999998</v>
      </c>
      <c r="Y156" s="58"/>
      <c r="Z156" s="58">
        <f ca="1">('TUSD BE'!$AM$12+'TUSD BF'!$AM$12+'TUSD CVA'!$AM$12)*1*(1-0.03)</f>
        <v>80.777252273332266</v>
      </c>
      <c r="AA156" s="58">
        <f>('TE BE'!$AB$6+'TE BF'!$AB$6+'TE CVA'!$AB$6)*1*(1-0.03)</f>
        <v>191.75888533886973</v>
      </c>
      <c r="AB156" s="6">
        <f>$K$156*$V$156</f>
        <v>0</v>
      </c>
      <c r="AC156" s="6">
        <f>$M$156*$W$156</f>
        <v>7388.5041519999995</v>
      </c>
      <c r="AD156" s="6">
        <f>$O$156*$X$156</f>
        <v>26705.352247999996</v>
      </c>
      <c r="AE156" s="6">
        <f>$K$156*$Y$156</f>
        <v>0</v>
      </c>
      <c r="AF156" s="6">
        <f ca="1">$M$156*$Z$156</f>
        <v>8604.392912155352</v>
      </c>
      <c r="AG156" s="6">
        <f>$O$156*$AA$156</f>
        <v>20426.156466296405</v>
      </c>
    </row>
    <row r="157" spans="1:33" ht="11.25" customHeight="1" x14ac:dyDescent="0.25">
      <c r="A157" s="4" t="s">
        <v>55</v>
      </c>
      <c r="B157" s="4" t="s">
        <v>38</v>
      </c>
      <c r="C157" s="4" t="s">
        <v>39</v>
      </c>
      <c r="D157" s="4" t="s">
        <v>47</v>
      </c>
      <c r="E157" s="4" t="s">
        <v>48</v>
      </c>
      <c r="F157" s="4" t="s">
        <v>25</v>
      </c>
      <c r="G157" s="4" t="s">
        <v>25</v>
      </c>
      <c r="H157" s="4" t="s">
        <v>34</v>
      </c>
      <c r="I157" s="5">
        <v>44743</v>
      </c>
      <c r="J157" s="6">
        <v>0</v>
      </c>
      <c r="K157" s="58">
        <v>0</v>
      </c>
      <c r="L157" s="6">
        <v>106.52</v>
      </c>
      <c r="M157" s="58">
        <v>106.52</v>
      </c>
      <c r="N157" s="6">
        <v>106.52</v>
      </c>
      <c r="O157" s="58">
        <v>106.52</v>
      </c>
      <c r="P157" s="6">
        <v>0</v>
      </c>
      <c r="Q157" s="4" t="s">
        <v>26</v>
      </c>
      <c r="R157" s="4">
        <v>0</v>
      </c>
      <c r="S157" s="6">
        <v>0</v>
      </c>
      <c r="T157" s="6">
        <v>21</v>
      </c>
      <c r="U157" s="6">
        <v>70</v>
      </c>
      <c r="V157" s="58">
        <f>IF(ISERROR(VLOOKUP($S$157,'TAR FIN'!$A$1:$O$88,15,0)),0,VLOOKUP($S$157,'TAR FIN'!$A$1:$O$88,15,0))</f>
        <v>0</v>
      </c>
      <c r="W157" s="58">
        <f>IF(ISERROR(VLOOKUP($T$157,'TAR FIN'!$A$1:$O$88,15,0)),0,VLOOKUP($T$157,'TAR FIN'!$A$1:$O$88,15,0))*(1-0.06)</f>
        <v>69.3626</v>
      </c>
      <c r="X157" s="58">
        <f>IF(ISERROR(VLOOKUP($U$157,'TAR FIN'!$A$1:$O$88,15,0)),0,VLOOKUP($U$157,'TAR FIN'!$A$1:$O$88,15,0))*(1-0.06)</f>
        <v>250.70739999999998</v>
      </c>
      <c r="Y157" s="58"/>
      <c r="Z157" s="58">
        <f ca="1">('TUSD BE'!$AM$12+'TUSD BF'!$AM$12+'TUSD CVA'!$AM$12)*1*(1-0.03)</f>
        <v>80.777252273332266</v>
      </c>
      <c r="AA157" s="58">
        <f>('TE BE'!$AB$6+'TE BF'!$AB$6+'TE CVA'!$AB$6)*1*(1-0.03)</f>
        <v>191.75888533886973</v>
      </c>
      <c r="AB157" s="6">
        <f>$K$157*$V$157</f>
        <v>0</v>
      </c>
      <c r="AC157" s="6">
        <f>$M$157*$W$157</f>
        <v>7388.5041519999995</v>
      </c>
      <c r="AD157" s="6">
        <f>$O$157*$X$157</f>
        <v>26705.352247999996</v>
      </c>
      <c r="AE157" s="6">
        <f>$K$157*$Y$157</f>
        <v>0</v>
      </c>
      <c r="AF157" s="6">
        <f ca="1">$M$157*$Z$157</f>
        <v>8604.392912155352</v>
      </c>
      <c r="AG157" s="6">
        <f>$O$157*$AA$157</f>
        <v>20426.156466296405</v>
      </c>
    </row>
    <row r="158" spans="1:33" ht="11.25" customHeight="1" x14ac:dyDescent="0.25">
      <c r="A158" s="4" t="s">
        <v>21</v>
      </c>
      <c r="B158" s="4" t="s">
        <v>38</v>
      </c>
      <c r="C158" s="4" t="s">
        <v>39</v>
      </c>
      <c r="D158" s="4" t="s">
        <v>47</v>
      </c>
      <c r="E158" s="4" t="s">
        <v>48</v>
      </c>
      <c r="F158" s="4" t="s">
        <v>25</v>
      </c>
      <c r="G158" s="4" t="s">
        <v>25</v>
      </c>
      <c r="H158" s="4" t="s">
        <v>25</v>
      </c>
      <c r="I158" s="5">
        <v>44409</v>
      </c>
      <c r="J158" s="6">
        <v>244</v>
      </c>
      <c r="K158" s="59">
        <v>244</v>
      </c>
      <c r="L158" s="6">
        <v>0</v>
      </c>
      <c r="M158" s="58">
        <v>0</v>
      </c>
      <c r="N158" s="6">
        <v>0</v>
      </c>
      <c r="O158" s="58">
        <v>0</v>
      </c>
      <c r="P158" s="6">
        <v>2</v>
      </c>
      <c r="Q158" s="4" t="s">
        <v>26</v>
      </c>
      <c r="R158" s="4">
        <v>0</v>
      </c>
      <c r="S158" s="6">
        <v>15</v>
      </c>
      <c r="T158" s="6">
        <v>0</v>
      </c>
      <c r="U158" s="6">
        <v>0</v>
      </c>
      <c r="V158" s="58">
        <f>IF(ISERROR(VLOOKUP($S$158,'TAR FIN'!$A$1:$O$88,15,0)),0,VLOOKUP($S$158,'TAR FIN'!$A$1:$O$88,15,0))*(1-0.06)</f>
        <v>16.1586</v>
      </c>
      <c r="W158" s="58">
        <f>IF(ISERROR(VLOOKUP($T$158,'TAR FIN'!$A$1:$O$88,15,0)),0,VLOOKUP($T$158,'TAR FIN'!$A$1:$O$88,15,0))</f>
        <v>0</v>
      </c>
      <c r="X158" s="58">
        <f>IF(ISERROR(VLOOKUP($U$158,'TAR FIN'!$A$1:$O$88,15,0)),0,VLOOKUP($U$158,'TAR FIN'!$A$1:$O$88,15,0))</f>
        <v>0</v>
      </c>
      <c r="Y158" s="58">
        <f ca="1">('TUSD BE'!$AM$10+'TUSD BF'!$AM$10+'TUSD CVA'!$AM$10)*1*(1-0.03)</f>
        <v>13.250650868869648</v>
      </c>
      <c r="Z158" s="58"/>
      <c r="AA158" s="58"/>
      <c r="AB158" s="6">
        <f>$K$158*$V$158</f>
        <v>3942.6983999999998</v>
      </c>
      <c r="AC158" s="6">
        <f>$M$158*$W$158</f>
        <v>0</v>
      </c>
      <c r="AD158" s="6">
        <f>$O$158*$X$158</f>
        <v>0</v>
      </c>
      <c r="AE158" s="6">
        <f ca="1">$K$158*$Y$158</f>
        <v>3233.1588120041943</v>
      </c>
      <c r="AF158" s="6">
        <f>$M$158*$Z$158</f>
        <v>0</v>
      </c>
      <c r="AG158" s="6">
        <f>$O$158*$AA$158</f>
        <v>0</v>
      </c>
    </row>
    <row r="159" spans="1:33" ht="11.25" customHeight="1" x14ac:dyDescent="0.25">
      <c r="A159" s="4" t="s">
        <v>21</v>
      </c>
      <c r="B159" s="4" t="s">
        <v>38</v>
      </c>
      <c r="C159" s="4" t="s">
        <v>39</v>
      </c>
      <c r="D159" s="4" t="s">
        <v>47</v>
      </c>
      <c r="E159" s="4" t="s">
        <v>48</v>
      </c>
      <c r="F159" s="4" t="s">
        <v>25</v>
      </c>
      <c r="G159" s="4" t="s">
        <v>25</v>
      </c>
      <c r="H159" s="4" t="s">
        <v>25</v>
      </c>
      <c r="I159" s="5">
        <v>44440</v>
      </c>
      <c r="J159" s="6">
        <v>244</v>
      </c>
      <c r="K159" s="59">
        <v>244</v>
      </c>
      <c r="L159" s="6">
        <v>0</v>
      </c>
      <c r="M159" s="58">
        <v>0</v>
      </c>
      <c r="N159" s="6">
        <v>0</v>
      </c>
      <c r="O159" s="58">
        <v>0</v>
      </c>
      <c r="P159" s="6">
        <v>2</v>
      </c>
      <c r="Q159" s="4" t="s">
        <v>26</v>
      </c>
      <c r="R159" s="4">
        <v>0</v>
      </c>
      <c r="S159" s="6">
        <v>15</v>
      </c>
      <c r="T159" s="6">
        <v>0</v>
      </c>
      <c r="U159" s="6">
        <v>0</v>
      </c>
      <c r="V159" s="58">
        <f>IF(ISERROR(VLOOKUP($S$159,'TAR FIN'!$A$1:$O$88,15,0)),0,VLOOKUP($S$159,'TAR FIN'!$A$1:$O$88,15,0))*(1-0.06)</f>
        <v>16.1586</v>
      </c>
      <c r="W159" s="58">
        <f>IF(ISERROR(VLOOKUP($T$159,'TAR FIN'!$A$1:$O$88,15,0)),0,VLOOKUP($T$159,'TAR FIN'!$A$1:$O$88,15,0))</f>
        <v>0</v>
      </c>
      <c r="X159" s="58">
        <f>IF(ISERROR(VLOOKUP($U$159,'TAR FIN'!$A$1:$O$88,15,0)),0,VLOOKUP($U$159,'TAR FIN'!$A$1:$O$88,15,0))</f>
        <v>0</v>
      </c>
      <c r="Y159" s="58">
        <f ca="1">('TUSD BE'!$AM$10+'TUSD BF'!$AM$10+'TUSD CVA'!$AM$10)*1*(1-0.03)</f>
        <v>13.250650868869648</v>
      </c>
      <c r="Z159" s="58"/>
      <c r="AA159" s="58"/>
      <c r="AB159" s="6">
        <f>$K$159*$V$159</f>
        <v>3942.6983999999998</v>
      </c>
      <c r="AC159" s="6">
        <f>$M$159*$W$159</f>
        <v>0</v>
      </c>
      <c r="AD159" s="6">
        <f>$O$159*$X$159</f>
        <v>0</v>
      </c>
      <c r="AE159" s="6">
        <f ca="1">$K$159*$Y$159</f>
        <v>3233.1588120041943</v>
      </c>
      <c r="AF159" s="6">
        <f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38</v>
      </c>
      <c r="C160" s="4" t="s">
        <v>39</v>
      </c>
      <c r="D160" s="4" t="s">
        <v>47</v>
      </c>
      <c r="E160" s="4" t="s">
        <v>48</v>
      </c>
      <c r="F160" s="4" t="s">
        <v>25</v>
      </c>
      <c r="G160" s="4" t="s">
        <v>25</v>
      </c>
      <c r="H160" s="4" t="s">
        <v>25</v>
      </c>
      <c r="I160" s="5">
        <v>44470</v>
      </c>
      <c r="J160" s="6">
        <v>245</v>
      </c>
      <c r="K160" s="59">
        <v>245</v>
      </c>
      <c r="L160" s="6">
        <v>0</v>
      </c>
      <c r="M160" s="58">
        <v>0</v>
      </c>
      <c r="N160" s="6">
        <v>0</v>
      </c>
      <c r="O160" s="58">
        <v>0</v>
      </c>
      <c r="P160" s="6">
        <v>2</v>
      </c>
      <c r="Q160" s="4" t="s">
        <v>26</v>
      </c>
      <c r="R160" s="4">
        <v>0</v>
      </c>
      <c r="S160" s="6">
        <v>15</v>
      </c>
      <c r="T160" s="6">
        <v>0</v>
      </c>
      <c r="U160" s="6">
        <v>0</v>
      </c>
      <c r="V160" s="58">
        <f>IF(ISERROR(VLOOKUP($S$160,'TAR FIN'!$A$1:$O$88,15,0)),0,VLOOKUP($S$160,'TAR FIN'!$A$1:$O$88,15,0))*(1-0.06)</f>
        <v>16.1586</v>
      </c>
      <c r="W160" s="58">
        <f>IF(ISERROR(VLOOKUP($T$160,'TAR FIN'!$A$1:$O$88,15,0)),0,VLOOKUP($T$160,'TAR FIN'!$A$1:$O$88,15,0))</f>
        <v>0</v>
      </c>
      <c r="X160" s="58">
        <f>IF(ISERROR(VLOOKUP($U$160,'TAR FIN'!$A$1:$O$88,15,0)),0,VLOOKUP($U$160,'TAR FIN'!$A$1:$O$88,15,0))</f>
        <v>0</v>
      </c>
      <c r="Y160" s="58">
        <f ca="1">('TUSD BE'!$AM$10+'TUSD BF'!$AM$10+'TUSD CVA'!$AM$10)*1*(1-0.03)</f>
        <v>13.250650868869648</v>
      </c>
      <c r="Z160" s="58"/>
      <c r="AA160" s="58"/>
      <c r="AB160" s="6">
        <f>$K$160*$V$160</f>
        <v>3958.857</v>
      </c>
      <c r="AC160" s="6">
        <f>$M$160*$W$160</f>
        <v>0</v>
      </c>
      <c r="AD160" s="6">
        <f>$O$160*$X$160</f>
        <v>0</v>
      </c>
      <c r="AE160" s="6">
        <f ca="1">$K$160*$Y$160</f>
        <v>3246.4094628730641</v>
      </c>
      <c r="AF160" s="6">
        <f>$M$160*$Z$160</f>
        <v>0</v>
      </c>
      <c r="AG160" s="6">
        <f>$O$160*$AA$160</f>
        <v>0</v>
      </c>
    </row>
    <row r="161" spans="1:33" ht="11.25" customHeight="1" x14ac:dyDescent="0.25">
      <c r="A161" s="4" t="s">
        <v>21</v>
      </c>
      <c r="B161" s="4" t="s">
        <v>38</v>
      </c>
      <c r="C161" s="4" t="s">
        <v>39</v>
      </c>
      <c r="D161" s="4" t="s">
        <v>47</v>
      </c>
      <c r="E161" s="4" t="s">
        <v>48</v>
      </c>
      <c r="F161" s="4" t="s">
        <v>25</v>
      </c>
      <c r="G161" s="4" t="s">
        <v>25</v>
      </c>
      <c r="H161" s="4" t="s">
        <v>25</v>
      </c>
      <c r="I161" s="5">
        <v>44501</v>
      </c>
      <c r="J161" s="6">
        <v>245</v>
      </c>
      <c r="K161" s="59">
        <v>245</v>
      </c>
      <c r="L161" s="6">
        <v>0</v>
      </c>
      <c r="M161" s="58">
        <v>0</v>
      </c>
      <c r="N161" s="6">
        <v>0</v>
      </c>
      <c r="O161" s="58">
        <v>0</v>
      </c>
      <c r="P161" s="6">
        <v>2</v>
      </c>
      <c r="Q161" s="4" t="s">
        <v>26</v>
      </c>
      <c r="R161" s="4">
        <v>0</v>
      </c>
      <c r="S161" s="6">
        <v>15</v>
      </c>
      <c r="T161" s="6">
        <v>0</v>
      </c>
      <c r="U161" s="6">
        <v>0</v>
      </c>
      <c r="V161" s="58">
        <f>IF(ISERROR(VLOOKUP($S$161,'TAR FIN'!$A$1:$O$88,15,0)),0,VLOOKUP($S$161,'TAR FIN'!$A$1:$O$88,15,0))*(1-0.06)</f>
        <v>16.1586</v>
      </c>
      <c r="W161" s="58">
        <f>IF(ISERROR(VLOOKUP($T$161,'TAR FIN'!$A$1:$O$88,15,0)),0,VLOOKUP($T$161,'TAR FIN'!$A$1:$O$88,15,0))</f>
        <v>0</v>
      </c>
      <c r="X161" s="58">
        <f>IF(ISERROR(VLOOKUP($U$161,'TAR FIN'!$A$1:$O$88,15,0)),0,VLOOKUP($U$161,'TAR FIN'!$A$1:$O$88,15,0))</f>
        <v>0</v>
      </c>
      <c r="Y161" s="58">
        <f ca="1">('TUSD BE'!$AM$10+'TUSD BF'!$AM$10+'TUSD CVA'!$AM$10)*1*(1-0.03)</f>
        <v>13.250650868869648</v>
      </c>
      <c r="Z161" s="58"/>
      <c r="AA161" s="58"/>
      <c r="AB161" s="6">
        <f>$K$161*$V$161</f>
        <v>3958.857</v>
      </c>
      <c r="AC161" s="6">
        <f>$M$161*$W$161</f>
        <v>0</v>
      </c>
      <c r="AD161" s="6">
        <f>$O$161*$X$161</f>
        <v>0</v>
      </c>
      <c r="AE161" s="6">
        <f ca="1">$K$161*$Y$161</f>
        <v>3246.4094628730641</v>
      </c>
      <c r="AF161" s="6">
        <f>$M$161*$Z$161</f>
        <v>0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38</v>
      </c>
      <c r="C162" s="4" t="s">
        <v>39</v>
      </c>
      <c r="D162" s="4" t="s">
        <v>47</v>
      </c>
      <c r="E162" s="4" t="s">
        <v>48</v>
      </c>
      <c r="F162" s="4" t="s">
        <v>25</v>
      </c>
      <c r="G162" s="4" t="s">
        <v>25</v>
      </c>
      <c r="H162" s="4" t="s">
        <v>25</v>
      </c>
      <c r="I162" s="5">
        <v>44531</v>
      </c>
      <c r="J162" s="6">
        <v>254</v>
      </c>
      <c r="K162" s="59">
        <v>254</v>
      </c>
      <c r="L162" s="6">
        <v>0</v>
      </c>
      <c r="M162" s="58">
        <v>0</v>
      </c>
      <c r="N162" s="6">
        <v>0</v>
      </c>
      <c r="O162" s="58">
        <v>0</v>
      </c>
      <c r="P162" s="6">
        <v>2</v>
      </c>
      <c r="Q162" s="4" t="s">
        <v>26</v>
      </c>
      <c r="R162" s="4">
        <v>0</v>
      </c>
      <c r="S162" s="6">
        <v>15</v>
      </c>
      <c r="T162" s="6">
        <v>0</v>
      </c>
      <c r="U162" s="6">
        <v>0</v>
      </c>
      <c r="V162" s="58">
        <f>IF(ISERROR(VLOOKUP($S$162,'TAR FIN'!$A$1:$O$88,15,0)),0,VLOOKUP($S$162,'TAR FIN'!$A$1:$O$88,15,0))*(1-0.06)</f>
        <v>16.1586</v>
      </c>
      <c r="W162" s="58">
        <f>IF(ISERROR(VLOOKUP($T$162,'TAR FIN'!$A$1:$O$88,15,0)),0,VLOOKUP($T$162,'TAR FIN'!$A$1:$O$88,15,0))</f>
        <v>0</v>
      </c>
      <c r="X162" s="58">
        <f>IF(ISERROR(VLOOKUP($U$162,'TAR FIN'!$A$1:$O$88,15,0)),0,VLOOKUP($U$162,'TAR FIN'!$A$1:$O$88,15,0))</f>
        <v>0</v>
      </c>
      <c r="Y162" s="58">
        <f ca="1">('TUSD BE'!$AM$10+'TUSD BF'!$AM$10+'TUSD CVA'!$AM$10)*1*(1-0.03)</f>
        <v>13.250650868869648</v>
      </c>
      <c r="Z162" s="58"/>
      <c r="AA162" s="58"/>
      <c r="AB162" s="6">
        <f>$K$162*$V$162</f>
        <v>4104.2843999999996</v>
      </c>
      <c r="AC162" s="6">
        <f>$M$162*$W$162</f>
        <v>0</v>
      </c>
      <c r="AD162" s="6">
        <f>$O$162*$X$162</f>
        <v>0</v>
      </c>
      <c r="AE162" s="6">
        <f ca="1">$K$162*$Y$162</f>
        <v>3365.6653206928909</v>
      </c>
      <c r="AF162" s="6">
        <f>$M$162*$Z$162</f>
        <v>0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38</v>
      </c>
      <c r="C163" s="4" t="s">
        <v>39</v>
      </c>
      <c r="D163" s="4" t="s">
        <v>47</v>
      </c>
      <c r="E163" s="4" t="s">
        <v>48</v>
      </c>
      <c r="F163" s="4" t="s">
        <v>25</v>
      </c>
      <c r="G163" s="4" t="s">
        <v>25</v>
      </c>
      <c r="H163" s="4" t="s">
        <v>25</v>
      </c>
      <c r="I163" s="5">
        <v>44562</v>
      </c>
      <c r="J163" s="6">
        <v>265</v>
      </c>
      <c r="K163" s="59">
        <v>265</v>
      </c>
      <c r="L163" s="6">
        <v>0</v>
      </c>
      <c r="M163" s="58">
        <v>0</v>
      </c>
      <c r="N163" s="6">
        <v>0</v>
      </c>
      <c r="O163" s="58">
        <v>0</v>
      </c>
      <c r="P163" s="6">
        <v>2</v>
      </c>
      <c r="Q163" s="4" t="s">
        <v>26</v>
      </c>
      <c r="R163" s="4">
        <v>0</v>
      </c>
      <c r="S163" s="6">
        <v>15</v>
      </c>
      <c r="T163" s="6">
        <v>0</v>
      </c>
      <c r="U163" s="6">
        <v>0</v>
      </c>
      <c r="V163" s="58">
        <f>IF(ISERROR(VLOOKUP($S$163,'TAR FIN'!$A$1:$O$88,15,0)),0,VLOOKUP($S$163,'TAR FIN'!$A$1:$O$88,15,0))*(1-0.06)</f>
        <v>16.1586</v>
      </c>
      <c r="W163" s="58">
        <f>IF(ISERROR(VLOOKUP($T$163,'TAR FIN'!$A$1:$O$88,15,0)),0,VLOOKUP($T$163,'TAR FIN'!$A$1:$O$88,15,0))</f>
        <v>0</v>
      </c>
      <c r="X163" s="58">
        <f>IF(ISERROR(VLOOKUP($U$163,'TAR FIN'!$A$1:$O$88,15,0)),0,VLOOKUP($U$163,'TAR FIN'!$A$1:$O$88,15,0))</f>
        <v>0</v>
      </c>
      <c r="Y163" s="58">
        <f ca="1">('TUSD BE'!$AM$10+'TUSD BF'!$AM$10+'TUSD CVA'!$AM$10)*1*(1-0.03)</f>
        <v>13.250650868869648</v>
      </c>
      <c r="Z163" s="58"/>
      <c r="AA163" s="58"/>
      <c r="AB163" s="6">
        <f>$K$163*$V$163</f>
        <v>4282.0289999999995</v>
      </c>
      <c r="AC163" s="6">
        <f>$M$163*$W$163</f>
        <v>0</v>
      </c>
      <c r="AD163" s="6">
        <f>$O$163*$X$163</f>
        <v>0</v>
      </c>
      <c r="AE163" s="6">
        <f ca="1">$K$163*$Y$163</f>
        <v>3511.4224802504568</v>
      </c>
      <c r="AF163" s="6">
        <f>$M$163*$Z$163</f>
        <v>0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38</v>
      </c>
      <c r="C164" s="4" t="s">
        <v>39</v>
      </c>
      <c r="D164" s="4" t="s">
        <v>47</v>
      </c>
      <c r="E164" s="4" t="s">
        <v>48</v>
      </c>
      <c r="F164" s="4" t="s">
        <v>25</v>
      </c>
      <c r="G164" s="4" t="s">
        <v>25</v>
      </c>
      <c r="H164" s="4" t="s">
        <v>25</v>
      </c>
      <c r="I164" s="5">
        <v>44593</v>
      </c>
      <c r="J164" s="6">
        <v>256</v>
      </c>
      <c r="K164" s="59">
        <v>256</v>
      </c>
      <c r="L164" s="6">
        <v>0</v>
      </c>
      <c r="M164" s="58">
        <v>0</v>
      </c>
      <c r="N164" s="6">
        <v>0</v>
      </c>
      <c r="O164" s="58">
        <v>0</v>
      </c>
      <c r="P164" s="6">
        <v>2</v>
      </c>
      <c r="Q164" s="4" t="s">
        <v>26</v>
      </c>
      <c r="R164" s="4">
        <v>0</v>
      </c>
      <c r="S164" s="6">
        <v>15</v>
      </c>
      <c r="T164" s="6">
        <v>0</v>
      </c>
      <c r="U164" s="6">
        <v>0</v>
      </c>
      <c r="V164" s="58">
        <f>IF(ISERROR(VLOOKUP($S$164,'TAR FIN'!$A$1:$O$88,15,0)),0,VLOOKUP($S$164,'TAR FIN'!$A$1:$O$88,15,0))*(1-0.06)</f>
        <v>16.1586</v>
      </c>
      <c r="W164" s="58">
        <f>IF(ISERROR(VLOOKUP($T$164,'TAR FIN'!$A$1:$O$88,15,0)),0,VLOOKUP($T$164,'TAR FIN'!$A$1:$O$88,15,0))</f>
        <v>0</v>
      </c>
      <c r="X164" s="58">
        <f>IF(ISERROR(VLOOKUP($U$164,'TAR FIN'!$A$1:$O$88,15,0)),0,VLOOKUP($U$164,'TAR FIN'!$A$1:$O$88,15,0))</f>
        <v>0</v>
      </c>
      <c r="Y164" s="58">
        <f ca="1">('TUSD BE'!$AM$10+'TUSD BF'!$AM$10+'TUSD CVA'!$AM$10)*1*(1-0.03)</f>
        <v>13.250650868869648</v>
      </c>
      <c r="Z164" s="58"/>
      <c r="AA164" s="58"/>
      <c r="AB164" s="6">
        <f>$K$164*$V$164</f>
        <v>4136.6016</v>
      </c>
      <c r="AC164" s="6">
        <f>$M$164*$W$164</f>
        <v>0</v>
      </c>
      <c r="AD164" s="6">
        <f>$O$164*$X$164</f>
        <v>0</v>
      </c>
      <c r="AE164" s="6">
        <f ca="1">$K$164*$Y$164</f>
        <v>3392.16662243063</v>
      </c>
      <c r="AF164" s="6">
        <f>$M$164*$Z$164</f>
        <v>0</v>
      </c>
      <c r="AG164" s="6">
        <f>$O$164*$AA$164</f>
        <v>0</v>
      </c>
    </row>
    <row r="165" spans="1:33" ht="11.25" customHeight="1" x14ac:dyDescent="0.25">
      <c r="A165" s="4" t="s">
        <v>21</v>
      </c>
      <c r="B165" s="4" t="s">
        <v>38</v>
      </c>
      <c r="C165" s="4" t="s">
        <v>39</v>
      </c>
      <c r="D165" s="4" t="s">
        <v>47</v>
      </c>
      <c r="E165" s="4" t="s">
        <v>48</v>
      </c>
      <c r="F165" s="4" t="s">
        <v>25</v>
      </c>
      <c r="G165" s="4" t="s">
        <v>25</v>
      </c>
      <c r="H165" s="4" t="s">
        <v>25</v>
      </c>
      <c r="I165" s="5">
        <v>44621</v>
      </c>
      <c r="J165" s="6">
        <v>246</v>
      </c>
      <c r="K165" s="59">
        <v>246</v>
      </c>
      <c r="L165" s="6">
        <v>0</v>
      </c>
      <c r="M165" s="58">
        <v>0</v>
      </c>
      <c r="N165" s="6">
        <v>0</v>
      </c>
      <c r="O165" s="58">
        <v>0</v>
      </c>
      <c r="P165" s="6">
        <v>2</v>
      </c>
      <c r="Q165" s="4" t="s">
        <v>26</v>
      </c>
      <c r="R165" s="4">
        <v>0</v>
      </c>
      <c r="S165" s="6">
        <v>15</v>
      </c>
      <c r="T165" s="6">
        <v>0</v>
      </c>
      <c r="U165" s="6">
        <v>0</v>
      </c>
      <c r="V165" s="58">
        <f>IF(ISERROR(VLOOKUP($S$165,'TAR FIN'!$A$1:$O$88,15,0)),0,VLOOKUP($S$165,'TAR FIN'!$A$1:$O$88,15,0))*(1-0.06)</f>
        <v>16.1586</v>
      </c>
      <c r="W165" s="58">
        <f>IF(ISERROR(VLOOKUP($T$165,'TAR FIN'!$A$1:$O$88,15,0)),0,VLOOKUP($T$165,'TAR FIN'!$A$1:$O$88,15,0))</f>
        <v>0</v>
      </c>
      <c r="X165" s="58">
        <f>IF(ISERROR(VLOOKUP($U$165,'TAR FIN'!$A$1:$O$88,15,0)),0,VLOOKUP($U$165,'TAR FIN'!$A$1:$O$88,15,0))</f>
        <v>0</v>
      </c>
      <c r="Y165" s="58">
        <f ca="1">('TUSD BE'!$AM$10+'TUSD BF'!$AM$10+'TUSD CVA'!$AM$10)*1*(1-0.03)</f>
        <v>13.250650868869648</v>
      </c>
      <c r="Z165" s="58"/>
      <c r="AA165" s="58"/>
      <c r="AB165" s="6">
        <f>$K$165*$V$165</f>
        <v>3975.0156000000002</v>
      </c>
      <c r="AC165" s="6">
        <f>$M$165*$W$165</f>
        <v>0</v>
      </c>
      <c r="AD165" s="6">
        <f>$O$165*$X$165</f>
        <v>0</v>
      </c>
      <c r="AE165" s="6">
        <f ca="1">$K$165*$Y$165</f>
        <v>3259.6601137419334</v>
      </c>
      <c r="AF165" s="6">
        <f>$M$165*$Z$165</f>
        <v>0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38</v>
      </c>
      <c r="C166" s="4" t="s">
        <v>39</v>
      </c>
      <c r="D166" s="4" t="s">
        <v>47</v>
      </c>
      <c r="E166" s="4" t="s">
        <v>48</v>
      </c>
      <c r="F166" s="4" t="s">
        <v>25</v>
      </c>
      <c r="G166" s="4" t="s">
        <v>25</v>
      </c>
      <c r="H166" s="4" t="s">
        <v>25</v>
      </c>
      <c r="I166" s="5">
        <v>44652</v>
      </c>
      <c r="J166" s="6">
        <v>247</v>
      </c>
      <c r="K166" s="59">
        <v>247</v>
      </c>
      <c r="L166" s="6">
        <v>0</v>
      </c>
      <c r="M166" s="58">
        <v>0</v>
      </c>
      <c r="N166" s="6">
        <v>0</v>
      </c>
      <c r="O166" s="58">
        <v>0</v>
      </c>
      <c r="P166" s="6">
        <v>2</v>
      </c>
      <c r="Q166" s="4" t="s">
        <v>26</v>
      </c>
      <c r="R166" s="4">
        <v>0</v>
      </c>
      <c r="S166" s="6">
        <v>15</v>
      </c>
      <c r="T166" s="6">
        <v>0</v>
      </c>
      <c r="U166" s="6">
        <v>0</v>
      </c>
      <c r="V166" s="58">
        <f>IF(ISERROR(VLOOKUP($S$166,'TAR FIN'!$A$1:$O$88,15,0)),0,VLOOKUP($S$166,'TAR FIN'!$A$1:$O$88,15,0))*(1-0.06)</f>
        <v>16.1586</v>
      </c>
      <c r="W166" s="58">
        <f>IF(ISERROR(VLOOKUP($T$166,'TAR FIN'!$A$1:$O$88,15,0)),0,VLOOKUP($T$166,'TAR FIN'!$A$1:$O$88,15,0))</f>
        <v>0</v>
      </c>
      <c r="X166" s="58">
        <f>IF(ISERROR(VLOOKUP($U$166,'TAR FIN'!$A$1:$O$88,15,0)),0,VLOOKUP($U$166,'TAR FIN'!$A$1:$O$88,15,0))</f>
        <v>0</v>
      </c>
      <c r="Y166" s="58">
        <f ca="1">('TUSD BE'!$AM$10+'TUSD BF'!$AM$10+'TUSD CVA'!$AM$10)*1*(1-0.03)</f>
        <v>13.250650868869648</v>
      </c>
      <c r="Z166" s="58"/>
      <c r="AA166" s="58"/>
      <c r="AB166" s="6">
        <f>$K$166*$V$166</f>
        <v>3991.1741999999999</v>
      </c>
      <c r="AC166" s="6">
        <f>$M$166*$W$166</f>
        <v>0</v>
      </c>
      <c r="AD166" s="6">
        <f>$O$166*$X$166</f>
        <v>0</v>
      </c>
      <c r="AE166" s="6">
        <f ca="1">$K$166*$Y$166</f>
        <v>3272.9107646108032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38</v>
      </c>
      <c r="C167" s="4" t="s">
        <v>39</v>
      </c>
      <c r="D167" s="4" t="s">
        <v>47</v>
      </c>
      <c r="E167" s="4" t="s">
        <v>48</v>
      </c>
      <c r="F167" s="4" t="s">
        <v>25</v>
      </c>
      <c r="G167" s="4" t="s">
        <v>25</v>
      </c>
      <c r="H167" s="4" t="s">
        <v>25</v>
      </c>
      <c r="I167" s="5">
        <v>44682</v>
      </c>
      <c r="J167" s="6">
        <v>243</v>
      </c>
      <c r="K167" s="59">
        <v>243</v>
      </c>
      <c r="L167" s="6">
        <v>0</v>
      </c>
      <c r="M167" s="58">
        <v>0</v>
      </c>
      <c r="N167" s="6">
        <v>0</v>
      </c>
      <c r="O167" s="58">
        <v>0</v>
      </c>
      <c r="P167" s="6">
        <v>2</v>
      </c>
      <c r="Q167" s="4" t="s">
        <v>26</v>
      </c>
      <c r="R167" s="4">
        <v>0</v>
      </c>
      <c r="S167" s="6">
        <v>15</v>
      </c>
      <c r="T167" s="6">
        <v>0</v>
      </c>
      <c r="U167" s="6">
        <v>0</v>
      </c>
      <c r="V167" s="58">
        <f>IF(ISERROR(VLOOKUP($S$167,'TAR FIN'!$A$1:$O$88,15,0)),0,VLOOKUP($S$167,'TAR FIN'!$A$1:$O$88,15,0))*(1-0.06)</f>
        <v>16.1586</v>
      </c>
      <c r="W167" s="58">
        <f>IF(ISERROR(VLOOKUP($T$167,'TAR FIN'!$A$1:$O$88,15,0)),0,VLOOKUP($T$167,'TAR FIN'!$A$1:$O$88,15,0))</f>
        <v>0</v>
      </c>
      <c r="X167" s="58">
        <f>IF(ISERROR(VLOOKUP($U$167,'TAR FIN'!$A$1:$O$88,15,0)),0,VLOOKUP($U$167,'TAR FIN'!$A$1:$O$88,15,0))</f>
        <v>0</v>
      </c>
      <c r="Y167" s="58">
        <f ca="1">('TUSD BE'!$AM$10+'TUSD BF'!$AM$10+'TUSD CVA'!$AM$10)*1*(1-0.03)</f>
        <v>13.250650868869648</v>
      </c>
      <c r="Z167" s="58"/>
      <c r="AA167" s="58"/>
      <c r="AB167" s="6">
        <f>$K$167*$V$167</f>
        <v>3926.5398</v>
      </c>
      <c r="AC167" s="6">
        <f>$M$167*$W$167</f>
        <v>0</v>
      </c>
      <c r="AD167" s="6">
        <f>$O$167*$X$167</f>
        <v>0</v>
      </c>
      <c r="AE167" s="6">
        <f ca="1">$K$167*$Y$167</f>
        <v>3219.9081611353245</v>
      </c>
      <c r="AF167" s="6">
        <f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38</v>
      </c>
      <c r="C168" s="4" t="s">
        <v>39</v>
      </c>
      <c r="D168" s="4" t="s">
        <v>47</v>
      </c>
      <c r="E168" s="4" t="s">
        <v>48</v>
      </c>
      <c r="F168" s="4" t="s">
        <v>25</v>
      </c>
      <c r="G168" s="4" t="s">
        <v>25</v>
      </c>
      <c r="H168" s="4" t="s">
        <v>25</v>
      </c>
      <c r="I168" s="5">
        <v>44713</v>
      </c>
      <c r="J168" s="6">
        <v>244</v>
      </c>
      <c r="K168" s="59">
        <v>244</v>
      </c>
      <c r="L168" s="6">
        <v>0</v>
      </c>
      <c r="M168" s="58">
        <v>0</v>
      </c>
      <c r="N168" s="6">
        <v>0</v>
      </c>
      <c r="O168" s="58">
        <v>0</v>
      </c>
      <c r="P168" s="6">
        <v>2</v>
      </c>
      <c r="Q168" s="4" t="s">
        <v>26</v>
      </c>
      <c r="R168" s="4">
        <v>0</v>
      </c>
      <c r="S168" s="6">
        <v>15</v>
      </c>
      <c r="T168" s="6">
        <v>0</v>
      </c>
      <c r="U168" s="6">
        <v>0</v>
      </c>
      <c r="V168" s="58">
        <f>IF(ISERROR(VLOOKUP($S$168,'TAR FIN'!$A$1:$O$88,15,0)),0,VLOOKUP($S$168,'TAR FIN'!$A$1:$O$88,15,0))*(1-0.06)</f>
        <v>16.1586</v>
      </c>
      <c r="W168" s="58">
        <f>IF(ISERROR(VLOOKUP($T$168,'TAR FIN'!$A$1:$O$88,15,0)),0,VLOOKUP($T$168,'TAR FIN'!$A$1:$O$88,15,0))</f>
        <v>0</v>
      </c>
      <c r="X168" s="58">
        <f>IF(ISERROR(VLOOKUP($U$168,'TAR FIN'!$A$1:$O$88,15,0)),0,VLOOKUP($U$168,'TAR FIN'!$A$1:$O$88,15,0))</f>
        <v>0</v>
      </c>
      <c r="Y168" s="58">
        <f ca="1">('TUSD BE'!$AM$10+'TUSD BF'!$AM$10+'TUSD CVA'!$AM$10)*1*(1-0.03)</f>
        <v>13.250650868869648</v>
      </c>
      <c r="Z168" s="58"/>
      <c r="AA168" s="58"/>
      <c r="AB168" s="6">
        <f>$K$168*$V$168</f>
        <v>3942.6983999999998</v>
      </c>
      <c r="AC168" s="6">
        <f>$M$168*$W$168</f>
        <v>0</v>
      </c>
      <c r="AD168" s="6">
        <f>$O$168*$X$168</f>
        <v>0</v>
      </c>
      <c r="AE168" s="6">
        <f ca="1">$K$168*$Y$168</f>
        <v>3233.1588120041943</v>
      </c>
      <c r="AF168" s="6">
        <f>$M$168*$Z$168</f>
        <v>0</v>
      </c>
      <c r="AG168" s="6">
        <f>$O$168*$AA$168</f>
        <v>0</v>
      </c>
    </row>
    <row r="169" spans="1:33" ht="11.25" customHeight="1" x14ac:dyDescent="0.25">
      <c r="A169" s="4" t="s">
        <v>55</v>
      </c>
      <c r="B169" s="4" t="s">
        <v>38</v>
      </c>
      <c r="C169" s="4" t="s">
        <v>39</v>
      </c>
      <c r="D169" s="4" t="s">
        <v>47</v>
      </c>
      <c r="E169" s="4" t="s">
        <v>48</v>
      </c>
      <c r="F169" s="4" t="s">
        <v>25</v>
      </c>
      <c r="G169" s="4" t="s">
        <v>25</v>
      </c>
      <c r="H169" s="4" t="s">
        <v>25</v>
      </c>
      <c r="I169" s="5">
        <v>44743</v>
      </c>
      <c r="J169" s="6">
        <v>244</v>
      </c>
      <c r="K169" s="59">
        <v>244</v>
      </c>
      <c r="L169" s="6">
        <v>0</v>
      </c>
      <c r="M169" s="58">
        <v>0</v>
      </c>
      <c r="N169" s="6">
        <v>0</v>
      </c>
      <c r="O169" s="58">
        <v>0</v>
      </c>
      <c r="P169" s="6">
        <v>2</v>
      </c>
      <c r="Q169" s="4" t="s">
        <v>26</v>
      </c>
      <c r="R169" s="4">
        <v>0</v>
      </c>
      <c r="S169" s="6">
        <v>15</v>
      </c>
      <c r="T169" s="6">
        <v>0</v>
      </c>
      <c r="U169" s="6">
        <v>0</v>
      </c>
      <c r="V169" s="58">
        <f>IF(ISERROR(VLOOKUP($S$169,'TAR FIN'!$A$1:$O$88,15,0)),0,VLOOKUP($S$169,'TAR FIN'!$A$1:$O$88,15,0))*(1-0.06)</f>
        <v>16.1586</v>
      </c>
      <c r="W169" s="58">
        <f>IF(ISERROR(VLOOKUP($T$169,'TAR FIN'!$A$1:$O$88,15,0)),0,VLOOKUP($T$169,'TAR FIN'!$A$1:$O$88,15,0))</f>
        <v>0</v>
      </c>
      <c r="X169" s="58">
        <f>IF(ISERROR(VLOOKUP($U$169,'TAR FIN'!$A$1:$O$88,15,0)),0,VLOOKUP($U$169,'TAR FIN'!$A$1:$O$88,15,0))</f>
        <v>0</v>
      </c>
      <c r="Y169" s="58">
        <f ca="1">('TUSD BE'!$AM$10+'TUSD BF'!$AM$10+'TUSD CVA'!$AM$10)*1*(1-0.03)</f>
        <v>13.250650868869648</v>
      </c>
      <c r="Z169" s="58"/>
      <c r="AA169" s="58"/>
      <c r="AB169" s="6">
        <f>$K$169*$V$169</f>
        <v>3942.6983999999998</v>
      </c>
      <c r="AC169" s="6">
        <f>$M$169*$W$169</f>
        <v>0</v>
      </c>
      <c r="AD169" s="6">
        <f>$O$169*$X$169</f>
        <v>0</v>
      </c>
      <c r="AE169" s="6">
        <f ca="1">$K$169*$Y$169</f>
        <v>3233.1588120041943</v>
      </c>
      <c r="AF169" s="6">
        <f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38</v>
      </c>
      <c r="C170" s="4" t="s">
        <v>39</v>
      </c>
      <c r="D170" s="4" t="s">
        <v>47</v>
      </c>
      <c r="E170" s="4" t="s">
        <v>48</v>
      </c>
      <c r="F170" s="4" t="s">
        <v>25</v>
      </c>
      <c r="G170" s="4" t="s">
        <v>25</v>
      </c>
      <c r="H170" s="4" t="s">
        <v>33</v>
      </c>
      <c r="I170" s="5">
        <v>44409</v>
      </c>
      <c r="J170" s="6">
        <v>0</v>
      </c>
      <c r="K170" s="58">
        <v>0</v>
      </c>
      <c r="L170" s="6">
        <v>0.41399999999999998</v>
      </c>
      <c r="M170" s="58">
        <v>0.41399999999999998</v>
      </c>
      <c r="N170" s="6">
        <v>0.41399999999999998</v>
      </c>
      <c r="O170" s="58">
        <v>0.41399999999999998</v>
      </c>
      <c r="P170" s="6">
        <v>0</v>
      </c>
      <c r="Q170" s="4" t="s">
        <v>26</v>
      </c>
      <c r="R170" s="4">
        <v>0</v>
      </c>
      <c r="S170" s="6">
        <v>0</v>
      </c>
      <c r="T170" s="6">
        <v>18</v>
      </c>
      <c r="U170" s="6">
        <v>69</v>
      </c>
      <c r="V170" s="58">
        <f>IF(ISERROR(VLOOKUP($S$170,'TAR FIN'!$A$1:$O$88,15,0)),0,VLOOKUP($S$170,'TAR FIN'!$A$1:$O$88,15,0))</f>
        <v>0</v>
      </c>
      <c r="W170" s="58">
        <f>IF(ISERROR(VLOOKUP($T$170,'TAR FIN'!$A$1:$O$88,15,0)),0,VLOOKUP($T$170,'TAR FIN'!$A$1:$O$88,15,0))*(1-0.06)</f>
        <v>1218.0989999999999</v>
      </c>
      <c r="X170" s="58">
        <f>IF(ISERROR(VLOOKUP($U$170,'TAR FIN'!$A$1:$O$88,15,0)),0,VLOOKUP($U$170,'TAR FIN'!$A$1:$O$88,15,0))*(1-0.06)</f>
        <v>408.85299999999995</v>
      </c>
      <c r="Y170" s="58"/>
      <c r="Z170" s="58">
        <f ca="1">('TUSD BE'!$AM$11+'TUSD BF'!$AM$11+'TUSD CVA'!$AM$11)*1*(1-0.03)</f>
        <v>1017.1227510614234</v>
      </c>
      <c r="AA170" s="58">
        <f>('TE BE'!$AB$5+'TE BF'!$AB$5+'TE CVA'!$AB$5)*1*(1-0.03)</f>
        <v>307.47043646405808</v>
      </c>
      <c r="AB170" s="6">
        <f>$K$170*$V$170</f>
        <v>0</v>
      </c>
      <c r="AC170" s="6">
        <f>$M$170*$W$170</f>
        <v>504.29298599999993</v>
      </c>
      <c r="AD170" s="6">
        <f>$O$170*$X$170</f>
        <v>169.26514199999997</v>
      </c>
      <c r="AE170" s="6">
        <f>$K$170*$Y$170</f>
        <v>0</v>
      </c>
      <c r="AF170" s="6">
        <f ca="1">$M$170*$Z$170</f>
        <v>421.08881893942925</v>
      </c>
      <c r="AG170" s="6">
        <f>$O$170*$AA$170</f>
        <v>127.29276069612004</v>
      </c>
    </row>
    <row r="171" spans="1:33" ht="11.25" customHeight="1" x14ac:dyDescent="0.25">
      <c r="A171" s="4" t="s">
        <v>21</v>
      </c>
      <c r="B171" s="4" t="s">
        <v>38</v>
      </c>
      <c r="C171" s="4" t="s">
        <v>39</v>
      </c>
      <c r="D171" s="4" t="s">
        <v>47</v>
      </c>
      <c r="E171" s="4" t="s">
        <v>48</v>
      </c>
      <c r="F171" s="4" t="s">
        <v>25</v>
      </c>
      <c r="G171" s="4" t="s">
        <v>25</v>
      </c>
      <c r="H171" s="4" t="s">
        <v>33</v>
      </c>
      <c r="I171" s="5">
        <v>44440</v>
      </c>
      <c r="J171" s="6">
        <v>0</v>
      </c>
      <c r="K171" s="58">
        <v>0</v>
      </c>
      <c r="L171" s="6">
        <v>1.6830000000000001</v>
      </c>
      <c r="M171" s="58">
        <v>1.6830000000000001</v>
      </c>
      <c r="N171" s="6">
        <v>1.6830000000000001</v>
      </c>
      <c r="O171" s="58">
        <v>1.6830000000000001</v>
      </c>
      <c r="P171" s="6">
        <v>0</v>
      </c>
      <c r="Q171" s="4" t="s">
        <v>26</v>
      </c>
      <c r="R171" s="4">
        <v>0</v>
      </c>
      <c r="S171" s="6">
        <v>0</v>
      </c>
      <c r="T171" s="6">
        <v>18</v>
      </c>
      <c r="U171" s="6">
        <v>69</v>
      </c>
      <c r="V171" s="58">
        <f>IF(ISERROR(VLOOKUP($S$171,'TAR FIN'!$A$1:$O$88,15,0)),0,VLOOKUP($S$171,'TAR FIN'!$A$1:$O$88,15,0))</f>
        <v>0</v>
      </c>
      <c r="W171" s="58">
        <f>IF(ISERROR(VLOOKUP($T$171,'TAR FIN'!$A$1:$O$88,15,0)),0,VLOOKUP($T$171,'TAR FIN'!$A$1:$O$88,15,0))*(1-0.06)</f>
        <v>1218.0989999999999</v>
      </c>
      <c r="X171" s="58">
        <f>IF(ISERROR(VLOOKUP($U$171,'TAR FIN'!$A$1:$O$88,15,0)),0,VLOOKUP($U$171,'TAR FIN'!$A$1:$O$88,15,0))*(1-0.06)</f>
        <v>408.85299999999995</v>
      </c>
      <c r="Y171" s="58"/>
      <c r="Z171" s="58">
        <f ca="1">('TUSD BE'!$AM$11+'TUSD BF'!$AM$11+'TUSD CVA'!$AM$11)*1*(1-0.03)</f>
        <v>1017.1227510614234</v>
      </c>
      <c r="AA171" s="58">
        <f>('TE BE'!$AB$5+'TE BF'!$AB$5+'TE CVA'!$AB$5)*1*(1-0.03)</f>
        <v>307.47043646405808</v>
      </c>
      <c r="AB171" s="6">
        <f>$K$171*$V$171</f>
        <v>0</v>
      </c>
      <c r="AC171" s="6">
        <f>$M$171*$W$171</f>
        <v>2050.0606170000001</v>
      </c>
      <c r="AD171" s="6">
        <f>$O$171*$X$171</f>
        <v>688.0995989999999</v>
      </c>
      <c r="AE171" s="6">
        <f>$K$171*$Y$171</f>
        <v>0</v>
      </c>
      <c r="AF171" s="6">
        <f ca="1">$M$171*$Z$171</f>
        <v>1711.8175900363756</v>
      </c>
      <c r="AG171" s="6">
        <f>$O$171*$AA$171</f>
        <v>517.47274456900982</v>
      </c>
    </row>
    <row r="172" spans="1:33" ht="11.25" customHeight="1" x14ac:dyDescent="0.25">
      <c r="A172" s="4" t="s">
        <v>21</v>
      </c>
      <c r="B172" s="4" t="s">
        <v>38</v>
      </c>
      <c r="C172" s="4" t="s">
        <v>39</v>
      </c>
      <c r="D172" s="4" t="s">
        <v>47</v>
      </c>
      <c r="E172" s="4" t="s">
        <v>48</v>
      </c>
      <c r="F172" s="4" t="s">
        <v>25</v>
      </c>
      <c r="G172" s="4" t="s">
        <v>25</v>
      </c>
      <c r="H172" s="4" t="s">
        <v>33</v>
      </c>
      <c r="I172" s="5">
        <v>44470</v>
      </c>
      <c r="J172" s="6">
        <v>0</v>
      </c>
      <c r="K172" s="58">
        <v>0</v>
      </c>
      <c r="L172" s="6">
        <v>1.395</v>
      </c>
      <c r="M172" s="58">
        <v>1.395</v>
      </c>
      <c r="N172" s="6">
        <v>1.395</v>
      </c>
      <c r="O172" s="58">
        <v>1.395</v>
      </c>
      <c r="P172" s="6">
        <v>0</v>
      </c>
      <c r="Q172" s="4" t="s">
        <v>26</v>
      </c>
      <c r="R172" s="4">
        <v>0</v>
      </c>
      <c r="S172" s="6">
        <v>0</v>
      </c>
      <c r="T172" s="6">
        <v>18</v>
      </c>
      <c r="U172" s="6">
        <v>69</v>
      </c>
      <c r="V172" s="58">
        <f>IF(ISERROR(VLOOKUP($S$172,'TAR FIN'!$A$1:$O$88,15,0)),0,VLOOKUP($S$172,'TAR FIN'!$A$1:$O$88,15,0))</f>
        <v>0</v>
      </c>
      <c r="W172" s="58">
        <f>IF(ISERROR(VLOOKUP($T$172,'TAR FIN'!$A$1:$O$88,15,0)),0,VLOOKUP($T$172,'TAR FIN'!$A$1:$O$88,15,0))*(1-0.06)</f>
        <v>1218.0989999999999</v>
      </c>
      <c r="X172" s="58">
        <f>IF(ISERROR(VLOOKUP($U$172,'TAR FIN'!$A$1:$O$88,15,0)),0,VLOOKUP($U$172,'TAR FIN'!$A$1:$O$88,15,0))*(1-0.06)</f>
        <v>408.85299999999995</v>
      </c>
      <c r="Y172" s="58"/>
      <c r="Z172" s="58">
        <f ca="1">('TUSD BE'!$AM$11+'TUSD BF'!$AM$11+'TUSD CVA'!$AM$11)*1*(1-0.03)</f>
        <v>1017.1227510614234</v>
      </c>
      <c r="AA172" s="58">
        <f>('TE BE'!$AB$5+'TE BF'!$AB$5+'TE CVA'!$AB$5)*1*(1-0.03)</f>
        <v>307.47043646405808</v>
      </c>
      <c r="AB172" s="6">
        <f>$K$172*$V$172</f>
        <v>0</v>
      </c>
      <c r="AC172" s="6">
        <f>$M$172*$W$172</f>
        <v>1699.2481049999999</v>
      </c>
      <c r="AD172" s="6">
        <f>$O$172*$X$172</f>
        <v>570.34993499999996</v>
      </c>
      <c r="AE172" s="6">
        <f>$K$172*$Y$172</f>
        <v>0</v>
      </c>
      <c r="AF172" s="6">
        <f ca="1">$M$172*$Z$172</f>
        <v>1418.8862377306857</v>
      </c>
      <c r="AG172" s="6">
        <f>$O$172*$AA$172</f>
        <v>428.92125886736102</v>
      </c>
    </row>
    <row r="173" spans="1:33" ht="11.25" customHeight="1" x14ac:dyDescent="0.25">
      <c r="A173" s="4" t="s">
        <v>21</v>
      </c>
      <c r="B173" s="4" t="s">
        <v>38</v>
      </c>
      <c r="C173" s="4" t="s">
        <v>39</v>
      </c>
      <c r="D173" s="4" t="s">
        <v>47</v>
      </c>
      <c r="E173" s="4" t="s">
        <v>48</v>
      </c>
      <c r="F173" s="4" t="s">
        <v>25</v>
      </c>
      <c r="G173" s="4" t="s">
        <v>25</v>
      </c>
      <c r="H173" s="4" t="s">
        <v>33</v>
      </c>
      <c r="I173" s="5">
        <v>44501</v>
      </c>
      <c r="J173" s="6">
        <v>0</v>
      </c>
      <c r="K173" s="58">
        <v>0</v>
      </c>
      <c r="L173" s="6">
        <v>1.407</v>
      </c>
      <c r="M173" s="58">
        <v>1.407</v>
      </c>
      <c r="N173" s="6">
        <v>1.407</v>
      </c>
      <c r="O173" s="58">
        <v>1.407</v>
      </c>
      <c r="P173" s="6">
        <v>0</v>
      </c>
      <c r="Q173" s="4" t="s">
        <v>26</v>
      </c>
      <c r="R173" s="4">
        <v>0</v>
      </c>
      <c r="S173" s="6">
        <v>0</v>
      </c>
      <c r="T173" s="6">
        <v>18</v>
      </c>
      <c r="U173" s="6">
        <v>69</v>
      </c>
      <c r="V173" s="58">
        <f>IF(ISERROR(VLOOKUP($S$173,'TAR FIN'!$A$1:$O$88,15,0)),0,VLOOKUP($S$173,'TAR FIN'!$A$1:$O$88,15,0))</f>
        <v>0</v>
      </c>
      <c r="W173" s="58">
        <f>IF(ISERROR(VLOOKUP($T$173,'TAR FIN'!$A$1:$O$88,15,0)),0,VLOOKUP($T$173,'TAR FIN'!$A$1:$O$88,15,0))*(1-0.06)</f>
        <v>1218.0989999999999</v>
      </c>
      <c r="X173" s="58">
        <f>IF(ISERROR(VLOOKUP($U$173,'TAR FIN'!$A$1:$O$88,15,0)),0,VLOOKUP($U$173,'TAR FIN'!$A$1:$O$88,15,0))*(1-0.06)</f>
        <v>408.85299999999995</v>
      </c>
      <c r="Y173" s="58"/>
      <c r="Z173" s="58">
        <f ca="1">('TUSD BE'!$AM$11+'TUSD BF'!$AM$11+'TUSD CVA'!$AM$11)*1*(1-0.03)</f>
        <v>1017.1227510614234</v>
      </c>
      <c r="AA173" s="58">
        <f>('TE BE'!$AB$5+'TE BF'!$AB$5+'TE CVA'!$AB$5)*1*(1-0.03)</f>
        <v>307.47043646405808</v>
      </c>
      <c r="AB173" s="6">
        <f>$K$173*$V$173</f>
        <v>0</v>
      </c>
      <c r="AC173" s="6">
        <f>$M$173*$W$173</f>
        <v>1713.8652929999998</v>
      </c>
      <c r="AD173" s="6">
        <f>$O$173*$X$173</f>
        <v>575.25617099999999</v>
      </c>
      <c r="AE173" s="6">
        <f>$K$173*$Y$173</f>
        <v>0</v>
      </c>
      <c r="AF173" s="6">
        <f ca="1">$M$173*$Z$173</f>
        <v>1431.0917107434227</v>
      </c>
      <c r="AG173" s="6">
        <f>$O$173*$AA$173</f>
        <v>432.61090410492972</v>
      </c>
    </row>
    <row r="174" spans="1:33" ht="11.25" customHeight="1" x14ac:dyDescent="0.25">
      <c r="A174" s="4" t="s">
        <v>21</v>
      </c>
      <c r="B174" s="4" t="s">
        <v>38</v>
      </c>
      <c r="C174" s="4" t="s">
        <v>39</v>
      </c>
      <c r="D174" s="4" t="s">
        <v>47</v>
      </c>
      <c r="E174" s="4" t="s">
        <v>48</v>
      </c>
      <c r="F174" s="4" t="s">
        <v>25</v>
      </c>
      <c r="G174" s="4" t="s">
        <v>25</v>
      </c>
      <c r="H174" s="4" t="s">
        <v>33</v>
      </c>
      <c r="I174" s="5">
        <v>44531</v>
      </c>
      <c r="J174" s="6">
        <v>0</v>
      </c>
      <c r="K174" s="58">
        <v>0</v>
      </c>
      <c r="L174" s="6">
        <v>1.752</v>
      </c>
      <c r="M174" s="58">
        <v>1.752</v>
      </c>
      <c r="N174" s="6">
        <v>1.752</v>
      </c>
      <c r="O174" s="58">
        <v>1.752</v>
      </c>
      <c r="P174" s="6">
        <v>0</v>
      </c>
      <c r="Q174" s="4" t="s">
        <v>26</v>
      </c>
      <c r="R174" s="4">
        <v>0</v>
      </c>
      <c r="S174" s="6">
        <v>0</v>
      </c>
      <c r="T174" s="6">
        <v>18</v>
      </c>
      <c r="U174" s="6">
        <v>69</v>
      </c>
      <c r="V174" s="58">
        <f>IF(ISERROR(VLOOKUP($S$174,'TAR FIN'!$A$1:$O$88,15,0)),0,VLOOKUP($S$174,'TAR FIN'!$A$1:$O$88,15,0))</f>
        <v>0</v>
      </c>
      <c r="W174" s="58">
        <f>IF(ISERROR(VLOOKUP($T$174,'TAR FIN'!$A$1:$O$88,15,0)),0,VLOOKUP($T$174,'TAR FIN'!$A$1:$O$88,15,0))*(1-0.06)</f>
        <v>1218.0989999999999</v>
      </c>
      <c r="X174" s="58">
        <f>IF(ISERROR(VLOOKUP($U$174,'TAR FIN'!$A$1:$O$88,15,0)),0,VLOOKUP($U$174,'TAR FIN'!$A$1:$O$88,15,0))*(1-0.06)</f>
        <v>408.85299999999995</v>
      </c>
      <c r="Y174" s="58"/>
      <c r="Z174" s="58">
        <f ca="1">('TUSD BE'!$AM$11+'TUSD BF'!$AM$11+'TUSD CVA'!$AM$11)*1*(1-0.03)</f>
        <v>1017.1227510614234</v>
      </c>
      <c r="AA174" s="58">
        <f>('TE BE'!$AB$5+'TE BF'!$AB$5+'TE CVA'!$AB$5)*1*(1-0.03)</f>
        <v>307.47043646405808</v>
      </c>
      <c r="AB174" s="6">
        <f>$K$174*$V$174</f>
        <v>0</v>
      </c>
      <c r="AC174" s="6">
        <f>$M$174*$W$174</f>
        <v>2134.1094479999997</v>
      </c>
      <c r="AD174" s="6">
        <f>$O$174*$X$174</f>
        <v>716.31045599999993</v>
      </c>
      <c r="AE174" s="6">
        <f>$K$174*$Y$174</f>
        <v>0</v>
      </c>
      <c r="AF174" s="6">
        <f ca="1">$M$174*$Z$174</f>
        <v>1781.9990598596139</v>
      </c>
      <c r="AG174" s="6">
        <f>$O$174*$AA$174</f>
        <v>538.68820468502975</v>
      </c>
    </row>
    <row r="175" spans="1:33" ht="11.25" customHeight="1" x14ac:dyDescent="0.25">
      <c r="A175" s="4" t="s">
        <v>21</v>
      </c>
      <c r="B175" s="4" t="s">
        <v>38</v>
      </c>
      <c r="C175" s="4" t="s">
        <v>39</v>
      </c>
      <c r="D175" s="4" t="s">
        <v>47</v>
      </c>
      <c r="E175" s="4" t="s">
        <v>48</v>
      </c>
      <c r="F175" s="4" t="s">
        <v>25</v>
      </c>
      <c r="G175" s="4" t="s">
        <v>25</v>
      </c>
      <c r="H175" s="4" t="s">
        <v>33</v>
      </c>
      <c r="I175" s="5">
        <v>44562</v>
      </c>
      <c r="J175" s="6">
        <v>0</v>
      </c>
      <c r="K175" s="58">
        <v>0</v>
      </c>
      <c r="L175" s="6">
        <v>0.41399999999999998</v>
      </c>
      <c r="M175" s="58">
        <v>0.41399999999999998</v>
      </c>
      <c r="N175" s="6">
        <v>0.41399999999999998</v>
      </c>
      <c r="O175" s="58">
        <v>0.41399999999999998</v>
      </c>
      <c r="P175" s="6">
        <v>0</v>
      </c>
      <c r="Q175" s="4" t="s">
        <v>26</v>
      </c>
      <c r="R175" s="4">
        <v>0</v>
      </c>
      <c r="S175" s="6">
        <v>0</v>
      </c>
      <c r="T175" s="6">
        <v>18</v>
      </c>
      <c r="U175" s="6">
        <v>69</v>
      </c>
      <c r="V175" s="58">
        <f>IF(ISERROR(VLOOKUP($S$175,'TAR FIN'!$A$1:$O$88,15,0)),0,VLOOKUP($S$175,'TAR FIN'!$A$1:$O$88,15,0))</f>
        <v>0</v>
      </c>
      <c r="W175" s="58">
        <f>IF(ISERROR(VLOOKUP($T$175,'TAR FIN'!$A$1:$O$88,15,0)),0,VLOOKUP($T$175,'TAR FIN'!$A$1:$O$88,15,0))*(1-0.06)</f>
        <v>1218.0989999999999</v>
      </c>
      <c r="X175" s="58">
        <f>IF(ISERROR(VLOOKUP($U$175,'TAR FIN'!$A$1:$O$88,15,0)),0,VLOOKUP($U$175,'TAR FIN'!$A$1:$O$88,15,0))*(1-0.06)</f>
        <v>408.85299999999995</v>
      </c>
      <c r="Y175" s="58"/>
      <c r="Z175" s="58">
        <f ca="1">('TUSD BE'!$AM$11+'TUSD BF'!$AM$11+'TUSD CVA'!$AM$11)*1*(1-0.03)</f>
        <v>1017.1227510614234</v>
      </c>
      <c r="AA175" s="58">
        <f>('TE BE'!$AB$5+'TE BF'!$AB$5+'TE CVA'!$AB$5)*1*(1-0.03)</f>
        <v>307.47043646405808</v>
      </c>
      <c r="AB175" s="6">
        <f>$K$175*$V$175</f>
        <v>0</v>
      </c>
      <c r="AC175" s="6">
        <f>$M$175*$W$175</f>
        <v>504.29298599999993</v>
      </c>
      <c r="AD175" s="6">
        <f>$O$175*$X$175</f>
        <v>169.26514199999997</v>
      </c>
      <c r="AE175" s="6">
        <f>$K$175*$Y$175</f>
        <v>0</v>
      </c>
      <c r="AF175" s="6">
        <f ca="1">$M$175*$Z$175</f>
        <v>421.08881893942925</v>
      </c>
      <c r="AG175" s="6">
        <f>$O$175*$AA$175</f>
        <v>127.29276069612004</v>
      </c>
    </row>
    <row r="176" spans="1:33" ht="11.25" customHeight="1" x14ac:dyDescent="0.25">
      <c r="A176" s="4" t="s">
        <v>21</v>
      </c>
      <c r="B176" s="4" t="s">
        <v>38</v>
      </c>
      <c r="C176" s="4" t="s">
        <v>39</v>
      </c>
      <c r="D176" s="4" t="s">
        <v>47</v>
      </c>
      <c r="E176" s="4" t="s">
        <v>48</v>
      </c>
      <c r="F176" s="4" t="s">
        <v>25</v>
      </c>
      <c r="G176" s="4" t="s">
        <v>25</v>
      </c>
      <c r="H176" s="4" t="s">
        <v>33</v>
      </c>
      <c r="I176" s="5">
        <v>44593</v>
      </c>
      <c r="J176" s="6">
        <v>0</v>
      </c>
      <c r="K176" s="58">
        <v>0</v>
      </c>
      <c r="L176" s="6">
        <v>0.432</v>
      </c>
      <c r="M176" s="58">
        <v>0.432</v>
      </c>
      <c r="N176" s="6">
        <v>0.432</v>
      </c>
      <c r="O176" s="58">
        <v>0.432</v>
      </c>
      <c r="P176" s="6">
        <v>0</v>
      </c>
      <c r="Q176" s="4" t="s">
        <v>26</v>
      </c>
      <c r="R176" s="4">
        <v>0</v>
      </c>
      <c r="S176" s="6">
        <v>0</v>
      </c>
      <c r="T176" s="6">
        <v>18</v>
      </c>
      <c r="U176" s="6">
        <v>69</v>
      </c>
      <c r="V176" s="58">
        <f>IF(ISERROR(VLOOKUP($S$176,'TAR FIN'!$A$1:$O$88,15,0)),0,VLOOKUP($S$176,'TAR FIN'!$A$1:$O$88,15,0))</f>
        <v>0</v>
      </c>
      <c r="W176" s="58">
        <f>IF(ISERROR(VLOOKUP($T$176,'TAR FIN'!$A$1:$O$88,15,0)),0,VLOOKUP($T$176,'TAR FIN'!$A$1:$O$88,15,0))*(1-0.06)</f>
        <v>1218.0989999999999</v>
      </c>
      <c r="X176" s="58">
        <f>IF(ISERROR(VLOOKUP($U$176,'TAR FIN'!$A$1:$O$88,15,0)),0,VLOOKUP($U$176,'TAR FIN'!$A$1:$O$88,15,0))*(1-0.06)</f>
        <v>408.85299999999995</v>
      </c>
      <c r="Y176" s="58"/>
      <c r="Z176" s="58">
        <f ca="1">('TUSD BE'!$AM$11+'TUSD BF'!$AM$11+'TUSD CVA'!$AM$11)*1*(1-0.03)</f>
        <v>1017.1227510614234</v>
      </c>
      <c r="AA176" s="58">
        <f>('TE BE'!$AB$5+'TE BF'!$AB$5+'TE CVA'!$AB$5)*1*(1-0.03)</f>
        <v>307.47043646405808</v>
      </c>
      <c r="AB176" s="6">
        <f>$K$176*$V$176</f>
        <v>0</v>
      </c>
      <c r="AC176" s="6">
        <f>$M$176*$W$176</f>
        <v>526.21876799999995</v>
      </c>
      <c r="AD176" s="6">
        <f>$O$176*$X$176</f>
        <v>176.62449599999997</v>
      </c>
      <c r="AE176" s="6">
        <f>$K$176*$Y$176</f>
        <v>0</v>
      </c>
      <c r="AF176" s="6">
        <f ca="1">$M$176*$Z$176</f>
        <v>439.39702845853492</v>
      </c>
      <c r="AG176" s="6">
        <f>$O$176*$AA$176</f>
        <v>132.82722855247309</v>
      </c>
    </row>
    <row r="177" spans="1:33" ht="11.25" customHeight="1" x14ac:dyDescent="0.25">
      <c r="A177" s="4" t="s">
        <v>21</v>
      </c>
      <c r="B177" s="4" t="s">
        <v>38</v>
      </c>
      <c r="C177" s="4" t="s">
        <v>39</v>
      </c>
      <c r="D177" s="4" t="s">
        <v>47</v>
      </c>
      <c r="E177" s="4" t="s">
        <v>48</v>
      </c>
      <c r="F177" s="4" t="s">
        <v>25</v>
      </c>
      <c r="G177" s="4" t="s">
        <v>25</v>
      </c>
      <c r="H177" s="4" t="s">
        <v>33</v>
      </c>
      <c r="I177" s="5">
        <v>44621</v>
      </c>
      <c r="J177" s="6">
        <v>0</v>
      </c>
      <c r="K177" s="58">
        <v>0</v>
      </c>
      <c r="L177" s="6">
        <v>1.669</v>
      </c>
      <c r="M177" s="58">
        <v>1.669</v>
      </c>
      <c r="N177" s="6">
        <v>1.669</v>
      </c>
      <c r="O177" s="58">
        <v>1.669</v>
      </c>
      <c r="P177" s="6">
        <v>0</v>
      </c>
      <c r="Q177" s="4" t="s">
        <v>26</v>
      </c>
      <c r="R177" s="4">
        <v>0</v>
      </c>
      <c r="S177" s="6">
        <v>0</v>
      </c>
      <c r="T177" s="6">
        <v>18</v>
      </c>
      <c r="U177" s="6">
        <v>69</v>
      </c>
      <c r="V177" s="58">
        <f>IF(ISERROR(VLOOKUP($S$177,'TAR FIN'!$A$1:$O$88,15,0)),0,VLOOKUP($S$177,'TAR FIN'!$A$1:$O$88,15,0))</f>
        <v>0</v>
      </c>
      <c r="W177" s="58">
        <f>IF(ISERROR(VLOOKUP($T$177,'TAR FIN'!$A$1:$O$88,15,0)),0,VLOOKUP($T$177,'TAR FIN'!$A$1:$O$88,15,0))*(1-0.06)</f>
        <v>1218.0989999999999</v>
      </c>
      <c r="X177" s="58">
        <f>IF(ISERROR(VLOOKUP($U$177,'TAR FIN'!$A$1:$O$88,15,0)),0,VLOOKUP($U$177,'TAR FIN'!$A$1:$O$88,15,0))*(1-0.06)</f>
        <v>408.85299999999995</v>
      </c>
      <c r="Y177" s="58"/>
      <c r="Z177" s="58">
        <f ca="1">('TUSD BE'!$AM$11+'TUSD BF'!$AM$11+'TUSD CVA'!$AM$11)*1*(1-0.03)</f>
        <v>1017.1227510614234</v>
      </c>
      <c r="AA177" s="58">
        <f>('TE BE'!$AB$5+'TE BF'!$AB$5+'TE CVA'!$AB$5)*1*(1-0.03)</f>
        <v>307.47043646405808</v>
      </c>
      <c r="AB177" s="6">
        <f>$K$177*$V$177</f>
        <v>0</v>
      </c>
      <c r="AC177" s="6">
        <f>$M$177*$W$177</f>
        <v>2033.007231</v>
      </c>
      <c r="AD177" s="6">
        <f>$O$177*$X$177</f>
        <v>682.37565699999993</v>
      </c>
      <c r="AE177" s="6">
        <f>$K$177*$Y$177</f>
        <v>0</v>
      </c>
      <c r="AF177" s="6">
        <f ca="1">$M$177*$Z$177</f>
        <v>1697.5778715215156</v>
      </c>
      <c r="AG177" s="6">
        <f>$O$177*$AA$177</f>
        <v>513.16815845851295</v>
      </c>
    </row>
    <row r="178" spans="1:33" ht="11.25" customHeight="1" x14ac:dyDescent="0.25">
      <c r="A178" s="4" t="s">
        <v>21</v>
      </c>
      <c r="B178" s="4" t="s">
        <v>38</v>
      </c>
      <c r="C178" s="4" t="s">
        <v>39</v>
      </c>
      <c r="D178" s="4" t="s">
        <v>47</v>
      </c>
      <c r="E178" s="4" t="s">
        <v>48</v>
      </c>
      <c r="F178" s="4" t="s">
        <v>25</v>
      </c>
      <c r="G178" s="4" t="s">
        <v>25</v>
      </c>
      <c r="H178" s="4" t="s">
        <v>33</v>
      </c>
      <c r="I178" s="5">
        <v>44652</v>
      </c>
      <c r="J178" s="6">
        <v>0</v>
      </c>
      <c r="K178" s="58">
        <v>0</v>
      </c>
      <c r="L178" s="6">
        <v>1.6120000000000001</v>
      </c>
      <c r="M178" s="58">
        <v>1.6120000000000001</v>
      </c>
      <c r="N178" s="6">
        <v>1.6120000000000001</v>
      </c>
      <c r="O178" s="58">
        <v>1.6120000000000001</v>
      </c>
      <c r="P178" s="6">
        <v>0</v>
      </c>
      <c r="Q178" s="4" t="s">
        <v>26</v>
      </c>
      <c r="R178" s="4">
        <v>0</v>
      </c>
      <c r="S178" s="6">
        <v>0</v>
      </c>
      <c r="T178" s="6">
        <v>18</v>
      </c>
      <c r="U178" s="6">
        <v>69</v>
      </c>
      <c r="V178" s="58">
        <f>IF(ISERROR(VLOOKUP($S$178,'TAR FIN'!$A$1:$O$88,15,0)),0,VLOOKUP($S$178,'TAR FIN'!$A$1:$O$88,15,0))</f>
        <v>0</v>
      </c>
      <c r="W178" s="58">
        <f>IF(ISERROR(VLOOKUP($T$178,'TAR FIN'!$A$1:$O$88,15,0)),0,VLOOKUP($T$178,'TAR FIN'!$A$1:$O$88,15,0))*(1-0.06)</f>
        <v>1218.0989999999999</v>
      </c>
      <c r="X178" s="58">
        <f>IF(ISERROR(VLOOKUP($U$178,'TAR FIN'!$A$1:$O$88,15,0)),0,VLOOKUP($U$178,'TAR FIN'!$A$1:$O$88,15,0))*(1-0.06)</f>
        <v>408.85299999999995</v>
      </c>
      <c r="Y178" s="58"/>
      <c r="Z178" s="58">
        <f ca="1">('TUSD BE'!$AM$11+'TUSD BF'!$AM$11+'TUSD CVA'!$AM$11)*1*(1-0.03)</f>
        <v>1017.1227510614234</v>
      </c>
      <c r="AA178" s="58">
        <f>('TE BE'!$AB$5+'TE BF'!$AB$5+'TE CVA'!$AB$5)*1*(1-0.03)</f>
        <v>307.47043646405808</v>
      </c>
      <c r="AB178" s="6">
        <f>$K$178*$V$178</f>
        <v>0</v>
      </c>
      <c r="AC178" s="6">
        <f>$M$178*$W$178</f>
        <v>1963.5755879999999</v>
      </c>
      <c r="AD178" s="6">
        <f>$O$178*$X$178</f>
        <v>659.07103599999994</v>
      </c>
      <c r="AE178" s="6">
        <f>$K$178*$Y$178</f>
        <v>0</v>
      </c>
      <c r="AF178" s="6">
        <f ca="1">$M$178*$Z$178</f>
        <v>1639.6018747110147</v>
      </c>
      <c r="AG178" s="6">
        <f>$O$178*$AA$178</f>
        <v>495.64234358006166</v>
      </c>
    </row>
    <row r="179" spans="1:33" ht="11.25" customHeight="1" x14ac:dyDescent="0.25">
      <c r="A179" s="4" t="s">
        <v>21</v>
      </c>
      <c r="B179" s="4" t="s">
        <v>38</v>
      </c>
      <c r="C179" s="4" t="s">
        <v>39</v>
      </c>
      <c r="D179" s="4" t="s">
        <v>47</v>
      </c>
      <c r="E179" s="4" t="s">
        <v>48</v>
      </c>
      <c r="F179" s="4" t="s">
        <v>25</v>
      </c>
      <c r="G179" s="4" t="s">
        <v>25</v>
      </c>
      <c r="H179" s="4" t="s">
        <v>33</v>
      </c>
      <c r="I179" s="5">
        <v>44682</v>
      </c>
      <c r="J179" s="6">
        <v>0</v>
      </c>
      <c r="K179" s="58">
        <v>0</v>
      </c>
      <c r="L179" s="6">
        <v>1.198</v>
      </c>
      <c r="M179" s="58">
        <v>1.198</v>
      </c>
      <c r="N179" s="6">
        <v>1.198</v>
      </c>
      <c r="O179" s="58">
        <v>1.198</v>
      </c>
      <c r="P179" s="6">
        <v>0</v>
      </c>
      <c r="Q179" s="4" t="s">
        <v>26</v>
      </c>
      <c r="R179" s="4">
        <v>0</v>
      </c>
      <c r="S179" s="6">
        <v>0</v>
      </c>
      <c r="T179" s="6">
        <v>18</v>
      </c>
      <c r="U179" s="6">
        <v>69</v>
      </c>
      <c r="V179" s="58">
        <f>IF(ISERROR(VLOOKUP($S$179,'TAR FIN'!$A$1:$O$88,15,0)),0,VLOOKUP($S$179,'TAR FIN'!$A$1:$O$88,15,0))</f>
        <v>0</v>
      </c>
      <c r="W179" s="58">
        <f>IF(ISERROR(VLOOKUP($T$179,'TAR FIN'!$A$1:$O$88,15,0)),0,VLOOKUP($T$179,'TAR FIN'!$A$1:$O$88,15,0))*(1-0.06)</f>
        <v>1218.0989999999999</v>
      </c>
      <c r="X179" s="58">
        <f>IF(ISERROR(VLOOKUP($U$179,'TAR FIN'!$A$1:$O$88,15,0)),0,VLOOKUP($U$179,'TAR FIN'!$A$1:$O$88,15,0))*(1-0.06)</f>
        <v>408.85299999999995</v>
      </c>
      <c r="Y179" s="58"/>
      <c r="Z179" s="58">
        <f ca="1">('TUSD BE'!$AM$11+'TUSD BF'!$AM$11+'TUSD CVA'!$AM$11)*1*(1-0.03)</f>
        <v>1017.1227510614234</v>
      </c>
      <c r="AA179" s="58">
        <f>('TE BE'!$AB$5+'TE BF'!$AB$5+'TE CVA'!$AB$5)*1*(1-0.03)</f>
        <v>307.47043646405808</v>
      </c>
      <c r="AB179" s="6">
        <f>$K$179*$V$179</f>
        <v>0</v>
      </c>
      <c r="AC179" s="6">
        <f>$M$179*$W$179</f>
        <v>1459.2826019999998</v>
      </c>
      <c r="AD179" s="6">
        <f>$O$179*$X$179</f>
        <v>489.80589399999991</v>
      </c>
      <c r="AE179" s="6">
        <f>$K$179*$Y$179</f>
        <v>0</v>
      </c>
      <c r="AF179" s="6">
        <f ca="1">$M$179*$Z$179</f>
        <v>1218.5130557715852</v>
      </c>
      <c r="AG179" s="6">
        <f>$O$179*$AA$179</f>
        <v>368.34958288394159</v>
      </c>
    </row>
    <row r="180" spans="1:33" ht="11.25" customHeight="1" x14ac:dyDescent="0.25">
      <c r="A180" s="4" t="s">
        <v>21</v>
      </c>
      <c r="B180" s="4" t="s">
        <v>38</v>
      </c>
      <c r="C180" s="4" t="s">
        <v>39</v>
      </c>
      <c r="D180" s="4" t="s">
        <v>47</v>
      </c>
      <c r="E180" s="4" t="s">
        <v>48</v>
      </c>
      <c r="F180" s="4" t="s">
        <v>25</v>
      </c>
      <c r="G180" s="4" t="s">
        <v>25</v>
      </c>
      <c r="H180" s="4" t="s">
        <v>33</v>
      </c>
      <c r="I180" s="5">
        <v>44713</v>
      </c>
      <c r="J180" s="6">
        <v>0</v>
      </c>
      <c r="K180" s="58">
        <v>0</v>
      </c>
      <c r="L180" s="6">
        <v>1.851</v>
      </c>
      <c r="M180" s="58">
        <v>1.851</v>
      </c>
      <c r="N180" s="6">
        <v>1.851</v>
      </c>
      <c r="O180" s="58">
        <v>1.851</v>
      </c>
      <c r="P180" s="6">
        <v>0</v>
      </c>
      <c r="Q180" s="4" t="s">
        <v>26</v>
      </c>
      <c r="R180" s="4">
        <v>0</v>
      </c>
      <c r="S180" s="6">
        <v>0</v>
      </c>
      <c r="T180" s="6">
        <v>18</v>
      </c>
      <c r="U180" s="6">
        <v>69</v>
      </c>
      <c r="V180" s="58">
        <f>IF(ISERROR(VLOOKUP($S$180,'TAR FIN'!$A$1:$O$88,15,0)),0,VLOOKUP($S$180,'TAR FIN'!$A$1:$O$88,15,0))</f>
        <v>0</v>
      </c>
      <c r="W180" s="58">
        <f>IF(ISERROR(VLOOKUP($T$180,'TAR FIN'!$A$1:$O$88,15,0)),0,VLOOKUP($T$180,'TAR FIN'!$A$1:$O$88,15,0))*(1-0.06)</f>
        <v>1218.0989999999999</v>
      </c>
      <c r="X180" s="58">
        <f>IF(ISERROR(VLOOKUP($U$180,'TAR FIN'!$A$1:$O$88,15,0)),0,VLOOKUP($U$180,'TAR FIN'!$A$1:$O$88,15,0))*(1-0.06)</f>
        <v>408.85299999999995</v>
      </c>
      <c r="Y180" s="58"/>
      <c r="Z180" s="58">
        <f ca="1">('TUSD BE'!$AM$11+'TUSD BF'!$AM$11+'TUSD CVA'!$AM$11)*1*(1-0.03)</f>
        <v>1017.1227510614234</v>
      </c>
      <c r="AA180" s="58">
        <f>('TE BE'!$AB$5+'TE BF'!$AB$5+'TE CVA'!$AB$5)*1*(1-0.03)</f>
        <v>307.47043646405808</v>
      </c>
      <c r="AB180" s="6">
        <f>$K$180*$V$180</f>
        <v>0</v>
      </c>
      <c r="AC180" s="6">
        <f>$M$180*$W$180</f>
        <v>2254.7012489999997</v>
      </c>
      <c r="AD180" s="6">
        <f>$O$180*$X$180</f>
        <v>756.78690299999994</v>
      </c>
      <c r="AE180" s="6">
        <f>$K$180*$Y$180</f>
        <v>0</v>
      </c>
      <c r="AF180" s="6">
        <f ca="1">$M$180*$Z$180</f>
        <v>1882.6942122146947</v>
      </c>
      <c r="AG180" s="6">
        <f>$O$180*$AA$180</f>
        <v>569.12777789497147</v>
      </c>
    </row>
    <row r="181" spans="1:33" ht="11.25" customHeight="1" x14ac:dyDescent="0.25">
      <c r="A181" s="4" t="s">
        <v>55</v>
      </c>
      <c r="B181" s="4" t="s">
        <v>38</v>
      </c>
      <c r="C181" s="4" t="s">
        <v>39</v>
      </c>
      <c r="D181" s="4" t="s">
        <v>47</v>
      </c>
      <c r="E181" s="4" t="s">
        <v>48</v>
      </c>
      <c r="F181" s="4" t="s">
        <v>25</v>
      </c>
      <c r="G181" s="4" t="s">
        <v>25</v>
      </c>
      <c r="H181" s="4" t="s">
        <v>33</v>
      </c>
      <c r="I181" s="5">
        <v>44743</v>
      </c>
      <c r="J181" s="6">
        <v>0</v>
      </c>
      <c r="K181" s="58">
        <v>0</v>
      </c>
      <c r="L181" s="6">
        <v>1.851</v>
      </c>
      <c r="M181" s="58">
        <v>1.851</v>
      </c>
      <c r="N181" s="6">
        <v>1.851</v>
      </c>
      <c r="O181" s="58">
        <v>1.851</v>
      </c>
      <c r="P181" s="6">
        <v>0</v>
      </c>
      <c r="Q181" s="4" t="s">
        <v>26</v>
      </c>
      <c r="R181" s="4">
        <v>0</v>
      </c>
      <c r="S181" s="6">
        <v>0</v>
      </c>
      <c r="T181" s="6">
        <v>18</v>
      </c>
      <c r="U181" s="6">
        <v>69</v>
      </c>
      <c r="V181" s="58">
        <f>IF(ISERROR(VLOOKUP($S$181,'TAR FIN'!$A$1:$O$88,15,0)),0,VLOOKUP($S$181,'TAR FIN'!$A$1:$O$88,15,0))</f>
        <v>0</v>
      </c>
      <c r="W181" s="58">
        <f>IF(ISERROR(VLOOKUP($T$181,'TAR FIN'!$A$1:$O$88,15,0)),0,VLOOKUP($T$181,'TAR FIN'!$A$1:$O$88,15,0))*(1-0.06)</f>
        <v>1218.0989999999999</v>
      </c>
      <c r="X181" s="58">
        <f>IF(ISERROR(VLOOKUP($U$181,'TAR FIN'!$A$1:$O$88,15,0)),0,VLOOKUP($U$181,'TAR FIN'!$A$1:$O$88,15,0))*(1-0.06)</f>
        <v>408.85299999999995</v>
      </c>
      <c r="Y181" s="58"/>
      <c r="Z181" s="58">
        <f ca="1">('TUSD BE'!$AM$11+'TUSD BF'!$AM$11+'TUSD CVA'!$AM$11)*1*(1-0.03)</f>
        <v>1017.1227510614234</v>
      </c>
      <c r="AA181" s="58">
        <f>('TE BE'!$AB$5+'TE BF'!$AB$5+'TE CVA'!$AB$5)*1*(1-0.03)</f>
        <v>307.47043646405808</v>
      </c>
      <c r="AB181" s="6">
        <f>$K$181*$V$181</f>
        <v>0</v>
      </c>
      <c r="AC181" s="6">
        <f>$M$181*$W$181</f>
        <v>2254.7012489999997</v>
      </c>
      <c r="AD181" s="6">
        <f>$O$181*$X$181</f>
        <v>756.78690299999994</v>
      </c>
      <c r="AE181" s="6">
        <f>$K$181*$Y$181</f>
        <v>0</v>
      </c>
      <c r="AF181" s="6">
        <f ca="1">$M$181*$Z$181</f>
        <v>1882.6942122146947</v>
      </c>
      <c r="AG181" s="6">
        <f>$O$181*$AA$181</f>
        <v>569.12777789497147</v>
      </c>
    </row>
    <row r="182" spans="1:33" ht="11.25" customHeight="1" x14ac:dyDescent="0.25">
      <c r="A182" s="4" t="s">
        <v>21</v>
      </c>
      <c r="B182" s="4" t="s">
        <v>22</v>
      </c>
      <c r="C182" s="4" t="s">
        <v>32</v>
      </c>
      <c r="D182" s="4" t="s">
        <v>24</v>
      </c>
      <c r="E182" s="4" t="s">
        <v>24</v>
      </c>
      <c r="F182" s="4" t="s">
        <v>25</v>
      </c>
      <c r="G182" s="4" t="s">
        <v>25</v>
      </c>
      <c r="H182" s="4" t="s">
        <v>34</v>
      </c>
      <c r="I182" s="5">
        <v>44409</v>
      </c>
      <c r="J182" s="6">
        <v>0</v>
      </c>
      <c r="K182" s="6">
        <v>0</v>
      </c>
      <c r="L182" s="6">
        <v>0.20899999999999999</v>
      </c>
      <c r="M182" s="6">
        <v>0.20899999999999999</v>
      </c>
      <c r="N182" s="6">
        <v>0.20899999999999999</v>
      </c>
      <c r="O182" s="6">
        <v>0.20899999999999999</v>
      </c>
      <c r="P182" s="6">
        <v>0</v>
      </c>
      <c r="Q182" s="4" t="s">
        <v>26</v>
      </c>
      <c r="R182" s="4">
        <v>0</v>
      </c>
      <c r="S182" s="6">
        <v>0</v>
      </c>
      <c r="T182" s="6">
        <v>36</v>
      </c>
      <c r="U182" s="6">
        <v>74</v>
      </c>
      <c r="V182" s="6">
        <f>IF(ISERROR(VLOOKUP($S$182,'TAR FIN'!$A$1:$O$88,15,0)),0,VLOOKUP($S$182,'TAR FIN'!$A$1:$O$88,15,0))</f>
        <v>0</v>
      </c>
      <c r="W182" s="6">
        <f>IF(ISERROR(VLOOKUP($T$182,'TAR FIN'!$A$1:$O$88,15,0)),0,VLOOKUP($T$182,'TAR FIN'!$A$1:$O$88,15,0))</f>
        <v>198.56</v>
      </c>
      <c r="X182" s="6">
        <f>IF(ISERROR(VLOOKUP($U$182,'TAR FIN'!$A$1:$O$88,15,0)),0,VLOOKUP($U$182,'TAR FIN'!$A$1:$O$88,15,0))</f>
        <v>275.36</v>
      </c>
      <c r="Y182" s="6"/>
      <c r="Z182" s="6">
        <f ca="1">('TUSD BE'!$AM$19+'TUSD BF'!$AM$19+'TUSD CVA'!$AM$19)*1</f>
        <v>246.31048317467608</v>
      </c>
      <c r="AA182" s="6">
        <f>('TE BE'!$AB$10+'TE BF'!$AB$10+'TE CVA'!$AB$10)*1</f>
        <v>197.6895725142987</v>
      </c>
      <c r="AB182" s="6">
        <f>$K$182*$V$182</f>
        <v>0</v>
      </c>
      <c r="AC182" s="6">
        <f>$M$182*$W$182</f>
        <v>41.499040000000001</v>
      </c>
      <c r="AD182" s="6">
        <f>$O$182*$X$182</f>
        <v>57.550240000000002</v>
      </c>
      <c r="AE182" s="6">
        <f>$K$182*$Y$182</f>
        <v>0</v>
      </c>
      <c r="AF182" s="6">
        <f ca="1">$M$182*$Z$182</f>
        <v>51.478890983507299</v>
      </c>
      <c r="AG182" s="6">
        <f>$O$182*$AA$182</f>
        <v>41.317120655488431</v>
      </c>
    </row>
    <row r="183" spans="1:33" ht="11.25" customHeight="1" x14ac:dyDescent="0.25">
      <c r="A183" s="4" t="s">
        <v>21</v>
      </c>
      <c r="B183" s="4" t="s">
        <v>22</v>
      </c>
      <c r="C183" s="4" t="s">
        <v>32</v>
      </c>
      <c r="D183" s="4" t="s">
        <v>24</v>
      </c>
      <c r="E183" s="4" t="s">
        <v>24</v>
      </c>
      <c r="F183" s="4" t="s">
        <v>25</v>
      </c>
      <c r="G183" s="4" t="s">
        <v>25</v>
      </c>
      <c r="H183" s="4" t="s">
        <v>34</v>
      </c>
      <c r="I183" s="5">
        <v>44440</v>
      </c>
      <c r="J183" s="6">
        <v>0</v>
      </c>
      <c r="K183" s="6">
        <v>0</v>
      </c>
      <c r="L183" s="6">
        <v>0.16200000000000001</v>
      </c>
      <c r="M183" s="6">
        <v>0.16200000000000001</v>
      </c>
      <c r="N183" s="6">
        <v>0.16200000000000001</v>
      </c>
      <c r="O183" s="6">
        <v>0.16200000000000001</v>
      </c>
      <c r="P183" s="6">
        <v>0</v>
      </c>
      <c r="Q183" s="4" t="s">
        <v>26</v>
      </c>
      <c r="R183" s="4">
        <v>0</v>
      </c>
      <c r="S183" s="6">
        <v>0</v>
      </c>
      <c r="T183" s="6">
        <v>36</v>
      </c>
      <c r="U183" s="6">
        <v>74</v>
      </c>
      <c r="V183" s="6">
        <f>IF(ISERROR(VLOOKUP($S$183,'TAR FIN'!$A$1:$O$88,15,0)),0,VLOOKUP($S$183,'TAR FIN'!$A$1:$O$88,15,0))</f>
        <v>0</v>
      </c>
      <c r="W183" s="6">
        <f>IF(ISERROR(VLOOKUP($T$183,'TAR FIN'!$A$1:$O$88,15,0)),0,VLOOKUP($T$183,'TAR FIN'!$A$1:$O$88,15,0))</f>
        <v>198.56</v>
      </c>
      <c r="X183" s="6">
        <f>IF(ISERROR(VLOOKUP($U$183,'TAR FIN'!$A$1:$O$88,15,0)),0,VLOOKUP($U$183,'TAR FIN'!$A$1:$O$88,15,0))</f>
        <v>275.36</v>
      </c>
      <c r="Y183" s="6"/>
      <c r="Z183" s="6">
        <f ca="1">('TUSD BE'!$AM$19+'TUSD BF'!$AM$19+'TUSD CVA'!$AM$19)*1</f>
        <v>246.31048317467608</v>
      </c>
      <c r="AA183" s="6">
        <f>('TE BE'!$AB$10+'TE BF'!$AB$10+'TE CVA'!$AB$10)*1</f>
        <v>197.6895725142987</v>
      </c>
      <c r="AB183" s="6">
        <f>$K$183*$V$183</f>
        <v>0</v>
      </c>
      <c r="AC183" s="6">
        <f>$M$183*$W$183</f>
        <v>32.166719999999998</v>
      </c>
      <c r="AD183" s="6">
        <f>$O$183*$X$183</f>
        <v>44.608320000000006</v>
      </c>
      <c r="AE183" s="6">
        <f>$K$183*$Y$183</f>
        <v>0</v>
      </c>
      <c r="AF183" s="6">
        <f ca="1">$M$183*$Z$183</f>
        <v>39.902298274297529</v>
      </c>
      <c r="AG183" s="6">
        <f>$O$183*$AA$183</f>
        <v>32.025710747316388</v>
      </c>
    </row>
    <row r="184" spans="1:33" ht="11.25" customHeight="1" x14ac:dyDescent="0.25">
      <c r="A184" s="4" t="s">
        <v>21</v>
      </c>
      <c r="B184" s="4" t="s">
        <v>22</v>
      </c>
      <c r="C184" s="4" t="s">
        <v>32</v>
      </c>
      <c r="D184" s="4" t="s">
        <v>24</v>
      </c>
      <c r="E184" s="4" t="s">
        <v>24</v>
      </c>
      <c r="F184" s="4" t="s">
        <v>25</v>
      </c>
      <c r="G184" s="4" t="s">
        <v>25</v>
      </c>
      <c r="H184" s="4" t="s">
        <v>34</v>
      </c>
      <c r="I184" s="5">
        <v>44470</v>
      </c>
      <c r="J184" s="6">
        <v>0</v>
      </c>
      <c r="K184" s="6">
        <v>0</v>
      </c>
      <c r="L184" s="6">
        <v>0.20200000000000001</v>
      </c>
      <c r="M184" s="6">
        <v>0.20200000000000001</v>
      </c>
      <c r="N184" s="6">
        <v>0.20200000000000001</v>
      </c>
      <c r="O184" s="6">
        <v>0.20200000000000001</v>
      </c>
      <c r="P184" s="6">
        <v>0</v>
      </c>
      <c r="Q184" s="4" t="s">
        <v>26</v>
      </c>
      <c r="R184" s="4">
        <v>0</v>
      </c>
      <c r="S184" s="6">
        <v>0</v>
      </c>
      <c r="T184" s="6">
        <v>36</v>
      </c>
      <c r="U184" s="6">
        <v>74</v>
      </c>
      <c r="V184" s="6">
        <f>IF(ISERROR(VLOOKUP($S$184,'TAR FIN'!$A$1:$O$88,15,0)),0,VLOOKUP($S$184,'TAR FIN'!$A$1:$O$88,15,0))</f>
        <v>0</v>
      </c>
      <c r="W184" s="6">
        <f>IF(ISERROR(VLOOKUP($T$184,'TAR FIN'!$A$1:$O$88,15,0)),0,VLOOKUP($T$184,'TAR FIN'!$A$1:$O$88,15,0))</f>
        <v>198.56</v>
      </c>
      <c r="X184" s="6">
        <f>IF(ISERROR(VLOOKUP($U$184,'TAR FIN'!$A$1:$O$88,15,0)),0,VLOOKUP($U$184,'TAR FIN'!$A$1:$O$88,15,0))</f>
        <v>275.36</v>
      </c>
      <c r="Y184" s="6"/>
      <c r="Z184" s="6">
        <f ca="1">('TUSD BE'!$AM$19+'TUSD BF'!$AM$19+'TUSD CVA'!$AM$19)*1</f>
        <v>246.31048317467608</v>
      </c>
      <c r="AA184" s="6">
        <f>('TE BE'!$AB$10+'TE BF'!$AB$10+'TE CVA'!$AB$10)*1</f>
        <v>197.6895725142987</v>
      </c>
      <c r="AB184" s="6">
        <f>$K$184*$V$184</f>
        <v>0</v>
      </c>
      <c r="AC184" s="6">
        <f>$M$184*$W$184</f>
        <v>40.109120000000004</v>
      </c>
      <c r="AD184" s="6">
        <f>$O$184*$X$184</f>
        <v>55.622720000000008</v>
      </c>
      <c r="AE184" s="6">
        <f>$K$184*$Y$184</f>
        <v>0</v>
      </c>
      <c r="AF184" s="6">
        <f ca="1">$M$184*$Z$184</f>
        <v>49.754717601284568</v>
      </c>
      <c r="AG184" s="6">
        <f>$O$184*$AA$184</f>
        <v>39.933293647888341</v>
      </c>
    </row>
    <row r="185" spans="1:33" ht="11.25" customHeight="1" x14ac:dyDescent="0.25">
      <c r="A185" s="4" t="s">
        <v>21</v>
      </c>
      <c r="B185" s="4" t="s">
        <v>22</v>
      </c>
      <c r="C185" s="4" t="s">
        <v>32</v>
      </c>
      <c r="D185" s="4" t="s">
        <v>24</v>
      </c>
      <c r="E185" s="4" t="s">
        <v>24</v>
      </c>
      <c r="F185" s="4" t="s">
        <v>25</v>
      </c>
      <c r="G185" s="4" t="s">
        <v>25</v>
      </c>
      <c r="H185" s="4" t="s">
        <v>34</v>
      </c>
      <c r="I185" s="5">
        <v>44501</v>
      </c>
      <c r="J185" s="6">
        <v>0</v>
      </c>
      <c r="K185" s="6">
        <v>0</v>
      </c>
      <c r="L185" s="6">
        <v>0.182</v>
      </c>
      <c r="M185" s="6">
        <v>0.182</v>
      </c>
      <c r="N185" s="6">
        <v>0.182</v>
      </c>
      <c r="O185" s="6">
        <v>0.182</v>
      </c>
      <c r="P185" s="6">
        <v>0</v>
      </c>
      <c r="Q185" s="4" t="s">
        <v>26</v>
      </c>
      <c r="R185" s="4">
        <v>0</v>
      </c>
      <c r="S185" s="6">
        <v>0</v>
      </c>
      <c r="T185" s="6">
        <v>36</v>
      </c>
      <c r="U185" s="6">
        <v>74</v>
      </c>
      <c r="V185" s="6">
        <f>IF(ISERROR(VLOOKUP($S$185,'TAR FIN'!$A$1:$O$88,15,0)),0,VLOOKUP($S$185,'TAR FIN'!$A$1:$O$88,15,0))</f>
        <v>0</v>
      </c>
      <c r="W185" s="6">
        <f>IF(ISERROR(VLOOKUP($T$185,'TAR FIN'!$A$1:$O$88,15,0)),0,VLOOKUP($T$185,'TAR FIN'!$A$1:$O$88,15,0))</f>
        <v>198.56</v>
      </c>
      <c r="X185" s="6">
        <f>IF(ISERROR(VLOOKUP($U$185,'TAR FIN'!$A$1:$O$88,15,0)),0,VLOOKUP($U$185,'TAR FIN'!$A$1:$O$88,15,0))</f>
        <v>275.36</v>
      </c>
      <c r="Y185" s="6"/>
      <c r="Z185" s="6">
        <f ca="1">('TUSD BE'!$AM$19+'TUSD BF'!$AM$19+'TUSD CVA'!$AM$19)*1</f>
        <v>246.31048317467608</v>
      </c>
      <c r="AA185" s="6">
        <f>('TE BE'!$AB$10+'TE BF'!$AB$10+'TE CVA'!$AB$10)*1</f>
        <v>197.6895725142987</v>
      </c>
      <c r="AB185" s="6">
        <f>$K$185*$V$185</f>
        <v>0</v>
      </c>
      <c r="AC185" s="6">
        <f>$M$185*$W$185</f>
        <v>36.137920000000001</v>
      </c>
      <c r="AD185" s="6">
        <f>$O$185*$X$185</f>
        <v>50.115520000000004</v>
      </c>
      <c r="AE185" s="6">
        <f>$K$185*$Y$185</f>
        <v>0</v>
      </c>
      <c r="AF185" s="6">
        <f ca="1">$M$185*$Z$185</f>
        <v>44.828507937791045</v>
      </c>
      <c r="AG185" s="6">
        <f>$O$185*$AA$185</f>
        <v>35.979502197602365</v>
      </c>
    </row>
    <row r="186" spans="1:33" ht="11.25" customHeight="1" x14ac:dyDescent="0.25">
      <c r="A186" s="4" t="s">
        <v>21</v>
      </c>
      <c r="B186" s="4" t="s">
        <v>22</v>
      </c>
      <c r="C186" s="4" t="s">
        <v>32</v>
      </c>
      <c r="D186" s="4" t="s">
        <v>24</v>
      </c>
      <c r="E186" s="4" t="s">
        <v>24</v>
      </c>
      <c r="F186" s="4" t="s">
        <v>25</v>
      </c>
      <c r="G186" s="4" t="s">
        <v>25</v>
      </c>
      <c r="H186" s="4" t="s">
        <v>34</v>
      </c>
      <c r="I186" s="5">
        <v>44531</v>
      </c>
      <c r="J186" s="6">
        <v>0</v>
      </c>
      <c r="K186" s="6">
        <v>0</v>
      </c>
      <c r="L186" s="6">
        <v>0.28599999999999998</v>
      </c>
      <c r="M186" s="6">
        <v>0.28599999999999998</v>
      </c>
      <c r="N186" s="6">
        <v>0.28599999999999998</v>
      </c>
      <c r="O186" s="6">
        <v>0.28599999999999998</v>
      </c>
      <c r="P186" s="6">
        <v>0</v>
      </c>
      <c r="Q186" s="4" t="s">
        <v>26</v>
      </c>
      <c r="R186" s="4">
        <v>0</v>
      </c>
      <c r="S186" s="6">
        <v>0</v>
      </c>
      <c r="T186" s="6">
        <v>36</v>
      </c>
      <c r="U186" s="6">
        <v>74</v>
      </c>
      <c r="V186" s="6">
        <f>IF(ISERROR(VLOOKUP($S$186,'TAR FIN'!$A$1:$O$88,15,0)),0,VLOOKUP($S$186,'TAR FIN'!$A$1:$O$88,15,0))</f>
        <v>0</v>
      </c>
      <c r="W186" s="6">
        <f>IF(ISERROR(VLOOKUP($T$186,'TAR FIN'!$A$1:$O$88,15,0)),0,VLOOKUP($T$186,'TAR FIN'!$A$1:$O$88,15,0))</f>
        <v>198.56</v>
      </c>
      <c r="X186" s="6">
        <f>IF(ISERROR(VLOOKUP($U$186,'TAR FIN'!$A$1:$O$88,15,0)),0,VLOOKUP($U$186,'TAR FIN'!$A$1:$O$88,15,0))</f>
        <v>275.36</v>
      </c>
      <c r="Y186" s="6"/>
      <c r="Z186" s="6">
        <f ca="1">('TUSD BE'!$AM$19+'TUSD BF'!$AM$19+'TUSD CVA'!$AM$19)*1</f>
        <v>246.31048317467608</v>
      </c>
      <c r="AA186" s="6">
        <f>('TE BE'!$AB$10+'TE BF'!$AB$10+'TE CVA'!$AB$10)*1</f>
        <v>197.6895725142987</v>
      </c>
      <c r="AB186" s="6">
        <f>$K$186*$V$186</f>
        <v>0</v>
      </c>
      <c r="AC186" s="6">
        <f>$M$186*$W$186</f>
        <v>56.788159999999998</v>
      </c>
      <c r="AD186" s="6">
        <f>$O$186*$X$186</f>
        <v>78.752960000000002</v>
      </c>
      <c r="AE186" s="6">
        <f>$K$186*$Y$186</f>
        <v>0</v>
      </c>
      <c r="AF186" s="6">
        <f ca="1">$M$186*$Z$186</f>
        <v>70.444798187957346</v>
      </c>
      <c r="AG186" s="6">
        <f>$O$186*$AA$186</f>
        <v>56.539217739089423</v>
      </c>
    </row>
    <row r="187" spans="1:33" ht="11.25" customHeight="1" x14ac:dyDescent="0.25">
      <c r="A187" s="4" t="s">
        <v>21</v>
      </c>
      <c r="B187" s="4" t="s">
        <v>22</v>
      </c>
      <c r="C187" s="4" t="s">
        <v>32</v>
      </c>
      <c r="D187" s="4" t="s">
        <v>24</v>
      </c>
      <c r="E187" s="4" t="s">
        <v>24</v>
      </c>
      <c r="F187" s="4" t="s">
        <v>25</v>
      </c>
      <c r="G187" s="4" t="s">
        <v>25</v>
      </c>
      <c r="H187" s="4" t="s">
        <v>34</v>
      </c>
      <c r="I187" s="5">
        <v>44562</v>
      </c>
      <c r="J187" s="6">
        <v>0</v>
      </c>
      <c r="K187" s="6">
        <v>0</v>
      </c>
      <c r="L187" s="6">
        <v>0.47099999999999997</v>
      </c>
      <c r="M187" s="6">
        <v>0.47099999999999997</v>
      </c>
      <c r="N187" s="6">
        <v>0.47099999999999997</v>
      </c>
      <c r="O187" s="6">
        <v>0.47099999999999997</v>
      </c>
      <c r="P187" s="6">
        <v>0</v>
      </c>
      <c r="Q187" s="4" t="s">
        <v>26</v>
      </c>
      <c r="R187" s="4">
        <v>0</v>
      </c>
      <c r="S187" s="6">
        <v>0</v>
      </c>
      <c r="T187" s="6">
        <v>36</v>
      </c>
      <c r="U187" s="6">
        <v>74</v>
      </c>
      <c r="V187" s="6">
        <f>IF(ISERROR(VLOOKUP($S$187,'TAR FIN'!$A$1:$O$88,15,0)),0,VLOOKUP($S$187,'TAR FIN'!$A$1:$O$88,15,0))</f>
        <v>0</v>
      </c>
      <c r="W187" s="6">
        <f>IF(ISERROR(VLOOKUP($T$187,'TAR FIN'!$A$1:$O$88,15,0)),0,VLOOKUP($T$187,'TAR FIN'!$A$1:$O$88,15,0))</f>
        <v>198.56</v>
      </c>
      <c r="X187" s="6">
        <f>IF(ISERROR(VLOOKUP($U$187,'TAR FIN'!$A$1:$O$88,15,0)),0,VLOOKUP($U$187,'TAR FIN'!$A$1:$O$88,15,0))</f>
        <v>275.36</v>
      </c>
      <c r="Y187" s="6"/>
      <c r="Z187" s="6">
        <f ca="1">('TUSD BE'!$AM$19+'TUSD BF'!$AM$19+'TUSD CVA'!$AM$19)*1</f>
        <v>246.31048317467608</v>
      </c>
      <c r="AA187" s="6">
        <f>('TE BE'!$AB$10+'TE BF'!$AB$10+'TE CVA'!$AB$10)*1</f>
        <v>197.6895725142987</v>
      </c>
      <c r="AB187" s="6">
        <f>$K$187*$V$187</f>
        <v>0</v>
      </c>
      <c r="AC187" s="6">
        <f>$M$187*$W$187</f>
        <v>93.52176</v>
      </c>
      <c r="AD187" s="6">
        <f>$O$187*$X$187</f>
        <v>129.69456</v>
      </c>
      <c r="AE187" s="6">
        <f>$K$187*$Y$187</f>
        <v>0</v>
      </c>
      <c r="AF187" s="6">
        <f ca="1">$M$187*$Z$187</f>
        <v>116.01223757527242</v>
      </c>
      <c r="AG187" s="6">
        <f>$O$187*$AA$187</f>
        <v>93.111788654234687</v>
      </c>
    </row>
    <row r="188" spans="1:33" ht="11.25" customHeight="1" x14ac:dyDescent="0.25">
      <c r="A188" s="4" t="s">
        <v>21</v>
      </c>
      <c r="B188" s="4" t="s">
        <v>22</v>
      </c>
      <c r="C188" s="4" t="s">
        <v>32</v>
      </c>
      <c r="D188" s="4" t="s">
        <v>24</v>
      </c>
      <c r="E188" s="4" t="s">
        <v>24</v>
      </c>
      <c r="F188" s="4" t="s">
        <v>25</v>
      </c>
      <c r="G188" s="4" t="s">
        <v>25</v>
      </c>
      <c r="H188" s="4" t="s">
        <v>34</v>
      </c>
      <c r="I188" s="5">
        <v>44593</v>
      </c>
      <c r="J188" s="6">
        <v>0</v>
      </c>
      <c r="K188" s="6">
        <v>0</v>
      </c>
      <c r="L188" s="6">
        <v>0.20799999999999999</v>
      </c>
      <c r="M188" s="6">
        <v>0.20799999999999999</v>
      </c>
      <c r="N188" s="6">
        <v>0.20799999999999999</v>
      </c>
      <c r="O188" s="6">
        <v>0.20799999999999999</v>
      </c>
      <c r="P188" s="6">
        <v>0</v>
      </c>
      <c r="Q188" s="4" t="s">
        <v>26</v>
      </c>
      <c r="R188" s="4">
        <v>0</v>
      </c>
      <c r="S188" s="6">
        <v>0</v>
      </c>
      <c r="T188" s="6">
        <v>36</v>
      </c>
      <c r="U188" s="6">
        <v>74</v>
      </c>
      <c r="V188" s="6">
        <f>IF(ISERROR(VLOOKUP($S$188,'TAR FIN'!$A$1:$O$88,15,0)),0,VLOOKUP($S$188,'TAR FIN'!$A$1:$O$88,15,0))</f>
        <v>0</v>
      </c>
      <c r="W188" s="6">
        <f>IF(ISERROR(VLOOKUP($T$188,'TAR FIN'!$A$1:$O$88,15,0)),0,VLOOKUP($T$188,'TAR FIN'!$A$1:$O$88,15,0))</f>
        <v>198.56</v>
      </c>
      <c r="X188" s="6">
        <f>IF(ISERROR(VLOOKUP($U$188,'TAR FIN'!$A$1:$O$88,15,0)),0,VLOOKUP($U$188,'TAR FIN'!$A$1:$O$88,15,0))</f>
        <v>275.36</v>
      </c>
      <c r="Y188" s="6"/>
      <c r="Z188" s="6">
        <f ca="1">('TUSD BE'!$AM$19+'TUSD BF'!$AM$19+'TUSD CVA'!$AM$19)*1</f>
        <v>246.31048317467608</v>
      </c>
      <c r="AA188" s="6">
        <f>('TE BE'!$AB$10+'TE BF'!$AB$10+'TE CVA'!$AB$10)*1</f>
        <v>197.6895725142987</v>
      </c>
      <c r="AB188" s="6">
        <f>$K$188*$V$188</f>
        <v>0</v>
      </c>
      <c r="AC188" s="6">
        <f>$M$188*$W$188</f>
        <v>41.30048</v>
      </c>
      <c r="AD188" s="6">
        <f>$O$188*$X$188</f>
        <v>57.274880000000003</v>
      </c>
      <c r="AE188" s="6">
        <f>$K$188*$Y$188</f>
        <v>0</v>
      </c>
      <c r="AF188" s="6">
        <f ca="1">$M$188*$Z$188</f>
        <v>51.232580500332624</v>
      </c>
      <c r="AG188" s="6">
        <f>$O$188*$AA$188</f>
        <v>41.119431082974131</v>
      </c>
    </row>
    <row r="189" spans="1:33" ht="11.25" customHeight="1" x14ac:dyDescent="0.25">
      <c r="A189" s="4" t="s">
        <v>21</v>
      </c>
      <c r="B189" s="4" t="s">
        <v>22</v>
      </c>
      <c r="C189" s="4" t="s">
        <v>32</v>
      </c>
      <c r="D189" s="4" t="s">
        <v>24</v>
      </c>
      <c r="E189" s="4" t="s">
        <v>24</v>
      </c>
      <c r="F189" s="4" t="s">
        <v>25</v>
      </c>
      <c r="G189" s="4" t="s">
        <v>25</v>
      </c>
      <c r="H189" s="4" t="s">
        <v>34</v>
      </c>
      <c r="I189" s="5">
        <v>44621</v>
      </c>
      <c r="J189" s="6">
        <v>0</v>
      </c>
      <c r="K189" s="6">
        <v>0</v>
      </c>
      <c r="L189" s="6">
        <v>0.36099999999999999</v>
      </c>
      <c r="M189" s="6">
        <v>0.36099999999999999</v>
      </c>
      <c r="N189" s="6">
        <v>0.36099999999999999</v>
      </c>
      <c r="O189" s="6">
        <v>0.36099999999999999</v>
      </c>
      <c r="P189" s="6">
        <v>0</v>
      </c>
      <c r="Q189" s="4" t="s">
        <v>26</v>
      </c>
      <c r="R189" s="4">
        <v>0</v>
      </c>
      <c r="S189" s="6">
        <v>0</v>
      </c>
      <c r="T189" s="6">
        <v>36</v>
      </c>
      <c r="U189" s="6">
        <v>74</v>
      </c>
      <c r="V189" s="6">
        <f>IF(ISERROR(VLOOKUP($S$189,'TAR FIN'!$A$1:$O$88,15,0)),0,VLOOKUP($S$189,'TAR FIN'!$A$1:$O$88,15,0))</f>
        <v>0</v>
      </c>
      <c r="W189" s="6">
        <f>IF(ISERROR(VLOOKUP($T$189,'TAR FIN'!$A$1:$O$88,15,0)),0,VLOOKUP($T$189,'TAR FIN'!$A$1:$O$88,15,0))</f>
        <v>198.56</v>
      </c>
      <c r="X189" s="6">
        <f>IF(ISERROR(VLOOKUP($U$189,'TAR FIN'!$A$1:$O$88,15,0)),0,VLOOKUP($U$189,'TAR FIN'!$A$1:$O$88,15,0))</f>
        <v>275.36</v>
      </c>
      <c r="Y189" s="6"/>
      <c r="Z189" s="6">
        <f ca="1">('TUSD BE'!$AM$19+'TUSD BF'!$AM$19+'TUSD CVA'!$AM$19)*1</f>
        <v>246.31048317467608</v>
      </c>
      <c r="AA189" s="6">
        <f>('TE BE'!$AB$10+'TE BF'!$AB$10+'TE CVA'!$AB$10)*1</f>
        <v>197.6895725142987</v>
      </c>
      <c r="AB189" s="6">
        <f>$K$189*$V$189</f>
        <v>0</v>
      </c>
      <c r="AC189" s="6">
        <f>$M$189*$W$189</f>
        <v>71.680160000000001</v>
      </c>
      <c r="AD189" s="6">
        <f>$O$189*$X$189</f>
        <v>99.404960000000003</v>
      </c>
      <c r="AE189" s="6">
        <f>$K$189*$Y$189</f>
        <v>0</v>
      </c>
      <c r="AF189" s="6">
        <f ca="1">$M$189*$Z$189</f>
        <v>88.918084426058059</v>
      </c>
      <c r="AG189" s="6">
        <f>$O$189*$AA$189</f>
        <v>71.365935677661824</v>
      </c>
    </row>
    <row r="190" spans="1:33" ht="11.25" customHeight="1" x14ac:dyDescent="0.25">
      <c r="A190" s="4" t="s">
        <v>21</v>
      </c>
      <c r="B190" s="4" t="s">
        <v>22</v>
      </c>
      <c r="C190" s="4" t="s">
        <v>32</v>
      </c>
      <c r="D190" s="4" t="s">
        <v>24</v>
      </c>
      <c r="E190" s="4" t="s">
        <v>24</v>
      </c>
      <c r="F190" s="4" t="s">
        <v>25</v>
      </c>
      <c r="G190" s="4" t="s">
        <v>25</v>
      </c>
      <c r="H190" s="4" t="s">
        <v>34</v>
      </c>
      <c r="I190" s="5">
        <v>44652</v>
      </c>
      <c r="J190" s="6">
        <v>0</v>
      </c>
      <c r="K190" s="6">
        <v>0</v>
      </c>
      <c r="L190" s="6">
        <v>0.12</v>
      </c>
      <c r="M190" s="6">
        <v>0.12</v>
      </c>
      <c r="N190" s="6">
        <v>0.12</v>
      </c>
      <c r="O190" s="6">
        <v>0.12</v>
      </c>
      <c r="P190" s="6">
        <v>0</v>
      </c>
      <c r="Q190" s="4" t="s">
        <v>26</v>
      </c>
      <c r="R190" s="4">
        <v>0</v>
      </c>
      <c r="S190" s="6">
        <v>0</v>
      </c>
      <c r="T190" s="6">
        <v>36</v>
      </c>
      <c r="U190" s="6">
        <v>74</v>
      </c>
      <c r="V190" s="6">
        <f>IF(ISERROR(VLOOKUP($S$190,'TAR FIN'!$A$1:$O$88,15,0)),0,VLOOKUP($S$190,'TAR FIN'!$A$1:$O$88,15,0))</f>
        <v>0</v>
      </c>
      <c r="W190" s="6">
        <f>IF(ISERROR(VLOOKUP($T$190,'TAR FIN'!$A$1:$O$88,15,0)),0,VLOOKUP($T$190,'TAR FIN'!$A$1:$O$88,15,0))</f>
        <v>198.56</v>
      </c>
      <c r="X190" s="6">
        <f>IF(ISERROR(VLOOKUP($U$190,'TAR FIN'!$A$1:$O$88,15,0)),0,VLOOKUP($U$190,'TAR FIN'!$A$1:$O$88,15,0))</f>
        <v>275.36</v>
      </c>
      <c r="Y190" s="6"/>
      <c r="Z190" s="6">
        <f ca="1">('TUSD BE'!$AM$19+'TUSD BF'!$AM$19+'TUSD CVA'!$AM$19)*1</f>
        <v>246.31048317467608</v>
      </c>
      <c r="AA190" s="6">
        <f>('TE BE'!$AB$10+'TE BF'!$AB$10+'TE CVA'!$AB$10)*1</f>
        <v>197.6895725142987</v>
      </c>
      <c r="AB190" s="6">
        <f>$K$190*$V$190</f>
        <v>0</v>
      </c>
      <c r="AC190" s="6">
        <f>$M$190*$W$190</f>
        <v>23.827199999999998</v>
      </c>
      <c r="AD190" s="6">
        <f>$O$190*$X$190</f>
        <v>33.043199999999999</v>
      </c>
      <c r="AE190" s="6">
        <f>$K$190*$Y$190</f>
        <v>0</v>
      </c>
      <c r="AF190" s="6">
        <f ca="1">$M$190*$Z$190</f>
        <v>29.557257980961129</v>
      </c>
      <c r="AG190" s="6">
        <f>$O$190*$AA$190</f>
        <v>23.722748701715844</v>
      </c>
    </row>
    <row r="191" spans="1:33" ht="11.25" customHeight="1" x14ac:dyDescent="0.25">
      <c r="A191" s="4" t="s">
        <v>21</v>
      </c>
      <c r="B191" s="4" t="s">
        <v>22</v>
      </c>
      <c r="C191" s="4" t="s">
        <v>32</v>
      </c>
      <c r="D191" s="4" t="s">
        <v>24</v>
      </c>
      <c r="E191" s="4" t="s">
        <v>24</v>
      </c>
      <c r="F191" s="4" t="s">
        <v>25</v>
      </c>
      <c r="G191" s="4" t="s">
        <v>25</v>
      </c>
      <c r="H191" s="4" t="s">
        <v>34</v>
      </c>
      <c r="I191" s="5">
        <v>44682</v>
      </c>
      <c r="J191" s="6">
        <v>0</v>
      </c>
      <c r="K191" s="6">
        <v>0</v>
      </c>
      <c r="L191" s="6">
        <v>7.2999999999999995E-2</v>
      </c>
      <c r="M191" s="6">
        <v>7.2999999999999995E-2</v>
      </c>
      <c r="N191" s="6">
        <v>7.2999999999999995E-2</v>
      </c>
      <c r="O191" s="6">
        <v>7.2999999999999995E-2</v>
      </c>
      <c r="P191" s="6">
        <v>0</v>
      </c>
      <c r="Q191" s="4" t="s">
        <v>26</v>
      </c>
      <c r="R191" s="4">
        <v>0</v>
      </c>
      <c r="S191" s="6">
        <v>0</v>
      </c>
      <c r="T191" s="6">
        <v>36</v>
      </c>
      <c r="U191" s="6">
        <v>74</v>
      </c>
      <c r="V191" s="6">
        <f>IF(ISERROR(VLOOKUP($S$191,'TAR FIN'!$A$1:$O$88,15,0)),0,VLOOKUP($S$191,'TAR FIN'!$A$1:$O$88,15,0))</f>
        <v>0</v>
      </c>
      <c r="W191" s="6">
        <f>IF(ISERROR(VLOOKUP($T$191,'TAR FIN'!$A$1:$O$88,15,0)),0,VLOOKUP($T$191,'TAR FIN'!$A$1:$O$88,15,0))</f>
        <v>198.56</v>
      </c>
      <c r="X191" s="6">
        <f>IF(ISERROR(VLOOKUP($U$191,'TAR FIN'!$A$1:$O$88,15,0)),0,VLOOKUP($U$191,'TAR FIN'!$A$1:$O$88,15,0))</f>
        <v>275.36</v>
      </c>
      <c r="Y191" s="6"/>
      <c r="Z191" s="6">
        <f ca="1">('TUSD BE'!$AM$19+'TUSD BF'!$AM$19+'TUSD CVA'!$AM$19)*1</f>
        <v>246.31048317467608</v>
      </c>
      <c r="AA191" s="6">
        <f>('TE BE'!$AB$10+'TE BF'!$AB$10+'TE CVA'!$AB$10)*1</f>
        <v>197.6895725142987</v>
      </c>
      <c r="AB191" s="6">
        <f>$K$191*$V$191</f>
        <v>0</v>
      </c>
      <c r="AC191" s="6">
        <f>$M$191*$W$191</f>
        <v>14.494879999999998</v>
      </c>
      <c r="AD191" s="6">
        <f>$O$191*$X$191</f>
        <v>20.101279999999999</v>
      </c>
      <c r="AE191" s="6">
        <f>$K$191*$Y$191</f>
        <v>0</v>
      </c>
      <c r="AF191" s="6">
        <f ca="1">$M$191*$Z$191</f>
        <v>17.980665271751352</v>
      </c>
      <c r="AG191" s="6">
        <f>$O$191*$AA$191</f>
        <v>14.431338793543805</v>
      </c>
    </row>
    <row r="192" spans="1:33" ht="11.25" customHeight="1" x14ac:dyDescent="0.25">
      <c r="A192" s="4" t="s">
        <v>21</v>
      </c>
      <c r="B192" s="4" t="s">
        <v>22</v>
      </c>
      <c r="C192" s="4" t="s">
        <v>32</v>
      </c>
      <c r="D192" s="4" t="s">
        <v>24</v>
      </c>
      <c r="E192" s="4" t="s">
        <v>24</v>
      </c>
      <c r="F192" s="4" t="s">
        <v>25</v>
      </c>
      <c r="G192" s="4" t="s">
        <v>25</v>
      </c>
      <c r="H192" s="4" t="s">
        <v>34</v>
      </c>
      <c r="I192" s="5">
        <v>44713</v>
      </c>
      <c r="J192" s="6">
        <v>0</v>
      </c>
      <c r="K192" s="6">
        <v>0</v>
      </c>
      <c r="L192" s="6">
        <v>0.09</v>
      </c>
      <c r="M192" s="6">
        <v>0.09</v>
      </c>
      <c r="N192" s="6">
        <v>0.09</v>
      </c>
      <c r="O192" s="6">
        <v>0.09</v>
      </c>
      <c r="P192" s="6">
        <v>0</v>
      </c>
      <c r="Q192" s="4" t="s">
        <v>26</v>
      </c>
      <c r="R192" s="4">
        <v>0</v>
      </c>
      <c r="S192" s="6">
        <v>0</v>
      </c>
      <c r="T192" s="6">
        <v>36</v>
      </c>
      <c r="U192" s="6">
        <v>74</v>
      </c>
      <c r="V192" s="6">
        <f>IF(ISERROR(VLOOKUP($S$192,'TAR FIN'!$A$1:$O$88,15,0)),0,VLOOKUP($S$192,'TAR FIN'!$A$1:$O$88,15,0))</f>
        <v>0</v>
      </c>
      <c r="W192" s="6">
        <f>IF(ISERROR(VLOOKUP($T$192,'TAR FIN'!$A$1:$O$88,15,0)),0,VLOOKUP($T$192,'TAR FIN'!$A$1:$O$88,15,0))</f>
        <v>198.56</v>
      </c>
      <c r="X192" s="6">
        <f>IF(ISERROR(VLOOKUP($U$192,'TAR FIN'!$A$1:$O$88,15,0)),0,VLOOKUP($U$192,'TAR FIN'!$A$1:$O$88,15,0))</f>
        <v>275.36</v>
      </c>
      <c r="Y192" s="6"/>
      <c r="Z192" s="6">
        <f ca="1">('TUSD BE'!$AM$19+'TUSD BF'!$AM$19+'TUSD CVA'!$AM$19)*1</f>
        <v>246.31048317467608</v>
      </c>
      <c r="AA192" s="6">
        <f>('TE BE'!$AB$10+'TE BF'!$AB$10+'TE CVA'!$AB$10)*1</f>
        <v>197.6895725142987</v>
      </c>
      <c r="AB192" s="6">
        <f>$K$192*$V$192</f>
        <v>0</v>
      </c>
      <c r="AC192" s="6">
        <f>$M$192*$W$192</f>
        <v>17.8704</v>
      </c>
      <c r="AD192" s="6">
        <f>$O$192*$X$192</f>
        <v>24.782399999999999</v>
      </c>
      <c r="AE192" s="6">
        <f>$K$192*$Y$192</f>
        <v>0</v>
      </c>
      <c r="AF192" s="6">
        <f ca="1">$M$192*$Z$192</f>
        <v>22.167943485720848</v>
      </c>
      <c r="AG192" s="6">
        <f>$O$192*$AA$192</f>
        <v>17.792061526286883</v>
      </c>
    </row>
    <row r="193" spans="1:33" ht="11.25" customHeight="1" x14ac:dyDescent="0.25">
      <c r="A193" s="4" t="s">
        <v>55</v>
      </c>
      <c r="B193" s="4" t="s">
        <v>22</v>
      </c>
      <c r="C193" s="4" t="s">
        <v>32</v>
      </c>
      <c r="D193" s="4" t="s">
        <v>24</v>
      </c>
      <c r="E193" s="4" t="s">
        <v>24</v>
      </c>
      <c r="F193" s="4" t="s">
        <v>25</v>
      </c>
      <c r="G193" s="4" t="s">
        <v>25</v>
      </c>
      <c r="H193" s="4" t="s">
        <v>34</v>
      </c>
      <c r="I193" s="5">
        <v>44743</v>
      </c>
      <c r="J193" s="6">
        <v>0</v>
      </c>
      <c r="K193" s="6">
        <v>0</v>
      </c>
      <c r="L193" s="6">
        <v>0.09</v>
      </c>
      <c r="M193" s="6">
        <v>0.09</v>
      </c>
      <c r="N193" s="6">
        <v>0.09</v>
      </c>
      <c r="O193" s="6">
        <v>0.09</v>
      </c>
      <c r="P193" s="6">
        <v>0</v>
      </c>
      <c r="Q193" s="4" t="s">
        <v>26</v>
      </c>
      <c r="R193" s="4">
        <v>0</v>
      </c>
      <c r="S193" s="6">
        <v>0</v>
      </c>
      <c r="T193" s="6">
        <v>36</v>
      </c>
      <c r="U193" s="6">
        <v>74</v>
      </c>
      <c r="V193" s="6">
        <f>IF(ISERROR(VLOOKUP($S$193,'TAR FIN'!$A$1:$O$88,15,0)),0,VLOOKUP($S$193,'TAR FIN'!$A$1:$O$88,15,0))</f>
        <v>0</v>
      </c>
      <c r="W193" s="6">
        <f>IF(ISERROR(VLOOKUP($T$193,'TAR FIN'!$A$1:$O$88,15,0)),0,VLOOKUP($T$193,'TAR FIN'!$A$1:$O$88,15,0))</f>
        <v>198.56</v>
      </c>
      <c r="X193" s="6">
        <f>IF(ISERROR(VLOOKUP($U$193,'TAR FIN'!$A$1:$O$88,15,0)),0,VLOOKUP($U$193,'TAR FIN'!$A$1:$O$88,15,0))</f>
        <v>275.36</v>
      </c>
      <c r="Y193" s="6"/>
      <c r="Z193" s="6">
        <f ca="1">('TUSD BE'!$AM$19+'TUSD BF'!$AM$19+'TUSD CVA'!$AM$19)*1</f>
        <v>246.31048317467608</v>
      </c>
      <c r="AA193" s="6">
        <f>('TE BE'!$AB$10+'TE BF'!$AB$10+'TE CVA'!$AB$10)*1</f>
        <v>197.6895725142987</v>
      </c>
      <c r="AB193" s="6">
        <f>$K$193*$V$193</f>
        <v>0</v>
      </c>
      <c r="AC193" s="6">
        <f>$M$193*$W$193</f>
        <v>17.8704</v>
      </c>
      <c r="AD193" s="6">
        <f>$O$193*$X$193</f>
        <v>24.782399999999999</v>
      </c>
      <c r="AE193" s="6">
        <f>$K$193*$Y$193</f>
        <v>0</v>
      </c>
      <c r="AF193" s="6">
        <f ca="1">$M$193*$Z$193</f>
        <v>22.167943485720848</v>
      </c>
      <c r="AG193" s="6">
        <f>$O$193*$AA$193</f>
        <v>17.792061526286883</v>
      </c>
    </row>
    <row r="194" spans="1:33" ht="11.25" customHeight="1" x14ac:dyDescent="0.25">
      <c r="A194" s="4" t="s">
        <v>21</v>
      </c>
      <c r="B194" s="4" t="s">
        <v>22</v>
      </c>
      <c r="C194" s="4" t="s">
        <v>32</v>
      </c>
      <c r="D194" s="4" t="s">
        <v>24</v>
      </c>
      <c r="E194" s="4" t="s">
        <v>24</v>
      </c>
      <c r="F194" s="4" t="s">
        <v>25</v>
      </c>
      <c r="G194" s="4" t="s">
        <v>25</v>
      </c>
      <c r="H194" s="4" t="s">
        <v>35</v>
      </c>
      <c r="I194" s="5">
        <v>44409</v>
      </c>
      <c r="J194" s="6">
        <v>0</v>
      </c>
      <c r="K194" s="6">
        <v>0</v>
      </c>
      <c r="L194" s="6">
        <v>1.0999999999999999E-2</v>
      </c>
      <c r="M194" s="6">
        <v>1.0999999999999999E-2</v>
      </c>
      <c r="N194" s="6">
        <v>1.0999999999999999E-2</v>
      </c>
      <c r="O194" s="6">
        <v>1.0999999999999999E-2</v>
      </c>
      <c r="P194" s="6">
        <v>0</v>
      </c>
      <c r="Q194" s="4" t="s">
        <v>26</v>
      </c>
      <c r="R194" s="4">
        <v>0</v>
      </c>
      <c r="S194" s="6">
        <v>0</v>
      </c>
      <c r="T194" s="6">
        <v>35</v>
      </c>
      <c r="U194" s="6">
        <v>73</v>
      </c>
      <c r="V194" s="6">
        <f>IF(ISERROR(VLOOKUP($S$194,'TAR FIN'!$A$1:$O$88,15,0)),0,VLOOKUP($S$194,'TAR FIN'!$A$1:$O$88,15,0))</f>
        <v>0</v>
      </c>
      <c r="W194" s="6">
        <f>IF(ISERROR(VLOOKUP($T$194,'TAR FIN'!$A$1:$O$88,15,0)),0,VLOOKUP($T$194,'TAR FIN'!$A$1:$O$88,15,0))</f>
        <v>380.18</v>
      </c>
      <c r="X194" s="6">
        <f>IF(ISERROR(VLOOKUP($U$194,'TAR FIN'!$A$1:$O$88,15,0)),0,VLOOKUP($U$194,'TAR FIN'!$A$1:$O$88,15,0))</f>
        <v>275.36</v>
      </c>
      <c r="Y194" s="6"/>
      <c r="Z194" s="6">
        <f ca="1">('TUSD BE'!$AM$18+'TUSD BF'!$AM$18+'TUSD CVA'!$AM$18)*1</f>
        <v>511.29410554744766</v>
      </c>
      <c r="AA194" s="6">
        <f>('TE BE'!$AB$9+'TE BF'!$AB$9+'TE CVA'!$AB$9)*1</f>
        <v>197.6895725142987</v>
      </c>
      <c r="AB194" s="6">
        <f>$K$194*$V$194</f>
        <v>0</v>
      </c>
      <c r="AC194" s="6">
        <f>$M$194*$W$194</f>
        <v>4.1819800000000003</v>
      </c>
      <c r="AD194" s="6">
        <f>$O$194*$X$194</f>
        <v>3.0289600000000001</v>
      </c>
      <c r="AE194" s="6">
        <f>$K$194*$Y$194</f>
        <v>0</v>
      </c>
      <c r="AF194" s="6">
        <f ca="1">$M$194*$Z$194</f>
        <v>5.6242351610219243</v>
      </c>
      <c r="AG194" s="6">
        <f>$O$194*$AA$194</f>
        <v>2.1745852976572855</v>
      </c>
    </row>
    <row r="195" spans="1:33" ht="11.25" customHeight="1" x14ac:dyDescent="0.25">
      <c r="A195" s="4" t="s">
        <v>21</v>
      </c>
      <c r="B195" s="4" t="s">
        <v>22</v>
      </c>
      <c r="C195" s="4" t="s">
        <v>32</v>
      </c>
      <c r="D195" s="4" t="s">
        <v>24</v>
      </c>
      <c r="E195" s="4" t="s">
        <v>24</v>
      </c>
      <c r="F195" s="4" t="s">
        <v>25</v>
      </c>
      <c r="G195" s="4" t="s">
        <v>25</v>
      </c>
      <c r="H195" s="4" t="s">
        <v>35</v>
      </c>
      <c r="I195" s="5">
        <v>44440</v>
      </c>
      <c r="J195" s="6">
        <v>0</v>
      </c>
      <c r="K195" s="6">
        <v>0</v>
      </c>
      <c r="L195" s="6">
        <v>8.9999999999999993E-3</v>
      </c>
      <c r="M195" s="6">
        <v>8.9999999999999993E-3</v>
      </c>
      <c r="N195" s="6">
        <v>8.9999999999999993E-3</v>
      </c>
      <c r="O195" s="6">
        <v>8.9999999999999993E-3</v>
      </c>
      <c r="P195" s="6">
        <v>0</v>
      </c>
      <c r="Q195" s="4" t="s">
        <v>26</v>
      </c>
      <c r="R195" s="4">
        <v>0</v>
      </c>
      <c r="S195" s="6">
        <v>0</v>
      </c>
      <c r="T195" s="6">
        <v>35</v>
      </c>
      <c r="U195" s="6">
        <v>73</v>
      </c>
      <c r="V195" s="6">
        <f>IF(ISERROR(VLOOKUP($S$195,'TAR FIN'!$A$1:$O$88,15,0)),0,VLOOKUP($S$195,'TAR FIN'!$A$1:$O$88,15,0))</f>
        <v>0</v>
      </c>
      <c r="W195" s="6">
        <f>IF(ISERROR(VLOOKUP($T$195,'TAR FIN'!$A$1:$O$88,15,0)),0,VLOOKUP($T$195,'TAR FIN'!$A$1:$O$88,15,0))</f>
        <v>380.18</v>
      </c>
      <c r="X195" s="6">
        <f>IF(ISERROR(VLOOKUP($U$195,'TAR FIN'!$A$1:$O$88,15,0)),0,VLOOKUP($U$195,'TAR FIN'!$A$1:$O$88,15,0))</f>
        <v>275.36</v>
      </c>
      <c r="Y195" s="6"/>
      <c r="Z195" s="6">
        <f ca="1">('TUSD BE'!$AM$18+'TUSD BF'!$AM$18+'TUSD CVA'!$AM$18)*1</f>
        <v>511.29410554744766</v>
      </c>
      <c r="AA195" s="6">
        <f>('TE BE'!$AB$9+'TE BF'!$AB$9+'TE CVA'!$AB$9)*1</f>
        <v>197.6895725142987</v>
      </c>
      <c r="AB195" s="6">
        <f>$K$195*$V$195</f>
        <v>0</v>
      </c>
      <c r="AC195" s="6">
        <f>$M$195*$W$195</f>
        <v>3.4216199999999999</v>
      </c>
      <c r="AD195" s="6">
        <f>$O$195*$X$195</f>
        <v>2.47824</v>
      </c>
      <c r="AE195" s="6">
        <f>$K$195*$Y$195</f>
        <v>0</v>
      </c>
      <c r="AF195" s="6">
        <f ca="1">$M$195*$Z$195</f>
        <v>4.6016469499270283</v>
      </c>
      <c r="AG195" s="6">
        <f>$O$195*$AA$195</f>
        <v>1.7792061526286882</v>
      </c>
    </row>
    <row r="196" spans="1:33" ht="11.25" customHeight="1" x14ac:dyDescent="0.25">
      <c r="A196" s="4" t="s">
        <v>21</v>
      </c>
      <c r="B196" s="4" t="s">
        <v>22</v>
      </c>
      <c r="C196" s="4" t="s">
        <v>32</v>
      </c>
      <c r="D196" s="4" t="s">
        <v>24</v>
      </c>
      <c r="E196" s="4" t="s">
        <v>24</v>
      </c>
      <c r="F196" s="4" t="s">
        <v>25</v>
      </c>
      <c r="G196" s="4" t="s">
        <v>25</v>
      </c>
      <c r="H196" s="4" t="s">
        <v>35</v>
      </c>
      <c r="I196" s="5">
        <v>44470</v>
      </c>
      <c r="J196" s="6">
        <v>0</v>
      </c>
      <c r="K196" s="6">
        <v>0</v>
      </c>
      <c r="L196" s="6">
        <v>1.6E-2</v>
      </c>
      <c r="M196" s="6">
        <v>1.6E-2</v>
      </c>
      <c r="N196" s="6">
        <v>1.6E-2</v>
      </c>
      <c r="O196" s="6">
        <v>1.6E-2</v>
      </c>
      <c r="P196" s="6">
        <v>0</v>
      </c>
      <c r="Q196" s="4" t="s">
        <v>26</v>
      </c>
      <c r="R196" s="4">
        <v>0</v>
      </c>
      <c r="S196" s="6">
        <v>0</v>
      </c>
      <c r="T196" s="6">
        <v>35</v>
      </c>
      <c r="U196" s="6">
        <v>73</v>
      </c>
      <c r="V196" s="6">
        <f>IF(ISERROR(VLOOKUP($S$196,'TAR FIN'!$A$1:$O$88,15,0)),0,VLOOKUP($S$196,'TAR FIN'!$A$1:$O$88,15,0))</f>
        <v>0</v>
      </c>
      <c r="W196" s="6">
        <f>IF(ISERROR(VLOOKUP($T$196,'TAR FIN'!$A$1:$O$88,15,0)),0,VLOOKUP($T$196,'TAR FIN'!$A$1:$O$88,15,0))</f>
        <v>380.18</v>
      </c>
      <c r="X196" s="6">
        <f>IF(ISERROR(VLOOKUP($U$196,'TAR FIN'!$A$1:$O$88,15,0)),0,VLOOKUP($U$196,'TAR FIN'!$A$1:$O$88,15,0))</f>
        <v>275.36</v>
      </c>
      <c r="Y196" s="6"/>
      <c r="Z196" s="6">
        <f ca="1">('TUSD BE'!$AM$18+'TUSD BF'!$AM$18+'TUSD CVA'!$AM$18)*1</f>
        <v>511.29410554744766</v>
      </c>
      <c r="AA196" s="6">
        <f>('TE BE'!$AB$9+'TE BF'!$AB$9+'TE CVA'!$AB$9)*1</f>
        <v>197.6895725142987</v>
      </c>
      <c r="AB196" s="6">
        <f>$K$196*$V$196</f>
        <v>0</v>
      </c>
      <c r="AC196" s="6">
        <f>$M$196*$W$196</f>
        <v>6.0828800000000003</v>
      </c>
      <c r="AD196" s="6">
        <f>$O$196*$X$196</f>
        <v>4.4057599999999999</v>
      </c>
      <c r="AE196" s="6">
        <f>$K$196*$Y$196</f>
        <v>0</v>
      </c>
      <c r="AF196" s="6">
        <f ca="1">$M$196*$Z$196</f>
        <v>8.1807056887591632</v>
      </c>
      <c r="AG196" s="6">
        <f>$O$196*$AA$196</f>
        <v>3.1630331602287791</v>
      </c>
    </row>
    <row r="197" spans="1:33" ht="11.25" customHeight="1" x14ac:dyDescent="0.25">
      <c r="A197" s="4" t="s">
        <v>21</v>
      </c>
      <c r="B197" s="4" t="s">
        <v>22</v>
      </c>
      <c r="C197" s="4" t="s">
        <v>32</v>
      </c>
      <c r="D197" s="4" t="s">
        <v>24</v>
      </c>
      <c r="E197" s="4" t="s">
        <v>24</v>
      </c>
      <c r="F197" s="4" t="s">
        <v>25</v>
      </c>
      <c r="G197" s="4" t="s">
        <v>25</v>
      </c>
      <c r="H197" s="4" t="s">
        <v>35</v>
      </c>
      <c r="I197" s="5">
        <v>44501</v>
      </c>
      <c r="J197" s="6">
        <v>0</v>
      </c>
      <c r="K197" s="6">
        <v>0</v>
      </c>
      <c r="L197" s="6">
        <v>8.9999999999999993E-3</v>
      </c>
      <c r="M197" s="6">
        <v>8.9999999999999993E-3</v>
      </c>
      <c r="N197" s="6">
        <v>8.9999999999999993E-3</v>
      </c>
      <c r="O197" s="6">
        <v>8.9999999999999993E-3</v>
      </c>
      <c r="P197" s="6">
        <v>0</v>
      </c>
      <c r="Q197" s="4" t="s">
        <v>26</v>
      </c>
      <c r="R197" s="4">
        <v>0</v>
      </c>
      <c r="S197" s="6">
        <v>0</v>
      </c>
      <c r="T197" s="6">
        <v>35</v>
      </c>
      <c r="U197" s="6">
        <v>73</v>
      </c>
      <c r="V197" s="6">
        <f>IF(ISERROR(VLOOKUP($S$197,'TAR FIN'!$A$1:$O$88,15,0)),0,VLOOKUP($S$197,'TAR FIN'!$A$1:$O$88,15,0))</f>
        <v>0</v>
      </c>
      <c r="W197" s="6">
        <f>IF(ISERROR(VLOOKUP($T$197,'TAR FIN'!$A$1:$O$88,15,0)),0,VLOOKUP($T$197,'TAR FIN'!$A$1:$O$88,15,0))</f>
        <v>380.18</v>
      </c>
      <c r="X197" s="6">
        <f>IF(ISERROR(VLOOKUP($U$197,'TAR FIN'!$A$1:$O$88,15,0)),0,VLOOKUP($U$197,'TAR FIN'!$A$1:$O$88,15,0))</f>
        <v>275.36</v>
      </c>
      <c r="Y197" s="6"/>
      <c r="Z197" s="6">
        <f ca="1">('TUSD BE'!$AM$18+'TUSD BF'!$AM$18+'TUSD CVA'!$AM$18)*1</f>
        <v>511.29410554744766</v>
      </c>
      <c r="AA197" s="6">
        <f>('TE BE'!$AB$9+'TE BF'!$AB$9+'TE CVA'!$AB$9)*1</f>
        <v>197.6895725142987</v>
      </c>
      <c r="AB197" s="6">
        <f>$K$197*$V$197</f>
        <v>0</v>
      </c>
      <c r="AC197" s="6">
        <f>$M$197*$W$197</f>
        <v>3.4216199999999999</v>
      </c>
      <c r="AD197" s="6">
        <f>$O$197*$X$197</f>
        <v>2.47824</v>
      </c>
      <c r="AE197" s="6">
        <f>$K$197*$Y$197</f>
        <v>0</v>
      </c>
      <c r="AF197" s="6">
        <f ca="1">$M$197*$Z$197</f>
        <v>4.6016469499270283</v>
      </c>
      <c r="AG197" s="6">
        <f>$O$197*$AA$197</f>
        <v>1.7792061526286882</v>
      </c>
    </row>
    <row r="198" spans="1:33" ht="11.25" customHeight="1" x14ac:dyDescent="0.25">
      <c r="A198" s="4" t="s">
        <v>21</v>
      </c>
      <c r="B198" s="4" t="s">
        <v>22</v>
      </c>
      <c r="C198" s="4" t="s">
        <v>32</v>
      </c>
      <c r="D198" s="4" t="s">
        <v>24</v>
      </c>
      <c r="E198" s="4" t="s">
        <v>24</v>
      </c>
      <c r="F198" s="4" t="s">
        <v>25</v>
      </c>
      <c r="G198" s="4" t="s">
        <v>25</v>
      </c>
      <c r="H198" s="4" t="s">
        <v>35</v>
      </c>
      <c r="I198" s="5">
        <v>44531</v>
      </c>
      <c r="J198" s="6">
        <v>0</v>
      </c>
      <c r="K198" s="6">
        <v>0</v>
      </c>
      <c r="L198" s="6">
        <v>1.6E-2</v>
      </c>
      <c r="M198" s="6">
        <v>1.6E-2</v>
      </c>
      <c r="N198" s="6">
        <v>1.6E-2</v>
      </c>
      <c r="O198" s="6">
        <v>1.6E-2</v>
      </c>
      <c r="P198" s="6">
        <v>0</v>
      </c>
      <c r="Q198" s="4" t="s">
        <v>26</v>
      </c>
      <c r="R198" s="4">
        <v>0</v>
      </c>
      <c r="S198" s="6">
        <v>0</v>
      </c>
      <c r="T198" s="6">
        <v>35</v>
      </c>
      <c r="U198" s="6">
        <v>73</v>
      </c>
      <c r="V198" s="6">
        <f>IF(ISERROR(VLOOKUP($S$198,'TAR FIN'!$A$1:$O$88,15,0)),0,VLOOKUP($S$198,'TAR FIN'!$A$1:$O$88,15,0))</f>
        <v>0</v>
      </c>
      <c r="W198" s="6">
        <f>IF(ISERROR(VLOOKUP($T$198,'TAR FIN'!$A$1:$O$88,15,0)),0,VLOOKUP($T$198,'TAR FIN'!$A$1:$O$88,15,0))</f>
        <v>380.18</v>
      </c>
      <c r="X198" s="6">
        <f>IF(ISERROR(VLOOKUP($U$198,'TAR FIN'!$A$1:$O$88,15,0)),0,VLOOKUP($U$198,'TAR FIN'!$A$1:$O$88,15,0))</f>
        <v>275.36</v>
      </c>
      <c r="Y198" s="6"/>
      <c r="Z198" s="6">
        <f ca="1">('TUSD BE'!$AM$18+'TUSD BF'!$AM$18+'TUSD CVA'!$AM$18)*1</f>
        <v>511.29410554744766</v>
      </c>
      <c r="AA198" s="6">
        <f>('TE BE'!$AB$9+'TE BF'!$AB$9+'TE CVA'!$AB$9)*1</f>
        <v>197.6895725142987</v>
      </c>
      <c r="AB198" s="6">
        <f>$K$198*$V$198</f>
        <v>0</v>
      </c>
      <c r="AC198" s="6">
        <f>$M$198*$W$198</f>
        <v>6.0828800000000003</v>
      </c>
      <c r="AD198" s="6">
        <f>$O$198*$X$198</f>
        <v>4.4057599999999999</v>
      </c>
      <c r="AE198" s="6">
        <f>$K$198*$Y$198</f>
        <v>0</v>
      </c>
      <c r="AF198" s="6">
        <f ca="1">$M$198*$Z$198</f>
        <v>8.1807056887591632</v>
      </c>
      <c r="AG198" s="6">
        <f>$O$198*$AA$198</f>
        <v>3.1630331602287791</v>
      </c>
    </row>
    <row r="199" spans="1:33" ht="11.25" customHeight="1" x14ac:dyDescent="0.25">
      <c r="A199" s="4" t="s">
        <v>21</v>
      </c>
      <c r="B199" s="4" t="s">
        <v>22</v>
      </c>
      <c r="C199" s="4" t="s">
        <v>32</v>
      </c>
      <c r="D199" s="4" t="s">
        <v>24</v>
      </c>
      <c r="E199" s="4" t="s">
        <v>24</v>
      </c>
      <c r="F199" s="4" t="s">
        <v>25</v>
      </c>
      <c r="G199" s="4" t="s">
        <v>25</v>
      </c>
      <c r="H199" s="4" t="s">
        <v>35</v>
      </c>
      <c r="I199" s="5">
        <v>44562</v>
      </c>
      <c r="J199" s="6">
        <v>0</v>
      </c>
      <c r="K199" s="6">
        <v>0</v>
      </c>
      <c r="L199" s="6">
        <v>0.02</v>
      </c>
      <c r="M199" s="6">
        <v>0.02</v>
      </c>
      <c r="N199" s="6">
        <v>0.02</v>
      </c>
      <c r="O199" s="6">
        <v>0.02</v>
      </c>
      <c r="P199" s="6">
        <v>0</v>
      </c>
      <c r="Q199" s="4" t="s">
        <v>26</v>
      </c>
      <c r="R199" s="4">
        <v>0</v>
      </c>
      <c r="S199" s="6">
        <v>0</v>
      </c>
      <c r="T199" s="6">
        <v>35</v>
      </c>
      <c r="U199" s="6">
        <v>73</v>
      </c>
      <c r="V199" s="6">
        <f>IF(ISERROR(VLOOKUP($S$199,'TAR FIN'!$A$1:$O$88,15,0)),0,VLOOKUP($S$199,'TAR FIN'!$A$1:$O$88,15,0))</f>
        <v>0</v>
      </c>
      <c r="W199" s="6">
        <f>IF(ISERROR(VLOOKUP($T$199,'TAR FIN'!$A$1:$O$88,15,0)),0,VLOOKUP($T$199,'TAR FIN'!$A$1:$O$88,15,0))</f>
        <v>380.18</v>
      </c>
      <c r="X199" s="6">
        <f>IF(ISERROR(VLOOKUP($U$199,'TAR FIN'!$A$1:$O$88,15,0)),0,VLOOKUP($U$199,'TAR FIN'!$A$1:$O$88,15,0))</f>
        <v>275.36</v>
      </c>
      <c r="Y199" s="6"/>
      <c r="Z199" s="6">
        <f ca="1">('TUSD BE'!$AM$18+'TUSD BF'!$AM$18+'TUSD CVA'!$AM$18)*1</f>
        <v>511.29410554744766</v>
      </c>
      <c r="AA199" s="6">
        <f>('TE BE'!$AB$9+'TE BF'!$AB$9+'TE CVA'!$AB$9)*1</f>
        <v>197.6895725142987</v>
      </c>
      <c r="AB199" s="6">
        <f>$K$199*$V$199</f>
        <v>0</v>
      </c>
      <c r="AC199" s="6">
        <f>$M$199*$W$199</f>
        <v>7.6036000000000001</v>
      </c>
      <c r="AD199" s="6">
        <f>$O$199*$X$199</f>
        <v>5.5072000000000001</v>
      </c>
      <c r="AE199" s="6">
        <f>$K$199*$Y$199</f>
        <v>0</v>
      </c>
      <c r="AF199" s="6">
        <f ca="1">$M$199*$Z$199</f>
        <v>10.225882110948953</v>
      </c>
      <c r="AG199" s="6">
        <f>$O$199*$AA$199</f>
        <v>3.9537914502859741</v>
      </c>
    </row>
    <row r="200" spans="1:33" ht="11.25" customHeight="1" x14ac:dyDescent="0.25">
      <c r="A200" s="4" t="s">
        <v>21</v>
      </c>
      <c r="B200" s="4" t="s">
        <v>22</v>
      </c>
      <c r="C200" s="4" t="s">
        <v>32</v>
      </c>
      <c r="D200" s="4" t="s">
        <v>24</v>
      </c>
      <c r="E200" s="4" t="s">
        <v>24</v>
      </c>
      <c r="F200" s="4" t="s">
        <v>25</v>
      </c>
      <c r="G200" s="4" t="s">
        <v>25</v>
      </c>
      <c r="H200" s="4" t="s">
        <v>35</v>
      </c>
      <c r="I200" s="5">
        <v>44593</v>
      </c>
      <c r="J200" s="6">
        <v>0</v>
      </c>
      <c r="K200" s="6">
        <v>0</v>
      </c>
      <c r="L200" s="6">
        <v>7.0000000000000001E-3</v>
      </c>
      <c r="M200" s="6">
        <v>7.0000000000000001E-3</v>
      </c>
      <c r="N200" s="6">
        <v>7.0000000000000001E-3</v>
      </c>
      <c r="O200" s="6">
        <v>7.0000000000000001E-3</v>
      </c>
      <c r="P200" s="6">
        <v>0</v>
      </c>
      <c r="Q200" s="4" t="s">
        <v>26</v>
      </c>
      <c r="R200" s="4">
        <v>0</v>
      </c>
      <c r="S200" s="6">
        <v>0</v>
      </c>
      <c r="T200" s="6">
        <v>35</v>
      </c>
      <c r="U200" s="6">
        <v>73</v>
      </c>
      <c r="V200" s="6">
        <f>IF(ISERROR(VLOOKUP($S$200,'TAR FIN'!$A$1:$O$88,15,0)),0,VLOOKUP($S$200,'TAR FIN'!$A$1:$O$88,15,0))</f>
        <v>0</v>
      </c>
      <c r="W200" s="6">
        <f>IF(ISERROR(VLOOKUP($T$200,'TAR FIN'!$A$1:$O$88,15,0)),0,VLOOKUP($T$200,'TAR FIN'!$A$1:$O$88,15,0))</f>
        <v>380.18</v>
      </c>
      <c r="X200" s="6">
        <f>IF(ISERROR(VLOOKUP($U$200,'TAR FIN'!$A$1:$O$88,15,0)),0,VLOOKUP($U$200,'TAR FIN'!$A$1:$O$88,15,0))</f>
        <v>275.36</v>
      </c>
      <c r="Y200" s="6"/>
      <c r="Z200" s="6">
        <f ca="1">('TUSD BE'!$AM$18+'TUSD BF'!$AM$18+'TUSD CVA'!$AM$18)*1</f>
        <v>511.29410554744766</v>
      </c>
      <c r="AA200" s="6">
        <f>('TE BE'!$AB$9+'TE BF'!$AB$9+'TE CVA'!$AB$9)*1</f>
        <v>197.6895725142987</v>
      </c>
      <c r="AB200" s="6">
        <f>$K$200*$V$200</f>
        <v>0</v>
      </c>
      <c r="AC200" s="6">
        <f>$M$200*$W$200</f>
        <v>2.66126</v>
      </c>
      <c r="AD200" s="6">
        <f>$O$200*$X$200</f>
        <v>1.9275200000000001</v>
      </c>
      <c r="AE200" s="6">
        <f>$K$200*$Y$200</f>
        <v>0</v>
      </c>
      <c r="AF200" s="6">
        <f ca="1">$M$200*$Z$200</f>
        <v>3.5790587388321335</v>
      </c>
      <c r="AG200" s="6">
        <f>$O$200*$AA$200</f>
        <v>1.3838270076000909</v>
      </c>
    </row>
    <row r="201" spans="1:33" ht="11.25" customHeight="1" x14ac:dyDescent="0.25">
      <c r="A201" s="4" t="s">
        <v>21</v>
      </c>
      <c r="B201" s="4" t="s">
        <v>22</v>
      </c>
      <c r="C201" s="4" t="s">
        <v>32</v>
      </c>
      <c r="D201" s="4" t="s">
        <v>24</v>
      </c>
      <c r="E201" s="4" t="s">
        <v>24</v>
      </c>
      <c r="F201" s="4" t="s">
        <v>25</v>
      </c>
      <c r="G201" s="4" t="s">
        <v>25</v>
      </c>
      <c r="H201" s="4" t="s">
        <v>35</v>
      </c>
      <c r="I201" s="5">
        <v>44621</v>
      </c>
      <c r="J201" s="6">
        <v>0</v>
      </c>
      <c r="K201" s="6">
        <v>0</v>
      </c>
      <c r="L201" s="6">
        <v>1.2999999999999999E-2</v>
      </c>
      <c r="M201" s="6">
        <v>1.2999999999999999E-2</v>
      </c>
      <c r="N201" s="6">
        <v>1.2999999999999999E-2</v>
      </c>
      <c r="O201" s="6">
        <v>1.2999999999999999E-2</v>
      </c>
      <c r="P201" s="6">
        <v>0</v>
      </c>
      <c r="Q201" s="4" t="s">
        <v>26</v>
      </c>
      <c r="R201" s="4">
        <v>0</v>
      </c>
      <c r="S201" s="6">
        <v>0</v>
      </c>
      <c r="T201" s="6">
        <v>35</v>
      </c>
      <c r="U201" s="6">
        <v>73</v>
      </c>
      <c r="V201" s="6">
        <f>IF(ISERROR(VLOOKUP($S$201,'TAR FIN'!$A$1:$O$88,15,0)),0,VLOOKUP($S$201,'TAR FIN'!$A$1:$O$88,15,0))</f>
        <v>0</v>
      </c>
      <c r="W201" s="6">
        <f>IF(ISERROR(VLOOKUP($T$201,'TAR FIN'!$A$1:$O$88,15,0)),0,VLOOKUP($T$201,'TAR FIN'!$A$1:$O$88,15,0))</f>
        <v>380.18</v>
      </c>
      <c r="X201" s="6">
        <f>IF(ISERROR(VLOOKUP($U$201,'TAR FIN'!$A$1:$O$88,15,0)),0,VLOOKUP($U$201,'TAR FIN'!$A$1:$O$88,15,0))</f>
        <v>275.36</v>
      </c>
      <c r="Y201" s="6"/>
      <c r="Z201" s="6">
        <f ca="1">('TUSD BE'!$AM$18+'TUSD BF'!$AM$18+'TUSD CVA'!$AM$18)*1</f>
        <v>511.29410554744766</v>
      </c>
      <c r="AA201" s="6">
        <f>('TE BE'!$AB$9+'TE BF'!$AB$9+'TE CVA'!$AB$9)*1</f>
        <v>197.6895725142987</v>
      </c>
      <c r="AB201" s="6">
        <f>$K$201*$V$201</f>
        <v>0</v>
      </c>
      <c r="AC201" s="6">
        <f>$M$201*$W$201</f>
        <v>4.9423399999999997</v>
      </c>
      <c r="AD201" s="6">
        <f>$O$201*$X$201</f>
        <v>3.5796800000000002</v>
      </c>
      <c r="AE201" s="6">
        <f>$K$201*$Y$201</f>
        <v>0</v>
      </c>
      <c r="AF201" s="6">
        <f ca="1">$M$201*$Z$201</f>
        <v>6.6468233721168195</v>
      </c>
      <c r="AG201" s="6">
        <f>$O$201*$AA$201</f>
        <v>2.5699644426858832</v>
      </c>
    </row>
    <row r="202" spans="1:33" ht="11.25" customHeight="1" x14ac:dyDescent="0.25">
      <c r="A202" s="4" t="s">
        <v>21</v>
      </c>
      <c r="B202" s="4" t="s">
        <v>22</v>
      </c>
      <c r="C202" s="4" t="s">
        <v>32</v>
      </c>
      <c r="D202" s="4" t="s">
        <v>24</v>
      </c>
      <c r="E202" s="4" t="s">
        <v>24</v>
      </c>
      <c r="F202" s="4" t="s">
        <v>25</v>
      </c>
      <c r="G202" s="4" t="s">
        <v>25</v>
      </c>
      <c r="H202" s="4" t="s">
        <v>35</v>
      </c>
      <c r="I202" s="5">
        <v>44652</v>
      </c>
      <c r="J202" s="6">
        <v>0</v>
      </c>
      <c r="K202" s="6">
        <v>0</v>
      </c>
      <c r="L202" s="6">
        <v>8.0000000000000002E-3</v>
      </c>
      <c r="M202" s="6">
        <v>8.0000000000000002E-3</v>
      </c>
      <c r="N202" s="6">
        <v>8.0000000000000002E-3</v>
      </c>
      <c r="O202" s="6">
        <v>8.0000000000000002E-3</v>
      </c>
      <c r="P202" s="6">
        <v>0</v>
      </c>
      <c r="Q202" s="4" t="s">
        <v>26</v>
      </c>
      <c r="R202" s="4">
        <v>0</v>
      </c>
      <c r="S202" s="6">
        <v>0</v>
      </c>
      <c r="T202" s="6">
        <v>35</v>
      </c>
      <c r="U202" s="6">
        <v>73</v>
      </c>
      <c r="V202" s="6">
        <f>IF(ISERROR(VLOOKUP($S$202,'TAR FIN'!$A$1:$O$88,15,0)),0,VLOOKUP($S$202,'TAR FIN'!$A$1:$O$88,15,0))</f>
        <v>0</v>
      </c>
      <c r="W202" s="6">
        <f>IF(ISERROR(VLOOKUP($T$202,'TAR FIN'!$A$1:$O$88,15,0)),0,VLOOKUP($T$202,'TAR FIN'!$A$1:$O$88,15,0))</f>
        <v>380.18</v>
      </c>
      <c r="X202" s="6">
        <f>IF(ISERROR(VLOOKUP($U$202,'TAR FIN'!$A$1:$O$88,15,0)),0,VLOOKUP($U$202,'TAR FIN'!$A$1:$O$88,15,0))</f>
        <v>275.36</v>
      </c>
      <c r="Y202" s="6"/>
      <c r="Z202" s="6">
        <f ca="1">('TUSD BE'!$AM$18+'TUSD BF'!$AM$18+'TUSD CVA'!$AM$18)*1</f>
        <v>511.29410554744766</v>
      </c>
      <c r="AA202" s="6">
        <f>('TE BE'!$AB$9+'TE BF'!$AB$9+'TE CVA'!$AB$9)*1</f>
        <v>197.6895725142987</v>
      </c>
      <c r="AB202" s="6">
        <f>$K$202*$V$202</f>
        <v>0</v>
      </c>
      <c r="AC202" s="6">
        <f>$M$202*$W$202</f>
        <v>3.0414400000000001</v>
      </c>
      <c r="AD202" s="6">
        <f>$O$202*$X$202</f>
        <v>2.2028799999999999</v>
      </c>
      <c r="AE202" s="6">
        <f>$K$202*$Y$202</f>
        <v>0</v>
      </c>
      <c r="AF202" s="6">
        <f ca="1">$M$202*$Z$202</f>
        <v>4.0903528443795816</v>
      </c>
      <c r="AG202" s="6">
        <f>$O$202*$AA$202</f>
        <v>1.5815165801143896</v>
      </c>
    </row>
    <row r="203" spans="1:33" ht="11.25" customHeight="1" x14ac:dyDescent="0.25">
      <c r="A203" s="4" t="s">
        <v>21</v>
      </c>
      <c r="B203" s="4" t="s">
        <v>22</v>
      </c>
      <c r="C203" s="4" t="s">
        <v>32</v>
      </c>
      <c r="D203" s="4" t="s">
        <v>24</v>
      </c>
      <c r="E203" s="4" t="s">
        <v>24</v>
      </c>
      <c r="F203" s="4" t="s">
        <v>25</v>
      </c>
      <c r="G203" s="4" t="s">
        <v>25</v>
      </c>
      <c r="H203" s="4" t="s">
        <v>35</v>
      </c>
      <c r="I203" s="5">
        <v>44682</v>
      </c>
      <c r="J203" s="6">
        <v>0</v>
      </c>
      <c r="K203" s="6">
        <v>0</v>
      </c>
      <c r="L203" s="6">
        <v>5.0000000000000001E-3</v>
      </c>
      <c r="M203" s="6">
        <v>5.0000000000000001E-3</v>
      </c>
      <c r="N203" s="6">
        <v>5.0000000000000001E-3</v>
      </c>
      <c r="O203" s="6">
        <v>5.0000000000000001E-3</v>
      </c>
      <c r="P203" s="6">
        <v>0</v>
      </c>
      <c r="Q203" s="4" t="s">
        <v>26</v>
      </c>
      <c r="R203" s="4">
        <v>0</v>
      </c>
      <c r="S203" s="6">
        <v>0</v>
      </c>
      <c r="T203" s="6">
        <v>35</v>
      </c>
      <c r="U203" s="6">
        <v>73</v>
      </c>
      <c r="V203" s="6">
        <f>IF(ISERROR(VLOOKUP($S$203,'TAR FIN'!$A$1:$O$88,15,0)),0,VLOOKUP($S$203,'TAR FIN'!$A$1:$O$88,15,0))</f>
        <v>0</v>
      </c>
      <c r="W203" s="6">
        <f>IF(ISERROR(VLOOKUP($T$203,'TAR FIN'!$A$1:$O$88,15,0)),0,VLOOKUP($T$203,'TAR FIN'!$A$1:$O$88,15,0))</f>
        <v>380.18</v>
      </c>
      <c r="X203" s="6">
        <f>IF(ISERROR(VLOOKUP($U$203,'TAR FIN'!$A$1:$O$88,15,0)),0,VLOOKUP($U$203,'TAR FIN'!$A$1:$O$88,15,0))</f>
        <v>275.36</v>
      </c>
      <c r="Y203" s="6"/>
      <c r="Z203" s="6">
        <f ca="1">('TUSD BE'!$AM$18+'TUSD BF'!$AM$18+'TUSD CVA'!$AM$18)*1</f>
        <v>511.29410554744766</v>
      </c>
      <c r="AA203" s="6">
        <f>('TE BE'!$AB$9+'TE BF'!$AB$9+'TE CVA'!$AB$9)*1</f>
        <v>197.6895725142987</v>
      </c>
      <c r="AB203" s="6">
        <f>$K$203*$V$203</f>
        <v>0</v>
      </c>
      <c r="AC203" s="6">
        <f>$M$203*$W$203</f>
        <v>1.9009</v>
      </c>
      <c r="AD203" s="6">
        <f>$O$203*$X$203</f>
        <v>1.3768</v>
      </c>
      <c r="AE203" s="6">
        <f>$K$203*$Y$203</f>
        <v>0</v>
      </c>
      <c r="AF203" s="6">
        <f ca="1">$M$203*$Z$203</f>
        <v>2.5564705277372384</v>
      </c>
      <c r="AG203" s="6">
        <f>$O$203*$AA$203</f>
        <v>0.98844786257149353</v>
      </c>
    </row>
    <row r="204" spans="1:33" ht="11.25" customHeight="1" x14ac:dyDescent="0.25">
      <c r="A204" s="4" t="s">
        <v>21</v>
      </c>
      <c r="B204" s="4" t="s">
        <v>22</v>
      </c>
      <c r="C204" s="4" t="s">
        <v>32</v>
      </c>
      <c r="D204" s="4" t="s">
        <v>24</v>
      </c>
      <c r="E204" s="4" t="s">
        <v>24</v>
      </c>
      <c r="F204" s="4" t="s">
        <v>25</v>
      </c>
      <c r="G204" s="4" t="s">
        <v>25</v>
      </c>
      <c r="H204" s="4" t="s">
        <v>35</v>
      </c>
      <c r="I204" s="5">
        <v>44713</v>
      </c>
      <c r="J204" s="6">
        <v>0</v>
      </c>
      <c r="K204" s="6">
        <v>0</v>
      </c>
      <c r="L204" s="6">
        <v>8.0000000000000002E-3</v>
      </c>
      <c r="M204" s="6">
        <v>8.0000000000000002E-3</v>
      </c>
      <c r="N204" s="6">
        <v>8.0000000000000002E-3</v>
      </c>
      <c r="O204" s="6">
        <v>8.0000000000000002E-3</v>
      </c>
      <c r="P204" s="6">
        <v>0</v>
      </c>
      <c r="Q204" s="4" t="s">
        <v>26</v>
      </c>
      <c r="R204" s="4">
        <v>0</v>
      </c>
      <c r="S204" s="6">
        <v>0</v>
      </c>
      <c r="T204" s="6">
        <v>35</v>
      </c>
      <c r="U204" s="6">
        <v>73</v>
      </c>
      <c r="V204" s="6">
        <f>IF(ISERROR(VLOOKUP($S$204,'TAR FIN'!$A$1:$O$88,15,0)),0,VLOOKUP($S$204,'TAR FIN'!$A$1:$O$88,15,0))</f>
        <v>0</v>
      </c>
      <c r="W204" s="6">
        <f>IF(ISERROR(VLOOKUP($T$204,'TAR FIN'!$A$1:$O$88,15,0)),0,VLOOKUP($T$204,'TAR FIN'!$A$1:$O$88,15,0))</f>
        <v>380.18</v>
      </c>
      <c r="X204" s="6">
        <f>IF(ISERROR(VLOOKUP($U$204,'TAR FIN'!$A$1:$O$88,15,0)),0,VLOOKUP($U$204,'TAR FIN'!$A$1:$O$88,15,0))</f>
        <v>275.36</v>
      </c>
      <c r="Y204" s="6"/>
      <c r="Z204" s="6">
        <f ca="1">('TUSD BE'!$AM$18+'TUSD BF'!$AM$18+'TUSD CVA'!$AM$18)*1</f>
        <v>511.29410554744766</v>
      </c>
      <c r="AA204" s="6">
        <f>('TE BE'!$AB$9+'TE BF'!$AB$9+'TE CVA'!$AB$9)*1</f>
        <v>197.6895725142987</v>
      </c>
      <c r="AB204" s="6">
        <f>$K$204*$V$204</f>
        <v>0</v>
      </c>
      <c r="AC204" s="6">
        <f>$M$204*$W$204</f>
        <v>3.0414400000000001</v>
      </c>
      <c r="AD204" s="6">
        <f>$O$204*$X$204</f>
        <v>2.2028799999999999</v>
      </c>
      <c r="AE204" s="6">
        <f>$K$204*$Y$204</f>
        <v>0</v>
      </c>
      <c r="AF204" s="6">
        <f ca="1">$M$204*$Z$204</f>
        <v>4.0903528443795816</v>
      </c>
      <c r="AG204" s="6">
        <f>$O$204*$AA$204</f>
        <v>1.5815165801143896</v>
      </c>
    </row>
    <row r="205" spans="1:33" ht="11.25" customHeight="1" x14ac:dyDescent="0.25">
      <c r="A205" s="4" t="s">
        <v>55</v>
      </c>
      <c r="B205" s="4" t="s">
        <v>22</v>
      </c>
      <c r="C205" s="4" t="s">
        <v>32</v>
      </c>
      <c r="D205" s="4" t="s">
        <v>24</v>
      </c>
      <c r="E205" s="4" t="s">
        <v>24</v>
      </c>
      <c r="F205" s="4" t="s">
        <v>25</v>
      </c>
      <c r="G205" s="4" t="s">
        <v>25</v>
      </c>
      <c r="H205" s="4" t="s">
        <v>35</v>
      </c>
      <c r="I205" s="5">
        <v>44743</v>
      </c>
      <c r="J205" s="6">
        <v>0</v>
      </c>
      <c r="K205" s="6">
        <v>0</v>
      </c>
      <c r="L205" s="6">
        <v>8.0000000000000002E-3</v>
      </c>
      <c r="M205" s="6">
        <v>8.0000000000000002E-3</v>
      </c>
      <c r="N205" s="6">
        <v>8.0000000000000002E-3</v>
      </c>
      <c r="O205" s="6">
        <v>8.0000000000000002E-3</v>
      </c>
      <c r="P205" s="6">
        <v>0</v>
      </c>
      <c r="Q205" s="4" t="s">
        <v>26</v>
      </c>
      <c r="R205" s="4">
        <v>0</v>
      </c>
      <c r="S205" s="6">
        <v>0</v>
      </c>
      <c r="T205" s="6">
        <v>35</v>
      </c>
      <c r="U205" s="6">
        <v>73</v>
      </c>
      <c r="V205" s="6">
        <f>IF(ISERROR(VLOOKUP($S$205,'TAR FIN'!$A$1:$O$88,15,0)),0,VLOOKUP($S$205,'TAR FIN'!$A$1:$O$88,15,0))</f>
        <v>0</v>
      </c>
      <c r="W205" s="6">
        <f>IF(ISERROR(VLOOKUP($T$205,'TAR FIN'!$A$1:$O$88,15,0)),0,VLOOKUP($T$205,'TAR FIN'!$A$1:$O$88,15,0))</f>
        <v>380.18</v>
      </c>
      <c r="X205" s="6">
        <f>IF(ISERROR(VLOOKUP($U$205,'TAR FIN'!$A$1:$O$88,15,0)),0,VLOOKUP($U$205,'TAR FIN'!$A$1:$O$88,15,0))</f>
        <v>275.36</v>
      </c>
      <c r="Y205" s="6"/>
      <c r="Z205" s="6">
        <f ca="1">('TUSD BE'!$AM$18+'TUSD BF'!$AM$18+'TUSD CVA'!$AM$18)*1</f>
        <v>511.29410554744766</v>
      </c>
      <c r="AA205" s="6">
        <f>('TE BE'!$AB$9+'TE BF'!$AB$9+'TE CVA'!$AB$9)*1</f>
        <v>197.6895725142987</v>
      </c>
      <c r="AB205" s="6">
        <f>$K$205*$V$205</f>
        <v>0</v>
      </c>
      <c r="AC205" s="6">
        <f>$M$205*$W$205</f>
        <v>3.0414400000000001</v>
      </c>
      <c r="AD205" s="6">
        <f>$O$205*$X$205</f>
        <v>2.2028799999999999</v>
      </c>
      <c r="AE205" s="6">
        <f>$K$205*$Y$205</f>
        <v>0</v>
      </c>
      <c r="AF205" s="6">
        <f ca="1">$M$205*$Z$205</f>
        <v>4.0903528443795816</v>
      </c>
      <c r="AG205" s="6">
        <f>$O$205*$AA$205</f>
        <v>1.5815165801143896</v>
      </c>
    </row>
    <row r="206" spans="1:33" ht="11.25" customHeight="1" x14ac:dyDescent="0.25">
      <c r="A206" s="4" t="s">
        <v>21</v>
      </c>
      <c r="B206" s="4" t="s">
        <v>22</v>
      </c>
      <c r="C206" s="4" t="s">
        <v>32</v>
      </c>
      <c r="D206" s="4" t="s">
        <v>24</v>
      </c>
      <c r="E206" s="4" t="s">
        <v>24</v>
      </c>
      <c r="F206" s="4" t="s">
        <v>25</v>
      </c>
      <c r="G206" s="4" t="s">
        <v>25</v>
      </c>
      <c r="H206" s="4" t="s">
        <v>33</v>
      </c>
      <c r="I206" s="5">
        <v>44409</v>
      </c>
      <c r="J206" s="6">
        <v>0</v>
      </c>
      <c r="K206" s="6">
        <v>0</v>
      </c>
      <c r="L206" s="6">
        <v>1.7999999999999999E-2</v>
      </c>
      <c r="M206" s="6">
        <v>1.7999999999999999E-2</v>
      </c>
      <c r="N206" s="6">
        <v>1.7999999999999999E-2</v>
      </c>
      <c r="O206" s="6">
        <v>1.7999999999999999E-2</v>
      </c>
      <c r="P206" s="6">
        <v>0</v>
      </c>
      <c r="Q206" s="4" t="s">
        <v>26</v>
      </c>
      <c r="R206" s="4">
        <v>0</v>
      </c>
      <c r="S206" s="6">
        <v>0</v>
      </c>
      <c r="T206" s="6">
        <v>34</v>
      </c>
      <c r="U206" s="6">
        <v>72</v>
      </c>
      <c r="V206" s="6">
        <f>IF(ISERROR(VLOOKUP($S$206,'TAR FIN'!$A$1:$O$88,15,0)),0,VLOOKUP($S$206,'TAR FIN'!$A$1:$O$88,15,0))</f>
        <v>0</v>
      </c>
      <c r="W206" s="6">
        <f>IF(ISERROR(VLOOKUP($T$206,'TAR FIN'!$A$1:$O$88,15,0)),0,VLOOKUP($T$206,'TAR FIN'!$A$1:$O$88,15,0))</f>
        <v>561.79999999999995</v>
      </c>
      <c r="X206" s="6">
        <f>IF(ISERROR(VLOOKUP($U$206,'TAR FIN'!$A$1:$O$88,15,0)),0,VLOOKUP($U$206,'TAR FIN'!$A$1:$O$88,15,0))</f>
        <v>437.87</v>
      </c>
      <c r="Y206" s="6"/>
      <c r="Z206" s="6">
        <f ca="1">('TUSD BE'!$AM$17+'TUSD BF'!$AM$17+'TUSD CVA'!$AM$17)*1</f>
        <v>776.277818607938</v>
      </c>
      <c r="AA206" s="6">
        <f>('TE BE'!$AB$8+'TE BF'!$AB$8+'TE CVA'!$AB$8)*1</f>
        <v>316.97983140624547</v>
      </c>
      <c r="AB206" s="6">
        <f>$K$206*$V$206</f>
        <v>0</v>
      </c>
      <c r="AC206" s="6">
        <f>$M$206*$W$206</f>
        <v>10.112399999999999</v>
      </c>
      <c r="AD206" s="6">
        <f>$O$206*$X$206</f>
        <v>7.8816599999999992</v>
      </c>
      <c r="AE206" s="6">
        <f>$K$206*$Y$206</f>
        <v>0</v>
      </c>
      <c r="AF206" s="6">
        <f ca="1">$M$206*$Z$206</f>
        <v>13.973000734942882</v>
      </c>
      <c r="AG206" s="6">
        <f>$O$206*$AA$206</f>
        <v>5.7056369653124177</v>
      </c>
    </row>
    <row r="207" spans="1:33" ht="11.25" customHeight="1" x14ac:dyDescent="0.25">
      <c r="A207" s="4" t="s">
        <v>21</v>
      </c>
      <c r="B207" s="4" t="s">
        <v>22</v>
      </c>
      <c r="C207" s="4" t="s">
        <v>32</v>
      </c>
      <c r="D207" s="4" t="s">
        <v>24</v>
      </c>
      <c r="E207" s="4" t="s">
        <v>24</v>
      </c>
      <c r="F207" s="4" t="s">
        <v>25</v>
      </c>
      <c r="G207" s="4" t="s">
        <v>25</v>
      </c>
      <c r="H207" s="4" t="s">
        <v>33</v>
      </c>
      <c r="I207" s="5">
        <v>44440</v>
      </c>
      <c r="J207" s="6">
        <v>0</v>
      </c>
      <c r="K207" s="6">
        <v>0</v>
      </c>
      <c r="L207" s="6">
        <v>1.6E-2</v>
      </c>
      <c r="M207" s="6">
        <v>1.6E-2</v>
      </c>
      <c r="N207" s="6">
        <v>1.6E-2</v>
      </c>
      <c r="O207" s="6">
        <v>1.6E-2</v>
      </c>
      <c r="P207" s="6">
        <v>0</v>
      </c>
      <c r="Q207" s="4" t="s">
        <v>26</v>
      </c>
      <c r="R207" s="4">
        <v>0</v>
      </c>
      <c r="S207" s="6">
        <v>0</v>
      </c>
      <c r="T207" s="6">
        <v>34</v>
      </c>
      <c r="U207" s="6">
        <v>72</v>
      </c>
      <c r="V207" s="6">
        <f>IF(ISERROR(VLOOKUP($S$207,'TAR FIN'!$A$1:$O$88,15,0)),0,VLOOKUP($S$207,'TAR FIN'!$A$1:$O$88,15,0))</f>
        <v>0</v>
      </c>
      <c r="W207" s="6">
        <f>IF(ISERROR(VLOOKUP($T$207,'TAR FIN'!$A$1:$O$88,15,0)),0,VLOOKUP($T$207,'TAR FIN'!$A$1:$O$88,15,0))</f>
        <v>561.79999999999995</v>
      </c>
      <c r="X207" s="6">
        <f>IF(ISERROR(VLOOKUP($U$207,'TAR FIN'!$A$1:$O$88,15,0)),0,VLOOKUP($U$207,'TAR FIN'!$A$1:$O$88,15,0))</f>
        <v>437.87</v>
      </c>
      <c r="Y207" s="6"/>
      <c r="Z207" s="6">
        <f ca="1">('TUSD BE'!$AM$17+'TUSD BF'!$AM$17+'TUSD CVA'!$AM$17)*1</f>
        <v>776.277818607938</v>
      </c>
      <c r="AA207" s="6">
        <f>('TE BE'!$AB$8+'TE BF'!$AB$8+'TE CVA'!$AB$8)*1</f>
        <v>316.97983140624547</v>
      </c>
      <c r="AB207" s="6">
        <f>$K$207*$V$207</f>
        <v>0</v>
      </c>
      <c r="AC207" s="6">
        <f>$M$207*$W$207</f>
        <v>8.9887999999999995</v>
      </c>
      <c r="AD207" s="6">
        <f>$O$207*$X$207</f>
        <v>7.0059200000000006</v>
      </c>
      <c r="AE207" s="6">
        <f>$K$207*$Y$207</f>
        <v>0</v>
      </c>
      <c r="AF207" s="6">
        <f ca="1">$M$207*$Z$207</f>
        <v>12.420445097727008</v>
      </c>
      <c r="AG207" s="6">
        <f>$O$207*$AA$207</f>
        <v>5.0716773024999275</v>
      </c>
    </row>
    <row r="208" spans="1:33" ht="11.25" customHeight="1" x14ac:dyDescent="0.25">
      <c r="A208" s="4" t="s">
        <v>21</v>
      </c>
      <c r="B208" s="4" t="s">
        <v>22</v>
      </c>
      <c r="C208" s="4" t="s">
        <v>32</v>
      </c>
      <c r="D208" s="4" t="s">
        <v>24</v>
      </c>
      <c r="E208" s="4" t="s">
        <v>24</v>
      </c>
      <c r="F208" s="4" t="s">
        <v>25</v>
      </c>
      <c r="G208" s="4" t="s">
        <v>25</v>
      </c>
      <c r="H208" s="4" t="s">
        <v>33</v>
      </c>
      <c r="I208" s="5">
        <v>44470</v>
      </c>
      <c r="J208" s="6">
        <v>0</v>
      </c>
      <c r="K208" s="6">
        <v>0</v>
      </c>
      <c r="L208" s="6">
        <v>1.7999999999999999E-2</v>
      </c>
      <c r="M208" s="6">
        <v>1.7999999999999999E-2</v>
      </c>
      <c r="N208" s="6">
        <v>1.7999999999999999E-2</v>
      </c>
      <c r="O208" s="6">
        <v>1.7999999999999999E-2</v>
      </c>
      <c r="P208" s="6">
        <v>0</v>
      </c>
      <c r="Q208" s="4" t="s">
        <v>26</v>
      </c>
      <c r="R208" s="4">
        <v>0</v>
      </c>
      <c r="S208" s="6">
        <v>0</v>
      </c>
      <c r="T208" s="6">
        <v>34</v>
      </c>
      <c r="U208" s="6">
        <v>72</v>
      </c>
      <c r="V208" s="6">
        <f>IF(ISERROR(VLOOKUP($S$208,'TAR FIN'!$A$1:$O$88,15,0)),0,VLOOKUP($S$208,'TAR FIN'!$A$1:$O$88,15,0))</f>
        <v>0</v>
      </c>
      <c r="W208" s="6">
        <f>IF(ISERROR(VLOOKUP($T$208,'TAR FIN'!$A$1:$O$88,15,0)),0,VLOOKUP($T$208,'TAR FIN'!$A$1:$O$88,15,0))</f>
        <v>561.79999999999995</v>
      </c>
      <c r="X208" s="6">
        <f>IF(ISERROR(VLOOKUP($U$208,'TAR FIN'!$A$1:$O$88,15,0)),0,VLOOKUP($U$208,'TAR FIN'!$A$1:$O$88,15,0))</f>
        <v>437.87</v>
      </c>
      <c r="Y208" s="6"/>
      <c r="Z208" s="6">
        <f ca="1">('TUSD BE'!$AM$17+'TUSD BF'!$AM$17+'TUSD CVA'!$AM$17)*1</f>
        <v>776.277818607938</v>
      </c>
      <c r="AA208" s="6">
        <f>('TE BE'!$AB$8+'TE BF'!$AB$8+'TE CVA'!$AB$8)*1</f>
        <v>316.97983140624547</v>
      </c>
      <c r="AB208" s="6">
        <f>$K$208*$V$208</f>
        <v>0</v>
      </c>
      <c r="AC208" s="6">
        <f>$M$208*$W$208</f>
        <v>10.112399999999999</v>
      </c>
      <c r="AD208" s="6">
        <f>$O$208*$X$208</f>
        <v>7.8816599999999992</v>
      </c>
      <c r="AE208" s="6">
        <f>$K$208*$Y$208</f>
        <v>0</v>
      </c>
      <c r="AF208" s="6">
        <f ca="1">$M$208*$Z$208</f>
        <v>13.973000734942882</v>
      </c>
      <c r="AG208" s="6">
        <f>$O$208*$AA$208</f>
        <v>5.7056369653124177</v>
      </c>
    </row>
    <row r="209" spans="1:33" ht="11.25" customHeight="1" x14ac:dyDescent="0.25">
      <c r="A209" s="4" t="s">
        <v>21</v>
      </c>
      <c r="B209" s="4" t="s">
        <v>22</v>
      </c>
      <c r="C209" s="4" t="s">
        <v>32</v>
      </c>
      <c r="D209" s="4" t="s">
        <v>24</v>
      </c>
      <c r="E209" s="4" t="s">
        <v>24</v>
      </c>
      <c r="F209" s="4" t="s">
        <v>25</v>
      </c>
      <c r="G209" s="4" t="s">
        <v>25</v>
      </c>
      <c r="H209" s="4" t="s">
        <v>33</v>
      </c>
      <c r="I209" s="5">
        <v>44501</v>
      </c>
      <c r="J209" s="6">
        <v>0</v>
      </c>
      <c r="K209" s="6">
        <v>0</v>
      </c>
      <c r="L209" s="6">
        <v>1.4E-2</v>
      </c>
      <c r="M209" s="6">
        <v>1.4E-2</v>
      </c>
      <c r="N209" s="6">
        <v>1.4E-2</v>
      </c>
      <c r="O209" s="6">
        <v>1.4E-2</v>
      </c>
      <c r="P209" s="6">
        <v>0</v>
      </c>
      <c r="Q209" s="4" t="s">
        <v>26</v>
      </c>
      <c r="R209" s="4">
        <v>0</v>
      </c>
      <c r="S209" s="6">
        <v>0</v>
      </c>
      <c r="T209" s="6">
        <v>34</v>
      </c>
      <c r="U209" s="6">
        <v>72</v>
      </c>
      <c r="V209" s="6">
        <f>IF(ISERROR(VLOOKUP($S$209,'TAR FIN'!$A$1:$O$88,15,0)),0,VLOOKUP($S$209,'TAR FIN'!$A$1:$O$88,15,0))</f>
        <v>0</v>
      </c>
      <c r="W209" s="6">
        <f>IF(ISERROR(VLOOKUP($T$209,'TAR FIN'!$A$1:$O$88,15,0)),0,VLOOKUP($T$209,'TAR FIN'!$A$1:$O$88,15,0))</f>
        <v>561.79999999999995</v>
      </c>
      <c r="X209" s="6">
        <f>IF(ISERROR(VLOOKUP($U$209,'TAR FIN'!$A$1:$O$88,15,0)),0,VLOOKUP($U$209,'TAR FIN'!$A$1:$O$88,15,0))</f>
        <v>437.87</v>
      </c>
      <c r="Y209" s="6"/>
      <c r="Z209" s="6">
        <f ca="1">('TUSD BE'!$AM$17+'TUSD BF'!$AM$17+'TUSD CVA'!$AM$17)*1</f>
        <v>776.277818607938</v>
      </c>
      <c r="AA209" s="6">
        <f>('TE BE'!$AB$8+'TE BF'!$AB$8+'TE CVA'!$AB$8)*1</f>
        <v>316.97983140624547</v>
      </c>
      <c r="AB209" s="6">
        <f>$K$209*$V$209</f>
        <v>0</v>
      </c>
      <c r="AC209" s="6">
        <f>$M$209*$W$209</f>
        <v>7.8651999999999997</v>
      </c>
      <c r="AD209" s="6">
        <f>$O$209*$X$209</f>
        <v>6.1301800000000002</v>
      </c>
      <c r="AE209" s="6">
        <f>$K$209*$Y$209</f>
        <v>0</v>
      </c>
      <c r="AF209" s="6">
        <f ca="1">$M$209*$Z$209</f>
        <v>10.867889460511133</v>
      </c>
      <c r="AG209" s="6">
        <f>$O$209*$AA$209</f>
        <v>4.4377176396874365</v>
      </c>
    </row>
    <row r="210" spans="1:33" ht="11.25" customHeight="1" x14ac:dyDescent="0.25">
      <c r="A210" s="4" t="s">
        <v>21</v>
      </c>
      <c r="B210" s="4" t="s">
        <v>22</v>
      </c>
      <c r="C210" s="4" t="s">
        <v>32</v>
      </c>
      <c r="D210" s="4" t="s">
        <v>24</v>
      </c>
      <c r="E210" s="4" t="s">
        <v>24</v>
      </c>
      <c r="F210" s="4" t="s">
        <v>25</v>
      </c>
      <c r="G210" s="4" t="s">
        <v>25</v>
      </c>
      <c r="H210" s="4" t="s">
        <v>33</v>
      </c>
      <c r="I210" s="5">
        <v>44531</v>
      </c>
      <c r="J210" s="6">
        <v>0</v>
      </c>
      <c r="K210" s="6">
        <v>0</v>
      </c>
      <c r="L210" s="6">
        <v>1.7000000000000001E-2</v>
      </c>
      <c r="M210" s="6">
        <v>1.7000000000000001E-2</v>
      </c>
      <c r="N210" s="6">
        <v>1.7000000000000001E-2</v>
      </c>
      <c r="O210" s="6">
        <v>1.7000000000000001E-2</v>
      </c>
      <c r="P210" s="6">
        <v>0</v>
      </c>
      <c r="Q210" s="4" t="s">
        <v>26</v>
      </c>
      <c r="R210" s="4">
        <v>0</v>
      </c>
      <c r="S210" s="6">
        <v>0</v>
      </c>
      <c r="T210" s="6">
        <v>34</v>
      </c>
      <c r="U210" s="6">
        <v>72</v>
      </c>
      <c r="V210" s="6">
        <f>IF(ISERROR(VLOOKUP($S$210,'TAR FIN'!$A$1:$O$88,15,0)),0,VLOOKUP($S$210,'TAR FIN'!$A$1:$O$88,15,0))</f>
        <v>0</v>
      </c>
      <c r="W210" s="6">
        <f>IF(ISERROR(VLOOKUP($T$210,'TAR FIN'!$A$1:$O$88,15,0)),0,VLOOKUP($T$210,'TAR FIN'!$A$1:$O$88,15,0))</f>
        <v>561.79999999999995</v>
      </c>
      <c r="X210" s="6">
        <f>IF(ISERROR(VLOOKUP($U$210,'TAR FIN'!$A$1:$O$88,15,0)),0,VLOOKUP($U$210,'TAR FIN'!$A$1:$O$88,15,0))</f>
        <v>437.87</v>
      </c>
      <c r="Y210" s="6"/>
      <c r="Z210" s="6">
        <f ca="1">('TUSD BE'!$AM$17+'TUSD BF'!$AM$17+'TUSD CVA'!$AM$17)*1</f>
        <v>776.277818607938</v>
      </c>
      <c r="AA210" s="6">
        <f>('TE BE'!$AB$8+'TE BF'!$AB$8+'TE CVA'!$AB$8)*1</f>
        <v>316.97983140624547</v>
      </c>
      <c r="AB210" s="6">
        <f>$K$210*$V$210</f>
        <v>0</v>
      </c>
      <c r="AC210" s="6">
        <f>$M$210*$W$210</f>
        <v>9.5505999999999993</v>
      </c>
      <c r="AD210" s="6">
        <f>$O$210*$X$210</f>
        <v>7.4437900000000008</v>
      </c>
      <c r="AE210" s="6">
        <f>$K$210*$Y$210</f>
        <v>0</v>
      </c>
      <c r="AF210" s="6">
        <f ca="1">$M$210*$Z$210</f>
        <v>13.196722916334947</v>
      </c>
      <c r="AG210" s="6">
        <f>$O$210*$AA$210</f>
        <v>5.3886571339061735</v>
      </c>
    </row>
    <row r="211" spans="1:33" ht="11.25" customHeight="1" x14ac:dyDescent="0.25">
      <c r="A211" s="4" t="s">
        <v>21</v>
      </c>
      <c r="B211" s="4" t="s">
        <v>22</v>
      </c>
      <c r="C211" s="4" t="s">
        <v>32</v>
      </c>
      <c r="D211" s="4" t="s">
        <v>24</v>
      </c>
      <c r="E211" s="4" t="s">
        <v>24</v>
      </c>
      <c r="F211" s="4" t="s">
        <v>25</v>
      </c>
      <c r="G211" s="4" t="s">
        <v>25</v>
      </c>
      <c r="H211" s="4" t="s">
        <v>33</v>
      </c>
      <c r="I211" s="5">
        <v>44562</v>
      </c>
      <c r="J211" s="6">
        <v>0</v>
      </c>
      <c r="K211" s="6">
        <v>0</v>
      </c>
      <c r="L211" s="6">
        <v>2.5999999999999999E-2</v>
      </c>
      <c r="M211" s="6">
        <v>2.5999999999999999E-2</v>
      </c>
      <c r="N211" s="6">
        <v>2.5999999999999999E-2</v>
      </c>
      <c r="O211" s="6">
        <v>2.5999999999999999E-2</v>
      </c>
      <c r="P211" s="6">
        <v>0</v>
      </c>
      <c r="Q211" s="4" t="s">
        <v>26</v>
      </c>
      <c r="R211" s="4">
        <v>0</v>
      </c>
      <c r="S211" s="6">
        <v>0</v>
      </c>
      <c r="T211" s="6">
        <v>34</v>
      </c>
      <c r="U211" s="6">
        <v>72</v>
      </c>
      <c r="V211" s="6">
        <f>IF(ISERROR(VLOOKUP($S$211,'TAR FIN'!$A$1:$O$88,15,0)),0,VLOOKUP($S$211,'TAR FIN'!$A$1:$O$88,15,0))</f>
        <v>0</v>
      </c>
      <c r="W211" s="6">
        <f>IF(ISERROR(VLOOKUP($T$211,'TAR FIN'!$A$1:$O$88,15,0)),0,VLOOKUP($T$211,'TAR FIN'!$A$1:$O$88,15,0))</f>
        <v>561.79999999999995</v>
      </c>
      <c r="X211" s="6">
        <f>IF(ISERROR(VLOOKUP($U$211,'TAR FIN'!$A$1:$O$88,15,0)),0,VLOOKUP($U$211,'TAR FIN'!$A$1:$O$88,15,0))</f>
        <v>437.87</v>
      </c>
      <c r="Y211" s="6"/>
      <c r="Z211" s="6">
        <f ca="1">('TUSD BE'!$AM$17+'TUSD BF'!$AM$17+'TUSD CVA'!$AM$17)*1</f>
        <v>776.277818607938</v>
      </c>
      <c r="AA211" s="6">
        <f>('TE BE'!$AB$8+'TE BF'!$AB$8+'TE CVA'!$AB$8)*1</f>
        <v>316.97983140624547</v>
      </c>
      <c r="AB211" s="6">
        <f>$K$211*$V$211</f>
        <v>0</v>
      </c>
      <c r="AC211" s="6">
        <f>$M$211*$W$211</f>
        <v>14.606799999999998</v>
      </c>
      <c r="AD211" s="6">
        <f>$O$211*$X$211</f>
        <v>11.38462</v>
      </c>
      <c r="AE211" s="6">
        <f>$K$211*$Y$211</f>
        <v>0</v>
      </c>
      <c r="AF211" s="6">
        <f ca="1">$M$211*$Z$211</f>
        <v>20.183223283806388</v>
      </c>
      <c r="AG211" s="6">
        <f>$O$211*$AA$211</f>
        <v>8.241475616562381</v>
      </c>
    </row>
    <row r="212" spans="1:33" ht="11.25" customHeight="1" x14ac:dyDescent="0.25">
      <c r="A212" s="4" t="s">
        <v>21</v>
      </c>
      <c r="B212" s="4" t="s">
        <v>22</v>
      </c>
      <c r="C212" s="4" t="s">
        <v>32</v>
      </c>
      <c r="D212" s="4" t="s">
        <v>24</v>
      </c>
      <c r="E212" s="4" t="s">
        <v>24</v>
      </c>
      <c r="F212" s="4" t="s">
        <v>25</v>
      </c>
      <c r="G212" s="4" t="s">
        <v>25</v>
      </c>
      <c r="H212" s="4" t="s">
        <v>33</v>
      </c>
      <c r="I212" s="5">
        <v>44593</v>
      </c>
      <c r="J212" s="6">
        <v>0</v>
      </c>
      <c r="K212" s="6">
        <v>0</v>
      </c>
      <c r="L212" s="6">
        <v>0.01</v>
      </c>
      <c r="M212" s="6">
        <v>0.01</v>
      </c>
      <c r="N212" s="6">
        <v>0.01</v>
      </c>
      <c r="O212" s="6">
        <v>0.01</v>
      </c>
      <c r="P212" s="6">
        <v>0</v>
      </c>
      <c r="Q212" s="4" t="s">
        <v>26</v>
      </c>
      <c r="R212" s="4">
        <v>0</v>
      </c>
      <c r="S212" s="6">
        <v>0</v>
      </c>
      <c r="T212" s="6">
        <v>34</v>
      </c>
      <c r="U212" s="6">
        <v>72</v>
      </c>
      <c r="V212" s="6">
        <f>IF(ISERROR(VLOOKUP($S$212,'TAR FIN'!$A$1:$O$88,15,0)),0,VLOOKUP($S$212,'TAR FIN'!$A$1:$O$88,15,0))</f>
        <v>0</v>
      </c>
      <c r="W212" s="6">
        <f>IF(ISERROR(VLOOKUP($T$212,'TAR FIN'!$A$1:$O$88,15,0)),0,VLOOKUP($T$212,'TAR FIN'!$A$1:$O$88,15,0))</f>
        <v>561.79999999999995</v>
      </c>
      <c r="X212" s="6">
        <f>IF(ISERROR(VLOOKUP($U$212,'TAR FIN'!$A$1:$O$88,15,0)),0,VLOOKUP($U$212,'TAR FIN'!$A$1:$O$88,15,0))</f>
        <v>437.87</v>
      </c>
      <c r="Y212" s="6"/>
      <c r="Z212" s="6">
        <f ca="1">('TUSD BE'!$AM$17+'TUSD BF'!$AM$17+'TUSD CVA'!$AM$17)*1</f>
        <v>776.277818607938</v>
      </c>
      <c r="AA212" s="6">
        <f>('TE BE'!$AB$8+'TE BF'!$AB$8+'TE CVA'!$AB$8)*1</f>
        <v>316.97983140624547</v>
      </c>
      <c r="AB212" s="6">
        <f>$K$212*$V$212</f>
        <v>0</v>
      </c>
      <c r="AC212" s="6">
        <f>$M$212*$W$212</f>
        <v>5.6179999999999994</v>
      </c>
      <c r="AD212" s="6">
        <f>$O$212*$X$212</f>
        <v>4.3787000000000003</v>
      </c>
      <c r="AE212" s="6">
        <f>$K$212*$Y$212</f>
        <v>0</v>
      </c>
      <c r="AF212" s="6">
        <f ca="1">$M$212*$Z$212</f>
        <v>7.7627781860793803</v>
      </c>
      <c r="AG212" s="6">
        <f>$O$212*$AA$212</f>
        <v>3.1697983140624548</v>
      </c>
    </row>
    <row r="213" spans="1:33" ht="11.25" customHeight="1" x14ac:dyDescent="0.25">
      <c r="A213" s="4" t="s">
        <v>21</v>
      </c>
      <c r="B213" s="4" t="s">
        <v>22</v>
      </c>
      <c r="C213" s="4" t="s">
        <v>32</v>
      </c>
      <c r="D213" s="4" t="s">
        <v>24</v>
      </c>
      <c r="E213" s="4" t="s">
        <v>24</v>
      </c>
      <c r="F213" s="4" t="s">
        <v>25</v>
      </c>
      <c r="G213" s="4" t="s">
        <v>25</v>
      </c>
      <c r="H213" s="4" t="s">
        <v>33</v>
      </c>
      <c r="I213" s="5">
        <v>44621</v>
      </c>
      <c r="J213" s="6">
        <v>0</v>
      </c>
      <c r="K213" s="6">
        <v>0</v>
      </c>
      <c r="L213" s="6">
        <v>0.01</v>
      </c>
      <c r="M213" s="6">
        <v>0.01</v>
      </c>
      <c r="N213" s="6">
        <v>0.01</v>
      </c>
      <c r="O213" s="6">
        <v>0.01</v>
      </c>
      <c r="P213" s="6">
        <v>0</v>
      </c>
      <c r="Q213" s="4" t="s">
        <v>26</v>
      </c>
      <c r="R213" s="4">
        <v>0</v>
      </c>
      <c r="S213" s="6">
        <v>0</v>
      </c>
      <c r="T213" s="6">
        <v>34</v>
      </c>
      <c r="U213" s="6">
        <v>72</v>
      </c>
      <c r="V213" s="6">
        <f>IF(ISERROR(VLOOKUP($S$213,'TAR FIN'!$A$1:$O$88,15,0)),0,VLOOKUP($S$213,'TAR FIN'!$A$1:$O$88,15,0))</f>
        <v>0</v>
      </c>
      <c r="W213" s="6">
        <f>IF(ISERROR(VLOOKUP($T$213,'TAR FIN'!$A$1:$O$88,15,0)),0,VLOOKUP($T$213,'TAR FIN'!$A$1:$O$88,15,0))</f>
        <v>561.79999999999995</v>
      </c>
      <c r="X213" s="6">
        <f>IF(ISERROR(VLOOKUP($U$213,'TAR FIN'!$A$1:$O$88,15,0)),0,VLOOKUP($U$213,'TAR FIN'!$A$1:$O$88,15,0))</f>
        <v>437.87</v>
      </c>
      <c r="Y213" s="6"/>
      <c r="Z213" s="6">
        <f ca="1">('TUSD BE'!$AM$17+'TUSD BF'!$AM$17+'TUSD CVA'!$AM$17)*1</f>
        <v>776.277818607938</v>
      </c>
      <c r="AA213" s="6">
        <f>('TE BE'!$AB$8+'TE BF'!$AB$8+'TE CVA'!$AB$8)*1</f>
        <v>316.97983140624547</v>
      </c>
      <c r="AB213" s="6">
        <f>$K$213*$V$213</f>
        <v>0</v>
      </c>
      <c r="AC213" s="6">
        <f>$M$213*$W$213</f>
        <v>5.6179999999999994</v>
      </c>
      <c r="AD213" s="6">
        <f>$O$213*$X$213</f>
        <v>4.3787000000000003</v>
      </c>
      <c r="AE213" s="6">
        <f>$K$213*$Y$213</f>
        <v>0</v>
      </c>
      <c r="AF213" s="6">
        <f ca="1">$M$213*$Z$213</f>
        <v>7.7627781860793803</v>
      </c>
      <c r="AG213" s="6">
        <f>$O$213*$AA$213</f>
        <v>3.1697983140624548</v>
      </c>
    </row>
    <row r="214" spans="1:33" ht="11.25" customHeight="1" x14ac:dyDescent="0.25">
      <c r="A214" s="4" t="s">
        <v>21</v>
      </c>
      <c r="B214" s="4" t="s">
        <v>22</v>
      </c>
      <c r="C214" s="4" t="s">
        <v>32</v>
      </c>
      <c r="D214" s="4" t="s">
        <v>24</v>
      </c>
      <c r="E214" s="4" t="s">
        <v>24</v>
      </c>
      <c r="F214" s="4" t="s">
        <v>25</v>
      </c>
      <c r="G214" s="4" t="s">
        <v>25</v>
      </c>
      <c r="H214" s="4" t="s">
        <v>33</v>
      </c>
      <c r="I214" s="5">
        <v>44652</v>
      </c>
      <c r="J214" s="6">
        <v>0</v>
      </c>
      <c r="K214" s="6">
        <v>0</v>
      </c>
      <c r="L214" s="6">
        <v>0.01</v>
      </c>
      <c r="M214" s="6">
        <v>0.01</v>
      </c>
      <c r="N214" s="6">
        <v>0.01</v>
      </c>
      <c r="O214" s="6">
        <v>0.01</v>
      </c>
      <c r="P214" s="6">
        <v>0</v>
      </c>
      <c r="Q214" s="4" t="s">
        <v>26</v>
      </c>
      <c r="R214" s="4">
        <v>0</v>
      </c>
      <c r="S214" s="6">
        <v>0</v>
      </c>
      <c r="T214" s="6">
        <v>34</v>
      </c>
      <c r="U214" s="6">
        <v>72</v>
      </c>
      <c r="V214" s="6">
        <f>IF(ISERROR(VLOOKUP($S$214,'TAR FIN'!$A$1:$O$88,15,0)),0,VLOOKUP($S$214,'TAR FIN'!$A$1:$O$88,15,0))</f>
        <v>0</v>
      </c>
      <c r="W214" s="6">
        <f>IF(ISERROR(VLOOKUP($T$214,'TAR FIN'!$A$1:$O$88,15,0)),0,VLOOKUP($T$214,'TAR FIN'!$A$1:$O$88,15,0))</f>
        <v>561.79999999999995</v>
      </c>
      <c r="X214" s="6">
        <f>IF(ISERROR(VLOOKUP($U$214,'TAR FIN'!$A$1:$O$88,15,0)),0,VLOOKUP($U$214,'TAR FIN'!$A$1:$O$88,15,0))</f>
        <v>437.87</v>
      </c>
      <c r="Y214" s="6"/>
      <c r="Z214" s="6">
        <f ca="1">('TUSD BE'!$AM$17+'TUSD BF'!$AM$17+'TUSD CVA'!$AM$17)*1</f>
        <v>776.277818607938</v>
      </c>
      <c r="AA214" s="6">
        <f>('TE BE'!$AB$8+'TE BF'!$AB$8+'TE CVA'!$AB$8)*1</f>
        <v>316.97983140624547</v>
      </c>
      <c r="AB214" s="6">
        <f>$K$214*$V$214</f>
        <v>0</v>
      </c>
      <c r="AC214" s="6">
        <f>$M$214*$W$214</f>
        <v>5.6179999999999994</v>
      </c>
      <c r="AD214" s="6">
        <f>$O$214*$X$214</f>
        <v>4.3787000000000003</v>
      </c>
      <c r="AE214" s="6">
        <f>$K$214*$Y$214</f>
        <v>0</v>
      </c>
      <c r="AF214" s="6">
        <f ca="1">$M$214*$Z$214</f>
        <v>7.7627781860793803</v>
      </c>
      <c r="AG214" s="6">
        <f>$O$214*$AA$214</f>
        <v>3.1697983140624548</v>
      </c>
    </row>
    <row r="215" spans="1:33" ht="11.25" customHeight="1" x14ac:dyDescent="0.25">
      <c r="A215" s="4" t="s">
        <v>21</v>
      </c>
      <c r="B215" s="4" t="s">
        <v>22</v>
      </c>
      <c r="C215" s="4" t="s">
        <v>32</v>
      </c>
      <c r="D215" s="4" t="s">
        <v>24</v>
      </c>
      <c r="E215" s="4" t="s">
        <v>24</v>
      </c>
      <c r="F215" s="4" t="s">
        <v>25</v>
      </c>
      <c r="G215" s="4" t="s">
        <v>25</v>
      </c>
      <c r="H215" s="4" t="s">
        <v>33</v>
      </c>
      <c r="I215" s="5">
        <v>44682</v>
      </c>
      <c r="J215" s="6">
        <v>0</v>
      </c>
      <c r="K215" s="6">
        <v>0</v>
      </c>
      <c r="L215" s="6">
        <v>8.9999999999999993E-3</v>
      </c>
      <c r="M215" s="6">
        <v>8.9999999999999993E-3</v>
      </c>
      <c r="N215" s="6">
        <v>8.9999999999999993E-3</v>
      </c>
      <c r="O215" s="6">
        <v>8.9999999999999993E-3</v>
      </c>
      <c r="P215" s="6">
        <v>0</v>
      </c>
      <c r="Q215" s="4" t="s">
        <v>26</v>
      </c>
      <c r="R215" s="4">
        <v>0</v>
      </c>
      <c r="S215" s="6">
        <v>0</v>
      </c>
      <c r="T215" s="6">
        <v>34</v>
      </c>
      <c r="U215" s="6">
        <v>72</v>
      </c>
      <c r="V215" s="6">
        <f>IF(ISERROR(VLOOKUP($S$215,'TAR FIN'!$A$1:$O$88,15,0)),0,VLOOKUP($S$215,'TAR FIN'!$A$1:$O$88,15,0))</f>
        <v>0</v>
      </c>
      <c r="W215" s="6">
        <f>IF(ISERROR(VLOOKUP($T$215,'TAR FIN'!$A$1:$O$88,15,0)),0,VLOOKUP($T$215,'TAR FIN'!$A$1:$O$88,15,0))</f>
        <v>561.79999999999995</v>
      </c>
      <c r="X215" s="6">
        <f>IF(ISERROR(VLOOKUP($U$215,'TAR FIN'!$A$1:$O$88,15,0)),0,VLOOKUP($U$215,'TAR FIN'!$A$1:$O$88,15,0))</f>
        <v>437.87</v>
      </c>
      <c r="Y215" s="6"/>
      <c r="Z215" s="6">
        <f ca="1">('TUSD BE'!$AM$17+'TUSD BF'!$AM$17+'TUSD CVA'!$AM$17)*1</f>
        <v>776.277818607938</v>
      </c>
      <c r="AA215" s="6">
        <f>('TE BE'!$AB$8+'TE BF'!$AB$8+'TE CVA'!$AB$8)*1</f>
        <v>316.97983140624547</v>
      </c>
      <c r="AB215" s="6">
        <f>$K$215*$V$215</f>
        <v>0</v>
      </c>
      <c r="AC215" s="6">
        <f>$M$215*$W$215</f>
        <v>5.0561999999999996</v>
      </c>
      <c r="AD215" s="6">
        <f>$O$215*$X$215</f>
        <v>3.9408299999999996</v>
      </c>
      <c r="AE215" s="6">
        <f>$K$215*$Y$215</f>
        <v>0</v>
      </c>
      <c r="AF215" s="6">
        <f ca="1">$M$215*$Z$215</f>
        <v>6.9865003674714412</v>
      </c>
      <c r="AG215" s="6">
        <f>$O$215*$AA$215</f>
        <v>2.8528184826562089</v>
      </c>
    </row>
    <row r="216" spans="1:33" ht="11.25" customHeight="1" x14ac:dyDescent="0.25">
      <c r="A216" s="4" t="s">
        <v>21</v>
      </c>
      <c r="B216" s="4" t="s">
        <v>22</v>
      </c>
      <c r="C216" s="4" t="s">
        <v>32</v>
      </c>
      <c r="D216" s="4" t="s">
        <v>24</v>
      </c>
      <c r="E216" s="4" t="s">
        <v>24</v>
      </c>
      <c r="F216" s="4" t="s">
        <v>25</v>
      </c>
      <c r="G216" s="4" t="s">
        <v>25</v>
      </c>
      <c r="H216" s="4" t="s">
        <v>33</v>
      </c>
      <c r="I216" s="5">
        <v>44713</v>
      </c>
      <c r="J216" s="6">
        <v>0</v>
      </c>
      <c r="K216" s="6">
        <v>0</v>
      </c>
      <c r="L216" s="6">
        <v>1.0999999999999999E-2</v>
      </c>
      <c r="M216" s="6">
        <v>1.0999999999999999E-2</v>
      </c>
      <c r="N216" s="6">
        <v>1.0999999999999999E-2</v>
      </c>
      <c r="O216" s="6">
        <v>1.0999999999999999E-2</v>
      </c>
      <c r="P216" s="6">
        <v>0</v>
      </c>
      <c r="Q216" s="4" t="s">
        <v>26</v>
      </c>
      <c r="R216" s="4">
        <v>0</v>
      </c>
      <c r="S216" s="6">
        <v>0</v>
      </c>
      <c r="T216" s="6">
        <v>34</v>
      </c>
      <c r="U216" s="6">
        <v>72</v>
      </c>
      <c r="V216" s="6">
        <f>IF(ISERROR(VLOOKUP($S$216,'TAR FIN'!$A$1:$O$88,15,0)),0,VLOOKUP($S$216,'TAR FIN'!$A$1:$O$88,15,0))</f>
        <v>0</v>
      </c>
      <c r="W216" s="6">
        <f>IF(ISERROR(VLOOKUP($T$216,'TAR FIN'!$A$1:$O$88,15,0)),0,VLOOKUP($T$216,'TAR FIN'!$A$1:$O$88,15,0))</f>
        <v>561.79999999999995</v>
      </c>
      <c r="X216" s="6">
        <f>IF(ISERROR(VLOOKUP($U$216,'TAR FIN'!$A$1:$O$88,15,0)),0,VLOOKUP($U$216,'TAR FIN'!$A$1:$O$88,15,0))</f>
        <v>437.87</v>
      </c>
      <c r="Y216" s="6"/>
      <c r="Z216" s="6">
        <f ca="1">('TUSD BE'!$AM$17+'TUSD BF'!$AM$17+'TUSD CVA'!$AM$17)*1</f>
        <v>776.277818607938</v>
      </c>
      <c r="AA216" s="6">
        <f>('TE BE'!$AB$8+'TE BF'!$AB$8+'TE CVA'!$AB$8)*1</f>
        <v>316.97983140624547</v>
      </c>
      <c r="AB216" s="6">
        <f>$K$216*$V$216</f>
        <v>0</v>
      </c>
      <c r="AC216" s="6">
        <f>$M$216*$W$216</f>
        <v>6.1797999999999993</v>
      </c>
      <c r="AD216" s="6">
        <f>$O$216*$X$216</f>
        <v>4.8165699999999996</v>
      </c>
      <c r="AE216" s="6">
        <f>$K$216*$Y$216</f>
        <v>0</v>
      </c>
      <c r="AF216" s="6">
        <f ca="1">$M$216*$Z$216</f>
        <v>8.5390560046873176</v>
      </c>
      <c r="AG216" s="6">
        <f>$O$216*$AA$216</f>
        <v>3.4867781454686999</v>
      </c>
    </row>
    <row r="217" spans="1:33" ht="11.25" customHeight="1" x14ac:dyDescent="0.25">
      <c r="A217" s="4" t="s">
        <v>55</v>
      </c>
      <c r="B217" s="4" t="s">
        <v>22</v>
      </c>
      <c r="C217" s="4" t="s">
        <v>32</v>
      </c>
      <c r="D217" s="4" t="s">
        <v>24</v>
      </c>
      <c r="E217" s="4" t="s">
        <v>24</v>
      </c>
      <c r="F217" s="4" t="s">
        <v>25</v>
      </c>
      <c r="G217" s="4" t="s">
        <v>25</v>
      </c>
      <c r="H217" s="4" t="s">
        <v>33</v>
      </c>
      <c r="I217" s="5">
        <v>44743</v>
      </c>
      <c r="J217" s="6">
        <v>0</v>
      </c>
      <c r="K217" s="6">
        <v>0</v>
      </c>
      <c r="L217" s="6">
        <v>1.0999999999999999E-2</v>
      </c>
      <c r="M217" s="6">
        <v>1.0999999999999999E-2</v>
      </c>
      <c r="N217" s="6">
        <v>1.0999999999999999E-2</v>
      </c>
      <c r="O217" s="6">
        <v>1.0999999999999999E-2</v>
      </c>
      <c r="P217" s="6">
        <v>0</v>
      </c>
      <c r="Q217" s="4" t="s">
        <v>26</v>
      </c>
      <c r="R217" s="4">
        <v>0</v>
      </c>
      <c r="S217" s="6">
        <v>0</v>
      </c>
      <c r="T217" s="6">
        <v>34</v>
      </c>
      <c r="U217" s="6">
        <v>72</v>
      </c>
      <c r="V217" s="6">
        <f>IF(ISERROR(VLOOKUP($S$217,'TAR FIN'!$A$1:$O$88,15,0)),0,VLOOKUP($S$217,'TAR FIN'!$A$1:$O$88,15,0))</f>
        <v>0</v>
      </c>
      <c r="W217" s="6">
        <f>IF(ISERROR(VLOOKUP($T$217,'TAR FIN'!$A$1:$O$88,15,0)),0,VLOOKUP($T$217,'TAR FIN'!$A$1:$O$88,15,0))</f>
        <v>561.79999999999995</v>
      </c>
      <c r="X217" s="6">
        <f>IF(ISERROR(VLOOKUP($U$217,'TAR FIN'!$A$1:$O$88,15,0)),0,VLOOKUP($U$217,'TAR FIN'!$A$1:$O$88,15,0))</f>
        <v>437.87</v>
      </c>
      <c r="Y217" s="6"/>
      <c r="Z217" s="6">
        <f ca="1">('TUSD BE'!$AM$17+'TUSD BF'!$AM$17+'TUSD CVA'!$AM$17)*1</f>
        <v>776.277818607938</v>
      </c>
      <c r="AA217" s="6">
        <f>('TE BE'!$AB$8+'TE BF'!$AB$8+'TE CVA'!$AB$8)*1</f>
        <v>316.97983140624547</v>
      </c>
      <c r="AB217" s="6">
        <f>$K$217*$V$217</f>
        <v>0</v>
      </c>
      <c r="AC217" s="6">
        <f>$M$217*$W$217</f>
        <v>6.1797999999999993</v>
      </c>
      <c r="AD217" s="6">
        <f>$O$217*$X$217</f>
        <v>4.8165699999999996</v>
      </c>
      <c r="AE217" s="6">
        <f>$K$217*$Y$217</f>
        <v>0</v>
      </c>
      <c r="AF217" s="6">
        <f ca="1">$M$217*$Z$217</f>
        <v>8.5390560046873176</v>
      </c>
      <c r="AG217" s="6">
        <f>$O$217*$AA$217</f>
        <v>3.4867781454686999</v>
      </c>
    </row>
    <row r="218" spans="1:33" ht="11.25" customHeight="1" x14ac:dyDescent="0.25">
      <c r="A218" s="4" t="s">
        <v>21</v>
      </c>
      <c r="B218" s="4" t="s">
        <v>22</v>
      </c>
      <c r="C218" s="4" t="s">
        <v>23</v>
      </c>
      <c r="D218" s="4" t="s">
        <v>24</v>
      </c>
      <c r="E218" s="4" t="s">
        <v>24</v>
      </c>
      <c r="F218" s="4" t="s">
        <v>25</v>
      </c>
      <c r="G218" s="4" t="s">
        <v>25</v>
      </c>
      <c r="H218" s="4" t="s">
        <v>25</v>
      </c>
      <c r="I218" s="5">
        <v>44409</v>
      </c>
      <c r="J218" s="6">
        <v>0</v>
      </c>
      <c r="K218" s="6">
        <v>0</v>
      </c>
      <c r="L218" s="6">
        <v>846.42</v>
      </c>
      <c r="M218" s="6">
        <v>846.42</v>
      </c>
      <c r="N218" s="6">
        <v>846.42</v>
      </c>
      <c r="O218" s="6">
        <v>846.42</v>
      </c>
      <c r="P218" s="6">
        <v>5673</v>
      </c>
      <c r="Q218" s="4" t="s">
        <v>26</v>
      </c>
      <c r="R218" s="4">
        <v>0</v>
      </c>
      <c r="S218" s="6">
        <v>0</v>
      </c>
      <c r="T218" s="6">
        <v>37</v>
      </c>
      <c r="U218" s="6">
        <v>75</v>
      </c>
      <c r="V218" s="6">
        <f>IF(ISERROR(VLOOKUP($S$218,'TAR FIN'!$A$1:$O$88,15,0)),0,VLOOKUP($S$218,'TAR FIN'!$A$1:$O$88,15,0))</f>
        <v>0</v>
      </c>
      <c r="W218" s="6">
        <f>IF(ISERROR(VLOOKUP($T$218,'TAR FIN'!$A$1:$O$88,15,0)),0,VLOOKUP($T$218,'TAR FIN'!$A$1:$O$88,15,0))</f>
        <v>269.91000000000003</v>
      </c>
      <c r="X218" s="6">
        <f>IF(ISERROR(VLOOKUP($U$218,'TAR FIN'!$A$1:$O$88,15,0)),0,VLOOKUP($U$218,'TAR FIN'!$A$1:$O$88,15,0))</f>
        <v>288.89999999999998</v>
      </c>
      <c r="Y218" s="6"/>
      <c r="Z218" s="6">
        <f ca="1">('TUSD BE'!$AM$20+'TUSD BF'!$AM$20+'TUSD CVA'!$AM$20)*1</f>
        <v>350.41122835255294</v>
      </c>
      <c r="AA218" s="6">
        <f>('TE BE'!$AB$11+'TE BF'!$AB$11+'TE CVA'!$AB$11)*1</f>
        <v>207.63042742196092</v>
      </c>
      <c r="AB218" s="6">
        <f>$K$218*$V$218</f>
        <v>0</v>
      </c>
      <c r="AC218" s="6">
        <f>$M$218*$W$218</f>
        <v>228457.22220000002</v>
      </c>
      <c r="AD218" s="6">
        <f>$O$218*$X$218</f>
        <v>244530.73799999998</v>
      </c>
      <c r="AE218" s="6">
        <f>$K$218*$Y$218</f>
        <v>0</v>
      </c>
      <c r="AF218" s="6">
        <f ca="1">$M$218*$Z$218</f>
        <v>296595.07190216787</v>
      </c>
      <c r="AG218" s="6">
        <f>$O$218*$AA$218</f>
        <v>175742.54637849616</v>
      </c>
    </row>
    <row r="219" spans="1:33" ht="11.25" customHeight="1" x14ac:dyDescent="0.25">
      <c r="A219" s="4" t="s">
        <v>27</v>
      </c>
      <c r="B219" s="4" t="s">
        <v>22</v>
      </c>
      <c r="C219" s="4" t="s">
        <v>23</v>
      </c>
      <c r="D219" s="4" t="s">
        <v>24</v>
      </c>
      <c r="E219" s="4" t="s">
        <v>24</v>
      </c>
      <c r="F219" s="4" t="s">
        <v>25</v>
      </c>
      <c r="G219" s="4" t="s">
        <v>25</v>
      </c>
      <c r="H219" s="4" t="s">
        <v>25</v>
      </c>
      <c r="I219" s="5">
        <v>44409</v>
      </c>
      <c r="J219" s="6">
        <v>0</v>
      </c>
      <c r="K219" s="6">
        <v>0</v>
      </c>
      <c r="L219" s="6">
        <v>17.163</v>
      </c>
      <c r="M219" s="6">
        <v>17.163</v>
      </c>
      <c r="N219" s="6">
        <v>17.163</v>
      </c>
      <c r="O219" s="6">
        <v>17.163</v>
      </c>
      <c r="P219" s="6">
        <v>160</v>
      </c>
      <c r="Q219" s="4" t="s">
        <v>26</v>
      </c>
      <c r="R219" s="4">
        <v>0</v>
      </c>
      <c r="S219" s="6">
        <v>0</v>
      </c>
      <c r="T219" s="6">
        <v>37</v>
      </c>
      <c r="U219" s="6">
        <v>75</v>
      </c>
      <c r="V219" s="6">
        <f>IF(ISERROR(VLOOKUP($S$219,'TAR FIN'!$A$1:$O$88,15,0)),0,VLOOKUP($S$219,'TAR FIN'!$A$1:$O$88,15,0))</f>
        <v>0</v>
      </c>
      <c r="W219" s="6">
        <f>IF(ISERROR(VLOOKUP($T$219,'TAR FIN'!$A$1:$O$88,15,0)),0,VLOOKUP($T$219,'TAR FIN'!$A$1:$O$88,15,0))</f>
        <v>269.91000000000003</v>
      </c>
      <c r="X219" s="6">
        <f>IF(ISERROR(VLOOKUP($U$219,'TAR FIN'!$A$1:$O$88,15,0)),0,VLOOKUP($U$219,'TAR FIN'!$A$1:$O$88,15,0))</f>
        <v>288.89999999999998</v>
      </c>
      <c r="Y219" s="6"/>
      <c r="Z219" s="6">
        <f ca="1">('TUSD BE'!$AM$20+'TUSD BF'!$AM$20+'TUSD CVA'!$AM$20)*1</f>
        <v>350.41122835255294</v>
      </c>
      <c r="AA219" s="6">
        <f>('TE BE'!$AB$11+'TE BF'!$AB$11+'TE CVA'!$AB$11)*1</f>
        <v>207.63042742196092</v>
      </c>
      <c r="AB219" s="6">
        <f>$K$219*$V$219</f>
        <v>0</v>
      </c>
      <c r="AC219" s="6">
        <f>$M$219*$W$219</f>
        <v>4632.4653300000009</v>
      </c>
      <c r="AD219" s="6">
        <f>$O$219*$X$219</f>
        <v>4958.3906999999999</v>
      </c>
      <c r="AE219" s="6">
        <f>$K$219*$Y$219</f>
        <v>0</v>
      </c>
      <c r="AF219" s="6">
        <f ca="1">$M$219*$Z$219</f>
        <v>6014.1079122148658</v>
      </c>
      <c r="AG219" s="6">
        <f>$O$219*$AA$219</f>
        <v>3563.5610258431152</v>
      </c>
    </row>
    <row r="220" spans="1:33" ht="11.25" customHeight="1" x14ac:dyDescent="0.25">
      <c r="A220" s="4" t="s">
        <v>21</v>
      </c>
      <c r="B220" s="4" t="s">
        <v>22</v>
      </c>
      <c r="C220" s="4" t="s">
        <v>23</v>
      </c>
      <c r="D220" s="4" t="s">
        <v>24</v>
      </c>
      <c r="E220" s="4" t="s">
        <v>24</v>
      </c>
      <c r="F220" s="4" t="s">
        <v>25</v>
      </c>
      <c r="G220" s="4" t="s">
        <v>25</v>
      </c>
      <c r="H220" s="4" t="s">
        <v>25</v>
      </c>
      <c r="I220" s="5">
        <v>44440</v>
      </c>
      <c r="J220" s="6">
        <v>0</v>
      </c>
      <c r="K220" s="6">
        <v>0</v>
      </c>
      <c r="L220" s="6">
        <v>898.92100000000005</v>
      </c>
      <c r="M220" s="6">
        <v>898.92100000000005</v>
      </c>
      <c r="N220" s="6">
        <v>898.92100000000005</v>
      </c>
      <c r="O220" s="6">
        <v>898.92100000000005</v>
      </c>
      <c r="P220" s="6">
        <v>5700</v>
      </c>
      <c r="Q220" s="4" t="s">
        <v>26</v>
      </c>
      <c r="R220" s="4">
        <v>0</v>
      </c>
      <c r="S220" s="6">
        <v>0</v>
      </c>
      <c r="T220" s="6">
        <v>37</v>
      </c>
      <c r="U220" s="6">
        <v>75</v>
      </c>
      <c r="V220" s="6">
        <f>IF(ISERROR(VLOOKUP($S$220,'TAR FIN'!$A$1:$O$88,15,0)),0,VLOOKUP($S$220,'TAR FIN'!$A$1:$O$88,15,0))</f>
        <v>0</v>
      </c>
      <c r="W220" s="6">
        <f>IF(ISERROR(VLOOKUP($T$220,'TAR FIN'!$A$1:$O$88,15,0)),0,VLOOKUP($T$220,'TAR FIN'!$A$1:$O$88,15,0))</f>
        <v>269.91000000000003</v>
      </c>
      <c r="X220" s="6">
        <f>IF(ISERROR(VLOOKUP($U$220,'TAR FIN'!$A$1:$O$88,15,0)),0,VLOOKUP($U$220,'TAR FIN'!$A$1:$O$88,15,0))</f>
        <v>288.89999999999998</v>
      </c>
      <c r="Y220" s="6"/>
      <c r="Z220" s="6">
        <f ca="1">('TUSD BE'!$AM$20+'TUSD BF'!$AM$20+'TUSD CVA'!$AM$20)*1</f>
        <v>350.41122835255294</v>
      </c>
      <c r="AA220" s="6">
        <f>('TE BE'!$AB$11+'TE BF'!$AB$11+'TE CVA'!$AB$11)*1</f>
        <v>207.63042742196092</v>
      </c>
      <c r="AB220" s="6">
        <f>$K$220*$V$220</f>
        <v>0</v>
      </c>
      <c r="AC220" s="6">
        <f>$M$220*$W$220</f>
        <v>242627.76711000004</v>
      </c>
      <c r="AD220" s="6">
        <f>$O$220*$X$220</f>
        <v>259698.2769</v>
      </c>
      <c r="AE220" s="6">
        <f>$K$220*$Y$220</f>
        <v>0</v>
      </c>
      <c r="AF220" s="6">
        <f ca="1">$M$220*$Z$220</f>
        <v>314992.01180190523</v>
      </c>
      <c r="AG220" s="6">
        <f>$O$220*$AA$220</f>
        <v>186643.35144857655</v>
      </c>
    </row>
    <row r="221" spans="1:33" ht="11.25" customHeight="1" x14ac:dyDescent="0.25">
      <c r="A221" s="4" t="s">
        <v>27</v>
      </c>
      <c r="B221" s="4" t="s">
        <v>22</v>
      </c>
      <c r="C221" s="4" t="s">
        <v>23</v>
      </c>
      <c r="D221" s="4" t="s">
        <v>24</v>
      </c>
      <c r="E221" s="4" t="s">
        <v>24</v>
      </c>
      <c r="F221" s="4" t="s">
        <v>25</v>
      </c>
      <c r="G221" s="4" t="s">
        <v>25</v>
      </c>
      <c r="H221" s="4" t="s">
        <v>25</v>
      </c>
      <c r="I221" s="5">
        <v>44440</v>
      </c>
      <c r="J221" s="6">
        <v>0</v>
      </c>
      <c r="K221" s="6">
        <v>0</v>
      </c>
      <c r="L221" s="6">
        <v>13.840999999999999</v>
      </c>
      <c r="M221" s="6">
        <v>13.840999999999999</v>
      </c>
      <c r="N221" s="6">
        <v>13.840999999999999</v>
      </c>
      <c r="O221" s="6">
        <v>13.840999999999999</v>
      </c>
      <c r="P221" s="6">
        <v>165</v>
      </c>
      <c r="Q221" s="4" t="s">
        <v>26</v>
      </c>
      <c r="R221" s="4">
        <v>0</v>
      </c>
      <c r="S221" s="6">
        <v>0</v>
      </c>
      <c r="T221" s="6">
        <v>37</v>
      </c>
      <c r="U221" s="6">
        <v>75</v>
      </c>
      <c r="V221" s="6">
        <f>IF(ISERROR(VLOOKUP($S$221,'TAR FIN'!$A$1:$O$88,15,0)),0,VLOOKUP($S$221,'TAR FIN'!$A$1:$O$88,15,0))</f>
        <v>0</v>
      </c>
      <c r="W221" s="6">
        <f>IF(ISERROR(VLOOKUP($T$221,'TAR FIN'!$A$1:$O$88,15,0)),0,VLOOKUP($T$221,'TAR FIN'!$A$1:$O$88,15,0))</f>
        <v>269.91000000000003</v>
      </c>
      <c r="X221" s="6">
        <f>IF(ISERROR(VLOOKUP($U$221,'TAR FIN'!$A$1:$O$88,15,0)),0,VLOOKUP($U$221,'TAR FIN'!$A$1:$O$88,15,0))</f>
        <v>288.89999999999998</v>
      </c>
      <c r="Y221" s="6"/>
      <c r="Z221" s="6">
        <f ca="1">('TUSD BE'!$AM$20+'TUSD BF'!$AM$20+'TUSD CVA'!$AM$20)*1</f>
        <v>350.41122835255294</v>
      </c>
      <c r="AA221" s="6">
        <f>('TE BE'!$AB$11+'TE BF'!$AB$11+'TE CVA'!$AB$11)*1</f>
        <v>207.63042742196092</v>
      </c>
      <c r="AB221" s="6">
        <f>$K$221*$V$221</f>
        <v>0</v>
      </c>
      <c r="AC221" s="6">
        <f>$M$221*$W$221</f>
        <v>3735.82431</v>
      </c>
      <c r="AD221" s="6">
        <f>$O$221*$X$221</f>
        <v>3998.6648999999993</v>
      </c>
      <c r="AE221" s="6">
        <f>$K$221*$Y$221</f>
        <v>0</v>
      </c>
      <c r="AF221" s="6">
        <f ca="1">$M$221*$Z$221</f>
        <v>4850.0418116276851</v>
      </c>
      <c r="AG221" s="6">
        <f>$O$221*$AA$221</f>
        <v>2873.8127459473608</v>
      </c>
    </row>
    <row r="222" spans="1:33" ht="11.25" customHeight="1" x14ac:dyDescent="0.25">
      <c r="A222" s="4" t="s">
        <v>21</v>
      </c>
      <c r="B222" s="4" t="s">
        <v>22</v>
      </c>
      <c r="C222" s="4" t="s">
        <v>23</v>
      </c>
      <c r="D222" s="4" t="s">
        <v>24</v>
      </c>
      <c r="E222" s="4" t="s">
        <v>24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0</v>
      </c>
      <c r="K222" s="6">
        <v>0</v>
      </c>
      <c r="L222" s="6">
        <v>795.89800000000002</v>
      </c>
      <c r="M222" s="6">
        <v>795.89800000000002</v>
      </c>
      <c r="N222" s="6">
        <v>795.89800000000002</v>
      </c>
      <c r="O222" s="6">
        <v>795.89800000000002</v>
      </c>
      <c r="P222" s="6">
        <v>5685</v>
      </c>
      <c r="Q222" s="4" t="s">
        <v>26</v>
      </c>
      <c r="R222" s="4">
        <v>0</v>
      </c>
      <c r="S222" s="6">
        <v>0</v>
      </c>
      <c r="T222" s="6">
        <v>37</v>
      </c>
      <c r="U222" s="6">
        <v>75</v>
      </c>
      <c r="V222" s="6">
        <f>IF(ISERROR(VLOOKUP($S$222,'TAR FIN'!$A$1:$O$88,15,0)),0,VLOOKUP($S$222,'TAR FIN'!$A$1:$O$88,15,0))</f>
        <v>0</v>
      </c>
      <c r="W222" s="6">
        <f>IF(ISERROR(VLOOKUP($T$222,'TAR FIN'!$A$1:$O$88,15,0)),0,VLOOKUP($T$222,'TAR FIN'!$A$1:$O$88,15,0))</f>
        <v>269.91000000000003</v>
      </c>
      <c r="X222" s="6">
        <f>IF(ISERROR(VLOOKUP($U$222,'TAR FIN'!$A$1:$O$88,15,0)),0,VLOOKUP($U$222,'TAR FIN'!$A$1:$O$88,15,0))</f>
        <v>288.89999999999998</v>
      </c>
      <c r="Y222" s="6"/>
      <c r="Z222" s="6">
        <f ca="1">('TUSD BE'!$AM$20+'TUSD BF'!$AM$20+'TUSD CVA'!$AM$20)*1</f>
        <v>350.41122835255294</v>
      </c>
      <c r="AA222" s="6">
        <f>('TE BE'!$AB$11+'TE BF'!$AB$11+'TE CVA'!$AB$11)*1</f>
        <v>207.63042742196092</v>
      </c>
      <c r="AB222" s="6">
        <f>$K$222*$V$222</f>
        <v>0</v>
      </c>
      <c r="AC222" s="6">
        <f>$M$222*$W$222</f>
        <v>214820.82918000003</v>
      </c>
      <c r="AD222" s="6">
        <f>$O$222*$X$222</f>
        <v>229934.93219999998</v>
      </c>
      <c r="AE222" s="6">
        <f>$K$222*$Y$222</f>
        <v>0</v>
      </c>
      <c r="AF222" s="6">
        <f ca="1">$M$222*$Z$222</f>
        <v>278891.59582334018</v>
      </c>
      <c r="AG222" s="6">
        <f>$O$222*$AA$222</f>
        <v>165252.64192428385</v>
      </c>
    </row>
    <row r="223" spans="1:33" ht="11.25" customHeight="1" x14ac:dyDescent="0.25">
      <c r="A223" s="4" t="s">
        <v>27</v>
      </c>
      <c r="B223" s="4" t="s">
        <v>22</v>
      </c>
      <c r="C223" s="4" t="s">
        <v>23</v>
      </c>
      <c r="D223" s="4" t="s">
        <v>24</v>
      </c>
      <c r="E223" s="4" t="s">
        <v>24</v>
      </c>
      <c r="F223" s="4" t="s">
        <v>25</v>
      </c>
      <c r="G223" s="4" t="s">
        <v>25</v>
      </c>
      <c r="H223" s="4" t="s">
        <v>25</v>
      </c>
      <c r="I223" s="5">
        <v>44470</v>
      </c>
      <c r="J223" s="6">
        <v>0</v>
      </c>
      <c r="K223" s="6">
        <v>0</v>
      </c>
      <c r="L223" s="6">
        <v>18.109000000000002</v>
      </c>
      <c r="M223" s="6">
        <v>18.109000000000002</v>
      </c>
      <c r="N223" s="6">
        <v>18.109000000000002</v>
      </c>
      <c r="O223" s="6">
        <v>18.109000000000002</v>
      </c>
      <c r="P223" s="6">
        <v>187</v>
      </c>
      <c r="Q223" s="4" t="s">
        <v>26</v>
      </c>
      <c r="R223" s="4">
        <v>0</v>
      </c>
      <c r="S223" s="6">
        <v>0</v>
      </c>
      <c r="T223" s="6">
        <v>37</v>
      </c>
      <c r="U223" s="6">
        <v>75</v>
      </c>
      <c r="V223" s="6">
        <f>IF(ISERROR(VLOOKUP($S$223,'TAR FIN'!$A$1:$O$88,15,0)),0,VLOOKUP($S$223,'TAR FIN'!$A$1:$O$88,15,0))</f>
        <v>0</v>
      </c>
      <c r="W223" s="6">
        <f>IF(ISERROR(VLOOKUP($T$223,'TAR FIN'!$A$1:$O$88,15,0)),0,VLOOKUP($T$223,'TAR FIN'!$A$1:$O$88,15,0))</f>
        <v>269.91000000000003</v>
      </c>
      <c r="X223" s="6">
        <f>IF(ISERROR(VLOOKUP($U$223,'TAR FIN'!$A$1:$O$88,15,0)),0,VLOOKUP($U$223,'TAR FIN'!$A$1:$O$88,15,0))</f>
        <v>288.89999999999998</v>
      </c>
      <c r="Y223" s="6"/>
      <c r="Z223" s="6">
        <f ca="1">('TUSD BE'!$AM$20+'TUSD BF'!$AM$20+'TUSD CVA'!$AM$20)*1</f>
        <v>350.41122835255294</v>
      </c>
      <c r="AA223" s="6">
        <f>('TE BE'!$AB$11+'TE BF'!$AB$11+'TE CVA'!$AB$11)*1</f>
        <v>207.63042742196092</v>
      </c>
      <c r="AB223" s="6">
        <f>$K$223*$V$223</f>
        <v>0</v>
      </c>
      <c r="AC223" s="6">
        <f>$M$223*$W$223</f>
        <v>4887.8001900000008</v>
      </c>
      <c r="AD223" s="6">
        <f>$O$223*$X$223</f>
        <v>5231.6900999999998</v>
      </c>
      <c r="AE223" s="6">
        <f>$K$223*$Y$223</f>
        <v>0</v>
      </c>
      <c r="AF223" s="6">
        <f ca="1">$M$223*$Z$223</f>
        <v>6345.5969342363815</v>
      </c>
      <c r="AG223" s="6">
        <f>$O$223*$AA$223</f>
        <v>3759.9794101842908</v>
      </c>
    </row>
    <row r="224" spans="1:33" ht="11.25" customHeight="1" x14ac:dyDescent="0.25">
      <c r="A224" s="4" t="s">
        <v>21</v>
      </c>
      <c r="B224" s="4" t="s">
        <v>22</v>
      </c>
      <c r="C224" s="4" t="s">
        <v>23</v>
      </c>
      <c r="D224" s="4" t="s">
        <v>24</v>
      </c>
      <c r="E224" s="4" t="s">
        <v>24</v>
      </c>
      <c r="F224" s="4" t="s">
        <v>25</v>
      </c>
      <c r="G224" s="4" t="s">
        <v>25</v>
      </c>
      <c r="H224" s="4" t="s">
        <v>25</v>
      </c>
      <c r="I224" s="5">
        <v>44501</v>
      </c>
      <c r="J224" s="6">
        <v>0</v>
      </c>
      <c r="K224" s="6">
        <v>0</v>
      </c>
      <c r="L224" s="6">
        <v>870.99800000000005</v>
      </c>
      <c r="M224" s="6">
        <v>870.99800000000005</v>
      </c>
      <c r="N224" s="6">
        <v>870.99800000000005</v>
      </c>
      <c r="O224" s="6">
        <v>870.99800000000005</v>
      </c>
      <c r="P224" s="6">
        <v>5654</v>
      </c>
      <c r="Q224" s="4" t="s">
        <v>26</v>
      </c>
      <c r="R224" s="4">
        <v>0</v>
      </c>
      <c r="S224" s="6">
        <v>0</v>
      </c>
      <c r="T224" s="6">
        <v>37</v>
      </c>
      <c r="U224" s="6">
        <v>75</v>
      </c>
      <c r="V224" s="6">
        <f>IF(ISERROR(VLOOKUP($S$224,'TAR FIN'!$A$1:$O$88,15,0)),0,VLOOKUP($S$224,'TAR FIN'!$A$1:$O$88,15,0))</f>
        <v>0</v>
      </c>
      <c r="W224" s="6">
        <f>IF(ISERROR(VLOOKUP($T$224,'TAR FIN'!$A$1:$O$88,15,0)),0,VLOOKUP($T$224,'TAR FIN'!$A$1:$O$88,15,0))</f>
        <v>269.91000000000003</v>
      </c>
      <c r="X224" s="6">
        <f>IF(ISERROR(VLOOKUP($U$224,'TAR FIN'!$A$1:$O$88,15,0)),0,VLOOKUP($U$224,'TAR FIN'!$A$1:$O$88,15,0))</f>
        <v>288.89999999999998</v>
      </c>
      <c r="Y224" s="6"/>
      <c r="Z224" s="6">
        <f ca="1">('TUSD BE'!$AM$20+'TUSD BF'!$AM$20+'TUSD CVA'!$AM$20)*1</f>
        <v>350.41122835255294</v>
      </c>
      <c r="AA224" s="6">
        <f>('TE BE'!$AB$11+'TE BF'!$AB$11+'TE CVA'!$AB$11)*1</f>
        <v>207.63042742196092</v>
      </c>
      <c r="AB224" s="6">
        <f>$K$224*$V$224</f>
        <v>0</v>
      </c>
      <c r="AC224" s="6">
        <f>$M$224*$W$224</f>
        <v>235091.07018000004</v>
      </c>
      <c r="AD224" s="6">
        <f>$O$224*$X$224</f>
        <v>251631.3222</v>
      </c>
      <c r="AE224" s="6">
        <f>$K$224*$Y$224</f>
        <v>0</v>
      </c>
      <c r="AF224" s="6">
        <f ca="1">$M$224*$Z$224</f>
        <v>305207.4790726169</v>
      </c>
      <c r="AG224" s="6">
        <f>$O$224*$AA$224</f>
        <v>180845.68702367312</v>
      </c>
    </row>
    <row r="225" spans="1:33" ht="11.25" customHeight="1" x14ac:dyDescent="0.25">
      <c r="A225" s="4" t="s">
        <v>27</v>
      </c>
      <c r="B225" s="4" t="s">
        <v>22</v>
      </c>
      <c r="C225" s="4" t="s">
        <v>23</v>
      </c>
      <c r="D225" s="4" t="s">
        <v>24</v>
      </c>
      <c r="E225" s="4" t="s">
        <v>24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0</v>
      </c>
      <c r="K225" s="6">
        <v>0</v>
      </c>
      <c r="L225" s="6">
        <v>16.065000000000001</v>
      </c>
      <c r="M225" s="6">
        <v>16.065000000000001</v>
      </c>
      <c r="N225" s="6">
        <v>16.065000000000001</v>
      </c>
      <c r="O225" s="6">
        <v>16.065000000000001</v>
      </c>
      <c r="P225" s="6">
        <v>205</v>
      </c>
      <c r="Q225" s="4" t="s">
        <v>26</v>
      </c>
      <c r="R225" s="4">
        <v>0</v>
      </c>
      <c r="S225" s="6">
        <v>0</v>
      </c>
      <c r="T225" s="6">
        <v>37</v>
      </c>
      <c r="U225" s="6">
        <v>75</v>
      </c>
      <c r="V225" s="6">
        <f>IF(ISERROR(VLOOKUP($S$225,'TAR FIN'!$A$1:$O$88,15,0)),0,VLOOKUP($S$225,'TAR FIN'!$A$1:$O$88,15,0))</f>
        <v>0</v>
      </c>
      <c r="W225" s="6">
        <f>IF(ISERROR(VLOOKUP($T$225,'TAR FIN'!$A$1:$O$88,15,0)),0,VLOOKUP($T$225,'TAR FIN'!$A$1:$O$88,15,0))</f>
        <v>269.91000000000003</v>
      </c>
      <c r="X225" s="6">
        <f>IF(ISERROR(VLOOKUP($U$225,'TAR FIN'!$A$1:$O$88,15,0)),0,VLOOKUP($U$225,'TAR FIN'!$A$1:$O$88,15,0))</f>
        <v>288.89999999999998</v>
      </c>
      <c r="Y225" s="6"/>
      <c r="Z225" s="6">
        <f ca="1">('TUSD BE'!$AM$20+'TUSD BF'!$AM$20+'TUSD CVA'!$AM$20)*1</f>
        <v>350.41122835255294</v>
      </c>
      <c r="AA225" s="6">
        <f>('TE BE'!$AB$11+'TE BF'!$AB$11+'TE CVA'!$AB$11)*1</f>
        <v>207.63042742196092</v>
      </c>
      <c r="AB225" s="6">
        <f>$K$225*$V$225</f>
        <v>0</v>
      </c>
      <c r="AC225" s="6">
        <f>$M$225*$W$225</f>
        <v>4336.104150000001</v>
      </c>
      <c r="AD225" s="6">
        <f>$O$225*$X$225</f>
        <v>4641.1785</v>
      </c>
      <c r="AE225" s="6">
        <f>$K$225*$Y$225</f>
        <v>0</v>
      </c>
      <c r="AF225" s="6">
        <f ca="1">$M$225*$Z$225</f>
        <v>5629.3563834837632</v>
      </c>
      <c r="AG225" s="6">
        <f>$O$225*$AA$225</f>
        <v>3335.5828165338025</v>
      </c>
    </row>
    <row r="226" spans="1:33" ht="11.25" customHeight="1" x14ac:dyDescent="0.25">
      <c r="A226" s="4" t="s">
        <v>21</v>
      </c>
      <c r="B226" s="4" t="s">
        <v>22</v>
      </c>
      <c r="C226" s="4" t="s">
        <v>23</v>
      </c>
      <c r="D226" s="4" t="s">
        <v>24</v>
      </c>
      <c r="E226" s="4" t="s">
        <v>24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0</v>
      </c>
      <c r="K226" s="6">
        <v>0</v>
      </c>
      <c r="L226" s="6">
        <v>980.88699999999994</v>
      </c>
      <c r="M226" s="6">
        <v>980.88699999999994</v>
      </c>
      <c r="N226" s="6">
        <v>980.88699999999994</v>
      </c>
      <c r="O226" s="6">
        <v>980.88699999999994</v>
      </c>
      <c r="P226" s="6">
        <v>5635</v>
      </c>
      <c r="Q226" s="4" t="s">
        <v>26</v>
      </c>
      <c r="R226" s="4">
        <v>0</v>
      </c>
      <c r="S226" s="6">
        <v>0</v>
      </c>
      <c r="T226" s="6">
        <v>37</v>
      </c>
      <c r="U226" s="6">
        <v>75</v>
      </c>
      <c r="V226" s="6">
        <f>IF(ISERROR(VLOOKUP($S$226,'TAR FIN'!$A$1:$O$88,15,0)),0,VLOOKUP($S$226,'TAR FIN'!$A$1:$O$88,15,0))</f>
        <v>0</v>
      </c>
      <c r="W226" s="6">
        <f>IF(ISERROR(VLOOKUP($T$226,'TAR FIN'!$A$1:$O$88,15,0)),0,VLOOKUP($T$226,'TAR FIN'!$A$1:$O$88,15,0))</f>
        <v>269.91000000000003</v>
      </c>
      <c r="X226" s="6">
        <f>IF(ISERROR(VLOOKUP($U$226,'TAR FIN'!$A$1:$O$88,15,0)),0,VLOOKUP($U$226,'TAR FIN'!$A$1:$O$88,15,0))</f>
        <v>288.89999999999998</v>
      </c>
      <c r="Y226" s="6"/>
      <c r="Z226" s="6">
        <f ca="1">('TUSD BE'!$AM$20+'TUSD BF'!$AM$20+'TUSD CVA'!$AM$20)*1</f>
        <v>350.41122835255294</v>
      </c>
      <c r="AA226" s="6">
        <f>('TE BE'!$AB$11+'TE BF'!$AB$11+'TE CVA'!$AB$11)*1</f>
        <v>207.63042742196092</v>
      </c>
      <c r="AB226" s="6">
        <f>$K$226*$V$226</f>
        <v>0</v>
      </c>
      <c r="AC226" s="6">
        <f>$M$226*$W$226</f>
        <v>264751.21017000003</v>
      </c>
      <c r="AD226" s="6">
        <f>$O$226*$X$226</f>
        <v>283378.25429999997</v>
      </c>
      <c r="AE226" s="6">
        <f>$K$226*$Y$226</f>
        <v>0</v>
      </c>
      <c r="AF226" s="6">
        <f ca="1">$M$226*$Z$226</f>
        <v>343713.81854505057</v>
      </c>
      <c r="AG226" s="6">
        <f>$O$226*$AA$226</f>
        <v>203661.98706264497</v>
      </c>
    </row>
    <row r="227" spans="1:33" ht="11.25" customHeight="1" x14ac:dyDescent="0.25">
      <c r="A227" s="4" t="s">
        <v>27</v>
      </c>
      <c r="B227" s="4" t="s">
        <v>22</v>
      </c>
      <c r="C227" s="4" t="s">
        <v>23</v>
      </c>
      <c r="D227" s="4" t="s">
        <v>24</v>
      </c>
      <c r="E227" s="4" t="s">
        <v>24</v>
      </c>
      <c r="F227" s="4" t="s">
        <v>25</v>
      </c>
      <c r="G227" s="4" t="s">
        <v>25</v>
      </c>
      <c r="H227" s="4" t="s">
        <v>25</v>
      </c>
      <c r="I227" s="5">
        <v>44531</v>
      </c>
      <c r="J227" s="6">
        <v>0</v>
      </c>
      <c r="K227" s="6">
        <v>0</v>
      </c>
      <c r="L227" s="6">
        <v>19.164999999999999</v>
      </c>
      <c r="M227" s="6">
        <v>19.164999999999999</v>
      </c>
      <c r="N227" s="6">
        <v>19.164999999999999</v>
      </c>
      <c r="O227" s="6">
        <v>19.164999999999999</v>
      </c>
      <c r="P227" s="6">
        <v>223</v>
      </c>
      <c r="Q227" s="4" t="s">
        <v>26</v>
      </c>
      <c r="R227" s="4">
        <v>0</v>
      </c>
      <c r="S227" s="6">
        <v>0</v>
      </c>
      <c r="T227" s="6">
        <v>37</v>
      </c>
      <c r="U227" s="6">
        <v>75</v>
      </c>
      <c r="V227" s="6">
        <f>IF(ISERROR(VLOOKUP($S$227,'TAR FIN'!$A$1:$O$88,15,0)),0,VLOOKUP($S$227,'TAR FIN'!$A$1:$O$88,15,0))</f>
        <v>0</v>
      </c>
      <c r="W227" s="6">
        <f>IF(ISERROR(VLOOKUP($T$227,'TAR FIN'!$A$1:$O$88,15,0)),0,VLOOKUP($T$227,'TAR FIN'!$A$1:$O$88,15,0))</f>
        <v>269.91000000000003</v>
      </c>
      <c r="X227" s="6">
        <f>IF(ISERROR(VLOOKUP($U$227,'TAR FIN'!$A$1:$O$88,15,0)),0,VLOOKUP($U$227,'TAR FIN'!$A$1:$O$88,15,0))</f>
        <v>288.89999999999998</v>
      </c>
      <c r="Y227" s="6"/>
      <c r="Z227" s="6">
        <f ca="1">('TUSD BE'!$AM$20+'TUSD BF'!$AM$20+'TUSD CVA'!$AM$20)*1</f>
        <v>350.41122835255294</v>
      </c>
      <c r="AA227" s="6">
        <f>('TE BE'!$AB$11+'TE BF'!$AB$11+'TE CVA'!$AB$11)*1</f>
        <v>207.63042742196092</v>
      </c>
      <c r="AB227" s="6">
        <f>$K$227*$V$227</f>
        <v>0</v>
      </c>
      <c r="AC227" s="6">
        <f>$M$227*$W$227</f>
        <v>5172.8251500000006</v>
      </c>
      <c r="AD227" s="6">
        <f>$O$227*$X$227</f>
        <v>5536.7684999999992</v>
      </c>
      <c r="AE227" s="6">
        <f>$K$227*$Y$227</f>
        <v>0</v>
      </c>
      <c r="AF227" s="6">
        <f ca="1">$M$227*$Z$227</f>
        <v>6715.6311913766767</v>
      </c>
      <c r="AG227" s="6">
        <f>$O$227*$AA$227</f>
        <v>3979.2371415418806</v>
      </c>
    </row>
    <row r="228" spans="1:33" ht="11.25" customHeight="1" x14ac:dyDescent="0.25">
      <c r="A228" s="4" t="s">
        <v>21</v>
      </c>
      <c r="B228" s="4" t="s">
        <v>22</v>
      </c>
      <c r="C228" s="4" t="s">
        <v>23</v>
      </c>
      <c r="D228" s="4" t="s">
        <v>24</v>
      </c>
      <c r="E228" s="4" t="s">
        <v>24</v>
      </c>
      <c r="F228" s="4" t="s">
        <v>25</v>
      </c>
      <c r="G228" s="4" t="s">
        <v>25</v>
      </c>
      <c r="H228" s="4" t="s">
        <v>25</v>
      </c>
      <c r="I228" s="5">
        <v>44562</v>
      </c>
      <c r="J228" s="6">
        <v>0</v>
      </c>
      <c r="K228" s="6">
        <v>0</v>
      </c>
      <c r="L228" s="6">
        <v>952.029</v>
      </c>
      <c r="M228" s="6">
        <v>952.029</v>
      </c>
      <c r="N228" s="6">
        <v>952.029</v>
      </c>
      <c r="O228" s="6">
        <v>952.029</v>
      </c>
      <c r="P228" s="6">
        <v>5611</v>
      </c>
      <c r="Q228" s="4" t="s">
        <v>26</v>
      </c>
      <c r="R228" s="4">
        <v>0</v>
      </c>
      <c r="S228" s="6">
        <v>0</v>
      </c>
      <c r="T228" s="6">
        <v>37</v>
      </c>
      <c r="U228" s="6">
        <v>75</v>
      </c>
      <c r="V228" s="6">
        <f>IF(ISERROR(VLOOKUP($S$228,'TAR FIN'!$A$1:$O$88,15,0)),0,VLOOKUP($S$228,'TAR FIN'!$A$1:$O$88,15,0))</f>
        <v>0</v>
      </c>
      <c r="W228" s="6">
        <f>IF(ISERROR(VLOOKUP($T$228,'TAR FIN'!$A$1:$O$88,15,0)),0,VLOOKUP($T$228,'TAR FIN'!$A$1:$O$88,15,0))</f>
        <v>269.91000000000003</v>
      </c>
      <c r="X228" s="6">
        <f>IF(ISERROR(VLOOKUP($U$228,'TAR FIN'!$A$1:$O$88,15,0)),0,VLOOKUP($U$228,'TAR FIN'!$A$1:$O$88,15,0))</f>
        <v>288.89999999999998</v>
      </c>
      <c r="Y228" s="6"/>
      <c r="Z228" s="6">
        <f ca="1">('TUSD BE'!$AM$20+'TUSD BF'!$AM$20+'TUSD CVA'!$AM$20)*1</f>
        <v>350.41122835255294</v>
      </c>
      <c r="AA228" s="6">
        <f>('TE BE'!$AB$11+'TE BF'!$AB$11+'TE CVA'!$AB$11)*1</f>
        <v>207.63042742196092</v>
      </c>
      <c r="AB228" s="6">
        <f>$K$228*$V$228</f>
        <v>0</v>
      </c>
      <c r="AC228" s="6">
        <f>$M$228*$W$228</f>
        <v>256962.14739000003</v>
      </c>
      <c r="AD228" s="6">
        <f>$O$228*$X$228</f>
        <v>275041.17809999996</v>
      </c>
      <c r="AE228" s="6">
        <f>$K$228*$Y$228</f>
        <v>0</v>
      </c>
      <c r="AF228" s="6">
        <f ca="1">$M$228*$Z$228</f>
        <v>333601.6513172526</v>
      </c>
      <c r="AG228" s="6">
        <f>$O$228*$AA$228</f>
        <v>197670.18818810204</v>
      </c>
    </row>
    <row r="229" spans="1:33" ht="11.25" customHeight="1" x14ac:dyDescent="0.25">
      <c r="A229" s="4" t="s">
        <v>27</v>
      </c>
      <c r="B229" s="4" t="s">
        <v>22</v>
      </c>
      <c r="C229" s="4" t="s">
        <v>23</v>
      </c>
      <c r="D229" s="4" t="s">
        <v>24</v>
      </c>
      <c r="E229" s="4" t="s">
        <v>24</v>
      </c>
      <c r="F229" s="4" t="s">
        <v>25</v>
      </c>
      <c r="G229" s="4" t="s">
        <v>25</v>
      </c>
      <c r="H229" s="4" t="s">
        <v>25</v>
      </c>
      <c r="I229" s="5">
        <v>44562</v>
      </c>
      <c r="J229" s="6">
        <v>0</v>
      </c>
      <c r="K229" s="6">
        <v>0</v>
      </c>
      <c r="L229" s="6">
        <v>20.507000000000001</v>
      </c>
      <c r="M229" s="6">
        <v>20.507000000000001</v>
      </c>
      <c r="N229" s="6">
        <v>20.507000000000001</v>
      </c>
      <c r="O229" s="6">
        <v>20.507000000000001</v>
      </c>
      <c r="P229" s="6">
        <v>234</v>
      </c>
      <c r="Q229" s="4" t="s">
        <v>26</v>
      </c>
      <c r="R229" s="4">
        <v>0</v>
      </c>
      <c r="S229" s="6">
        <v>0</v>
      </c>
      <c r="T229" s="6">
        <v>37</v>
      </c>
      <c r="U229" s="6">
        <v>75</v>
      </c>
      <c r="V229" s="6">
        <f>IF(ISERROR(VLOOKUP($S$229,'TAR FIN'!$A$1:$O$88,15,0)),0,VLOOKUP($S$229,'TAR FIN'!$A$1:$O$88,15,0))</f>
        <v>0</v>
      </c>
      <c r="W229" s="6">
        <f>IF(ISERROR(VLOOKUP($T$229,'TAR FIN'!$A$1:$O$88,15,0)),0,VLOOKUP($T$229,'TAR FIN'!$A$1:$O$88,15,0))</f>
        <v>269.91000000000003</v>
      </c>
      <c r="X229" s="6">
        <f>IF(ISERROR(VLOOKUP($U$229,'TAR FIN'!$A$1:$O$88,15,0)),0,VLOOKUP($U$229,'TAR FIN'!$A$1:$O$88,15,0))</f>
        <v>288.89999999999998</v>
      </c>
      <c r="Y229" s="6"/>
      <c r="Z229" s="6">
        <f ca="1">('TUSD BE'!$AM$20+'TUSD BF'!$AM$20+'TUSD CVA'!$AM$20)*1</f>
        <v>350.41122835255294</v>
      </c>
      <c r="AA229" s="6">
        <f>('TE BE'!$AB$11+'TE BF'!$AB$11+'TE CVA'!$AB$11)*1</f>
        <v>207.63042742196092</v>
      </c>
      <c r="AB229" s="6">
        <f>$K$229*$V$229</f>
        <v>0</v>
      </c>
      <c r="AC229" s="6">
        <f>$M$229*$W$229</f>
        <v>5535.0443700000005</v>
      </c>
      <c r="AD229" s="6">
        <f>$O$229*$X$229</f>
        <v>5924.4723000000004</v>
      </c>
      <c r="AE229" s="6">
        <f>$K$229*$Y$229</f>
        <v>0</v>
      </c>
      <c r="AF229" s="6">
        <f ca="1">$M$229*$Z$229</f>
        <v>7185.8830598258037</v>
      </c>
      <c r="AG229" s="6">
        <f>$O$229*$AA$229</f>
        <v>4257.8771751421527</v>
      </c>
    </row>
    <row r="230" spans="1:33" ht="11.25" customHeight="1" x14ac:dyDescent="0.25">
      <c r="A230" s="4" t="s">
        <v>21</v>
      </c>
      <c r="B230" s="4" t="s">
        <v>22</v>
      </c>
      <c r="C230" s="4" t="s">
        <v>23</v>
      </c>
      <c r="D230" s="4" t="s">
        <v>24</v>
      </c>
      <c r="E230" s="4" t="s">
        <v>24</v>
      </c>
      <c r="F230" s="4" t="s">
        <v>25</v>
      </c>
      <c r="G230" s="4" t="s">
        <v>25</v>
      </c>
      <c r="H230" s="4" t="s">
        <v>25</v>
      </c>
      <c r="I230" s="5">
        <v>44593</v>
      </c>
      <c r="J230" s="6">
        <v>0</v>
      </c>
      <c r="K230" s="6">
        <v>0</v>
      </c>
      <c r="L230" s="6">
        <v>840.39200000000005</v>
      </c>
      <c r="M230" s="6">
        <v>840.39200000000005</v>
      </c>
      <c r="N230" s="6">
        <v>840.39200000000005</v>
      </c>
      <c r="O230" s="6">
        <v>840.39200000000005</v>
      </c>
      <c r="P230" s="6">
        <v>5585</v>
      </c>
      <c r="Q230" s="4" t="s">
        <v>26</v>
      </c>
      <c r="R230" s="4">
        <v>0</v>
      </c>
      <c r="S230" s="6">
        <v>0</v>
      </c>
      <c r="T230" s="6">
        <v>37</v>
      </c>
      <c r="U230" s="6">
        <v>75</v>
      </c>
      <c r="V230" s="6">
        <f>IF(ISERROR(VLOOKUP($S$230,'TAR FIN'!$A$1:$O$88,15,0)),0,VLOOKUP($S$230,'TAR FIN'!$A$1:$O$88,15,0))</f>
        <v>0</v>
      </c>
      <c r="W230" s="6">
        <f>IF(ISERROR(VLOOKUP($T$230,'TAR FIN'!$A$1:$O$88,15,0)),0,VLOOKUP($T$230,'TAR FIN'!$A$1:$O$88,15,0))</f>
        <v>269.91000000000003</v>
      </c>
      <c r="X230" s="6">
        <f>IF(ISERROR(VLOOKUP($U$230,'TAR FIN'!$A$1:$O$88,15,0)),0,VLOOKUP($U$230,'TAR FIN'!$A$1:$O$88,15,0))</f>
        <v>288.89999999999998</v>
      </c>
      <c r="Y230" s="6"/>
      <c r="Z230" s="6">
        <f ca="1">('TUSD BE'!$AM$20+'TUSD BF'!$AM$20+'TUSD CVA'!$AM$20)*1</f>
        <v>350.41122835255294</v>
      </c>
      <c r="AA230" s="6">
        <f>('TE BE'!$AB$11+'TE BF'!$AB$11+'TE CVA'!$AB$11)*1</f>
        <v>207.63042742196092</v>
      </c>
      <c r="AB230" s="6">
        <f>$K$230*$V$230</f>
        <v>0</v>
      </c>
      <c r="AC230" s="6">
        <f>$M$230*$W$230</f>
        <v>226830.20472000004</v>
      </c>
      <c r="AD230" s="6">
        <f>$O$230*$X$230</f>
        <v>242789.2488</v>
      </c>
      <c r="AE230" s="6">
        <f>$K$230*$Y$230</f>
        <v>0</v>
      </c>
      <c r="AF230" s="6">
        <f ca="1">$M$230*$Z$230</f>
        <v>294482.7930176587</v>
      </c>
      <c r="AG230" s="6">
        <f>$O$230*$AA$230</f>
        <v>174490.95016199659</v>
      </c>
    </row>
    <row r="231" spans="1:33" ht="11.25" customHeight="1" x14ac:dyDescent="0.25">
      <c r="A231" s="4" t="s">
        <v>27</v>
      </c>
      <c r="B231" s="4" t="s">
        <v>22</v>
      </c>
      <c r="C231" s="4" t="s">
        <v>23</v>
      </c>
      <c r="D231" s="4" t="s">
        <v>24</v>
      </c>
      <c r="E231" s="4" t="s">
        <v>24</v>
      </c>
      <c r="F231" s="4" t="s">
        <v>25</v>
      </c>
      <c r="G231" s="4" t="s">
        <v>25</v>
      </c>
      <c r="H231" s="4" t="s">
        <v>25</v>
      </c>
      <c r="I231" s="5">
        <v>44593</v>
      </c>
      <c r="J231" s="6">
        <v>0</v>
      </c>
      <c r="K231" s="6">
        <v>0</v>
      </c>
      <c r="L231" s="6">
        <v>20.370999999999999</v>
      </c>
      <c r="M231" s="6">
        <v>20.370999999999999</v>
      </c>
      <c r="N231" s="6">
        <v>20.370999999999999</v>
      </c>
      <c r="O231" s="6">
        <v>20.370999999999999</v>
      </c>
      <c r="P231" s="6">
        <v>247</v>
      </c>
      <c r="Q231" s="4" t="s">
        <v>26</v>
      </c>
      <c r="R231" s="4">
        <v>0</v>
      </c>
      <c r="S231" s="6">
        <v>0</v>
      </c>
      <c r="T231" s="6">
        <v>37</v>
      </c>
      <c r="U231" s="6">
        <v>75</v>
      </c>
      <c r="V231" s="6">
        <f>IF(ISERROR(VLOOKUP($S$231,'TAR FIN'!$A$1:$O$88,15,0)),0,VLOOKUP($S$231,'TAR FIN'!$A$1:$O$88,15,0))</f>
        <v>0</v>
      </c>
      <c r="W231" s="6">
        <f>IF(ISERROR(VLOOKUP($T$231,'TAR FIN'!$A$1:$O$88,15,0)),0,VLOOKUP($T$231,'TAR FIN'!$A$1:$O$88,15,0))</f>
        <v>269.91000000000003</v>
      </c>
      <c r="X231" s="6">
        <f>IF(ISERROR(VLOOKUP($U$231,'TAR FIN'!$A$1:$O$88,15,0)),0,VLOOKUP($U$231,'TAR FIN'!$A$1:$O$88,15,0))</f>
        <v>288.89999999999998</v>
      </c>
      <c r="Y231" s="6"/>
      <c r="Z231" s="6">
        <f ca="1">('TUSD BE'!$AM$20+'TUSD BF'!$AM$20+'TUSD CVA'!$AM$20)*1</f>
        <v>350.41122835255294</v>
      </c>
      <c r="AA231" s="6">
        <f>('TE BE'!$AB$11+'TE BF'!$AB$11+'TE CVA'!$AB$11)*1</f>
        <v>207.63042742196092</v>
      </c>
      <c r="AB231" s="6">
        <f>$K$231*$V$231</f>
        <v>0</v>
      </c>
      <c r="AC231" s="6">
        <f>$M$231*$W$231</f>
        <v>5498.3366100000003</v>
      </c>
      <c r="AD231" s="6">
        <f>$O$231*$X$231</f>
        <v>5885.1818999999996</v>
      </c>
      <c r="AE231" s="6">
        <f>$K$231*$Y$231</f>
        <v>0</v>
      </c>
      <c r="AF231" s="6">
        <f ca="1">$M$231*$Z$231</f>
        <v>7138.2271327698554</v>
      </c>
      <c r="AG231" s="6">
        <f>$O$231*$AA$231</f>
        <v>4229.6394370127655</v>
      </c>
    </row>
    <row r="232" spans="1:33" ht="11.25" customHeight="1" x14ac:dyDescent="0.25">
      <c r="A232" s="4" t="s">
        <v>21</v>
      </c>
      <c r="B232" s="4" t="s">
        <v>22</v>
      </c>
      <c r="C232" s="4" t="s">
        <v>23</v>
      </c>
      <c r="D232" s="4" t="s">
        <v>24</v>
      </c>
      <c r="E232" s="4" t="s">
        <v>24</v>
      </c>
      <c r="F232" s="4" t="s">
        <v>25</v>
      </c>
      <c r="G232" s="4" t="s">
        <v>25</v>
      </c>
      <c r="H232" s="4" t="s">
        <v>25</v>
      </c>
      <c r="I232" s="5">
        <v>44621</v>
      </c>
      <c r="J232" s="6">
        <v>0</v>
      </c>
      <c r="K232" s="6">
        <v>0</v>
      </c>
      <c r="L232" s="6">
        <v>915.86900000000003</v>
      </c>
      <c r="M232" s="6">
        <v>915.86900000000003</v>
      </c>
      <c r="N232" s="6">
        <v>915.86900000000003</v>
      </c>
      <c r="O232" s="6">
        <v>915.86900000000003</v>
      </c>
      <c r="P232" s="6">
        <v>5572</v>
      </c>
      <c r="Q232" s="4" t="s">
        <v>26</v>
      </c>
      <c r="R232" s="4">
        <v>0</v>
      </c>
      <c r="S232" s="6">
        <v>0</v>
      </c>
      <c r="T232" s="6">
        <v>37</v>
      </c>
      <c r="U232" s="6">
        <v>75</v>
      </c>
      <c r="V232" s="6">
        <f>IF(ISERROR(VLOOKUP($S$232,'TAR FIN'!$A$1:$O$88,15,0)),0,VLOOKUP($S$232,'TAR FIN'!$A$1:$O$88,15,0))</f>
        <v>0</v>
      </c>
      <c r="W232" s="6">
        <f>IF(ISERROR(VLOOKUP($T$232,'TAR FIN'!$A$1:$O$88,15,0)),0,VLOOKUP($T$232,'TAR FIN'!$A$1:$O$88,15,0))</f>
        <v>269.91000000000003</v>
      </c>
      <c r="X232" s="6">
        <f>IF(ISERROR(VLOOKUP($U$232,'TAR FIN'!$A$1:$O$88,15,0)),0,VLOOKUP($U$232,'TAR FIN'!$A$1:$O$88,15,0))</f>
        <v>288.89999999999998</v>
      </c>
      <c r="Y232" s="6"/>
      <c r="Z232" s="6">
        <f ca="1">('TUSD BE'!$AM$20+'TUSD BF'!$AM$20+'TUSD CVA'!$AM$20)*1</f>
        <v>350.41122835255294</v>
      </c>
      <c r="AA232" s="6">
        <f>('TE BE'!$AB$11+'TE BF'!$AB$11+'TE CVA'!$AB$11)*1</f>
        <v>207.63042742196092</v>
      </c>
      <c r="AB232" s="6">
        <f>$K$232*$V$232</f>
        <v>0</v>
      </c>
      <c r="AC232" s="6">
        <f>$M$232*$W$232</f>
        <v>247202.20179000002</v>
      </c>
      <c r="AD232" s="6">
        <f>$O$232*$X$232</f>
        <v>264594.55410000001</v>
      </c>
      <c r="AE232" s="6">
        <f>$K$232*$Y$232</f>
        <v>0</v>
      </c>
      <c r="AF232" s="6">
        <f ca="1">$M$232*$Z$232</f>
        <v>320930.7813000243</v>
      </c>
      <c r="AG232" s="6">
        <f>$O$232*$AA$232</f>
        <v>190162.27193252393</v>
      </c>
    </row>
    <row r="233" spans="1:33" ht="11.25" customHeight="1" x14ac:dyDescent="0.25">
      <c r="A233" s="4" t="s">
        <v>27</v>
      </c>
      <c r="B233" s="4" t="s">
        <v>22</v>
      </c>
      <c r="C233" s="4" t="s">
        <v>23</v>
      </c>
      <c r="D233" s="4" t="s">
        <v>24</v>
      </c>
      <c r="E233" s="4" t="s">
        <v>24</v>
      </c>
      <c r="F233" s="4" t="s">
        <v>25</v>
      </c>
      <c r="G233" s="4" t="s">
        <v>25</v>
      </c>
      <c r="H233" s="4" t="s">
        <v>25</v>
      </c>
      <c r="I233" s="5">
        <v>44621</v>
      </c>
      <c r="J233" s="6">
        <v>0</v>
      </c>
      <c r="K233" s="6">
        <v>0</v>
      </c>
      <c r="L233" s="6">
        <v>25.789000000000001</v>
      </c>
      <c r="M233" s="6">
        <v>25.789000000000001</v>
      </c>
      <c r="N233" s="6">
        <v>25.789000000000001</v>
      </c>
      <c r="O233" s="6">
        <v>25.789000000000001</v>
      </c>
      <c r="P233" s="6">
        <v>256</v>
      </c>
      <c r="Q233" s="4" t="s">
        <v>26</v>
      </c>
      <c r="R233" s="4">
        <v>0</v>
      </c>
      <c r="S233" s="6">
        <v>0</v>
      </c>
      <c r="T233" s="6">
        <v>37</v>
      </c>
      <c r="U233" s="6">
        <v>75</v>
      </c>
      <c r="V233" s="6">
        <f>IF(ISERROR(VLOOKUP($S$233,'TAR FIN'!$A$1:$O$88,15,0)),0,VLOOKUP($S$233,'TAR FIN'!$A$1:$O$88,15,0))</f>
        <v>0</v>
      </c>
      <c r="W233" s="6">
        <f>IF(ISERROR(VLOOKUP($T$233,'TAR FIN'!$A$1:$O$88,15,0)),0,VLOOKUP($T$233,'TAR FIN'!$A$1:$O$88,15,0))</f>
        <v>269.91000000000003</v>
      </c>
      <c r="X233" s="6">
        <f>IF(ISERROR(VLOOKUP($U$233,'TAR FIN'!$A$1:$O$88,15,0)),0,VLOOKUP($U$233,'TAR FIN'!$A$1:$O$88,15,0))</f>
        <v>288.89999999999998</v>
      </c>
      <c r="Y233" s="6"/>
      <c r="Z233" s="6">
        <f ca="1">('TUSD BE'!$AM$20+'TUSD BF'!$AM$20+'TUSD CVA'!$AM$20)*1</f>
        <v>350.41122835255294</v>
      </c>
      <c r="AA233" s="6">
        <f>('TE BE'!$AB$11+'TE BF'!$AB$11+'TE CVA'!$AB$11)*1</f>
        <v>207.63042742196092</v>
      </c>
      <c r="AB233" s="6">
        <f>$K$233*$V$233</f>
        <v>0</v>
      </c>
      <c r="AC233" s="6">
        <f>$M$233*$W$233</f>
        <v>6960.708990000001</v>
      </c>
      <c r="AD233" s="6">
        <f>$O$233*$X$233</f>
        <v>7450.4421000000002</v>
      </c>
      <c r="AE233" s="6">
        <f>$K$233*$Y$233</f>
        <v>0</v>
      </c>
      <c r="AF233" s="6">
        <f ca="1">$M$233*$Z$233</f>
        <v>9036.7551679839889</v>
      </c>
      <c r="AG233" s="6">
        <f>$O$233*$AA$233</f>
        <v>5354.5810927849507</v>
      </c>
    </row>
    <row r="234" spans="1:33" ht="11.25" customHeight="1" x14ac:dyDescent="0.25">
      <c r="A234" s="4" t="s">
        <v>21</v>
      </c>
      <c r="B234" s="4" t="s">
        <v>22</v>
      </c>
      <c r="C234" s="4" t="s">
        <v>23</v>
      </c>
      <c r="D234" s="4" t="s">
        <v>24</v>
      </c>
      <c r="E234" s="4" t="s">
        <v>24</v>
      </c>
      <c r="F234" s="4" t="s">
        <v>25</v>
      </c>
      <c r="G234" s="4" t="s">
        <v>25</v>
      </c>
      <c r="H234" s="4" t="s">
        <v>25</v>
      </c>
      <c r="I234" s="5">
        <v>44652</v>
      </c>
      <c r="J234" s="6">
        <v>0</v>
      </c>
      <c r="K234" s="6">
        <v>0</v>
      </c>
      <c r="L234" s="6">
        <v>806.23099999999999</v>
      </c>
      <c r="M234" s="6">
        <v>806.23099999999999</v>
      </c>
      <c r="N234" s="6">
        <v>806.23099999999999</v>
      </c>
      <c r="O234" s="6">
        <v>806.23099999999999</v>
      </c>
      <c r="P234" s="6">
        <v>5559</v>
      </c>
      <c r="Q234" s="4" t="s">
        <v>26</v>
      </c>
      <c r="R234" s="4">
        <v>0</v>
      </c>
      <c r="S234" s="6">
        <v>0</v>
      </c>
      <c r="T234" s="6">
        <v>37</v>
      </c>
      <c r="U234" s="6">
        <v>75</v>
      </c>
      <c r="V234" s="6">
        <f>IF(ISERROR(VLOOKUP($S$234,'TAR FIN'!$A$1:$O$88,15,0)),0,VLOOKUP($S$234,'TAR FIN'!$A$1:$O$88,15,0))</f>
        <v>0</v>
      </c>
      <c r="W234" s="6">
        <f>IF(ISERROR(VLOOKUP($T$234,'TAR FIN'!$A$1:$O$88,15,0)),0,VLOOKUP($T$234,'TAR FIN'!$A$1:$O$88,15,0))</f>
        <v>269.91000000000003</v>
      </c>
      <c r="X234" s="6">
        <f>IF(ISERROR(VLOOKUP($U$234,'TAR FIN'!$A$1:$O$88,15,0)),0,VLOOKUP($U$234,'TAR FIN'!$A$1:$O$88,15,0))</f>
        <v>288.89999999999998</v>
      </c>
      <c r="Y234" s="6"/>
      <c r="Z234" s="6">
        <f ca="1">('TUSD BE'!$AM$20+'TUSD BF'!$AM$20+'TUSD CVA'!$AM$20)*1</f>
        <v>350.41122835255294</v>
      </c>
      <c r="AA234" s="6">
        <f>('TE BE'!$AB$11+'TE BF'!$AB$11+'TE CVA'!$AB$11)*1</f>
        <v>207.63042742196092</v>
      </c>
      <c r="AB234" s="6">
        <f>$K$234*$V$234</f>
        <v>0</v>
      </c>
      <c r="AC234" s="6">
        <f>$M$234*$W$234</f>
        <v>217609.80921000001</v>
      </c>
      <c r="AD234" s="6">
        <f>$O$234*$X$234</f>
        <v>232920.13589999999</v>
      </c>
      <c r="AE234" s="6">
        <f>$K$234*$Y$234</f>
        <v>0</v>
      </c>
      <c r="AF234" s="6">
        <f ca="1">$M$234*$Z$234</f>
        <v>282512.39504590712</v>
      </c>
      <c r="AG234" s="6">
        <f>$O$234*$AA$234</f>
        <v>167398.08713083496</v>
      </c>
    </row>
    <row r="235" spans="1:33" ht="11.25" customHeight="1" x14ac:dyDescent="0.25">
      <c r="A235" s="4" t="s">
        <v>27</v>
      </c>
      <c r="B235" s="4" t="s">
        <v>22</v>
      </c>
      <c r="C235" s="4" t="s">
        <v>23</v>
      </c>
      <c r="D235" s="4" t="s">
        <v>24</v>
      </c>
      <c r="E235" s="4" t="s">
        <v>24</v>
      </c>
      <c r="F235" s="4" t="s">
        <v>25</v>
      </c>
      <c r="G235" s="4" t="s">
        <v>25</v>
      </c>
      <c r="H235" s="4" t="s">
        <v>25</v>
      </c>
      <c r="I235" s="5">
        <v>44652</v>
      </c>
      <c r="J235" s="6">
        <v>0</v>
      </c>
      <c r="K235" s="6">
        <v>0</v>
      </c>
      <c r="L235" s="6">
        <v>23.277999999999999</v>
      </c>
      <c r="M235" s="6">
        <v>23.277999999999999</v>
      </c>
      <c r="N235" s="6">
        <v>23.277999999999999</v>
      </c>
      <c r="O235" s="6">
        <v>23.277999999999999</v>
      </c>
      <c r="P235" s="6">
        <v>269</v>
      </c>
      <c r="Q235" s="4" t="s">
        <v>26</v>
      </c>
      <c r="R235" s="4">
        <v>0</v>
      </c>
      <c r="S235" s="6">
        <v>0</v>
      </c>
      <c r="T235" s="6">
        <v>37</v>
      </c>
      <c r="U235" s="6">
        <v>75</v>
      </c>
      <c r="V235" s="6">
        <f>IF(ISERROR(VLOOKUP($S$235,'TAR FIN'!$A$1:$O$88,15,0)),0,VLOOKUP($S$235,'TAR FIN'!$A$1:$O$88,15,0))</f>
        <v>0</v>
      </c>
      <c r="W235" s="6">
        <f>IF(ISERROR(VLOOKUP($T$235,'TAR FIN'!$A$1:$O$88,15,0)),0,VLOOKUP($T$235,'TAR FIN'!$A$1:$O$88,15,0))</f>
        <v>269.91000000000003</v>
      </c>
      <c r="X235" s="6">
        <f>IF(ISERROR(VLOOKUP($U$235,'TAR FIN'!$A$1:$O$88,15,0)),0,VLOOKUP($U$235,'TAR FIN'!$A$1:$O$88,15,0))</f>
        <v>288.89999999999998</v>
      </c>
      <c r="Y235" s="6"/>
      <c r="Z235" s="6">
        <f ca="1">('TUSD BE'!$AM$20+'TUSD BF'!$AM$20+'TUSD CVA'!$AM$20)*1</f>
        <v>350.41122835255294</v>
      </c>
      <c r="AA235" s="6">
        <f>('TE BE'!$AB$11+'TE BF'!$AB$11+'TE CVA'!$AB$11)*1</f>
        <v>207.63042742196092</v>
      </c>
      <c r="AB235" s="6">
        <f>$K$235*$V$235</f>
        <v>0</v>
      </c>
      <c r="AC235" s="6">
        <f>$M$235*$W$235</f>
        <v>6282.9649800000007</v>
      </c>
      <c r="AD235" s="6">
        <f>$O$235*$X$235</f>
        <v>6725.0141999999987</v>
      </c>
      <c r="AE235" s="6">
        <f>$K$235*$Y$235</f>
        <v>0</v>
      </c>
      <c r="AF235" s="6">
        <f ca="1">$M$235*$Z$235</f>
        <v>8156.8725735907265</v>
      </c>
      <c r="AG235" s="6">
        <f>$O$235*$AA$235</f>
        <v>4833.2210895284061</v>
      </c>
    </row>
    <row r="236" spans="1:33" ht="11.25" customHeight="1" x14ac:dyDescent="0.25">
      <c r="A236" s="4" t="s">
        <v>21</v>
      </c>
      <c r="B236" s="4" t="s">
        <v>22</v>
      </c>
      <c r="C236" s="4" t="s">
        <v>23</v>
      </c>
      <c r="D236" s="4" t="s">
        <v>24</v>
      </c>
      <c r="E236" s="4" t="s">
        <v>24</v>
      </c>
      <c r="F236" s="4" t="s">
        <v>25</v>
      </c>
      <c r="G236" s="4" t="s">
        <v>25</v>
      </c>
      <c r="H236" s="4" t="s">
        <v>25</v>
      </c>
      <c r="I236" s="5">
        <v>44682</v>
      </c>
      <c r="J236" s="6">
        <v>0</v>
      </c>
      <c r="K236" s="6">
        <v>0</v>
      </c>
      <c r="L236" s="6">
        <v>778.399</v>
      </c>
      <c r="M236" s="6">
        <v>778.399</v>
      </c>
      <c r="N236" s="6">
        <v>778.399</v>
      </c>
      <c r="O236" s="6">
        <v>778.399</v>
      </c>
      <c r="P236" s="6">
        <v>5532</v>
      </c>
      <c r="Q236" s="4" t="s">
        <v>26</v>
      </c>
      <c r="R236" s="4">
        <v>0</v>
      </c>
      <c r="S236" s="6">
        <v>0</v>
      </c>
      <c r="T236" s="6">
        <v>37</v>
      </c>
      <c r="U236" s="6">
        <v>75</v>
      </c>
      <c r="V236" s="6">
        <f>IF(ISERROR(VLOOKUP($S$236,'TAR FIN'!$A$1:$O$88,15,0)),0,VLOOKUP($S$236,'TAR FIN'!$A$1:$O$88,15,0))</f>
        <v>0</v>
      </c>
      <c r="W236" s="6">
        <f>IF(ISERROR(VLOOKUP($T$236,'TAR FIN'!$A$1:$O$88,15,0)),0,VLOOKUP($T$236,'TAR FIN'!$A$1:$O$88,15,0))</f>
        <v>269.91000000000003</v>
      </c>
      <c r="X236" s="6">
        <f>IF(ISERROR(VLOOKUP($U$236,'TAR FIN'!$A$1:$O$88,15,0)),0,VLOOKUP($U$236,'TAR FIN'!$A$1:$O$88,15,0))</f>
        <v>288.89999999999998</v>
      </c>
      <c r="Y236" s="6"/>
      <c r="Z236" s="6">
        <f ca="1">('TUSD BE'!$AM$20+'TUSD BF'!$AM$20+'TUSD CVA'!$AM$20)*1</f>
        <v>350.41122835255294</v>
      </c>
      <c r="AA236" s="6">
        <f>('TE BE'!$AB$11+'TE BF'!$AB$11+'TE CVA'!$AB$11)*1</f>
        <v>207.63042742196092</v>
      </c>
      <c r="AB236" s="6">
        <f>$K$236*$V$236</f>
        <v>0</v>
      </c>
      <c r="AC236" s="6">
        <f>$M$236*$W$236</f>
        <v>210097.67409000001</v>
      </c>
      <c r="AD236" s="6">
        <f>$O$236*$X$236</f>
        <v>224879.4711</v>
      </c>
      <c r="AE236" s="6">
        <f>$K$236*$Y$236</f>
        <v>0</v>
      </c>
      <c r="AF236" s="6">
        <f ca="1">$M$236*$Z$236</f>
        <v>272759.74973839888</v>
      </c>
      <c r="AG236" s="6">
        <f>$O$236*$AA$236</f>
        <v>161619.31707482695</v>
      </c>
    </row>
    <row r="237" spans="1:33" ht="11.25" customHeight="1" x14ac:dyDescent="0.25">
      <c r="A237" s="4" t="s">
        <v>54</v>
      </c>
      <c r="B237" s="4" t="s">
        <v>22</v>
      </c>
      <c r="C237" s="4" t="s">
        <v>23</v>
      </c>
      <c r="D237" s="4" t="s">
        <v>24</v>
      </c>
      <c r="E237" s="4" t="s">
        <v>24</v>
      </c>
      <c r="F237" s="4" t="s">
        <v>25</v>
      </c>
      <c r="G237" s="4" t="s">
        <v>25</v>
      </c>
      <c r="H237" s="4" t="s">
        <v>25</v>
      </c>
      <c r="I237" s="5">
        <v>44682</v>
      </c>
      <c r="J237" s="6">
        <v>0</v>
      </c>
      <c r="K237" s="6">
        <v>0</v>
      </c>
      <c r="L237" s="6">
        <v>-0.35499999999999998</v>
      </c>
      <c r="M237" s="6">
        <v>-0.35499999999999998</v>
      </c>
      <c r="N237" s="6">
        <v>-0.35499999999999998</v>
      </c>
      <c r="O237" s="6">
        <v>-0.35499999999999998</v>
      </c>
      <c r="P237" s="6">
        <v>0</v>
      </c>
      <c r="Q237" s="4" t="s">
        <v>26</v>
      </c>
      <c r="R237" s="4">
        <v>0</v>
      </c>
      <c r="S237" s="6">
        <v>0</v>
      </c>
      <c r="T237" s="6">
        <v>37</v>
      </c>
      <c r="U237" s="6">
        <v>75</v>
      </c>
      <c r="V237" s="6">
        <f>IF(ISERROR(VLOOKUP($S$237,'TAR FIN'!$A$1:$O$88,15,0)),0,VLOOKUP($S$237,'TAR FIN'!$A$1:$O$88,15,0))</f>
        <v>0</v>
      </c>
      <c r="W237" s="6">
        <f>IF(ISERROR(VLOOKUP($T$237,'TAR FIN'!$A$1:$O$88,15,0)),0,VLOOKUP($T$237,'TAR FIN'!$A$1:$O$88,15,0))</f>
        <v>269.91000000000003</v>
      </c>
      <c r="X237" s="6">
        <f>IF(ISERROR(VLOOKUP($U$237,'TAR FIN'!$A$1:$O$88,15,0)),0,VLOOKUP($U$237,'TAR FIN'!$A$1:$O$88,15,0))</f>
        <v>288.89999999999998</v>
      </c>
      <c r="Y237" s="6"/>
      <c r="Z237" s="6">
        <f ca="1">('TUSD BE'!$AM$20+'TUSD BF'!$AM$20+'TUSD CVA'!$AM$20)*1</f>
        <v>350.41122835255294</v>
      </c>
      <c r="AA237" s="6">
        <f>('TE BE'!$AB$11+'TE BF'!$AB$11+'TE CVA'!$AB$11)*1</f>
        <v>207.63042742196092</v>
      </c>
      <c r="AB237" s="6">
        <f>$K$237*$V$237</f>
        <v>0</v>
      </c>
      <c r="AC237" s="6">
        <f>$M$237*$W$237</f>
        <v>-95.818049999999999</v>
      </c>
      <c r="AD237" s="6">
        <f>$O$237*$X$237</f>
        <v>-102.55949999999999</v>
      </c>
      <c r="AE237" s="6">
        <f>$K$237*$Y$237</f>
        <v>0</v>
      </c>
      <c r="AF237" s="6">
        <f ca="1">$M$237*$Z$237</f>
        <v>-124.39598606515629</v>
      </c>
      <c r="AG237" s="6">
        <f>$O$237*$AA$237</f>
        <v>-73.708801734796126</v>
      </c>
    </row>
    <row r="238" spans="1:33" ht="11.25" customHeight="1" x14ac:dyDescent="0.25">
      <c r="A238" s="4" t="s">
        <v>27</v>
      </c>
      <c r="B238" s="4" t="s">
        <v>22</v>
      </c>
      <c r="C238" s="4" t="s">
        <v>23</v>
      </c>
      <c r="D238" s="4" t="s">
        <v>24</v>
      </c>
      <c r="E238" s="4" t="s">
        <v>24</v>
      </c>
      <c r="F238" s="4" t="s">
        <v>25</v>
      </c>
      <c r="G238" s="4" t="s">
        <v>25</v>
      </c>
      <c r="H238" s="4" t="s">
        <v>25</v>
      </c>
      <c r="I238" s="5">
        <v>44682</v>
      </c>
      <c r="J238" s="6">
        <v>0</v>
      </c>
      <c r="K238" s="6">
        <v>0</v>
      </c>
      <c r="L238" s="6">
        <v>26.268000000000001</v>
      </c>
      <c r="M238" s="6">
        <v>26.268000000000001</v>
      </c>
      <c r="N238" s="6">
        <v>26.268000000000001</v>
      </c>
      <c r="O238" s="6">
        <v>26.268000000000001</v>
      </c>
      <c r="P238" s="6">
        <v>274</v>
      </c>
      <c r="Q238" s="4" t="s">
        <v>26</v>
      </c>
      <c r="R238" s="4">
        <v>0</v>
      </c>
      <c r="S238" s="6">
        <v>0</v>
      </c>
      <c r="T238" s="6">
        <v>37</v>
      </c>
      <c r="U238" s="6">
        <v>75</v>
      </c>
      <c r="V238" s="6">
        <f>IF(ISERROR(VLOOKUP($S$238,'TAR FIN'!$A$1:$O$88,15,0)),0,VLOOKUP($S$238,'TAR FIN'!$A$1:$O$88,15,0))</f>
        <v>0</v>
      </c>
      <c r="W238" s="6">
        <f>IF(ISERROR(VLOOKUP($T$238,'TAR FIN'!$A$1:$O$88,15,0)),0,VLOOKUP($T$238,'TAR FIN'!$A$1:$O$88,15,0))</f>
        <v>269.91000000000003</v>
      </c>
      <c r="X238" s="6">
        <f>IF(ISERROR(VLOOKUP($U$238,'TAR FIN'!$A$1:$O$88,15,0)),0,VLOOKUP($U$238,'TAR FIN'!$A$1:$O$88,15,0))</f>
        <v>288.89999999999998</v>
      </c>
      <c r="Y238" s="6"/>
      <c r="Z238" s="6">
        <f ca="1">('TUSD BE'!$AM$20+'TUSD BF'!$AM$20+'TUSD CVA'!$AM$20)*1</f>
        <v>350.41122835255294</v>
      </c>
      <c r="AA238" s="6">
        <f>('TE BE'!$AB$11+'TE BF'!$AB$11+'TE CVA'!$AB$11)*1</f>
        <v>207.63042742196092</v>
      </c>
      <c r="AB238" s="6">
        <f>$K$238*$V$238</f>
        <v>0</v>
      </c>
      <c r="AC238" s="6">
        <f>$M$238*$W$238</f>
        <v>7089.9958800000004</v>
      </c>
      <c r="AD238" s="6">
        <f>$O$238*$X$238</f>
        <v>7588.8251999999993</v>
      </c>
      <c r="AE238" s="6">
        <f>$K$238*$Y$238</f>
        <v>0</v>
      </c>
      <c r="AF238" s="6">
        <f ca="1">$M$238*$Z$238</f>
        <v>9204.6021463648613</v>
      </c>
      <c r="AG238" s="6">
        <f>$O$238*$AA$238</f>
        <v>5454.0360675200691</v>
      </c>
    </row>
    <row r="239" spans="1:33" ht="11.25" customHeight="1" x14ac:dyDescent="0.25">
      <c r="A239" s="4" t="s">
        <v>21</v>
      </c>
      <c r="B239" s="4" t="s">
        <v>22</v>
      </c>
      <c r="C239" s="4" t="s">
        <v>23</v>
      </c>
      <c r="D239" s="4" t="s">
        <v>24</v>
      </c>
      <c r="E239" s="4" t="s">
        <v>24</v>
      </c>
      <c r="F239" s="4" t="s">
        <v>25</v>
      </c>
      <c r="G239" s="4" t="s">
        <v>25</v>
      </c>
      <c r="H239" s="4" t="s">
        <v>25</v>
      </c>
      <c r="I239" s="5">
        <v>44713</v>
      </c>
      <c r="J239" s="6">
        <v>0</v>
      </c>
      <c r="K239" s="6">
        <v>0</v>
      </c>
      <c r="L239" s="6">
        <v>809.38900000000001</v>
      </c>
      <c r="M239" s="6">
        <v>809.38900000000001</v>
      </c>
      <c r="N239" s="6">
        <v>809.38900000000001</v>
      </c>
      <c r="O239" s="6">
        <v>809.38900000000001</v>
      </c>
      <c r="P239" s="6">
        <v>5556</v>
      </c>
      <c r="Q239" s="4" t="s">
        <v>26</v>
      </c>
      <c r="R239" s="4">
        <v>0</v>
      </c>
      <c r="S239" s="6">
        <v>0</v>
      </c>
      <c r="T239" s="6">
        <v>37</v>
      </c>
      <c r="U239" s="6">
        <v>75</v>
      </c>
      <c r="V239" s="6">
        <f>IF(ISERROR(VLOOKUP($S$239,'TAR FIN'!$A$1:$O$88,15,0)),0,VLOOKUP($S$239,'TAR FIN'!$A$1:$O$88,15,0))</f>
        <v>0</v>
      </c>
      <c r="W239" s="6">
        <f>IF(ISERROR(VLOOKUP($T$239,'TAR FIN'!$A$1:$O$88,15,0)),0,VLOOKUP($T$239,'TAR FIN'!$A$1:$O$88,15,0))</f>
        <v>269.91000000000003</v>
      </c>
      <c r="X239" s="6">
        <f>IF(ISERROR(VLOOKUP($U$239,'TAR FIN'!$A$1:$O$88,15,0)),0,VLOOKUP($U$239,'TAR FIN'!$A$1:$O$88,15,0))</f>
        <v>288.89999999999998</v>
      </c>
      <c r="Y239" s="6"/>
      <c r="Z239" s="6">
        <f ca="1">('TUSD BE'!$AM$20+'TUSD BF'!$AM$20+'TUSD CVA'!$AM$20)*1</f>
        <v>350.41122835255294</v>
      </c>
      <c r="AA239" s="6">
        <f>('TE BE'!$AB$11+'TE BF'!$AB$11+'TE CVA'!$AB$11)*1</f>
        <v>207.63042742196092</v>
      </c>
      <c r="AB239" s="6">
        <f>$K$239*$V$239</f>
        <v>0</v>
      </c>
      <c r="AC239" s="6">
        <f>$M$239*$W$239</f>
        <v>218462.18499000001</v>
      </c>
      <c r="AD239" s="6">
        <f>$O$239*$X$239</f>
        <v>233832.48209999999</v>
      </c>
      <c r="AE239" s="6">
        <f>$K$239*$Y$239</f>
        <v>0</v>
      </c>
      <c r="AF239" s="6">
        <f ca="1">$M$239*$Z$239</f>
        <v>283618.9937050445</v>
      </c>
      <c r="AG239" s="6">
        <f>$O$239*$AA$239</f>
        <v>168053.78402063352</v>
      </c>
    </row>
    <row r="240" spans="1:33" ht="11.25" customHeight="1" x14ac:dyDescent="0.25">
      <c r="A240" s="4" t="s">
        <v>27</v>
      </c>
      <c r="B240" s="4" t="s">
        <v>22</v>
      </c>
      <c r="C240" s="4" t="s">
        <v>23</v>
      </c>
      <c r="D240" s="4" t="s">
        <v>24</v>
      </c>
      <c r="E240" s="4" t="s">
        <v>24</v>
      </c>
      <c r="F240" s="4" t="s">
        <v>25</v>
      </c>
      <c r="G240" s="4" t="s">
        <v>25</v>
      </c>
      <c r="H240" s="4" t="s">
        <v>25</v>
      </c>
      <c r="I240" s="5">
        <v>44713</v>
      </c>
      <c r="J240" s="6">
        <v>0</v>
      </c>
      <c r="K240" s="6">
        <v>0</v>
      </c>
      <c r="L240" s="6">
        <v>34.978999999999999</v>
      </c>
      <c r="M240" s="6">
        <v>34.978999999999999</v>
      </c>
      <c r="N240" s="6">
        <v>34.978999999999999</v>
      </c>
      <c r="O240" s="6">
        <v>34.978999999999999</v>
      </c>
      <c r="P240" s="6">
        <v>283</v>
      </c>
      <c r="Q240" s="4" t="s">
        <v>26</v>
      </c>
      <c r="R240" s="4">
        <v>0</v>
      </c>
      <c r="S240" s="6">
        <v>0</v>
      </c>
      <c r="T240" s="6">
        <v>37</v>
      </c>
      <c r="U240" s="6">
        <v>75</v>
      </c>
      <c r="V240" s="6">
        <f>IF(ISERROR(VLOOKUP($S$240,'TAR FIN'!$A$1:$O$88,15,0)),0,VLOOKUP($S$240,'TAR FIN'!$A$1:$O$88,15,0))</f>
        <v>0</v>
      </c>
      <c r="W240" s="6">
        <f>IF(ISERROR(VLOOKUP($T$240,'TAR FIN'!$A$1:$O$88,15,0)),0,VLOOKUP($T$240,'TAR FIN'!$A$1:$O$88,15,0))</f>
        <v>269.91000000000003</v>
      </c>
      <c r="X240" s="6">
        <f>IF(ISERROR(VLOOKUP($U$240,'TAR FIN'!$A$1:$O$88,15,0)),0,VLOOKUP($U$240,'TAR FIN'!$A$1:$O$88,15,0))</f>
        <v>288.89999999999998</v>
      </c>
      <c r="Y240" s="6"/>
      <c r="Z240" s="6">
        <f ca="1">('TUSD BE'!$AM$20+'TUSD BF'!$AM$20+'TUSD CVA'!$AM$20)*1</f>
        <v>350.41122835255294</v>
      </c>
      <c r="AA240" s="6">
        <f>('TE BE'!$AB$11+'TE BF'!$AB$11+'TE CVA'!$AB$11)*1</f>
        <v>207.63042742196092</v>
      </c>
      <c r="AB240" s="6">
        <f>$K$240*$V$240</f>
        <v>0</v>
      </c>
      <c r="AC240" s="6">
        <f>$M$240*$W$240</f>
        <v>9441.1818899999998</v>
      </c>
      <c r="AD240" s="6">
        <f>$O$240*$X$240</f>
        <v>10105.433099999998</v>
      </c>
      <c r="AE240" s="6">
        <f>$K$240*$Y$240</f>
        <v>0</v>
      </c>
      <c r="AF240" s="6">
        <f ca="1">$M$240*$Z$240</f>
        <v>12257.034356543949</v>
      </c>
      <c r="AG240" s="6">
        <f>$O$240*$AA$240</f>
        <v>7262.7047207927708</v>
      </c>
    </row>
    <row r="241" spans="1:33" ht="11.25" customHeight="1" x14ac:dyDescent="0.25">
      <c r="A241" s="4" t="s">
        <v>55</v>
      </c>
      <c r="B241" s="4" t="s">
        <v>22</v>
      </c>
      <c r="C241" s="4" t="s">
        <v>23</v>
      </c>
      <c r="D241" s="4" t="s">
        <v>24</v>
      </c>
      <c r="E241" s="4" t="s">
        <v>24</v>
      </c>
      <c r="F241" s="4" t="s">
        <v>25</v>
      </c>
      <c r="G241" s="4" t="s">
        <v>25</v>
      </c>
      <c r="H241" s="4" t="s">
        <v>25</v>
      </c>
      <c r="I241" s="5">
        <v>44743</v>
      </c>
      <c r="J241" s="6">
        <v>0</v>
      </c>
      <c r="K241" s="6">
        <v>0</v>
      </c>
      <c r="L241" s="6">
        <v>809.38900000000001</v>
      </c>
      <c r="M241" s="6">
        <v>809.38900000000001</v>
      </c>
      <c r="N241" s="6">
        <v>809.38900000000001</v>
      </c>
      <c r="O241" s="6">
        <v>809.38900000000001</v>
      </c>
      <c r="P241" s="6">
        <v>5556</v>
      </c>
      <c r="Q241" s="4" t="s">
        <v>26</v>
      </c>
      <c r="R241" s="4">
        <v>0</v>
      </c>
      <c r="S241" s="6">
        <v>0</v>
      </c>
      <c r="T241" s="6">
        <v>37</v>
      </c>
      <c r="U241" s="6">
        <v>75</v>
      </c>
      <c r="V241" s="6">
        <f>IF(ISERROR(VLOOKUP($S$241,'TAR FIN'!$A$1:$O$88,15,0)),0,VLOOKUP($S$241,'TAR FIN'!$A$1:$O$88,15,0))</f>
        <v>0</v>
      </c>
      <c r="W241" s="6">
        <f>IF(ISERROR(VLOOKUP($T$241,'TAR FIN'!$A$1:$O$88,15,0)),0,VLOOKUP($T$241,'TAR FIN'!$A$1:$O$88,15,0))</f>
        <v>269.91000000000003</v>
      </c>
      <c r="X241" s="6">
        <f>IF(ISERROR(VLOOKUP($U$241,'TAR FIN'!$A$1:$O$88,15,0)),0,VLOOKUP($U$241,'TAR FIN'!$A$1:$O$88,15,0))</f>
        <v>288.89999999999998</v>
      </c>
      <c r="Y241" s="6"/>
      <c r="Z241" s="6">
        <f ca="1">('TUSD BE'!$AM$20+'TUSD BF'!$AM$20+'TUSD CVA'!$AM$20)*1</f>
        <v>350.41122835255294</v>
      </c>
      <c r="AA241" s="6">
        <f>('TE BE'!$AB$11+'TE BF'!$AB$11+'TE CVA'!$AB$11)*1</f>
        <v>207.63042742196092</v>
      </c>
      <c r="AB241" s="6">
        <f>$K$241*$V$241</f>
        <v>0</v>
      </c>
      <c r="AC241" s="6">
        <f>$M$241*$W$241</f>
        <v>218462.18499000001</v>
      </c>
      <c r="AD241" s="6">
        <f>$O$241*$X$241</f>
        <v>233832.48209999999</v>
      </c>
      <c r="AE241" s="6">
        <f>$K$241*$Y$241</f>
        <v>0</v>
      </c>
      <c r="AF241" s="6">
        <f ca="1">$M$241*$Z$241</f>
        <v>283618.9937050445</v>
      </c>
      <c r="AG241" s="6">
        <f>$O$241*$AA$241</f>
        <v>168053.78402063352</v>
      </c>
    </row>
    <row r="242" spans="1:33" ht="11.25" customHeight="1" x14ac:dyDescent="0.25">
      <c r="A242" s="4" t="s">
        <v>55</v>
      </c>
      <c r="B242" s="4" t="s">
        <v>22</v>
      </c>
      <c r="C242" s="4" t="s">
        <v>23</v>
      </c>
      <c r="D242" s="4" t="s">
        <v>24</v>
      </c>
      <c r="E242" s="4" t="s">
        <v>24</v>
      </c>
      <c r="F242" s="4" t="s">
        <v>25</v>
      </c>
      <c r="G242" s="4" t="s">
        <v>25</v>
      </c>
      <c r="H242" s="4" t="s">
        <v>25</v>
      </c>
      <c r="I242" s="5">
        <v>44743</v>
      </c>
      <c r="J242" s="6">
        <v>0</v>
      </c>
      <c r="K242" s="6">
        <v>0</v>
      </c>
      <c r="L242" s="6">
        <v>34.978999999999999</v>
      </c>
      <c r="M242" s="6">
        <v>34.978999999999999</v>
      </c>
      <c r="N242" s="6">
        <v>34.978999999999999</v>
      </c>
      <c r="O242" s="6">
        <v>34.978999999999999</v>
      </c>
      <c r="P242" s="6">
        <v>283</v>
      </c>
      <c r="Q242" s="4" t="s">
        <v>26</v>
      </c>
      <c r="R242" s="4">
        <v>0</v>
      </c>
      <c r="S242" s="6">
        <v>0</v>
      </c>
      <c r="T242" s="6">
        <v>37</v>
      </c>
      <c r="U242" s="6">
        <v>75</v>
      </c>
      <c r="V242" s="6">
        <f>IF(ISERROR(VLOOKUP($S$242,'TAR FIN'!$A$1:$O$88,15,0)),0,VLOOKUP($S$242,'TAR FIN'!$A$1:$O$88,15,0))</f>
        <v>0</v>
      </c>
      <c r="W242" s="6">
        <f>IF(ISERROR(VLOOKUP($T$242,'TAR FIN'!$A$1:$O$88,15,0)),0,VLOOKUP($T$242,'TAR FIN'!$A$1:$O$88,15,0))</f>
        <v>269.91000000000003</v>
      </c>
      <c r="X242" s="6">
        <f>IF(ISERROR(VLOOKUP($U$242,'TAR FIN'!$A$1:$O$88,15,0)),0,VLOOKUP($U$242,'TAR FIN'!$A$1:$O$88,15,0))</f>
        <v>288.89999999999998</v>
      </c>
      <c r="Y242" s="6"/>
      <c r="Z242" s="6">
        <f ca="1">('TUSD BE'!$AM$20+'TUSD BF'!$AM$20+'TUSD CVA'!$AM$20)*1</f>
        <v>350.41122835255294</v>
      </c>
      <c r="AA242" s="6">
        <f>('TE BE'!$AB$11+'TE BF'!$AB$11+'TE CVA'!$AB$11)*1</f>
        <v>207.63042742196092</v>
      </c>
      <c r="AB242" s="6">
        <f>$K$242*$V$242</f>
        <v>0</v>
      </c>
      <c r="AC242" s="6">
        <f>$M$242*$W$242</f>
        <v>9441.1818899999998</v>
      </c>
      <c r="AD242" s="6">
        <f>$O$242*$X$242</f>
        <v>10105.433099999998</v>
      </c>
      <c r="AE242" s="6">
        <f>$K$242*$Y$242</f>
        <v>0</v>
      </c>
      <c r="AF242" s="6">
        <f ca="1">$M$242*$Z$242</f>
        <v>12257.034356543949</v>
      </c>
      <c r="AG242" s="6">
        <f>$O$242*$AA$242</f>
        <v>7262.7047207927708</v>
      </c>
    </row>
    <row r="243" spans="1:33" ht="11.25" customHeight="1" x14ac:dyDescent="0.25">
      <c r="A243" s="4" t="s">
        <v>21</v>
      </c>
      <c r="B243" s="4" t="s">
        <v>22</v>
      </c>
      <c r="C243" s="4" t="s">
        <v>23</v>
      </c>
      <c r="D243" s="4" t="s">
        <v>24</v>
      </c>
      <c r="E243" s="4" t="s">
        <v>28</v>
      </c>
      <c r="F243" s="4" t="s">
        <v>25</v>
      </c>
      <c r="G243" s="4" t="s">
        <v>25</v>
      </c>
      <c r="H243" s="4" t="s">
        <v>25</v>
      </c>
      <c r="I243" s="5">
        <v>44409</v>
      </c>
      <c r="J243" s="6">
        <v>0</v>
      </c>
      <c r="K243" s="6">
        <v>0</v>
      </c>
      <c r="L243" s="6">
        <v>17.309999999999999</v>
      </c>
      <c r="M243" s="6">
        <v>17.309999999999999</v>
      </c>
      <c r="N243" s="6">
        <v>17.309999999999999</v>
      </c>
      <c r="O243" s="6">
        <v>17.309999999999999</v>
      </c>
      <c r="P243" s="6">
        <v>21</v>
      </c>
      <c r="Q243" s="4" t="s">
        <v>26</v>
      </c>
      <c r="R243" s="4">
        <v>0</v>
      </c>
      <c r="S243" s="6">
        <v>0</v>
      </c>
      <c r="T243" s="6">
        <v>38</v>
      </c>
      <c r="U243" s="6">
        <v>76</v>
      </c>
      <c r="V243" s="6">
        <f>IF(ISERROR(VLOOKUP($S$243,'TAR FIN'!$A$1:$O$88,15,0)),0,VLOOKUP($S$243,'TAR FIN'!$A$1:$O$88,15,0))</f>
        <v>0</v>
      </c>
      <c r="W243" s="6">
        <f>IF(ISERROR(VLOOKUP($T$243,'TAR FIN'!$A$1:$O$88,15,0)),0,VLOOKUP($T$243,'TAR FIN'!$A$1:$O$88,15,0))</f>
        <v>68.53</v>
      </c>
      <c r="X243" s="6">
        <f>IF(ISERROR(VLOOKUP($U$243,'TAR FIN'!$A$1:$O$88,15,0)),0,VLOOKUP($U$243,'TAR FIN'!$A$1:$O$88,15,0))</f>
        <v>101.12</v>
      </c>
      <c r="Y243" s="6"/>
      <c r="Z243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43" s="6">
        <f>('TE BE'!$AB$12+'TE BF'!$AB$12+'TE CVA'!$AB$12)*(1-CUSTOS!$M$34)</f>
        <v>72.670649597686321</v>
      </c>
      <c r="AB243" s="6">
        <f>$K$243*$V$243</f>
        <v>0</v>
      </c>
      <c r="AC243" s="6">
        <f>$M$243*$W$243</f>
        <v>1186.2542999999998</v>
      </c>
      <c r="AD243" s="6">
        <f>$O$243*$X$243</f>
        <v>1750.3871999999999</v>
      </c>
      <c r="AE243" s="6">
        <f>$K$243*$Y$243</f>
        <v>0</v>
      </c>
      <c r="AF243" s="6">
        <f ca="1">$M$243*$Z$243</f>
        <v>1567.1430043923644</v>
      </c>
      <c r="AG243" s="6">
        <f>$O$243*$AA$243</f>
        <v>1257.9289445359502</v>
      </c>
    </row>
    <row r="244" spans="1:33" ht="11.25" customHeight="1" x14ac:dyDescent="0.25">
      <c r="A244" s="4" t="s">
        <v>21</v>
      </c>
      <c r="B244" s="4" t="s">
        <v>22</v>
      </c>
      <c r="C244" s="4" t="s">
        <v>23</v>
      </c>
      <c r="D244" s="4" t="s">
        <v>24</v>
      </c>
      <c r="E244" s="4" t="s">
        <v>28</v>
      </c>
      <c r="F244" s="4" t="s">
        <v>25</v>
      </c>
      <c r="G244" s="4" t="s">
        <v>25</v>
      </c>
      <c r="H244" s="4" t="s">
        <v>25</v>
      </c>
      <c r="I244" s="5">
        <v>44440</v>
      </c>
      <c r="J244" s="6">
        <v>0</v>
      </c>
      <c r="K244" s="6">
        <v>0</v>
      </c>
      <c r="L244" s="6">
        <v>16.2</v>
      </c>
      <c r="M244" s="6">
        <v>16.2</v>
      </c>
      <c r="N244" s="6">
        <v>16.2</v>
      </c>
      <c r="O244" s="6">
        <v>16.2</v>
      </c>
      <c r="P244" s="6">
        <v>21</v>
      </c>
      <c r="Q244" s="4" t="s">
        <v>26</v>
      </c>
      <c r="R244" s="4">
        <v>0</v>
      </c>
      <c r="S244" s="6">
        <v>0</v>
      </c>
      <c r="T244" s="6">
        <v>38</v>
      </c>
      <c r="U244" s="6">
        <v>76</v>
      </c>
      <c r="V244" s="6">
        <f>IF(ISERROR(VLOOKUP($S$244,'TAR FIN'!$A$1:$O$88,15,0)),0,VLOOKUP($S$244,'TAR FIN'!$A$1:$O$88,15,0))</f>
        <v>0</v>
      </c>
      <c r="W244" s="6">
        <f>IF(ISERROR(VLOOKUP($T$244,'TAR FIN'!$A$1:$O$88,15,0)),0,VLOOKUP($T$244,'TAR FIN'!$A$1:$O$88,15,0))</f>
        <v>68.53</v>
      </c>
      <c r="X244" s="6">
        <f>IF(ISERROR(VLOOKUP($U$244,'TAR FIN'!$A$1:$O$88,15,0)),0,VLOOKUP($U$244,'TAR FIN'!$A$1:$O$88,15,0))</f>
        <v>101.12</v>
      </c>
      <c r="Y244" s="6"/>
      <c r="Z244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44" s="6">
        <f>('TE BE'!$AB$12+'TE BF'!$AB$12+'TE CVA'!$AB$12)*(1-CUSTOS!$M$34)</f>
        <v>72.670649597686321</v>
      </c>
      <c r="AB244" s="6">
        <f>$K$244*$V$244</f>
        <v>0</v>
      </c>
      <c r="AC244" s="6">
        <f>$M$244*$W$244</f>
        <v>1110.1859999999999</v>
      </c>
      <c r="AD244" s="6">
        <f>$O$244*$X$244</f>
        <v>1638.144</v>
      </c>
      <c r="AE244" s="6">
        <f>$K$244*$Y$244</f>
        <v>0</v>
      </c>
      <c r="AF244" s="6">
        <f ca="1">$M$244*$Z$244</f>
        <v>1466.6502987380882</v>
      </c>
      <c r="AG244" s="6">
        <f>$O$244*$AA$244</f>
        <v>1177.2645234825184</v>
      </c>
    </row>
    <row r="245" spans="1:33" ht="11.25" customHeight="1" x14ac:dyDescent="0.25">
      <c r="A245" s="4" t="s">
        <v>21</v>
      </c>
      <c r="B245" s="4" t="s">
        <v>22</v>
      </c>
      <c r="C245" s="4" t="s">
        <v>23</v>
      </c>
      <c r="D245" s="4" t="s">
        <v>24</v>
      </c>
      <c r="E245" s="4" t="s">
        <v>28</v>
      </c>
      <c r="F245" s="4" t="s">
        <v>25</v>
      </c>
      <c r="G245" s="4" t="s">
        <v>25</v>
      </c>
      <c r="H245" s="4" t="s">
        <v>25</v>
      </c>
      <c r="I245" s="5">
        <v>44470</v>
      </c>
      <c r="J245" s="6">
        <v>0</v>
      </c>
      <c r="K245" s="6">
        <v>0</v>
      </c>
      <c r="L245" s="6">
        <v>15.93</v>
      </c>
      <c r="M245" s="6">
        <v>15.93</v>
      </c>
      <c r="N245" s="6">
        <v>15.93</v>
      </c>
      <c r="O245" s="6">
        <v>15.93</v>
      </c>
      <c r="P245" s="6">
        <v>22</v>
      </c>
      <c r="Q245" s="4" t="s">
        <v>26</v>
      </c>
      <c r="R245" s="4">
        <v>0</v>
      </c>
      <c r="S245" s="6">
        <v>0</v>
      </c>
      <c r="T245" s="6">
        <v>38</v>
      </c>
      <c r="U245" s="6">
        <v>76</v>
      </c>
      <c r="V245" s="6">
        <f>IF(ISERROR(VLOOKUP($S$245,'TAR FIN'!$A$1:$O$88,15,0)),0,VLOOKUP($S$245,'TAR FIN'!$A$1:$O$88,15,0))</f>
        <v>0</v>
      </c>
      <c r="W245" s="6">
        <f>IF(ISERROR(VLOOKUP($T$245,'TAR FIN'!$A$1:$O$88,15,0)),0,VLOOKUP($T$245,'TAR FIN'!$A$1:$O$88,15,0))</f>
        <v>68.53</v>
      </c>
      <c r="X245" s="6">
        <f>IF(ISERROR(VLOOKUP($U$245,'TAR FIN'!$A$1:$O$88,15,0)),0,VLOOKUP($U$245,'TAR FIN'!$A$1:$O$88,15,0))</f>
        <v>101.12</v>
      </c>
      <c r="Y245" s="6"/>
      <c r="Z245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45" s="6">
        <f>('TE BE'!$AB$12+'TE BF'!$AB$12+'TE CVA'!$AB$12)*(1-CUSTOS!$M$34)</f>
        <v>72.670649597686321</v>
      </c>
      <c r="AB245" s="6">
        <f>$K$245*$V$245</f>
        <v>0</v>
      </c>
      <c r="AC245" s="6">
        <f>$M$245*$W$245</f>
        <v>1091.6829</v>
      </c>
      <c r="AD245" s="6">
        <f>$O$245*$X$245</f>
        <v>1610.8416</v>
      </c>
      <c r="AE245" s="6">
        <f>$K$245*$Y$245</f>
        <v>0</v>
      </c>
      <c r="AF245" s="6">
        <f ca="1">$M$245*$Z$245</f>
        <v>1442.2061270924532</v>
      </c>
      <c r="AG245" s="6">
        <f>$O$245*$AA$245</f>
        <v>1157.643448091143</v>
      </c>
    </row>
    <row r="246" spans="1:33" ht="11.25" customHeight="1" x14ac:dyDescent="0.25">
      <c r="A246" s="4" t="s">
        <v>21</v>
      </c>
      <c r="B246" s="4" t="s">
        <v>22</v>
      </c>
      <c r="C246" s="4" t="s">
        <v>23</v>
      </c>
      <c r="D246" s="4" t="s">
        <v>24</v>
      </c>
      <c r="E246" s="4" t="s">
        <v>28</v>
      </c>
      <c r="F246" s="4" t="s">
        <v>25</v>
      </c>
      <c r="G246" s="4" t="s">
        <v>25</v>
      </c>
      <c r="H246" s="4" t="s">
        <v>25</v>
      </c>
      <c r="I246" s="5">
        <v>44501</v>
      </c>
      <c r="J246" s="6">
        <v>0</v>
      </c>
      <c r="K246" s="6">
        <v>0</v>
      </c>
      <c r="L246" s="6">
        <v>16.260000000000002</v>
      </c>
      <c r="M246" s="6">
        <v>16.260000000000002</v>
      </c>
      <c r="N246" s="6">
        <v>16.260000000000002</v>
      </c>
      <c r="O246" s="6">
        <v>16.260000000000002</v>
      </c>
      <c r="P246" s="6">
        <v>21</v>
      </c>
      <c r="Q246" s="4" t="s">
        <v>26</v>
      </c>
      <c r="R246" s="4">
        <v>0</v>
      </c>
      <c r="S246" s="6">
        <v>0</v>
      </c>
      <c r="T246" s="6">
        <v>38</v>
      </c>
      <c r="U246" s="6">
        <v>76</v>
      </c>
      <c r="V246" s="6">
        <f>IF(ISERROR(VLOOKUP($S$246,'TAR FIN'!$A$1:$O$88,15,0)),0,VLOOKUP($S$246,'TAR FIN'!$A$1:$O$88,15,0))</f>
        <v>0</v>
      </c>
      <c r="W246" s="6">
        <f>IF(ISERROR(VLOOKUP($T$246,'TAR FIN'!$A$1:$O$88,15,0)),0,VLOOKUP($T$246,'TAR FIN'!$A$1:$O$88,15,0))</f>
        <v>68.53</v>
      </c>
      <c r="X246" s="6">
        <f>IF(ISERROR(VLOOKUP($U$246,'TAR FIN'!$A$1:$O$88,15,0)),0,VLOOKUP($U$246,'TAR FIN'!$A$1:$O$88,15,0))</f>
        <v>101.12</v>
      </c>
      <c r="Y246" s="6"/>
      <c r="Z246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46" s="6">
        <f>('TE BE'!$AB$12+'TE BF'!$AB$12+'TE CVA'!$AB$12)*(1-CUSTOS!$M$34)</f>
        <v>72.670649597686321</v>
      </c>
      <c r="AB246" s="6">
        <f>$K$246*$V$246</f>
        <v>0</v>
      </c>
      <c r="AC246" s="6">
        <f>$M$246*$W$246</f>
        <v>1114.2978000000001</v>
      </c>
      <c r="AD246" s="6">
        <f>$O$246*$X$246</f>
        <v>1644.2112000000002</v>
      </c>
      <c r="AE246" s="6">
        <f>$K$246*$Y$246</f>
        <v>0</v>
      </c>
      <c r="AF246" s="6">
        <f ca="1">$M$246*$Z$246</f>
        <v>1472.0823368815627</v>
      </c>
      <c r="AG246" s="6">
        <f>$O$246*$AA$246</f>
        <v>1181.6247624583798</v>
      </c>
    </row>
    <row r="247" spans="1:33" ht="11.25" customHeight="1" x14ac:dyDescent="0.25">
      <c r="A247" s="4" t="s">
        <v>21</v>
      </c>
      <c r="B247" s="4" t="s">
        <v>22</v>
      </c>
      <c r="C247" s="4" t="s">
        <v>23</v>
      </c>
      <c r="D247" s="4" t="s">
        <v>24</v>
      </c>
      <c r="E247" s="4" t="s">
        <v>28</v>
      </c>
      <c r="F247" s="4" t="s">
        <v>25</v>
      </c>
      <c r="G247" s="4" t="s">
        <v>25</v>
      </c>
      <c r="H247" s="4" t="s">
        <v>25</v>
      </c>
      <c r="I247" s="5">
        <v>44531</v>
      </c>
      <c r="J247" s="6">
        <v>0</v>
      </c>
      <c r="K247" s="6">
        <v>0</v>
      </c>
      <c r="L247" s="6">
        <v>16.62</v>
      </c>
      <c r="M247" s="6">
        <v>16.62</v>
      </c>
      <c r="N247" s="6">
        <v>16.62</v>
      </c>
      <c r="O247" s="6">
        <v>16.62</v>
      </c>
      <c r="P247" s="6">
        <v>20</v>
      </c>
      <c r="Q247" s="4" t="s">
        <v>26</v>
      </c>
      <c r="R247" s="4">
        <v>0</v>
      </c>
      <c r="S247" s="6">
        <v>0</v>
      </c>
      <c r="T247" s="6">
        <v>38</v>
      </c>
      <c r="U247" s="6">
        <v>76</v>
      </c>
      <c r="V247" s="6">
        <f>IF(ISERROR(VLOOKUP($S$247,'TAR FIN'!$A$1:$O$88,15,0)),0,VLOOKUP($S$247,'TAR FIN'!$A$1:$O$88,15,0))</f>
        <v>0</v>
      </c>
      <c r="W247" s="6">
        <f>IF(ISERROR(VLOOKUP($T$247,'TAR FIN'!$A$1:$O$88,15,0)),0,VLOOKUP($T$247,'TAR FIN'!$A$1:$O$88,15,0))</f>
        <v>68.53</v>
      </c>
      <c r="X247" s="6">
        <f>IF(ISERROR(VLOOKUP($U$247,'TAR FIN'!$A$1:$O$88,15,0)),0,VLOOKUP($U$247,'TAR FIN'!$A$1:$O$88,15,0))</f>
        <v>101.12</v>
      </c>
      <c r="Y247" s="6"/>
      <c r="Z247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47" s="6">
        <f>('TE BE'!$AB$12+'TE BF'!$AB$12+'TE CVA'!$AB$12)*(1-CUSTOS!$M$34)</f>
        <v>72.670649597686321</v>
      </c>
      <c r="AB247" s="6">
        <f>$K$247*$V$247</f>
        <v>0</v>
      </c>
      <c r="AC247" s="6">
        <f>$M$247*$W$247</f>
        <v>1138.9686000000002</v>
      </c>
      <c r="AD247" s="6">
        <f>$O$247*$X$247</f>
        <v>1680.6144000000002</v>
      </c>
      <c r="AE247" s="6">
        <f>$K$247*$Y$247</f>
        <v>0</v>
      </c>
      <c r="AF247" s="6">
        <f ca="1">$M$247*$Z$247</f>
        <v>1504.674565742409</v>
      </c>
      <c r="AG247" s="6">
        <f>$O$247*$AA$247</f>
        <v>1207.7861963135467</v>
      </c>
    </row>
    <row r="248" spans="1:33" ht="11.25" customHeight="1" x14ac:dyDescent="0.25">
      <c r="A248" s="4" t="s">
        <v>21</v>
      </c>
      <c r="B248" s="4" t="s">
        <v>22</v>
      </c>
      <c r="C248" s="4" t="s">
        <v>23</v>
      </c>
      <c r="D248" s="4" t="s">
        <v>24</v>
      </c>
      <c r="E248" s="4" t="s">
        <v>28</v>
      </c>
      <c r="F248" s="4" t="s">
        <v>25</v>
      </c>
      <c r="G248" s="4" t="s">
        <v>25</v>
      </c>
      <c r="H248" s="4" t="s">
        <v>25</v>
      </c>
      <c r="I248" s="5">
        <v>44562</v>
      </c>
      <c r="J248" s="6">
        <v>0</v>
      </c>
      <c r="K248" s="6">
        <v>0</v>
      </c>
      <c r="L248" s="6">
        <v>16.739999999999998</v>
      </c>
      <c r="M248" s="6">
        <v>16.739999999999998</v>
      </c>
      <c r="N248" s="6">
        <v>16.739999999999998</v>
      </c>
      <c r="O248" s="6">
        <v>16.739999999999998</v>
      </c>
      <c r="P248" s="6">
        <v>18</v>
      </c>
      <c r="Q248" s="4" t="s">
        <v>26</v>
      </c>
      <c r="R248" s="4">
        <v>0</v>
      </c>
      <c r="S248" s="6">
        <v>0</v>
      </c>
      <c r="T248" s="6">
        <v>38</v>
      </c>
      <c r="U248" s="6">
        <v>76</v>
      </c>
      <c r="V248" s="6">
        <f>IF(ISERROR(VLOOKUP($S$248,'TAR FIN'!$A$1:$O$88,15,0)),0,VLOOKUP($S$248,'TAR FIN'!$A$1:$O$88,15,0))</f>
        <v>0</v>
      </c>
      <c r="W248" s="6">
        <f>IF(ISERROR(VLOOKUP($T$248,'TAR FIN'!$A$1:$O$88,15,0)),0,VLOOKUP($T$248,'TAR FIN'!$A$1:$O$88,15,0))</f>
        <v>68.53</v>
      </c>
      <c r="X248" s="6">
        <f>IF(ISERROR(VLOOKUP($U$248,'TAR FIN'!$A$1:$O$88,15,0)),0,VLOOKUP($U$248,'TAR FIN'!$A$1:$O$88,15,0))</f>
        <v>101.12</v>
      </c>
      <c r="Y248" s="6"/>
      <c r="Z248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48" s="6">
        <f>('TE BE'!$AB$12+'TE BF'!$AB$12+'TE CVA'!$AB$12)*(1-CUSTOS!$M$34)</f>
        <v>72.670649597686321</v>
      </c>
      <c r="AB248" s="6">
        <f>$K$248*$V$248</f>
        <v>0</v>
      </c>
      <c r="AC248" s="6">
        <f>$M$248*$W$248</f>
        <v>1147.1922</v>
      </c>
      <c r="AD248" s="6">
        <f>$O$248*$X$248</f>
        <v>1692.7487999999998</v>
      </c>
      <c r="AE248" s="6">
        <f>$K$248*$Y$248</f>
        <v>0</v>
      </c>
      <c r="AF248" s="6">
        <f ca="1">$M$248*$Z$248</f>
        <v>1515.5386420293576</v>
      </c>
      <c r="AG248" s="6">
        <f>$O$248*$AA$248</f>
        <v>1216.5066742652689</v>
      </c>
    </row>
    <row r="249" spans="1:33" ht="11.25" customHeight="1" x14ac:dyDescent="0.25">
      <c r="A249" s="4" t="s">
        <v>21</v>
      </c>
      <c r="B249" s="4" t="s">
        <v>22</v>
      </c>
      <c r="C249" s="4" t="s">
        <v>23</v>
      </c>
      <c r="D249" s="4" t="s">
        <v>24</v>
      </c>
      <c r="E249" s="4" t="s">
        <v>28</v>
      </c>
      <c r="F249" s="4" t="s">
        <v>25</v>
      </c>
      <c r="G249" s="4" t="s">
        <v>25</v>
      </c>
      <c r="H249" s="4" t="s">
        <v>25</v>
      </c>
      <c r="I249" s="5">
        <v>44593</v>
      </c>
      <c r="J249" s="6">
        <v>0</v>
      </c>
      <c r="K249" s="6">
        <v>0</v>
      </c>
      <c r="L249" s="6">
        <v>16.940000000000001</v>
      </c>
      <c r="M249" s="6">
        <v>16.940000000000001</v>
      </c>
      <c r="N249" s="6">
        <v>16.940000000000001</v>
      </c>
      <c r="O249" s="6">
        <v>16.940000000000001</v>
      </c>
      <c r="P249" s="6">
        <v>17</v>
      </c>
      <c r="Q249" s="4" t="s">
        <v>26</v>
      </c>
      <c r="R249" s="4">
        <v>0</v>
      </c>
      <c r="S249" s="6">
        <v>0</v>
      </c>
      <c r="T249" s="6">
        <v>38</v>
      </c>
      <c r="U249" s="6">
        <v>76</v>
      </c>
      <c r="V249" s="6">
        <f>IF(ISERROR(VLOOKUP($S$249,'TAR FIN'!$A$1:$O$88,15,0)),0,VLOOKUP($S$249,'TAR FIN'!$A$1:$O$88,15,0))</f>
        <v>0</v>
      </c>
      <c r="W249" s="6">
        <f>IF(ISERROR(VLOOKUP($T$249,'TAR FIN'!$A$1:$O$88,15,0)),0,VLOOKUP($T$249,'TAR FIN'!$A$1:$O$88,15,0))</f>
        <v>68.53</v>
      </c>
      <c r="X249" s="6">
        <f>IF(ISERROR(VLOOKUP($U$249,'TAR FIN'!$A$1:$O$88,15,0)),0,VLOOKUP($U$249,'TAR FIN'!$A$1:$O$88,15,0))</f>
        <v>101.12</v>
      </c>
      <c r="Y249" s="6"/>
      <c r="Z249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49" s="6">
        <f>('TE BE'!$AB$12+'TE BF'!$AB$12+'TE CVA'!$AB$12)*(1-CUSTOS!$M$34)</f>
        <v>72.670649597686321</v>
      </c>
      <c r="AB249" s="6">
        <f>$K$249*$V$249</f>
        <v>0</v>
      </c>
      <c r="AC249" s="6">
        <f>$M$249*$W$249</f>
        <v>1160.8982000000001</v>
      </c>
      <c r="AD249" s="6">
        <f>$O$249*$X$249</f>
        <v>1712.9728000000002</v>
      </c>
      <c r="AE249" s="6">
        <f>$K$249*$Y$249</f>
        <v>0</v>
      </c>
      <c r="AF249" s="6">
        <f ca="1">$M$249*$Z$249</f>
        <v>1533.6454358409392</v>
      </c>
      <c r="AG249" s="6">
        <f>$O$249*$AA$249</f>
        <v>1231.0408041848063</v>
      </c>
    </row>
    <row r="250" spans="1:33" ht="11.25" customHeight="1" x14ac:dyDescent="0.25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28</v>
      </c>
      <c r="F250" s="4" t="s">
        <v>25</v>
      </c>
      <c r="G250" s="4" t="s">
        <v>25</v>
      </c>
      <c r="H250" s="4" t="s">
        <v>25</v>
      </c>
      <c r="I250" s="5">
        <v>44621</v>
      </c>
      <c r="J250" s="6">
        <v>0</v>
      </c>
      <c r="K250" s="6">
        <v>0</v>
      </c>
      <c r="L250" s="6">
        <v>17.22</v>
      </c>
      <c r="M250" s="6">
        <v>17.22</v>
      </c>
      <c r="N250" s="6">
        <v>17.22</v>
      </c>
      <c r="O250" s="6">
        <v>17.22</v>
      </c>
      <c r="P250" s="6">
        <v>13</v>
      </c>
      <c r="Q250" s="4" t="s">
        <v>26</v>
      </c>
      <c r="R250" s="4">
        <v>0</v>
      </c>
      <c r="S250" s="6">
        <v>0</v>
      </c>
      <c r="T250" s="6">
        <v>38</v>
      </c>
      <c r="U250" s="6">
        <v>76</v>
      </c>
      <c r="V250" s="6">
        <f>IF(ISERROR(VLOOKUP($S$250,'TAR FIN'!$A$1:$O$88,15,0)),0,VLOOKUP($S$250,'TAR FIN'!$A$1:$O$88,15,0))</f>
        <v>0</v>
      </c>
      <c r="W250" s="6">
        <f>IF(ISERROR(VLOOKUP($T$250,'TAR FIN'!$A$1:$O$88,15,0)),0,VLOOKUP($T$250,'TAR FIN'!$A$1:$O$88,15,0))</f>
        <v>68.53</v>
      </c>
      <c r="X250" s="6">
        <f>IF(ISERROR(VLOOKUP($U$250,'TAR FIN'!$A$1:$O$88,15,0)),0,VLOOKUP($U$250,'TAR FIN'!$A$1:$O$88,15,0))</f>
        <v>101.12</v>
      </c>
      <c r="Y250" s="6"/>
      <c r="Z250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50" s="6">
        <f>('TE BE'!$AB$12+'TE BF'!$AB$12+'TE CVA'!$AB$12)*(1-CUSTOS!$M$34)</f>
        <v>72.670649597686321</v>
      </c>
      <c r="AB250" s="6">
        <f>$K$250*$V$250</f>
        <v>0</v>
      </c>
      <c r="AC250" s="6">
        <f>$M$250*$W$250</f>
        <v>1180.0865999999999</v>
      </c>
      <c r="AD250" s="6">
        <f>$O$250*$X$250</f>
        <v>1741.2864</v>
      </c>
      <c r="AE250" s="6">
        <f>$K$250*$Y$250</f>
        <v>0</v>
      </c>
      <c r="AF250" s="6">
        <f ca="1">$M$250*$Z$250</f>
        <v>1558.9949471771529</v>
      </c>
      <c r="AG250" s="6">
        <f>$O$250*$AA$250</f>
        <v>1251.3885860721584</v>
      </c>
    </row>
    <row r="251" spans="1:33" ht="11.25" customHeight="1" x14ac:dyDescent="0.25">
      <c r="A251" s="4" t="s">
        <v>21</v>
      </c>
      <c r="B251" s="4" t="s">
        <v>22</v>
      </c>
      <c r="C251" s="4" t="s">
        <v>23</v>
      </c>
      <c r="D251" s="4" t="s">
        <v>24</v>
      </c>
      <c r="E251" s="4" t="s">
        <v>28</v>
      </c>
      <c r="F251" s="4" t="s">
        <v>25</v>
      </c>
      <c r="G251" s="4" t="s">
        <v>25</v>
      </c>
      <c r="H251" s="4" t="s">
        <v>25</v>
      </c>
      <c r="I251" s="5">
        <v>44652</v>
      </c>
      <c r="J251" s="6">
        <v>0</v>
      </c>
      <c r="K251" s="6">
        <v>0</v>
      </c>
      <c r="L251" s="6">
        <v>17.399999999999999</v>
      </c>
      <c r="M251" s="6">
        <v>17.399999999999999</v>
      </c>
      <c r="N251" s="6">
        <v>17.399999999999999</v>
      </c>
      <c r="O251" s="6">
        <v>17.399999999999999</v>
      </c>
      <c r="P251" s="6">
        <v>24</v>
      </c>
      <c r="Q251" s="4" t="s">
        <v>26</v>
      </c>
      <c r="R251" s="4">
        <v>0</v>
      </c>
      <c r="S251" s="6">
        <v>0</v>
      </c>
      <c r="T251" s="6">
        <v>38</v>
      </c>
      <c r="U251" s="6">
        <v>76</v>
      </c>
      <c r="V251" s="6">
        <f>IF(ISERROR(VLOOKUP($S$251,'TAR FIN'!$A$1:$O$88,15,0)),0,VLOOKUP($S$251,'TAR FIN'!$A$1:$O$88,15,0))</f>
        <v>0</v>
      </c>
      <c r="W251" s="6">
        <f>IF(ISERROR(VLOOKUP($T$251,'TAR FIN'!$A$1:$O$88,15,0)),0,VLOOKUP($T$251,'TAR FIN'!$A$1:$O$88,15,0))</f>
        <v>68.53</v>
      </c>
      <c r="X251" s="6">
        <f>IF(ISERROR(VLOOKUP($U$251,'TAR FIN'!$A$1:$O$88,15,0)),0,VLOOKUP($U$251,'TAR FIN'!$A$1:$O$88,15,0))</f>
        <v>101.12</v>
      </c>
      <c r="Y251" s="6"/>
      <c r="Z251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51" s="6">
        <f>('TE BE'!$AB$12+'TE BF'!$AB$12+'TE CVA'!$AB$12)*(1-CUSTOS!$M$34)</f>
        <v>72.670649597686321</v>
      </c>
      <c r="AB251" s="6">
        <f>$K$251*$V$251</f>
        <v>0</v>
      </c>
      <c r="AC251" s="6">
        <f>$M$251*$W$251</f>
        <v>1192.422</v>
      </c>
      <c r="AD251" s="6">
        <f>$O$251*$X$251</f>
        <v>1759.4879999999998</v>
      </c>
      <c r="AE251" s="6">
        <f>$K$251*$Y$251</f>
        <v>0</v>
      </c>
      <c r="AF251" s="6">
        <f ca="1">$M$251*$Z$251</f>
        <v>1575.291061607576</v>
      </c>
      <c r="AG251" s="6">
        <f>$O$251*$AA$251</f>
        <v>1264.4693029997418</v>
      </c>
    </row>
    <row r="252" spans="1:33" ht="11.25" customHeight="1" x14ac:dyDescent="0.25">
      <c r="A252" s="4" t="s">
        <v>21</v>
      </c>
      <c r="B252" s="4" t="s">
        <v>22</v>
      </c>
      <c r="C252" s="4" t="s">
        <v>23</v>
      </c>
      <c r="D252" s="4" t="s">
        <v>24</v>
      </c>
      <c r="E252" s="4" t="s">
        <v>28</v>
      </c>
      <c r="F252" s="4" t="s">
        <v>25</v>
      </c>
      <c r="G252" s="4" t="s">
        <v>25</v>
      </c>
      <c r="H252" s="4" t="s">
        <v>25</v>
      </c>
      <c r="I252" s="5">
        <v>44682</v>
      </c>
      <c r="J252" s="6">
        <v>0</v>
      </c>
      <c r="K252" s="6">
        <v>0</v>
      </c>
      <c r="L252" s="6">
        <v>17.7</v>
      </c>
      <c r="M252" s="6">
        <v>17.7</v>
      </c>
      <c r="N252" s="6">
        <v>17.7</v>
      </c>
      <c r="O252" s="6">
        <v>17.7</v>
      </c>
      <c r="P252" s="6">
        <v>23</v>
      </c>
      <c r="Q252" s="4" t="s">
        <v>26</v>
      </c>
      <c r="R252" s="4">
        <v>0</v>
      </c>
      <c r="S252" s="6">
        <v>0</v>
      </c>
      <c r="T252" s="6">
        <v>38</v>
      </c>
      <c r="U252" s="6">
        <v>76</v>
      </c>
      <c r="V252" s="6">
        <f>IF(ISERROR(VLOOKUP($S$252,'TAR FIN'!$A$1:$O$88,15,0)),0,VLOOKUP($S$252,'TAR FIN'!$A$1:$O$88,15,0))</f>
        <v>0</v>
      </c>
      <c r="W252" s="6">
        <f>IF(ISERROR(VLOOKUP($T$252,'TAR FIN'!$A$1:$O$88,15,0)),0,VLOOKUP($T$252,'TAR FIN'!$A$1:$O$88,15,0))</f>
        <v>68.53</v>
      </c>
      <c r="X252" s="6">
        <f>IF(ISERROR(VLOOKUP($U$252,'TAR FIN'!$A$1:$O$88,15,0)),0,VLOOKUP($U$252,'TAR FIN'!$A$1:$O$88,15,0))</f>
        <v>101.12</v>
      </c>
      <c r="Y252" s="6"/>
      <c r="Z252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52" s="6">
        <f>('TE BE'!$AB$12+'TE BF'!$AB$12+'TE CVA'!$AB$12)*(1-CUSTOS!$M$34)</f>
        <v>72.670649597686321</v>
      </c>
      <c r="AB252" s="6">
        <f>$K$252*$V$252</f>
        <v>0</v>
      </c>
      <c r="AC252" s="6">
        <f>$M$252*$W$252</f>
        <v>1212.981</v>
      </c>
      <c r="AD252" s="6">
        <f>$O$252*$X$252</f>
        <v>1789.8240000000001</v>
      </c>
      <c r="AE252" s="6">
        <f>$K$252*$Y$252</f>
        <v>0</v>
      </c>
      <c r="AF252" s="6">
        <f ca="1">$M$252*$Z$252</f>
        <v>1602.451252324948</v>
      </c>
      <c r="AG252" s="6">
        <f>$O$252*$AA$252</f>
        <v>1286.2704978790478</v>
      </c>
    </row>
    <row r="253" spans="1:33" ht="11.25" customHeight="1" x14ac:dyDescent="0.25">
      <c r="A253" s="4" t="s">
        <v>21</v>
      </c>
      <c r="B253" s="4" t="s">
        <v>22</v>
      </c>
      <c r="C253" s="4" t="s">
        <v>23</v>
      </c>
      <c r="D253" s="4" t="s">
        <v>24</v>
      </c>
      <c r="E253" s="4" t="s">
        <v>28</v>
      </c>
      <c r="F253" s="4" t="s">
        <v>25</v>
      </c>
      <c r="G253" s="4" t="s">
        <v>25</v>
      </c>
      <c r="H253" s="4" t="s">
        <v>25</v>
      </c>
      <c r="I253" s="5">
        <v>44713</v>
      </c>
      <c r="J253" s="6">
        <v>0</v>
      </c>
      <c r="K253" s="6">
        <v>0</v>
      </c>
      <c r="L253" s="6">
        <v>18.149999999999999</v>
      </c>
      <c r="M253" s="6">
        <v>18.149999999999999</v>
      </c>
      <c r="N253" s="6">
        <v>18.149999999999999</v>
      </c>
      <c r="O253" s="6">
        <v>18.149999999999999</v>
      </c>
      <c r="P253" s="6">
        <v>29</v>
      </c>
      <c r="Q253" s="4" t="s">
        <v>26</v>
      </c>
      <c r="R253" s="4">
        <v>0</v>
      </c>
      <c r="S253" s="6">
        <v>0</v>
      </c>
      <c r="T253" s="6">
        <v>38</v>
      </c>
      <c r="U253" s="6">
        <v>76</v>
      </c>
      <c r="V253" s="6">
        <f>IF(ISERROR(VLOOKUP($S$253,'TAR FIN'!$A$1:$O$88,15,0)),0,VLOOKUP($S$253,'TAR FIN'!$A$1:$O$88,15,0))</f>
        <v>0</v>
      </c>
      <c r="W253" s="6">
        <f>IF(ISERROR(VLOOKUP($T$253,'TAR FIN'!$A$1:$O$88,15,0)),0,VLOOKUP($T$253,'TAR FIN'!$A$1:$O$88,15,0))</f>
        <v>68.53</v>
      </c>
      <c r="X253" s="6">
        <f>IF(ISERROR(VLOOKUP($U$253,'TAR FIN'!$A$1:$O$88,15,0)),0,VLOOKUP($U$253,'TAR FIN'!$A$1:$O$88,15,0))</f>
        <v>101.12</v>
      </c>
      <c r="Y253" s="6"/>
      <c r="Z253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53" s="6">
        <f>('TE BE'!$AB$12+'TE BF'!$AB$12+'TE CVA'!$AB$12)*(1-CUSTOS!$M$34)</f>
        <v>72.670649597686321</v>
      </c>
      <c r="AB253" s="6">
        <f>$K$253*$V$253</f>
        <v>0</v>
      </c>
      <c r="AC253" s="6">
        <f>$M$253*$W$253</f>
        <v>1243.8194999999998</v>
      </c>
      <c r="AD253" s="6">
        <f>$O$253*$X$253</f>
        <v>1835.328</v>
      </c>
      <c r="AE253" s="6">
        <f>$K$253*$Y$253</f>
        <v>0</v>
      </c>
      <c r="AF253" s="6">
        <f ca="1">$M$253*$Z$253</f>
        <v>1643.191538401006</v>
      </c>
      <c r="AG253" s="6">
        <f>$O$253*$AA$253</f>
        <v>1318.9722901980067</v>
      </c>
    </row>
    <row r="254" spans="1:33" ht="11.25" customHeight="1" x14ac:dyDescent="0.25">
      <c r="A254" s="4" t="s">
        <v>55</v>
      </c>
      <c r="B254" s="4" t="s">
        <v>22</v>
      </c>
      <c r="C254" s="4" t="s">
        <v>23</v>
      </c>
      <c r="D254" s="4" t="s">
        <v>24</v>
      </c>
      <c r="E254" s="4" t="s">
        <v>28</v>
      </c>
      <c r="F254" s="4" t="s">
        <v>25</v>
      </c>
      <c r="G254" s="4" t="s">
        <v>25</v>
      </c>
      <c r="H254" s="4" t="s">
        <v>25</v>
      </c>
      <c r="I254" s="5">
        <v>44743</v>
      </c>
      <c r="J254" s="6">
        <v>0</v>
      </c>
      <c r="K254" s="6">
        <v>0</v>
      </c>
      <c r="L254" s="6">
        <v>18.149999999999999</v>
      </c>
      <c r="M254" s="6">
        <v>18.149999999999999</v>
      </c>
      <c r="N254" s="6">
        <v>18.149999999999999</v>
      </c>
      <c r="O254" s="6">
        <v>18.149999999999999</v>
      </c>
      <c r="P254" s="6">
        <v>29</v>
      </c>
      <c r="Q254" s="4" t="s">
        <v>26</v>
      </c>
      <c r="R254" s="4">
        <v>0</v>
      </c>
      <c r="S254" s="6">
        <v>0</v>
      </c>
      <c r="T254" s="6">
        <v>38</v>
      </c>
      <c r="U254" s="6">
        <v>76</v>
      </c>
      <c r="V254" s="6">
        <f>IF(ISERROR(VLOOKUP($S$254,'TAR FIN'!$A$1:$O$88,15,0)),0,VLOOKUP($S$254,'TAR FIN'!$A$1:$O$88,15,0))</f>
        <v>0</v>
      </c>
      <c r="W254" s="6">
        <f>IF(ISERROR(VLOOKUP($T$254,'TAR FIN'!$A$1:$O$88,15,0)),0,VLOOKUP($T$254,'TAR FIN'!$A$1:$O$88,15,0))</f>
        <v>68.53</v>
      </c>
      <c r="X254" s="6">
        <f>IF(ISERROR(VLOOKUP($U$254,'TAR FIN'!$A$1:$O$88,15,0)),0,VLOOKUP($U$254,'TAR FIN'!$A$1:$O$88,15,0))</f>
        <v>101.12</v>
      </c>
      <c r="Y254" s="6"/>
      <c r="Z254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254" s="6">
        <f>('TE BE'!$AB$12+'TE BF'!$AB$12+'TE CVA'!$AB$12)*(1-CUSTOS!$M$34)</f>
        <v>72.670649597686321</v>
      </c>
      <c r="AB254" s="6">
        <f>$K$254*$V$254</f>
        <v>0</v>
      </c>
      <c r="AC254" s="6">
        <f>$M$254*$W$254</f>
        <v>1243.8194999999998</v>
      </c>
      <c r="AD254" s="6">
        <f>$O$254*$X$254</f>
        <v>1835.328</v>
      </c>
      <c r="AE254" s="6">
        <f>$K$254*$Y$254</f>
        <v>0</v>
      </c>
      <c r="AF254" s="6">
        <f ca="1">$M$254*$Z$254</f>
        <v>1643.191538401006</v>
      </c>
      <c r="AG254" s="6">
        <f>$O$254*$AA$254</f>
        <v>1318.9722901980067</v>
      </c>
    </row>
    <row r="255" spans="1:33" ht="11.25" customHeight="1" x14ac:dyDescent="0.25">
      <c r="A255" s="4" t="s">
        <v>21</v>
      </c>
      <c r="B255" s="4" t="s">
        <v>22</v>
      </c>
      <c r="C255" s="4" t="s">
        <v>23</v>
      </c>
      <c r="D255" s="4" t="s">
        <v>24</v>
      </c>
      <c r="E255" s="4" t="s">
        <v>29</v>
      </c>
      <c r="F255" s="4" t="s">
        <v>25</v>
      </c>
      <c r="G255" s="4" t="s">
        <v>25</v>
      </c>
      <c r="H255" s="4" t="s">
        <v>25</v>
      </c>
      <c r="I255" s="5">
        <v>44409</v>
      </c>
      <c r="J255" s="6">
        <v>0</v>
      </c>
      <c r="K255" s="6">
        <v>0</v>
      </c>
      <c r="L255" s="6">
        <v>30.582999999999998</v>
      </c>
      <c r="M255" s="6">
        <v>30.582999999999998</v>
      </c>
      <c r="N255" s="6">
        <v>30.582999999999998</v>
      </c>
      <c r="O255" s="6">
        <v>30.582999999999998</v>
      </c>
      <c r="P255" s="6">
        <v>273</v>
      </c>
      <c r="Q255" s="4" t="s">
        <v>26</v>
      </c>
      <c r="R255" s="4">
        <v>0</v>
      </c>
      <c r="S255" s="6">
        <v>0</v>
      </c>
      <c r="T255" s="6">
        <v>39</v>
      </c>
      <c r="U255" s="6">
        <v>77</v>
      </c>
      <c r="V255" s="6">
        <f>IF(ISERROR(VLOOKUP($S$255,'TAR FIN'!$A$1:$O$88,15,0)),0,VLOOKUP($S$255,'TAR FIN'!$A$1:$O$88,15,0))</f>
        <v>0</v>
      </c>
      <c r="W255" s="6">
        <f>IF(ISERROR(VLOOKUP($T$255,'TAR FIN'!$A$1:$O$88,15,0)),0,VLOOKUP($T$255,'TAR FIN'!$A$1:$O$88,15,0))</f>
        <v>117.48</v>
      </c>
      <c r="X255" s="6">
        <f>IF(ISERROR(VLOOKUP($U$255,'TAR FIN'!$A$1:$O$88,15,0)),0,VLOOKUP($U$255,'TAR FIN'!$A$1:$O$88,15,0))</f>
        <v>173.34</v>
      </c>
      <c r="Y255" s="6"/>
      <c r="Z255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55" s="6">
        <f>('TE BE'!$AB$13+'TE BF'!$AB$13+'TE CVA'!$AB$13)*(1-CUSTOS!$M$35)</f>
        <v>124.57825645317655</v>
      </c>
      <c r="AB255" s="6">
        <f>$K$255*$V$255</f>
        <v>0</v>
      </c>
      <c r="AC255" s="6">
        <f>$M$255*$W$255</f>
        <v>3592.89084</v>
      </c>
      <c r="AD255" s="6">
        <f>$O$255*$X$255</f>
        <v>5301.2572199999995</v>
      </c>
      <c r="AE255" s="6">
        <f>$K$255*$Y$255</f>
        <v>0</v>
      </c>
      <c r="AF255" s="6">
        <f ca="1">$M$255*$Z$255</f>
        <v>4746.5149297679318</v>
      </c>
      <c r="AG255" s="6">
        <f>$O$255*$AA$255</f>
        <v>3809.9768171074984</v>
      </c>
    </row>
    <row r="256" spans="1:33" ht="11.25" customHeight="1" x14ac:dyDescent="0.25">
      <c r="A256" s="4" t="s">
        <v>21</v>
      </c>
      <c r="B256" s="4" t="s">
        <v>22</v>
      </c>
      <c r="C256" s="4" t="s">
        <v>23</v>
      </c>
      <c r="D256" s="4" t="s">
        <v>24</v>
      </c>
      <c r="E256" s="4" t="s">
        <v>29</v>
      </c>
      <c r="F256" s="4" t="s">
        <v>25</v>
      </c>
      <c r="G256" s="4" t="s">
        <v>25</v>
      </c>
      <c r="H256" s="4" t="s">
        <v>25</v>
      </c>
      <c r="I256" s="5">
        <v>44440</v>
      </c>
      <c r="J256" s="6">
        <v>0</v>
      </c>
      <c r="K256" s="6">
        <v>0</v>
      </c>
      <c r="L256" s="6">
        <v>30.933</v>
      </c>
      <c r="M256" s="6">
        <v>30.933</v>
      </c>
      <c r="N256" s="6">
        <v>30.933</v>
      </c>
      <c r="O256" s="6">
        <v>30.933</v>
      </c>
      <c r="P256" s="6">
        <v>205</v>
      </c>
      <c r="Q256" s="4" t="s">
        <v>26</v>
      </c>
      <c r="R256" s="4">
        <v>0</v>
      </c>
      <c r="S256" s="6">
        <v>0</v>
      </c>
      <c r="T256" s="6">
        <v>39</v>
      </c>
      <c r="U256" s="6">
        <v>77</v>
      </c>
      <c r="V256" s="6">
        <f>IF(ISERROR(VLOOKUP($S$256,'TAR FIN'!$A$1:$O$88,15,0)),0,VLOOKUP($S$256,'TAR FIN'!$A$1:$O$88,15,0))</f>
        <v>0</v>
      </c>
      <c r="W256" s="6">
        <f>IF(ISERROR(VLOOKUP($T$256,'TAR FIN'!$A$1:$O$88,15,0)),0,VLOOKUP($T$256,'TAR FIN'!$A$1:$O$88,15,0))</f>
        <v>117.48</v>
      </c>
      <c r="X256" s="6">
        <f>IF(ISERROR(VLOOKUP($U$256,'TAR FIN'!$A$1:$O$88,15,0)),0,VLOOKUP($U$256,'TAR FIN'!$A$1:$O$88,15,0))</f>
        <v>173.34</v>
      </c>
      <c r="Y256" s="6"/>
      <c r="Z256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56" s="6">
        <f>('TE BE'!$AB$13+'TE BF'!$AB$13+'TE CVA'!$AB$13)*(1-CUSTOS!$M$35)</f>
        <v>124.57825645317655</v>
      </c>
      <c r="AB256" s="6">
        <f>$K$256*$V$256</f>
        <v>0</v>
      </c>
      <c r="AC256" s="6">
        <f>$M$256*$W$256</f>
        <v>3634.00884</v>
      </c>
      <c r="AD256" s="6">
        <f>$O$256*$X$256</f>
        <v>5361.9262200000003</v>
      </c>
      <c r="AE256" s="6">
        <f>$K$256*$Y$256</f>
        <v>0</v>
      </c>
      <c r="AF256" s="6">
        <f ca="1">$M$256*$Z$256</f>
        <v>4800.8353112026762</v>
      </c>
      <c r="AG256" s="6">
        <f>$O$256*$AA$256</f>
        <v>3853.5792068661103</v>
      </c>
    </row>
    <row r="257" spans="1:33" ht="11.25" customHeight="1" x14ac:dyDescent="0.25">
      <c r="A257" s="4" t="s">
        <v>21</v>
      </c>
      <c r="B257" s="4" t="s">
        <v>22</v>
      </c>
      <c r="C257" s="4" t="s">
        <v>23</v>
      </c>
      <c r="D257" s="4" t="s">
        <v>24</v>
      </c>
      <c r="E257" s="4" t="s">
        <v>29</v>
      </c>
      <c r="F257" s="4" t="s">
        <v>25</v>
      </c>
      <c r="G257" s="4" t="s">
        <v>25</v>
      </c>
      <c r="H257" s="4" t="s">
        <v>25</v>
      </c>
      <c r="I257" s="5">
        <v>44470</v>
      </c>
      <c r="J257" s="6">
        <v>0</v>
      </c>
      <c r="K257" s="6">
        <v>0</v>
      </c>
      <c r="L257" s="6">
        <v>28.279</v>
      </c>
      <c r="M257" s="6">
        <v>28.279</v>
      </c>
      <c r="N257" s="6">
        <v>28.279</v>
      </c>
      <c r="O257" s="6">
        <v>28.279</v>
      </c>
      <c r="P257" s="6">
        <v>263</v>
      </c>
      <c r="Q257" s="4" t="s">
        <v>26</v>
      </c>
      <c r="R257" s="4">
        <v>0</v>
      </c>
      <c r="S257" s="6">
        <v>0</v>
      </c>
      <c r="T257" s="6">
        <v>39</v>
      </c>
      <c r="U257" s="6">
        <v>77</v>
      </c>
      <c r="V257" s="6">
        <f>IF(ISERROR(VLOOKUP($S$257,'TAR FIN'!$A$1:$O$88,15,0)),0,VLOOKUP($S$257,'TAR FIN'!$A$1:$O$88,15,0))</f>
        <v>0</v>
      </c>
      <c r="W257" s="6">
        <f>IF(ISERROR(VLOOKUP($T$257,'TAR FIN'!$A$1:$O$88,15,0)),0,VLOOKUP($T$257,'TAR FIN'!$A$1:$O$88,15,0))</f>
        <v>117.48</v>
      </c>
      <c r="X257" s="6">
        <f>IF(ISERROR(VLOOKUP($U$257,'TAR FIN'!$A$1:$O$88,15,0)),0,VLOOKUP($U$257,'TAR FIN'!$A$1:$O$88,15,0))</f>
        <v>173.34</v>
      </c>
      <c r="Y257" s="6"/>
      <c r="Z257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57" s="6">
        <f>('TE BE'!$AB$13+'TE BF'!$AB$13+'TE CVA'!$AB$13)*(1-CUSTOS!$M$35)</f>
        <v>124.57825645317655</v>
      </c>
      <c r="AB257" s="6">
        <f>$K$257*$V$257</f>
        <v>0</v>
      </c>
      <c r="AC257" s="6">
        <f>$M$257*$W$257</f>
        <v>3322.2169200000003</v>
      </c>
      <c r="AD257" s="6">
        <f>$O$257*$X$257</f>
        <v>4901.8818600000004</v>
      </c>
      <c r="AE257" s="6">
        <f>$K$257*$Y$257</f>
        <v>0</v>
      </c>
      <c r="AF257" s="6">
        <f ca="1">$M$257*$Z$257</f>
        <v>4388.9316188375024</v>
      </c>
      <c r="AG257" s="6">
        <f>$O$257*$AA$257</f>
        <v>3522.9485142393796</v>
      </c>
    </row>
    <row r="258" spans="1:33" ht="11.25" customHeight="1" x14ac:dyDescent="0.25">
      <c r="A258" s="4" t="s">
        <v>21</v>
      </c>
      <c r="B258" s="4" t="s">
        <v>22</v>
      </c>
      <c r="C258" s="4" t="s">
        <v>23</v>
      </c>
      <c r="D258" s="4" t="s">
        <v>24</v>
      </c>
      <c r="E258" s="4" t="s">
        <v>29</v>
      </c>
      <c r="F258" s="4" t="s">
        <v>25</v>
      </c>
      <c r="G258" s="4" t="s">
        <v>25</v>
      </c>
      <c r="H258" s="4" t="s">
        <v>25</v>
      </c>
      <c r="I258" s="5">
        <v>44501</v>
      </c>
      <c r="J258" s="6">
        <v>0</v>
      </c>
      <c r="K258" s="6">
        <v>0</v>
      </c>
      <c r="L258" s="6">
        <v>31.254000000000001</v>
      </c>
      <c r="M258" s="6">
        <v>31.254000000000001</v>
      </c>
      <c r="N258" s="6">
        <v>31.254000000000001</v>
      </c>
      <c r="O258" s="6">
        <v>31.254000000000001</v>
      </c>
      <c r="P258" s="6">
        <v>221</v>
      </c>
      <c r="Q258" s="4" t="s">
        <v>26</v>
      </c>
      <c r="R258" s="4">
        <v>0</v>
      </c>
      <c r="S258" s="6">
        <v>0</v>
      </c>
      <c r="T258" s="6">
        <v>39</v>
      </c>
      <c r="U258" s="6">
        <v>77</v>
      </c>
      <c r="V258" s="6">
        <f>IF(ISERROR(VLOOKUP($S$258,'TAR FIN'!$A$1:$O$88,15,0)),0,VLOOKUP($S$258,'TAR FIN'!$A$1:$O$88,15,0))</f>
        <v>0</v>
      </c>
      <c r="W258" s="6">
        <f>IF(ISERROR(VLOOKUP($T$258,'TAR FIN'!$A$1:$O$88,15,0)),0,VLOOKUP($T$258,'TAR FIN'!$A$1:$O$88,15,0))</f>
        <v>117.48</v>
      </c>
      <c r="X258" s="6">
        <f>IF(ISERROR(VLOOKUP($U$258,'TAR FIN'!$A$1:$O$88,15,0)),0,VLOOKUP($U$258,'TAR FIN'!$A$1:$O$88,15,0))</f>
        <v>173.34</v>
      </c>
      <c r="Y258" s="6"/>
      <c r="Z258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58" s="6">
        <f>('TE BE'!$AB$13+'TE BF'!$AB$13+'TE CVA'!$AB$13)*(1-CUSTOS!$M$35)</f>
        <v>124.57825645317655</v>
      </c>
      <c r="AB258" s="6">
        <f>$K$258*$V$258</f>
        <v>0</v>
      </c>
      <c r="AC258" s="6">
        <f>$M$258*$W$258</f>
        <v>3671.7199200000005</v>
      </c>
      <c r="AD258" s="6">
        <f>$O$258*$X$258</f>
        <v>5417.5683600000002</v>
      </c>
      <c r="AE258" s="6">
        <f>$K$258*$Y$258</f>
        <v>0</v>
      </c>
      <c r="AF258" s="6">
        <f ca="1">$M$258*$Z$258</f>
        <v>4850.6548610328273</v>
      </c>
      <c r="AG258" s="6">
        <f>$O$258*$AA$258</f>
        <v>3893.5688271875802</v>
      </c>
    </row>
    <row r="259" spans="1:33" ht="11.25" customHeight="1" x14ac:dyDescent="0.25">
      <c r="A259" s="4" t="s">
        <v>21</v>
      </c>
      <c r="B259" s="4" t="s">
        <v>22</v>
      </c>
      <c r="C259" s="4" t="s">
        <v>23</v>
      </c>
      <c r="D259" s="4" t="s">
        <v>24</v>
      </c>
      <c r="E259" s="4" t="s">
        <v>29</v>
      </c>
      <c r="F259" s="4" t="s">
        <v>25</v>
      </c>
      <c r="G259" s="4" t="s">
        <v>25</v>
      </c>
      <c r="H259" s="4" t="s">
        <v>25</v>
      </c>
      <c r="I259" s="5">
        <v>44531</v>
      </c>
      <c r="J259" s="6">
        <v>0</v>
      </c>
      <c r="K259" s="6">
        <v>0</v>
      </c>
      <c r="L259" s="6">
        <v>32.868000000000002</v>
      </c>
      <c r="M259" s="6">
        <v>32.868000000000002</v>
      </c>
      <c r="N259" s="6">
        <v>32.868000000000002</v>
      </c>
      <c r="O259" s="6">
        <v>32.868000000000002</v>
      </c>
      <c r="P259" s="6">
        <v>183</v>
      </c>
      <c r="Q259" s="4" t="s">
        <v>26</v>
      </c>
      <c r="R259" s="4">
        <v>0</v>
      </c>
      <c r="S259" s="6">
        <v>0</v>
      </c>
      <c r="T259" s="6">
        <v>39</v>
      </c>
      <c r="U259" s="6">
        <v>77</v>
      </c>
      <c r="V259" s="6">
        <f>IF(ISERROR(VLOOKUP($S$259,'TAR FIN'!$A$1:$O$88,15,0)),0,VLOOKUP($S$259,'TAR FIN'!$A$1:$O$88,15,0))</f>
        <v>0</v>
      </c>
      <c r="W259" s="6">
        <f>IF(ISERROR(VLOOKUP($T$259,'TAR FIN'!$A$1:$O$88,15,0)),0,VLOOKUP($T$259,'TAR FIN'!$A$1:$O$88,15,0))</f>
        <v>117.48</v>
      </c>
      <c r="X259" s="6">
        <f>IF(ISERROR(VLOOKUP($U$259,'TAR FIN'!$A$1:$O$88,15,0)),0,VLOOKUP($U$259,'TAR FIN'!$A$1:$O$88,15,0))</f>
        <v>173.34</v>
      </c>
      <c r="Y259" s="6"/>
      <c r="Z259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59" s="6">
        <f>('TE BE'!$AB$13+'TE BF'!$AB$13+'TE CVA'!$AB$13)*(1-CUSTOS!$M$35)</f>
        <v>124.57825645317655</v>
      </c>
      <c r="AB259" s="6">
        <f>$K$259*$V$259</f>
        <v>0</v>
      </c>
      <c r="AC259" s="6">
        <f>$M$259*$W$259</f>
        <v>3861.3326400000005</v>
      </c>
      <c r="AD259" s="6">
        <f>$O$259*$X$259</f>
        <v>5697.3391200000005</v>
      </c>
      <c r="AE259" s="6">
        <f>$K$259*$Y$259</f>
        <v>0</v>
      </c>
      <c r="AF259" s="6">
        <f ca="1">$M$259*$Z$259</f>
        <v>5101.1494199919034</v>
      </c>
      <c r="AG259" s="6">
        <f>$O$259*$AA$259</f>
        <v>4094.638133103007</v>
      </c>
    </row>
    <row r="260" spans="1:33" ht="11.25" customHeight="1" x14ac:dyDescent="0.25">
      <c r="A260" s="4" t="s">
        <v>21</v>
      </c>
      <c r="B260" s="4" t="s">
        <v>22</v>
      </c>
      <c r="C260" s="4" t="s">
        <v>23</v>
      </c>
      <c r="D260" s="4" t="s">
        <v>24</v>
      </c>
      <c r="E260" s="4" t="s">
        <v>29</v>
      </c>
      <c r="F260" s="4" t="s">
        <v>25</v>
      </c>
      <c r="G260" s="4" t="s">
        <v>25</v>
      </c>
      <c r="H260" s="4" t="s">
        <v>25</v>
      </c>
      <c r="I260" s="5">
        <v>44562</v>
      </c>
      <c r="J260" s="6">
        <v>0</v>
      </c>
      <c r="K260" s="6">
        <v>0</v>
      </c>
      <c r="L260" s="6">
        <v>32.591999999999999</v>
      </c>
      <c r="M260" s="6">
        <v>32.591999999999999</v>
      </c>
      <c r="N260" s="6">
        <v>32.591999999999999</v>
      </c>
      <c r="O260" s="6">
        <v>32.591999999999999</v>
      </c>
      <c r="P260" s="6">
        <v>199</v>
      </c>
      <c r="Q260" s="4" t="s">
        <v>26</v>
      </c>
      <c r="R260" s="4">
        <v>0</v>
      </c>
      <c r="S260" s="6">
        <v>0</v>
      </c>
      <c r="T260" s="6">
        <v>39</v>
      </c>
      <c r="U260" s="6">
        <v>77</v>
      </c>
      <c r="V260" s="6">
        <f>IF(ISERROR(VLOOKUP($S$260,'TAR FIN'!$A$1:$O$88,15,0)),0,VLOOKUP($S$260,'TAR FIN'!$A$1:$O$88,15,0))</f>
        <v>0</v>
      </c>
      <c r="W260" s="6">
        <f>IF(ISERROR(VLOOKUP($T$260,'TAR FIN'!$A$1:$O$88,15,0)),0,VLOOKUP($T$260,'TAR FIN'!$A$1:$O$88,15,0))</f>
        <v>117.48</v>
      </c>
      <c r="X260" s="6">
        <f>IF(ISERROR(VLOOKUP($U$260,'TAR FIN'!$A$1:$O$88,15,0)),0,VLOOKUP($U$260,'TAR FIN'!$A$1:$O$88,15,0))</f>
        <v>173.34</v>
      </c>
      <c r="Y260" s="6"/>
      <c r="Z260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60" s="6">
        <f>('TE BE'!$AB$13+'TE BF'!$AB$13+'TE CVA'!$AB$13)*(1-CUSTOS!$M$35)</f>
        <v>124.57825645317655</v>
      </c>
      <c r="AB260" s="6">
        <f>$K$260*$V$260</f>
        <v>0</v>
      </c>
      <c r="AC260" s="6">
        <f>$M$260*$W$260</f>
        <v>3828.90816</v>
      </c>
      <c r="AD260" s="6">
        <f>$O$260*$X$260</f>
        <v>5649.4972799999996</v>
      </c>
      <c r="AE260" s="6">
        <f>$K$260*$Y$260</f>
        <v>0</v>
      </c>
      <c r="AF260" s="6">
        <f ca="1">$M$260*$Z$260</f>
        <v>5058.3139192033623</v>
      </c>
      <c r="AG260" s="6">
        <f>$O$260*$AA$260</f>
        <v>4060.2545343219299</v>
      </c>
    </row>
    <row r="261" spans="1:33" ht="11.25" customHeight="1" x14ac:dyDescent="0.25">
      <c r="A261" s="4" t="s">
        <v>21</v>
      </c>
      <c r="B261" s="4" t="s">
        <v>22</v>
      </c>
      <c r="C261" s="4" t="s">
        <v>23</v>
      </c>
      <c r="D261" s="4" t="s">
        <v>24</v>
      </c>
      <c r="E261" s="4" t="s">
        <v>29</v>
      </c>
      <c r="F261" s="4" t="s">
        <v>25</v>
      </c>
      <c r="G261" s="4" t="s">
        <v>25</v>
      </c>
      <c r="H261" s="4" t="s">
        <v>25</v>
      </c>
      <c r="I261" s="5">
        <v>44593</v>
      </c>
      <c r="J261" s="6">
        <v>0</v>
      </c>
      <c r="K261" s="6">
        <v>0</v>
      </c>
      <c r="L261" s="6">
        <v>31.766999999999999</v>
      </c>
      <c r="M261" s="6">
        <v>31.766999999999999</v>
      </c>
      <c r="N261" s="6">
        <v>31.766999999999999</v>
      </c>
      <c r="O261" s="6">
        <v>31.766999999999999</v>
      </c>
      <c r="P261" s="6">
        <v>252</v>
      </c>
      <c r="Q261" s="4" t="s">
        <v>26</v>
      </c>
      <c r="R261" s="4">
        <v>0</v>
      </c>
      <c r="S261" s="6">
        <v>0</v>
      </c>
      <c r="T261" s="6">
        <v>39</v>
      </c>
      <c r="U261" s="6">
        <v>77</v>
      </c>
      <c r="V261" s="6">
        <f>IF(ISERROR(VLOOKUP($S$261,'TAR FIN'!$A$1:$O$88,15,0)),0,VLOOKUP($S$261,'TAR FIN'!$A$1:$O$88,15,0))</f>
        <v>0</v>
      </c>
      <c r="W261" s="6">
        <f>IF(ISERROR(VLOOKUP($T$261,'TAR FIN'!$A$1:$O$88,15,0)),0,VLOOKUP($T$261,'TAR FIN'!$A$1:$O$88,15,0))</f>
        <v>117.48</v>
      </c>
      <c r="X261" s="6">
        <f>IF(ISERROR(VLOOKUP($U$261,'TAR FIN'!$A$1:$O$88,15,0)),0,VLOOKUP($U$261,'TAR FIN'!$A$1:$O$88,15,0))</f>
        <v>173.34</v>
      </c>
      <c r="Y261" s="6"/>
      <c r="Z261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61" s="6">
        <f>('TE BE'!$AB$13+'TE BF'!$AB$13+'TE CVA'!$AB$13)*(1-CUSTOS!$M$35)</f>
        <v>124.57825645317655</v>
      </c>
      <c r="AB261" s="6">
        <f>$K$261*$V$261</f>
        <v>0</v>
      </c>
      <c r="AC261" s="6">
        <f>$M$261*$W$261</f>
        <v>3731.9871600000001</v>
      </c>
      <c r="AD261" s="6">
        <f>$O$261*$X$261</f>
        <v>5506.4917800000003</v>
      </c>
      <c r="AE261" s="6">
        <f>$K$261*$Y$261</f>
        <v>0</v>
      </c>
      <c r="AF261" s="6">
        <f ca="1">$M$261*$Z$261</f>
        <v>4930.2730201071799</v>
      </c>
      <c r="AG261" s="6">
        <f>$O$261*$AA$261</f>
        <v>3957.4774727480594</v>
      </c>
    </row>
    <row r="262" spans="1:33" ht="11.25" customHeight="1" x14ac:dyDescent="0.25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29</v>
      </c>
      <c r="F262" s="4" t="s">
        <v>25</v>
      </c>
      <c r="G262" s="4" t="s">
        <v>25</v>
      </c>
      <c r="H262" s="4" t="s">
        <v>25</v>
      </c>
      <c r="I262" s="5">
        <v>44621</v>
      </c>
      <c r="J262" s="6">
        <v>0</v>
      </c>
      <c r="K262" s="6">
        <v>0</v>
      </c>
      <c r="L262" s="6">
        <v>33.64</v>
      </c>
      <c r="M262" s="6">
        <v>33.64</v>
      </c>
      <c r="N262" s="6">
        <v>33.64</v>
      </c>
      <c r="O262" s="6">
        <v>33.64</v>
      </c>
      <c r="P262" s="6">
        <v>222</v>
      </c>
      <c r="Q262" s="4" t="s">
        <v>26</v>
      </c>
      <c r="R262" s="4">
        <v>0</v>
      </c>
      <c r="S262" s="6">
        <v>0</v>
      </c>
      <c r="T262" s="6">
        <v>39</v>
      </c>
      <c r="U262" s="6">
        <v>77</v>
      </c>
      <c r="V262" s="6">
        <f>IF(ISERROR(VLOOKUP($S$262,'TAR FIN'!$A$1:$O$88,15,0)),0,VLOOKUP($S$262,'TAR FIN'!$A$1:$O$88,15,0))</f>
        <v>0</v>
      </c>
      <c r="W262" s="6">
        <f>IF(ISERROR(VLOOKUP($T$262,'TAR FIN'!$A$1:$O$88,15,0)),0,VLOOKUP($T$262,'TAR FIN'!$A$1:$O$88,15,0))</f>
        <v>117.48</v>
      </c>
      <c r="X262" s="6">
        <f>IF(ISERROR(VLOOKUP($U$262,'TAR FIN'!$A$1:$O$88,15,0)),0,VLOOKUP($U$262,'TAR FIN'!$A$1:$O$88,15,0))</f>
        <v>173.34</v>
      </c>
      <c r="Y262" s="6"/>
      <c r="Z262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62" s="6">
        <f>('TE BE'!$AB$13+'TE BF'!$AB$13+'TE CVA'!$AB$13)*(1-CUSTOS!$M$35)</f>
        <v>124.57825645317655</v>
      </c>
      <c r="AB262" s="6">
        <f>$K$262*$V$262</f>
        <v>0</v>
      </c>
      <c r="AC262" s="6">
        <f>$M$262*$W$262</f>
        <v>3952.0272</v>
      </c>
      <c r="AD262" s="6">
        <f>$O$262*$X$262</f>
        <v>5831.1576000000005</v>
      </c>
      <c r="AE262" s="6">
        <f>$K$262*$Y$262</f>
        <v>0</v>
      </c>
      <c r="AF262" s="6">
        <f ca="1">$M$262*$Z$262</f>
        <v>5220.9646613279674</v>
      </c>
      <c r="AG262" s="6">
        <f>$O$262*$AA$262</f>
        <v>4190.812547084859</v>
      </c>
    </row>
    <row r="263" spans="1:33" ht="11.25" customHeight="1" x14ac:dyDescent="0.25">
      <c r="A263" s="4" t="s">
        <v>21</v>
      </c>
      <c r="B263" s="4" t="s">
        <v>22</v>
      </c>
      <c r="C263" s="4" t="s">
        <v>23</v>
      </c>
      <c r="D263" s="4" t="s">
        <v>24</v>
      </c>
      <c r="E263" s="4" t="s">
        <v>29</v>
      </c>
      <c r="F263" s="4" t="s">
        <v>25</v>
      </c>
      <c r="G263" s="4" t="s">
        <v>25</v>
      </c>
      <c r="H263" s="4" t="s">
        <v>25</v>
      </c>
      <c r="I263" s="5">
        <v>44652</v>
      </c>
      <c r="J263" s="6">
        <v>0</v>
      </c>
      <c r="K263" s="6">
        <v>0</v>
      </c>
      <c r="L263" s="6">
        <v>31.475999999999999</v>
      </c>
      <c r="M263" s="6">
        <v>31.475999999999999</v>
      </c>
      <c r="N263" s="6">
        <v>31.475999999999999</v>
      </c>
      <c r="O263" s="6">
        <v>31.475999999999999</v>
      </c>
      <c r="P263" s="6">
        <v>266</v>
      </c>
      <c r="Q263" s="4" t="s">
        <v>26</v>
      </c>
      <c r="R263" s="4">
        <v>0</v>
      </c>
      <c r="S263" s="6">
        <v>0</v>
      </c>
      <c r="T263" s="6">
        <v>39</v>
      </c>
      <c r="U263" s="6">
        <v>77</v>
      </c>
      <c r="V263" s="6">
        <f>IF(ISERROR(VLOOKUP($S$263,'TAR FIN'!$A$1:$O$88,15,0)),0,VLOOKUP($S$263,'TAR FIN'!$A$1:$O$88,15,0))</f>
        <v>0</v>
      </c>
      <c r="W263" s="6">
        <f>IF(ISERROR(VLOOKUP($T$263,'TAR FIN'!$A$1:$O$88,15,0)),0,VLOOKUP($T$263,'TAR FIN'!$A$1:$O$88,15,0))</f>
        <v>117.48</v>
      </c>
      <c r="X263" s="6">
        <f>IF(ISERROR(VLOOKUP($U$263,'TAR FIN'!$A$1:$O$88,15,0)),0,VLOOKUP($U$263,'TAR FIN'!$A$1:$O$88,15,0))</f>
        <v>173.34</v>
      </c>
      <c r="Y263" s="6"/>
      <c r="Z263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63" s="6">
        <f>('TE BE'!$AB$13+'TE BF'!$AB$13+'TE CVA'!$AB$13)*(1-CUSTOS!$M$35)</f>
        <v>124.57825645317655</v>
      </c>
      <c r="AB263" s="6">
        <f>$K$263*$V$263</f>
        <v>0</v>
      </c>
      <c r="AC263" s="6">
        <f>$M$263*$W$263</f>
        <v>3697.8004799999999</v>
      </c>
      <c r="AD263" s="6">
        <f>$O$263*$X$263</f>
        <v>5456.0498399999997</v>
      </c>
      <c r="AE263" s="6">
        <f>$K$263*$Y$263</f>
        <v>0</v>
      </c>
      <c r="AF263" s="6">
        <f ca="1">$M$263*$Z$263</f>
        <v>4885.1095029714352</v>
      </c>
      <c r="AG263" s="6">
        <f>$O$263*$AA$263</f>
        <v>3921.225200120185</v>
      </c>
    </row>
    <row r="264" spans="1:33" ht="11.25" customHeight="1" x14ac:dyDescent="0.25">
      <c r="A264" s="4" t="s">
        <v>21</v>
      </c>
      <c r="B264" s="4" t="s">
        <v>22</v>
      </c>
      <c r="C264" s="4" t="s">
        <v>23</v>
      </c>
      <c r="D264" s="4" t="s">
        <v>24</v>
      </c>
      <c r="E264" s="4" t="s">
        <v>29</v>
      </c>
      <c r="F264" s="4" t="s">
        <v>25</v>
      </c>
      <c r="G264" s="4" t="s">
        <v>25</v>
      </c>
      <c r="H264" s="4" t="s">
        <v>25</v>
      </c>
      <c r="I264" s="5">
        <v>44682</v>
      </c>
      <c r="J264" s="6">
        <v>0</v>
      </c>
      <c r="K264" s="6">
        <v>0</v>
      </c>
      <c r="L264" s="6">
        <v>30.445</v>
      </c>
      <c r="M264" s="6">
        <v>30.445</v>
      </c>
      <c r="N264" s="6">
        <v>30.445</v>
      </c>
      <c r="O264" s="6">
        <v>30.445</v>
      </c>
      <c r="P264" s="6">
        <v>324</v>
      </c>
      <c r="Q264" s="4" t="s">
        <v>26</v>
      </c>
      <c r="R264" s="4">
        <v>0</v>
      </c>
      <c r="S264" s="6">
        <v>0</v>
      </c>
      <c r="T264" s="6">
        <v>39</v>
      </c>
      <c r="U264" s="6">
        <v>77</v>
      </c>
      <c r="V264" s="6">
        <f>IF(ISERROR(VLOOKUP($S$264,'TAR FIN'!$A$1:$O$88,15,0)),0,VLOOKUP($S$264,'TAR FIN'!$A$1:$O$88,15,0))</f>
        <v>0</v>
      </c>
      <c r="W264" s="6">
        <f>IF(ISERROR(VLOOKUP($T$264,'TAR FIN'!$A$1:$O$88,15,0)),0,VLOOKUP($T$264,'TAR FIN'!$A$1:$O$88,15,0))</f>
        <v>117.48</v>
      </c>
      <c r="X264" s="6">
        <f>IF(ISERROR(VLOOKUP($U$264,'TAR FIN'!$A$1:$O$88,15,0)),0,VLOOKUP($U$264,'TAR FIN'!$A$1:$O$88,15,0))</f>
        <v>173.34</v>
      </c>
      <c r="Y264" s="6"/>
      <c r="Z264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64" s="6">
        <f>('TE BE'!$AB$13+'TE BF'!$AB$13+'TE CVA'!$AB$13)*(1-CUSTOS!$M$35)</f>
        <v>124.57825645317655</v>
      </c>
      <c r="AB264" s="6">
        <f>$K$264*$V$264</f>
        <v>0</v>
      </c>
      <c r="AC264" s="6">
        <f>$M$264*$W$264</f>
        <v>3576.6786000000002</v>
      </c>
      <c r="AD264" s="6">
        <f>$O$264*$X$264</f>
        <v>5277.3362999999999</v>
      </c>
      <c r="AE264" s="6">
        <f>$K$264*$Y$264</f>
        <v>0</v>
      </c>
      <c r="AF264" s="6">
        <f ca="1">$M$264*$Z$264</f>
        <v>4725.0971793736617</v>
      </c>
      <c r="AG264" s="6">
        <f>$O$264*$AA$264</f>
        <v>3792.7850177169603</v>
      </c>
    </row>
    <row r="265" spans="1:33" ht="11.25" customHeight="1" x14ac:dyDescent="0.25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29</v>
      </c>
      <c r="F265" s="4" t="s">
        <v>25</v>
      </c>
      <c r="G265" s="4" t="s">
        <v>25</v>
      </c>
      <c r="H265" s="4" t="s">
        <v>25</v>
      </c>
      <c r="I265" s="5">
        <v>44713</v>
      </c>
      <c r="J265" s="6">
        <v>0</v>
      </c>
      <c r="K265" s="6">
        <v>0</v>
      </c>
      <c r="L265" s="6">
        <v>31.358000000000001</v>
      </c>
      <c r="M265" s="6">
        <v>31.358000000000001</v>
      </c>
      <c r="N265" s="6">
        <v>31.358000000000001</v>
      </c>
      <c r="O265" s="6">
        <v>31.358000000000001</v>
      </c>
      <c r="P265" s="6">
        <v>291</v>
      </c>
      <c r="Q265" s="4" t="s">
        <v>26</v>
      </c>
      <c r="R265" s="4">
        <v>0</v>
      </c>
      <c r="S265" s="6">
        <v>0</v>
      </c>
      <c r="T265" s="6">
        <v>39</v>
      </c>
      <c r="U265" s="6">
        <v>77</v>
      </c>
      <c r="V265" s="6">
        <f>IF(ISERROR(VLOOKUP($S$265,'TAR FIN'!$A$1:$O$88,15,0)),0,VLOOKUP($S$265,'TAR FIN'!$A$1:$O$88,15,0))</f>
        <v>0</v>
      </c>
      <c r="W265" s="6">
        <f>IF(ISERROR(VLOOKUP($T$265,'TAR FIN'!$A$1:$O$88,15,0)),0,VLOOKUP($T$265,'TAR FIN'!$A$1:$O$88,15,0))</f>
        <v>117.48</v>
      </c>
      <c r="X265" s="6">
        <f>IF(ISERROR(VLOOKUP($U$265,'TAR FIN'!$A$1:$O$88,15,0)),0,VLOOKUP($U$265,'TAR FIN'!$A$1:$O$88,15,0))</f>
        <v>173.34</v>
      </c>
      <c r="Y265" s="6"/>
      <c r="Z265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65" s="6">
        <f>('TE BE'!$AB$13+'TE BF'!$AB$13+'TE CVA'!$AB$13)*(1-CUSTOS!$M$35)</f>
        <v>124.57825645317655</v>
      </c>
      <c r="AB265" s="6">
        <f>$K$265*$V$265</f>
        <v>0</v>
      </c>
      <c r="AC265" s="6">
        <f>$M$265*$W$265</f>
        <v>3683.9378400000001</v>
      </c>
      <c r="AD265" s="6">
        <f>$O$265*$X$265</f>
        <v>5435.5957200000003</v>
      </c>
      <c r="AE265" s="6">
        <f>$K$265*$Y$265</f>
        <v>0</v>
      </c>
      <c r="AF265" s="6">
        <f ca="1">$M$265*$Z$265</f>
        <v>4866.795774373436</v>
      </c>
      <c r="AG265" s="6">
        <f>$O$265*$AA$265</f>
        <v>3906.5249658587104</v>
      </c>
    </row>
    <row r="266" spans="1:33" ht="11.25" customHeight="1" x14ac:dyDescent="0.25">
      <c r="A266" s="4" t="s">
        <v>55</v>
      </c>
      <c r="B266" s="4" t="s">
        <v>22</v>
      </c>
      <c r="C266" s="4" t="s">
        <v>23</v>
      </c>
      <c r="D266" s="4" t="s">
        <v>24</v>
      </c>
      <c r="E266" s="4" t="s">
        <v>29</v>
      </c>
      <c r="F266" s="4" t="s">
        <v>25</v>
      </c>
      <c r="G266" s="4" t="s">
        <v>25</v>
      </c>
      <c r="H266" s="4" t="s">
        <v>25</v>
      </c>
      <c r="I266" s="5">
        <v>44743</v>
      </c>
      <c r="J266" s="6">
        <v>0</v>
      </c>
      <c r="K266" s="6">
        <v>0</v>
      </c>
      <c r="L266" s="6">
        <v>31.358000000000001</v>
      </c>
      <c r="M266" s="6">
        <v>31.358000000000001</v>
      </c>
      <c r="N266" s="6">
        <v>31.358000000000001</v>
      </c>
      <c r="O266" s="6">
        <v>31.358000000000001</v>
      </c>
      <c r="P266" s="6">
        <v>291</v>
      </c>
      <c r="Q266" s="4" t="s">
        <v>26</v>
      </c>
      <c r="R266" s="4">
        <v>0</v>
      </c>
      <c r="S266" s="6">
        <v>0</v>
      </c>
      <c r="T266" s="6">
        <v>39</v>
      </c>
      <c r="U266" s="6">
        <v>77</v>
      </c>
      <c r="V266" s="6">
        <f>IF(ISERROR(VLOOKUP($S$266,'TAR FIN'!$A$1:$O$88,15,0)),0,VLOOKUP($S$266,'TAR FIN'!$A$1:$O$88,15,0))</f>
        <v>0</v>
      </c>
      <c r="W266" s="6">
        <f>IF(ISERROR(VLOOKUP($T$266,'TAR FIN'!$A$1:$O$88,15,0)),0,VLOOKUP($T$266,'TAR FIN'!$A$1:$O$88,15,0))</f>
        <v>117.48</v>
      </c>
      <c r="X266" s="6">
        <f>IF(ISERROR(VLOOKUP($U$266,'TAR FIN'!$A$1:$O$88,15,0)),0,VLOOKUP($U$266,'TAR FIN'!$A$1:$O$88,15,0))</f>
        <v>173.34</v>
      </c>
      <c r="Y266" s="6"/>
      <c r="Z266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266" s="6">
        <f>('TE BE'!$AB$13+'TE BF'!$AB$13+'TE CVA'!$AB$13)*(1-CUSTOS!$M$35)</f>
        <v>124.57825645317655</v>
      </c>
      <c r="AB266" s="6">
        <f>$K$266*$V$266</f>
        <v>0</v>
      </c>
      <c r="AC266" s="6">
        <f>$M$266*$W$266</f>
        <v>3683.9378400000001</v>
      </c>
      <c r="AD266" s="6">
        <f>$O$266*$X$266</f>
        <v>5435.5957200000003</v>
      </c>
      <c r="AE266" s="6">
        <f>$K$266*$Y$266</f>
        <v>0</v>
      </c>
      <c r="AF266" s="6">
        <f ca="1">$M$266*$Z$266</f>
        <v>4866.795774373436</v>
      </c>
      <c r="AG266" s="6">
        <f>$O$266*$AA$266</f>
        <v>3906.5249658587104</v>
      </c>
    </row>
    <row r="267" spans="1:33" ht="11.25" customHeight="1" x14ac:dyDescent="0.25">
      <c r="A267" s="4" t="s">
        <v>21</v>
      </c>
      <c r="B267" s="4" t="s">
        <v>22</v>
      </c>
      <c r="C267" s="4" t="s">
        <v>23</v>
      </c>
      <c r="D267" s="4" t="s">
        <v>24</v>
      </c>
      <c r="E267" s="4" t="s">
        <v>30</v>
      </c>
      <c r="F267" s="4" t="s">
        <v>25</v>
      </c>
      <c r="G267" s="4" t="s">
        <v>25</v>
      </c>
      <c r="H267" s="4" t="s">
        <v>25</v>
      </c>
      <c r="I267" s="5">
        <v>44409</v>
      </c>
      <c r="J267" s="6">
        <v>0</v>
      </c>
      <c r="K267" s="6">
        <v>0</v>
      </c>
      <c r="L267" s="6">
        <v>13.061</v>
      </c>
      <c r="M267" s="6">
        <v>13.061</v>
      </c>
      <c r="N267" s="6">
        <v>13.061</v>
      </c>
      <c r="O267" s="6">
        <v>13.061</v>
      </c>
      <c r="P267" s="6">
        <v>261</v>
      </c>
      <c r="Q267" s="4" t="s">
        <v>26</v>
      </c>
      <c r="R267" s="4">
        <v>0</v>
      </c>
      <c r="S267" s="6">
        <v>0</v>
      </c>
      <c r="T267" s="6">
        <v>40</v>
      </c>
      <c r="U267" s="6">
        <v>78</v>
      </c>
      <c r="V267" s="6">
        <f>IF(ISERROR(VLOOKUP($S$267,'TAR FIN'!$A$1:$O$88,15,0)),0,VLOOKUP($S$267,'TAR FIN'!$A$1:$O$88,15,0))</f>
        <v>0</v>
      </c>
      <c r="W267" s="6">
        <f>IF(ISERROR(VLOOKUP($T$267,'TAR FIN'!$A$1:$O$88,15,0)),0,VLOOKUP($T$267,'TAR FIN'!$A$1:$O$88,15,0))</f>
        <v>176.22</v>
      </c>
      <c r="X267" s="6">
        <f>IF(ISERROR(VLOOKUP($U$267,'TAR FIN'!$A$1:$O$88,15,0)),0,VLOOKUP($U$267,'TAR FIN'!$A$1:$O$88,15,0))</f>
        <v>260.01</v>
      </c>
      <c r="Y267" s="6"/>
      <c r="Z267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67" s="6">
        <f>('TE BE'!$AB$14+'TE BF'!$AB$14+'TE CVA'!$AB$14)*(1-CUSTOS!$M$36)</f>
        <v>186.86738467976483</v>
      </c>
      <c r="AB267" s="6">
        <f>$K$267*$V$267</f>
        <v>0</v>
      </c>
      <c r="AC267" s="6">
        <f>$M$267*$W$267</f>
        <v>2301.6094199999998</v>
      </c>
      <c r="AD267" s="6">
        <f>$O$267*$X$267</f>
        <v>3395.9906099999998</v>
      </c>
      <c r="AE267" s="6">
        <f>$K$267*$Y$267</f>
        <v>0</v>
      </c>
      <c r="AF267" s="6">
        <f ca="1">$M$267*$Z$267</f>
        <v>3040.6221510822493</v>
      </c>
      <c r="AG267" s="6">
        <f>$O$267*$AA$267</f>
        <v>2440.6749113024084</v>
      </c>
    </row>
    <row r="268" spans="1:33" ht="11.25" customHeight="1" x14ac:dyDescent="0.25">
      <c r="A268" s="4" t="s">
        <v>21</v>
      </c>
      <c r="B268" s="4" t="s">
        <v>22</v>
      </c>
      <c r="C268" s="4" t="s">
        <v>23</v>
      </c>
      <c r="D268" s="4" t="s">
        <v>24</v>
      </c>
      <c r="E268" s="4" t="s">
        <v>30</v>
      </c>
      <c r="F268" s="4" t="s">
        <v>25</v>
      </c>
      <c r="G268" s="4" t="s">
        <v>25</v>
      </c>
      <c r="H268" s="4" t="s">
        <v>25</v>
      </c>
      <c r="I268" s="5">
        <v>44440</v>
      </c>
      <c r="J268" s="6">
        <v>0</v>
      </c>
      <c r="K268" s="6">
        <v>0</v>
      </c>
      <c r="L268" s="6">
        <v>15.353999999999999</v>
      </c>
      <c r="M268" s="6">
        <v>15.353999999999999</v>
      </c>
      <c r="N268" s="6">
        <v>15.353999999999999</v>
      </c>
      <c r="O268" s="6">
        <v>15.353999999999999</v>
      </c>
      <c r="P268" s="6">
        <v>286</v>
      </c>
      <c r="Q268" s="4" t="s">
        <v>26</v>
      </c>
      <c r="R268" s="4">
        <v>0</v>
      </c>
      <c r="S268" s="6">
        <v>0</v>
      </c>
      <c r="T268" s="6">
        <v>40</v>
      </c>
      <c r="U268" s="6">
        <v>78</v>
      </c>
      <c r="V268" s="6">
        <f>IF(ISERROR(VLOOKUP($S$268,'TAR FIN'!$A$1:$O$88,15,0)),0,VLOOKUP($S$268,'TAR FIN'!$A$1:$O$88,15,0))</f>
        <v>0</v>
      </c>
      <c r="W268" s="6">
        <f>IF(ISERROR(VLOOKUP($T$268,'TAR FIN'!$A$1:$O$88,15,0)),0,VLOOKUP($T$268,'TAR FIN'!$A$1:$O$88,15,0))</f>
        <v>176.22</v>
      </c>
      <c r="X268" s="6">
        <f>IF(ISERROR(VLOOKUP($U$268,'TAR FIN'!$A$1:$O$88,15,0)),0,VLOOKUP($U$268,'TAR FIN'!$A$1:$O$88,15,0))</f>
        <v>260.01</v>
      </c>
      <c r="Y268" s="6"/>
      <c r="Z268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68" s="6">
        <f>('TE BE'!$AB$14+'TE BF'!$AB$14+'TE CVA'!$AB$14)*(1-CUSTOS!$M$36)</f>
        <v>186.86738467976483</v>
      </c>
      <c r="AB268" s="6">
        <f>$K$268*$V$268</f>
        <v>0</v>
      </c>
      <c r="AC268" s="6">
        <f>$M$268*$W$268</f>
        <v>2705.6818799999996</v>
      </c>
      <c r="AD268" s="6">
        <f>$O$268*$X$268</f>
        <v>3992.1935399999998</v>
      </c>
      <c r="AE268" s="6">
        <f>$K$268*$Y$268</f>
        <v>0</v>
      </c>
      <c r="AF268" s="6">
        <f ca="1">$M$268*$Z$268</f>
        <v>3574.4362994959693</v>
      </c>
      <c r="AG268" s="6">
        <f>$O$268*$AA$268</f>
        <v>2869.1618243731091</v>
      </c>
    </row>
    <row r="269" spans="1:33" ht="11.25" customHeight="1" x14ac:dyDescent="0.25">
      <c r="A269" s="4" t="s">
        <v>21</v>
      </c>
      <c r="B269" s="4" t="s">
        <v>22</v>
      </c>
      <c r="C269" s="4" t="s">
        <v>23</v>
      </c>
      <c r="D269" s="4" t="s">
        <v>24</v>
      </c>
      <c r="E269" s="4" t="s">
        <v>30</v>
      </c>
      <c r="F269" s="4" t="s">
        <v>25</v>
      </c>
      <c r="G269" s="4" t="s">
        <v>25</v>
      </c>
      <c r="H269" s="4" t="s">
        <v>25</v>
      </c>
      <c r="I269" s="5">
        <v>44470</v>
      </c>
      <c r="J269" s="6">
        <v>0</v>
      </c>
      <c r="K269" s="6">
        <v>0</v>
      </c>
      <c r="L269" s="6">
        <v>10.358000000000001</v>
      </c>
      <c r="M269" s="6">
        <v>10.358000000000001</v>
      </c>
      <c r="N269" s="6">
        <v>10.358000000000001</v>
      </c>
      <c r="O269" s="6">
        <v>10.358000000000001</v>
      </c>
      <c r="P269" s="6">
        <v>232</v>
      </c>
      <c r="Q269" s="4" t="s">
        <v>26</v>
      </c>
      <c r="R269" s="4">
        <v>0</v>
      </c>
      <c r="S269" s="6">
        <v>0</v>
      </c>
      <c r="T269" s="6">
        <v>40</v>
      </c>
      <c r="U269" s="6">
        <v>78</v>
      </c>
      <c r="V269" s="6">
        <f>IF(ISERROR(VLOOKUP($S$269,'TAR FIN'!$A$1:$O$88,15,0)),0,VLOOKUP($S$269,'TAR FIN'!$A$1:$O$88,15,0))</f>
        <v>0</v>
      </c>
      <c r="W269" s="6">
        <f>IF(ISERROR(VLOOKUP($T$269,'TAR FIN'!$A$1:$O$88,15,0)),0,VLOOKUP($T$269,'TAR FIN'!$A$1:$O$88,15,0))</f>
        <v>176.22</v>
      </c>
      <c r="X269" s="6">
        <f>IF(ISERROR(VLOOKUP($U$269,'TAR FIN'!$A$1:$O$88,15,0)),0,VLOOKUP($U$269,'TAR FIN'!$A$1:$O$88,15,0))</f>
        <v>260.01</v>
      </c>
      <c r="Y269" s="6"/>
      <c r="Z269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69" s="6">
        <f>('TE BE'!$AB$14+'TE BF'!$AB$14+'TE CVA'!$AB$14)*(1-CUSTOS!$M$36)</f>
        <v>186.86738467976483</v>
      </c>
      <c r="AB269" s="6">
        <f>$K$269*$V$269</f>
        <v>0</v>
      </c>
      <c r="AC269" s="6">
        <f>$M$269*$W$269</f>
        <v>1825.2867600000002</v>
      </c>
      <c r="AD269" s="6">
        <f>$O$269*$X$269</f>
        <v>2693.1835799999999</v>
      </c>
      <c r="AE269" s="6">
        <f>$K$269*$Y$269</f>
        <v>0</v>
      </c>
      <c r="AF269" s="6">
        <f ca="1">$M$269*$Z$269</f>
        <v>2411.3593324331932</v>
      </c>
      <c r="AG269" s="6">
        <f>$O$269*$AA$269</f>
        <v>1935.5723705130042</v>
      </c>
    </row>
    <row r="270" spans="1:33" ht="11.25" customHeight="1" x14ac:dyDescent="0.25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30</v>
      </c>
      <c r="F270" s="4" t="s">
        <v>25</v>
      </c>
      <c r="G270" s="4" t="s">
        <v>25</v>
      </c>
      <c r="H270" s="4" t="s">
        <v>25</v>
      </c>
      <c r="I270" s="5">
        <v>44501</v>
      </c>
      <c r="J270" s="6">
        <v>0</v>
      </c>
      <c r="K270" s="6">
        <v>0</v>
      </c>
      <c r="L270" s="6">
        <v>14.414</v>
      </c>
      <c r="M270" s="6">
        <v>14.414</v>
      </c>
      <c r="N270" s="6">
        <v>14.414</v>
      </c>
      <c r="O270" s="6">
        <v>14.414</v>
      </c>
      <c r="P270" s="6">
        <v>268</v>
      </c>
      <c r="Q270" s="4" t="s">
        <v>26</v>
      </c>
      <c r="R270" s="4">
        <v>0</v>
      </c>
      <c r="S270" s="6">
        <v>0</v>
      </c>
      <c r="T270" s="6">
        <v>40</v>
      </c>
      <c r="U270" s="6">
        <v>78</v>
      </c>
      <c r="V270" s="6">
        <f>IF(ISERROR(VLOOKUP($S$270,'TAR FIN'!$A$1:$O$88,15,0)),0,VLOOKUP($S$270,'TAR FIN'!$A$1:$O$88,15,0))</f>
        <v>0</v>
      </c>
      <c r="W270" s="6">
        <f>IF(ISERROR(VLOOKUP($T$270,'TAR FIN'!$A$1:$O$88,15,0)),0,VLOOKUP($T$270,'TAR FIN'!$A$1:$O$88,15,0))</f>
        <v>176.22</v>
      </c>
      <c r="X270" s="6">
        <f>IF(ISERROR(VLOOKUP($U$270,'TAR FIN'!$A$1:$O$88,15,0)),0,VLOOKUP($U$270,'TAR FIN'!$A$1:$O$88,15,0))</f>
        <v>260.01</v>
      </c>
      <c r="Y270" s="6"/>
      <c r="Z270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70" s="6">
        <f>('TE BE'!$AB$14+'TE BF'!$AB$14+'TE CVA'!$AB$14)*(1-CUSTOS!$M$36)</f>
        <v>186.86738467976483</v>
      </c>
      <c r="AB270" s="6">
        <f>$K$270*$V$270</f>
        <v>0</v>
      </c>
      <c r="AC270" s="6">
        <f>$M$270*$W$270</f>
        <v>2540.0350800000001</v>
      </c>
      <c r="AD270" s="6">
        <f>$O$270*$X$270</f>
        <v>3747.7841399999998</v>
      </c>
      <c r="AE270" s="6">
        <f>$K$270*$Y$270</f>
        <v>0</v>
      </c>
      <c r="AF270" s="6">
        <f ca="1">$M$270*$Z$270</f>
        <v>3355.6027628588577</v>
      </c>
      <c r="AG270" s="6">
        <f>$O$270*$AA$270</f>
        <v>2693.5064827741303</v>
      </c>
    </row>
    <row r="271" spans="1:33" ht="11.25" customHeight="1" x14ac:dyDescent="0.25">
      <c r="A271" s="4" t="s">
        <v>21</v>
      </c>
      <c r="B271" s="4" t="s">
        <v>22</v>
      </c>
      <c r="C271" s="4" t="s">
        <v>23</v>
      </c>
      <c r="D271" s="4" t="s">
        <v>24</v>
      </c>
      <c r="E271" s="4" t="s">
        <v>30</v>
      </c>
      <c r="F271" s="4" t="s">
        <v>25</v>
      </c>
      <c r="G271" s="4" t="s">
        <v>25</v>
      </c>
      <c r="H271" s="4" t="s">
        <v>25</v>
      </c>
      <c r="I271" s="5">
        <v>44531</v>
      </c>
      <c r="J271" s="6">
        <v>0</v>
      </c>
      <c r="K271" s="6">
        <v>0</v>
      </c>
      <c r="L271" s="6">
        <v>18.116</v>
      </c>
      <c r="M271" s="6">
        <v>18.116</v>
      </c>
      <c r="N271" s="6">
        <v>18.116</v>
      </c>
      <c r="O271" s="6">
        <v>18.116</v>
      </c>
      <c r="P271" s="6">
        <v>312</v>
      </c>
      <c r="Q271" s="4" t="s">
        <v>26</v>
      </c>
      <c r="R271" s="4">
        <v>0</v>
      </c>
      <c r="S271" s="6">
        <v>0</v>
      </c>
      <c r="T271" s="6">
        <v>40</v>
      </c>
      <c r="U271" s="6">
        <v>78</v>
      </c>
      <c r="V271" s="6">
        <f>IF(ISERROR(VLOOKUP($S$271,'TAR FIN'!$A$1:$O$88,15,0)),0,VLOOKUP($S$271,'TAR FIN'!$A$1:$O$88,15,0))</f>
        <v>0</v>
      </c>
      <c r="W271" s="6">
        <f>IF(ISERROR(VLOOKUP($T$271,'TAR FIN'!$A$1:$O$88,15,0)),0,VLOOKUP($T$271,'TAR FIN'!$A$1:$O$88,15,0))</f>
        <v>176.22</v>
      </c>
      <c r="X271" s="6">
        <f>IF(ISERROR(VLOOKUP($U$271,'TAR FIN'!$A$1:$O$88,15,0)),0,VLOOKUP($U$271,'TAR FIN'!$A$1:$O$88,15,0))</f>
        <v>260.01</v>
      </c>
      <c r="Y271" s="6"/>
      <c r="Z271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71" s="6">
        <f>('TE BE'!$AB$14+'TE BF'!$AB$14+'TE CVA'!$AB$14)*(1-CUSTOS!$M$36)</f>
        <v>186.86738467976483</v>
      </c>
      <c r="AB271" s="6">
        <f>$K$271*$V$271</f>
        <v>0</v>
      </c>
      <c r="AC271" s="6">
        <f>$M$271*$W$271</f>
        <v>3192.4015199999999</v>
      </c>
      <c r="AD271" s="6">
        <f>$O$271*$X$271</f>
        <v>4710.3411599999999</v>
      </c>
      <c r="AE271" s="6">
        <f>$K$271*$Y$271</f>
        <v>0</v>
      </c>
      <c r="AF271" s="6">
        <f ca="1">$M$271*$Z$271</f>
        <v>4217.4344145935247</v>
      </c>
      <c r="AG271" s="6">
        <f>$O$271*$AA$271</f>
        <v>3385.2895408586196</v>
      </c>
    </row>
    <row r="272" spans="1:33" ht="11.25" customHeight="1" x14ac:dyDescent="0.25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30</v>
      </c>
      <c r="F272" s="4" t="s">
        <v>25</v>
      </c>
      <c r="G272" s="4" t="s">
        <v>25</v>
      </c>
      <c r="H272" s="4" t="s">
        <v>25</v>
      </c>
      <c r="I272" s="5">
        <v>44562</v>
      </c>
      <c r="J272" s="6">
        <v>0</v>
      </c>
      <c r="K272" s="6">
        <v>0</v>
      </c>
      <c r="L272" s="6">
        <v>16.149999999999999</v>
      </c>
      <c r="M272" s="6">
        <v>16.149999999999999</v>
      </c>
      <c r="N272" s="6">
        <v>16.149999999999999</v>
      </c>
      <c r="O272" s="6">
        <v>16.149999999999999</v>
      </c>
      <c r="P272" s="6">
        <v>307</v>
      </c>
      <c r="Q272" s="4" t="s">
        <v>26</v>
      </c>
      <c r="R272" s="4">
        <v>0</v>
      </c>
      <c r="S272" s="6">
        <v>0</v>
      </c>
      <c r="T272" s="6">
        <v>40</v>
      </c>
      <c r="U272" s="6">
        <v>78</v>
      </c>
      <c r="V272" s="6">
        <f>IF(ISERROR(VLOOKUP($S$272,'TAR FIN'!$A$1:$O$88,15,0)),0,VLOOKUP($S$272,'TAR FIN'!$A$1:$O$88,15,0))</f>
        <v>0</v>
      </c>
      <c r="W272" s="6">
        <f>IF(ISERROR(VLOOKUP($T$272,'TAR FIN'!$A$1:$O$88,15,0)),0,VLOOKUP($T$272,'TAR FIN'!$A$1:$O$88,15,0))</f>
        <v>176.22</v>
      </c>
      <c r="X272" s="6">
        <f>IF(ISERROR(VLOOKUP($U$272,'TAR FIN'!$A$1:$O$88,15,0)),0,VLOOKUP($U$272,'TAR FIN'!$A$1:$O$88,15,0))</f>
        <v>260.01</v>
      </c>
      <c r="Y272" s="6"/>
      <c r="Z272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72" s="6">
        <f>('TE BE'!$AB$14+'TE BF'!$AB$14+'TE CVA'!$AB$14)*(1-CUSTOS!$M$36)</f>
        <v>186.86738467976483</v>
      </c>
      <c r="AB272" s="6">
        <f>$K$272*$V$272</f>
        <v>0</v>
      </c>
      <c r="AC272" s="6">
        <f>$M$272*$W$272</f>
        <v>2845.9529999999995</v>
      </c>
      <c r="AD272" s="6">
        <f>$O$272*$X$272</f>
        <v>4199.1614999999993</v>
      </c>
      <c r="AE272" s="6">
        <f>$K$272*$Y$272</f>
        <v>0</v>
      </c>
      <c r="AF272" s="6">
        <f ca="1">$M$272*$Z$272</f>
        <v>3759.7464007333529</v>
      </c>
      <c r="AG272" s="6">
        <f>$O$272*$AA$272</f>
        <v>3017.9082625782016</v>
      </c>
    </row>
    <row r="273" spans="1:33" ht="11.25" customHeight="1" x14ac:dyDescent="0.25">
      <c r="A273" s="4" t="s">
        <v>21</v>
      </c>
      <c r="B273" s="4" t="s">
        <v>22</v>
      </c>
      <c r="C273" s="4" t="s">
        <v>23</v>
      </c>
      <c r="D273" s="4" t="s">
        <v>24</v>
      </c>
      <c r="E273" s="4" t="s">
        <v>30</v>
      </c>
      <c r="F273" s="4" t="s">
        <v>25</v>
      </c>
      <c r="G273" s="4" t="s">
        <v>25</v>
      </c>
      <c r="H273" s="4" t="s">
        <v>25</v>
      </c>
      <c r="I273" s="5">
        <v>44593</v>
      </c>
      <c r="J273" s="6">
        <v>0</v>
      </c>
      <c r="K273" s="6">
        <v>0</v>
      </c>
      <c r="L273" s="6">
        <v>13.394</v>
      </c>
      <c r="M273" s="6">
        <v>13.394</v>
      </c>
      <c r="N273" s="6">
        <v>13.394</v>
      </c>
      <c r="O273" s="6">
        <v>13.394</v>
      </c>
      <c r="P273" s="6">
        <v>273</v>
      </c>
      <c r="Q273" s="4" t="s">
        <v>26</v>
      </c>
      <c r="R273" s="4">
        <v>0</v>
      </c>
      <c r="S273" s="6">
        <v>0</v>
      </c>
      <c r="T273" s="6">
        <v>40</v>
      </c>
      <c r="U273" s="6">
        <v>78</v>
      </c>
      <c r="V273" s="6">
        <f>IF(ISERROR(VLOOKUP($S$273,'TAR FIN'!$A$1:$O$88,15,0)),0,VLOOKUP($S$273,'TAR FIN'!$A$1:$O$88,15,0))</f>
        <v>0</v>
      </c>
      <c r="W273" s="6">
        <f>IF(ISERROR(VLOOKUP($T$273,'TAR FIN'!$A$1:$O$88,15,0)),0,VLOOKUP($T$273,'TAR FIN'!$A$1:$O$88,15,0))</f>
        <v>176.22</v>
      </c>
      <c r="X273" s="6">
        <f>IF(ISERROR(VLOOKUP($U$273,'TAR FIN'!$A$1:$O$88,15,0)),0,VLOOKUP($U$273,'TAR FIN'!$A$1:$O$88,15,0))</f>
        <v>260.01</v>
      </c>
      <c r="Y273" s="6"/>
      <c r="Z273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73" s="6">
        <f>('TE BE'!$AB$14+'TE BF'!$AB$14+'TE CVA'!$AB$14)*(1-CUSTOS!$M$36)</f>
        <v>186.86738467976483</v>
      </c>
      <c r="AB273" s="6">
        <f>$K$273*$V$273</f>
        <v>0</v>
      </c>
      <c r="AC273" s="6">
        <f>$M$273*$W$273</f>
        <v>2360.2906800000001</v>
      </c>
      <c r="AD273" s="6">
        <f>$O$273*$X$273</f>
        <v>3482.5739399999998</v>
      </c>
      <c r="AE273" s="6">
        <f>$K$273*$Y$273</f>
        <v>0</v>
      </c>
      <c r="AF273" s="6">
        <f ca="1">$M$273*$Z$273</f>
        <v>3118.1450954441198</v>
      </c>
      <c r="AG273" s="6">
        <f>$O$273*$AA$273</f>
        <v>2502.9017504007702</v>
      </c>
    </row>
    <row r="274" spans="1:33" ht="11.25" customHeight="1" x14ac:dyDescent="0.25">
      <c r="A274" s="4" t="s">
        <v>21</v>
      </c>
      <c r="B274" s="4" t="s">
        <v>22</v>
      </c>
      <c r="C274" s="4" t="s">
        <v>23</v>
      </c>
      <c r="D274" s="4" t="s">
        <v>24</v>
      </c>
      <c r="E274" s="4" t="s">
        <v>30</v>
      </c>
      <c r="F274" s="4" t="s">
        <v>25</v>
      </c>
      <c r="G274" s="4" t="s">
        <v>25</v>
      </c>
      <c r="H274" s="4" t="s">
        <v>25</v>
      </c>
      <c r="I274" s="5">
        <v>44621</v>
      </c>
      <c r="J274" s="6">
        <v>0</v>
      </c>
      <c r="K274" s="6">
        <v>0</v>
      </c>
      <c r="L274" s="6">
        <v>16.189</v>
      </c>
      <c r="M274" s="6">
        <v>16.189</v>
      </c>
      <c r="N274" s="6">
        <v>16.189</v>
      </c>
      <c r="O274" s="6">
        <v>16.189</v>
      </c>
      <c r="P274" s="6">
        <v>309</v>
      </c>
      <c r="Q274" s="4" t="s">
        <v>26</v>
      </c>
      <c r="R274" s="4">
        <v>0</v>
      </c>
      <c r="S274" s="6">
        <v>0</v>
      </c>
      <c r="T274" s="6">
        <v>40</v>
      </c>
      <c r="U274" s="6">
        <v>78</v>
      </c>
      <c r="V274" s="6">
        <f>IF(ISERROR(VLOOKUP($S$274,'TAR FIN'!$A$1:$O$88,15,0)),0,VLOOKUP($S$274,'TAR FIN'!$A$1:$O$88,15,0))</f>
        <v>0</v>
      </c>
      <c r="W274" s="6">
        <f>IF(ISERROR(VLOOKUP($T$274,'TAR FIN'!$A$1:$O$88,15,0)),0,VLOOKUP($T$274,'TAR FIN'!$A$1:$O$88,15,0))</f>
        <v>176.22</v>
      </c>
      <c r="X274" s="6">
        <f>IF(ISERROR(VLOOKUP($U$274,'TAR FIN'!$A$1:$O$88,15,0)),0,VLOOKUP($U$274,'TAR FIN'!$A$1:$O$88,15,0))</f>
        <v>260.01</v>
      </c>
      <c r="Y274" s="6"/>
      <c r="Z274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74" s="6">
        <f>('TE BE'!$AB$14+'TE BF'!$AB$14+'TE CVA'!$AB$14)*(1-CUSTOS!$M$36)</f>
        <v>186.86738467976483</v>
      </c>
      <c r="AB274" s="6">
        <f>$K$274*$V$274</f>
        <v>0</v>
      </c>
      <c r="AC274" s="6">
        <f>$M$274*$W$274</f>
        <v>2852.8255800000002</v>
      </c>
      <c r="AD274" s="6">
        <f>$O$274*$X$274</f>
        <v>4209.3018899999997</v>
      </c>
      <c r="AE274" s="6">
        <f>$K$274*$Y$274</f>
        <v>0</v>
      </c>
      <c r="AF274" s="6">
        <f ca="1">$M$274*$Z$274</f>
        <v>3768.8256644874459</v>
      </c>
      <c r="AG274" s="6">
        <f>$O$274*$AA$274</f>
        <v>3025.1960905807127</v>
      </c>
    </row>
    <row r="275" spans="1:33" ht="11.25" customHeight="1" x14ac:dyDescent="0.25">
      <c r="A275" s="4" t="s">
        <v>21</v>
      </c>
      <c r="B275" s="4" t="s">
        <v>22</v>
      </c>
      <c r="C275" s="4" t="s">
        <v>23</v>
      </c>
      <c r="D275" s="4" t="s">
        <v>24</v>
      </c>
      <c r="E275" s="4" t="s">
        <v>30</v>
      </c>
      <c r="F275" s="4" t="s">
        <v>25</v>
      </c>
      <c r="G275" s="4" t="s">
        <v>25</v>
      </c>
      <c r="H275" s="4" t="s">
        <v>25</v>
      </c>
      <c r="I275" s="5">
        <v>44652</v>
      </c>
      <c r="J275" s="6">
        <v>0</v>
      </c>
      <c r="K275" s="6">
        <v>0</v>
      </c>
      <c r="L275" s="6">
        <v>12.414999999999999</v>
      </c>
      <c r="M275" s="6">
        <v>12.414999999999999</v>
      </c>
      <c r="N275" s="6">
        <v>12.414999999999999</v>
      </c>
      <c r="O275" s="6">
        <v>12.414999999999999</v>
      </c>
      <c r="P275" s="6">
        <v>268</v>
      </c>
      <c r="Q275" s="4" t="s">
        <v>26</v>
      </c>
      <c r="R275" s="4">
        <v>0</v>
      </c>
      <c r="S275" s="6">
        <v>0</v>
      </c>
      <c r="T275" s="6">
        <v>40</v>
      </c>
      <c r="U275" s="6">
        <v>78</v>
      </c>
      <c r="V275" s="6">
        <f>IF(ISERROR(VLOOKUP($S$275,'TAR FIN'!$A$1:$O$88,15,0)),0,VLOOKUP($S$275,'TAR FIN'!$A$1:$O$88,15,0))</f>
        <v>0</v>
      </c>
      <c r="W275" s="6">
        <f>IF(ISERROR(VLOOKUP($T$275,'TAR FIN'!$A$1:$O$88,15,0)),0,VLOOKUP($T$275,'TAR FIN'!$A$1:$O$88,15,0))</f>
        <v>176.22</v>
      </c>
      <c r="X275" s="6">
        <f>IF(ISERROR(VLOOKUP($U$275,'TAR FIN'!$A$1:$O$88,15,0)),0,VLOOKUP($U$275,'TAR FIN'!$A$1:$O$88,15,0))</f>
        <v>260.01</v>
      </c>
      <c r="Y275" s="6"/>
      <c r="Z275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75" s="6">
        <f>('TE BE'!$AB$14+'TE BF'!$AB$14+'TE CVA'!$AB$14)*(1-CUSTOS!$M$36)</f>
        <v>186.86738467976483</v>
      </c>
      <c r="AB275" s="6">
        <f>$K$275*$V$275</f>
        <v>0</v>
      </c>
      <c r="AC275" s="6">
        <f>$M$275*$W$275</f>
        <v>2187.7712999999999</v>
      </c>
      <c r="AD275" s="6">
        <f>$O$275*$X$275</f>
        <v>3228.0241499999997</v>
      </c>
      <c r="AE275" s="6">
        <f>$K$275*$Y$275</f>
        <v>0</v>
      </c>
      <c r="AF275" s="6">
        <f ca="1">$M$275*$Z$275</f>
        <v>2890.2322950529151</v>
      </c>
      <c r="AG275" s="6">
        <f>$O$275*$AA$275</f>
        <v>2319.9585807992803</v>
      </c>
    </row>
    <row r="276" spans="1:33" ht="11.25" customHeight="1" x14ac:dyDescent="0.25">
      <c r="A276" s="4" t="s">
        <v>21</v>
      </c>
      <c r="B276" s="4" t="s">
        <v>22</v>
      </c>
      <c r="C276" s="4" t="s">
        <v>23</v>
      </c>
      <c r="D276" s="4" t="s">
        <v>24</v>
      </c>
      <c r="E276" s="4" t="s">
        <v>30</v>
      </c>
      <c r="F276" s="4" t="s">
        <v>25</v>
      </c>
      <c r="G276" s="4" t="s">
        <v>25</v>
      </c>
      <c r="H276" s="4" t="s">
        <v>25</v>
      </c>
      <c r="I276" s="5">
        <v>44682</v>
      </c>
      <c r="J276" s="6">
        <v>0</v>
      </c>
      <c r="K276" s="6">
        <v>0</v>
      </c>
      <c r="L276" s="6">
        <v>10.862</v>
      </c>
      <c r="M276" s="6">
        <v>10.862</v>
      </c>
      <c r="N276" s="6">
        <v>10.862</v>
      </c>
      <c r="O276" s="6">
        <v>10.862</v>
      </c>
      <c r="P276" s="6">
        <v>228</v>
      </c>
      <c r="Q276" s="4" t="s">
        <v>26</v>
      </c>
      <c r="R276" s="4">
        <v>0</v>
      </c>
      <c r="S276" s="6">
        <v>0</v>
      </c>
      <c r="T276" s="6">
        <v>40</v>
      </c>
      <c r="U276" s="6">
        <v>78</v>
      </c>
      <c r="V276" s="6">
        <f>IF(ISERROR(VLOOKUP($S$276,'TAR FIN'!$A$1:$O$88,15,0)),0,VLOOKUP($S$276,'TAR FIN'!$A$1:$O$88,15,0))</f>
        <v>0</v>
      </c>
      <c r="W276" s="6">
        <f>IF(ISERROR(VLOOKUP($T$276,'TAR FIN'!$A$1:$O$88,15,0)),0,VLOOKUP($T$276,'TAR FIN'!$A$1:$O$88,15,0))</f>
        <v>176.22</v>
      </c>
      <c r="X276" s="6">
        <f>IF(ISERROR(VLOOKUP($U$276,'TAR FIN'!$A$1:$O$88,15,0)),0,VLOOKUP($U$276,'TAR FIN'!$A$1:$O$88,15,0))</f>
        <v>260.01</v>
      </c>
      <c r="Y276" s="6"/>
      <c r="Z276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76" s="6">
        <f>('TE BE'!$AB$14+'TE BF'!$AB$14+'TE CVA'!$AB$14)*(1-CUSTOS!$M$36)</f>
        <v>186.86738467976483</v>
      </c>
      <c r="AB276" s="6">
        <f>$K$276*$V$276</f>
        <v>0</v>
      </c>
      <c r="AC276" s="6">
        <f>$M$276*$W$276</f>
        <v>1914.1016400000001</v>
      </c>
      <c r="AD276" s="6">
        <f>$O$276*$X$276</f>
        <v>2824.2286199999999</v>
      </c>
      <c r="AE276" s="6">
        <f>$K$276*$Y$276</f>
        <v>0</v>
      </c>
      <c r="AF276" s="6">
        <f ca="1">$M$276*$Z$276</f>
        <v>2528.6913563322405</v>
      </c>
      <c r="AG276" s="6">
        <f>$O$276*$AA$276</f>
        <v>2029.7535323916056</v>
      </c>
    </row>
    <row r="277" spans="1:33" ht="11.25" customHeight="1" x14ac:dyDescent="0.25">
      <c r="A277" s="4" t="s">
        <v>21</v>
      </c>
      <c r="B277" s="4" t="s">
        <v>22</v>
      </c>
      <c r="C277" s="4" t="s">
        <v>23</v>
      </c>
      <c r="D277" s="4" t="s">
        <v>24</v>
      </c>
      <c r="E277" s="4" t="s">
        <v>30</v>
      </c>
      <c r="F277" s="4" t="s">
        <v>25</v>
      </c>
      <c r="G277" s="4" t="s">
        <v>25</v>
      </c>
      <c r="H277" s="4" t="s">
        <v>25</v>
      </c>
      <c r="I277" s="5">
        <v>44713</v>
      </c>
      <c r="J277" s="6">
        <v>0</v>
      </c>
      <c r="K277" s="6">
        <v>0</v>
      </c>
      <c r="L277" s="6">
        <v>12.992000000000001</v>
      </c>
      <c r="M277" s="6">
        <v>12.992000000000001</v>
      </c>
      <c r="N277" s="6">
        <v>12.992000000000001</v>
      </c>
      <c r="O277" s="6">
        <v>12.992000000000001</v>
      </c>
      <c r="P277" s="6">
        <v>259</v>
      </c>
      <c r="Q277" s="4" t="s">
        <v>26</v>
      </c>
      <c r="R277" s="4">
        <v>0</v>
      </c>
      <c r="S277" s="6">
        <v>0</v>
      </c>
      <c r="T277" s="6">
        <v>40</v>
      </c>
      <c r="U277" s="6">
        <v>78</v>
      </c>
      <c r="V277" s="6">
        <f>IF(ISERROR(VLOOKUP($S$277,'TAR FIN'!$A$1:$O$88,15,0)),0,VLOOKUP($S$277,'TAR FIN'!$A$1:$O$88,15,0))</f>
        <v>0</v>
      </c>
      <c r="W277" s="6">
        <f>IF(ISERROR(VLOOKUP($T$277,'TAR FIN'!$A$1:$O$88,15,0)),0,VLOOKUP($T$277,'TAR FIN'!$A$1:$O$88,15,0))</f>
        <v>176.22</v>
      </c>
      <c r="X277" s="6">
        <f>IF(ISERROR(VLOOKUP($U$277,'TAR FIN'!$A$1:$O$88,15,0)),0,VLOOKUP($U$277,'TAR FIN'!$A$1:$O$88,15,0))</f>
        <v>260.01</v>
      </c>
      <c r="Y277" s="6"/>
      <c r="Z277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77" s="6">
        <f>('TE BE'!$AB$14+'TE BF'!$AB$14+'TE CVA'!$AB$14)*(1-CUSTOS!$M$36)</f>
        <v>186.86738467976483</v>
      </c>
      <c r="AB277" s="6">
        <f>$K$277*$V$277</f>
        <v>0</v>
      </c>
      <c r="AC277" s="6">
        <f>$M$277*$W$277</f>
        <v>2289.4502400000001</v>
      </c>
      <c r="AD277" s="6">
        <f>$O$277*$X$277</f>
        <v>3378.0499199999999</v>
      </c>
      <c r="AE277" s="6">
        <f>$K$277*$Y$277</f>
        <v>0</v>
      </c>
      <c r="AF277" s="6">
        <f ca="1">$M$277*$Z$277</f>
        <v>3024.5588382865467</v>
      </c>
      <c r="AG277" s="6">
        <f>$O$277*$AA$277</f>
        <v>2427.7810617595046</v>
      </c>
    </row>
    <row r="278" spans="1:33" ht="11.25" customHeight="1" x14ac:dyDescent="0.25">
      <c r="A278" s="4" t="s">
        <v>55</v>
      </c>
      <c r="B278" s="4" t="s">
        <v>22</v>
      </c>
      <c r="C278" s="4" t="s">
        <v>23</v>
      </c>
      <c r="D278" s="4" t="s">
        <v>24</v>
      </c>
      <c r="E278" s="4" t="s">
        <v>30</v>
      </c>
      <c r="F278" s="4" t="s">
        <v>25</v>
      </c>
      <c r="G278" s="4" t="s">
        <v>25</v>
      </c>
      <c r="H278" s="4" t="s">
        <v>25</v>
      </c>
      <c r="I278" s="5">
        <v>44743</v>
      </c>
      <c r="J278" s="6">
        <v>0</v>
      </c>
      <c r="K278" s="6">
        <v>0</v>
      </c>
      <c r="L278" s="6">
        <v>12.992000000000001</v>
      </c>
      <c r="M278" s="6">
        <v>12.992000000000001</v>
      </c>
      <c r="N278" s="6">
        <v>12.992000000000001</v>
      </c>
      <c r="O278" s="6">
        <v>12.992000000000001</v>
      </c>
      <c r="P278" s="6">
        <v>259</v>
      </c>
      <c r="Q278" s="4" t="s">
        <v>26</v>
      </c>
      <c r="R278" s="4">
        <v>0</v>
      </c>
      <c r="S278" s="6">
        <v>0</v>
      </c>
      <c r="T278" s="6">
        <v>40</v>
      </c>
      <c r="U278" s="6">
        <v>78</v>
      </c>
      <c r="V278" s="6">
        <f>IF(ISERROR(VLOOKUP($S$278,'TAR FIN'!$A$1:$O$88,15,0)),0,VLOOKUP($S$278,'TAR FIN'!$A$1:$O$88,15,0))</f>
        <v>0</v>
      </c>
      <c r="W278" s="6">
        <f>IF(ISERROR(VLOOKUP($T$278,'TAR FIN'!$A$1:$O$88,15,0)),0,VLOOKUP($T$278,'TAR FIN'!$A$1:$O$88,15,0))</f>
        <v>176.22</v>
      </c>
      <c r="X278" s="6">
        <f>IF(ISERROR(VLOOKUP($U$278,'TAR FIN'!$A$1:$O$88,15,0)),0,VLOOKUP($U$278,'TAR FIN'!$A$1:$O$88,15,0))</f>
        <v>260.01</v>
      </c>
      <c r="Y278" s="6"/>
      <c r="Z278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278" s="6">
        <f>('TE BE'!$AB$14+'TE BF'!$AB$14+'TE CVA'!$AB$14)*(1-CUSTOS!$M$36)</f>
        <v>186.86738467976483</v>
      </c>
      <c r="AB278" s="6">
        <f>$K$278*$V$278</f>
        <v>0</v>
      </c>
      <c r="AC278" s="6">
        <f>$M$278*$W$278</f>
        <v>2289.4502400000001</v>
      </c>
      <c r="AD278" s="6">
        <f>$O$278*$X$278</f>
        <v>3378.0499199999999</v>
      </c>
      <c r="AE278" s="6">
        <f>$K$278*$Y$278</f>
        <v>0</v>
      </c>
      <c r="AF278" s="6">
        <f ca="1">$M$278*$Z$278</f>
        <v>3024.5588382865467</v>
      </c>
      <c r="AG278" s="6">
        <f>$O$278*$AA$278</f>
        <v>2427.7810617595046</v>
      </c>
    </row>
    <row r="279" spans="1:33" ht="11.25" customHeight="1" x14ac:dyDescent="0.25">
      <c r="A279" s="4" t="s">
        <v>21</v>
      </c>
      <c r="B279" s="4" t="s">
        <v>22</v>
      </c>
      <c r="C279" s="4" t="s">
        <v>23</v>
      </c>
      <c r="D279" s="4" t="s">
        <v>24</v>
      </c>
      <c r="E279" s="4" t="s">
        <v>31</v>
      </c>
      <c r="F279" s="4" t="s">
        <v>25</v>
      </c>
      <c r="G279" s="4" t="s">
        <v>25</v>
      </c>
      <c r="H279" s="4" t="s">
        <v>25</v>
      </c>
      <c r="I279" s="5">
        <v>44409</v>
      </c>
      <c r="J279" s="6">
        <v>0</v>
      </c>
      <c r="K279" s="6">
        <v>0</v>
      </c>
      <c r="L279" s="6">
        <v>0.874</v>
      </c>
      <c r="M279" s="6">
        <v>0.874</v>
      </c>
      <c r="N279" s="6">
        <v>0.874</v>
      </c>
      <c r="O279" s="6">
        <v>0.874</v>
      </c>
      <c r="P279" s="6">
        <v>22</v>
      </c>
      <c r="Q279" s="4" t="s">
        <v>26</v>
      </c>
      <c r="R279" s="4">
        <v>0</v>
      </c>
      <c r="S279" s="6">
        <v>0</v>
      </c>
      <c r="T279" s="6">
        <v>41</v>
      </c>
      <c r="U279" s="6">
        <v>79</v>
      </c>
      <c r="V279" s="6">
        <f>IF(ISERROR(VLOOKUP($S$279,'TAR FIN'!$A$1:$O$88,15,0)),0,VLOOKUP($S$279,'TAR FIN'!$A$1:$O$88,15,0))</f>
        <v>0</v>
      </c>
      <c r="W279" s="6">
        <f>IF(ISERROR(VLOOKUP($T$279,'TAR FIN'!$A$1:$O$88,15,0)),0,VLOOKUP($T$279,'TAR FIN'!$A$1:$O$88,15,0))</f>
        <v>195.8</v>
      </c>
      <c r="X279" s="6">
        <f>IF(ISERROR(VLOOKUP($U$279,'TAR FIN'!$A$1:$O$88,15,0)),0,VLOOKUP($U$279,'TAR FIN'!$A$1:$O$88,15,0))</f>
        <v>288.89999999999998</v>
      </c>
      <c r="Y279" s="6"/>
      <c r="Z279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79" s="6">
        <f>('TE BE'!$AB$15+'TE BF'!$AB$15+'TE CVA'!$AB$15)*(1-CUSTOS!$M$37)</f>
        <v>207.63042742196092</v>
      </c>
      <c r="AB279" s="6">
        <f>$K$279*$V$279</f>
        <v>0</v>
      </c>
      <c r="AC279" s="6">
        <f>$M$279*$W$279</f>
        <v>171.1292</v>
      </c>
      <c r="AD279" s="6">
        <f>$O$279*$X$279</f>
        <v>252.49859999999998</v>
      </c>
      <c r="AE279" s="6">
        <f>$K$279*$Y$279</f>
        <v>0</v>
      </c>
      <c r="AF279" s="6">
        <f ca="1">$M$279*$Z$279</f>
        <v>226.07625416174412</v>
      </c>
      <c r="AG279" s="6">
        <f>$O$279*$AA$279</f>
        <v>181.46899356679384</v>
      </c>
    </row>
    <row r="280" spans="1:33" ht="11.25" customHeight="1" x14ac:dyDescent="0.25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31</v>
      </c>
      <c r="F280" s="4" t="s">
        <v>25</v>
      </c>
      <c r="G280" s="4" t="s">
        <v>25</v>
      </c>
      <c r="H280" s="4" t="s">
        <v>25</v>
      </c>
      <c r="I280" s="5">
        <v>44440</v>
      </c>
      <c r="J280" s="6">
        <v>0</v>
      </c>
      <c r="K280" s="6">
        <v>0</v>
      </c>
      <c r="L280" s="6">
        <v>1.5940000000000001</v>
      </c>
      <c r="M280" s="6">
        <v>1.5940000000000001</v>
      </c>
      <c r="N280" s="6">
        <v>1.5940000000000001</v>
      </c>
      <c r="O280" s="6">
        <v>1.5940000000000001</v>
      </c>
      <c r="P280" s="6">
        <v>28</v>
      </c>
      <c r="Q280" s="4" t="s">
        <v>26</v>
      </c>
      <c r="R280" s="4">
        <v>0</v>
      </c>
      <c r="S280" s="6">
        <v>0</v>
      </c>
      <c r="T280" s="6">
        <v>41</v>
      </c>
      <c r="U280" s="6">
        <v>79</v>
      </c>
      <c r="V280" s="6">
        <f>IF(ISERROR(VLOOKUP($S$280,'TAR FIN'!$A$1:$O$88,15,0)),0,VLOOKUP($S$280,'TAR FIN'!$A$1:$O$88,15,0))</f>
        <v>0</v>
      </c>
      <c r="W280" s="6">
        <f>IF(ISERROR(VLOOKUP($T$280,'TAR FIN'!$A$1:$O$88,15,0)),0,VLOOKUP($T$280,'TAR FIN'!$A$1:$O$88,15,0))</f>
        <v>195.8</v>
      </c>
      <c r="X280" s="6">
        <f>IF(ISERROR(VLOOKUP($U$280,'TAR FIN'!$A$1:$O$88,15,0)),0,VLOOKUP($U$280,'TAR FIN'!$A$1:$O$88,15,0))</f>
        <v>288.89999999999998</v>
      </c>
      <c r="Y280" s="6"/>
      <c r="Z280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80" s="6">
        <f>('TE BE'!$AB$15+'TE BF'!$AB$15+'TE CVA'!$AB$15)*(1-CUSTOS!$M$37)</f>
        <v>207.63042742196092</v>
      </c>
      <c r="AB280" s="6">
        <f>$K$280*$V$280</f>
        <v>0</v>
      </c>
      <c r="AC280" s="6">
        <f>$M$280*$W$280</f>
        <v>312.10520000000002</v>
      </c>
      <c r="AD280" s="6">
        <f>$O$280*$X$280</f>
        <v>460.50659999999999</v>
      </c>
      <c r="AE280" s="6">
        <f>$K$280*$Y$280</f>
        <v>0</v>
      </c>
      <c r="AF280" s="6">
        <f ca="1">$M$280*$Z$280</f>
        <v>412.31756193800931</v>
      </c>
      <c r="AG280" s="6">
        <f>$O$280*$AA$280</f>
        <v>330.96290131060573</v>
      </c>
    </row>
    <row r="281" spans="1:33" ht="11.25" customHeight="1" x14ac:dyDescent="0.25">
      <c r="A281" s="4" t="s">
        <v>21</v>
      </c>
      <c r="B281" s="4" t="s">
        <v>22</v>
      </c>
      <c r="C281" s="4" t="s">
        <v>23</v>
      </c>
      <c r="D281" s="4" t="s">
        <v>24</v>
      </c>
      <c r="E281" s="4" t="s">
        <v>31</v>
      </c>
      <c r="F281" s="4" t="s">
        <v>25</v>
      </c>
      <c r="G281" s="4" t="s">
        <v>25</v>
      </c>
      <c r="H281" s="4" t="s">
        <v>25</v>
      </c>
      <c r="I281" s="5">
        <v>44470</v>
      </c>
      <c r="J281" s="6">
        <v>0</v>
      </c>
      <c r="K281" s="6">
        <v>0</v>
      </c>
      <c r="L281" s="6">
        <v>0.61299999999999999</v>
      </c>
      <c r="M281" s="6">
        <v>0.61299999999999999</v>
      </c>
      <c r="N281" s="6">
        <v>0.61299999999999999</v>
      </c>
      <c r="O281" s="6">
        <v>0.61299999999999999</v>
      </c>
      <c r="P281" s="6">
        <v>14</v>
      </c>
      <c r="Q281" s="4" t="s">
        <v>26</v>
      </c>
      <c r="R281" s="4">
        <v>0</v>
      </c>
      <c r="S281" s="6">
        <v>0</v>
      </c>
      <c r="T281" s="6">
        <v>41</v>
      </c>
      <c r="U281" s="6">
        <v>79</v>
      </c>
      <c r="V281" s="6">
        <f>IF(ISERROR(VLOOKUP($S$281,'TAR FIN'!$A$1:$O$88,15,0)),0,VLOOKUP($S$281,'TAR FIN'!$A$1:$O$88,15,0))</f>
        <v>0</v>
      </c>
      <c r="W281" s="6">
        <f>IF(ISERROR(VLOOKUP($T$281,'TAR FIN'!$A$1:$O$88,15,0)),0,VLOOKUP($T$281,'TAR FIN'!$A$1:$O$88,15,0))</f>
        <v>195.8</v>
      </c>
      <c r="X281" s="6">
        <f>IF(ISERROR(VLOOKUP($U$281,'TAR FIN'!$A$1:$O$88,15,0)),0,VLOOKUP($U$281,'TAR FIN'!$A$1:$O$88,15,0))</f>
        <v>288.89999999999998</v>
      </c>
      <c r="Y281" s="6"/>
      <c r="Z281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81" s="6">
        <f>('TE BE'!$AB$15+'TE BF'!$AB$15+'TE CVA'!$AB$15)*(1-CUSTOS!$M$37)</f>
        <v>207.63042742196092</v>
      </c>
      <c r="AB281" s="6">
        <f>$K$281*$V$281</f>
        <v>0</v>
      </c>
      <c r="AC281" s="6">
        <f>$M$281*$W$281</f>
        <v>120.0254</v>
      </c>
      <c r="AD281" s="6">
        <f>$O$281*$X$281</f>
        <v>177.09569999999999</v>
      </c>
      <c r="AE281" s="6">
        <f>$K$281*$Y$281</f>
        <v>0</v>
      </c>
      <c r="AF281" s="6">
        <f ca="1">$M$281*$Z$281</f>
        <v>158.56378009284799</v>
      </c>
      <c r="AG281" s="6">
        <f>$O$281*$AA$281</f>
        <v>127.27745200966204</v>
      </c>
    </row>
    <row r="282" spans="1:33" ht="11.25" customHeight="1" x14ac:dyDescent="0.25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31</v>
      </c>
      <c r="F282" s="4" t="s">
        <v>25</v>
      </c>
      <c r="G282" s="4" t="s">
        <v>25</v>
      </c>
      <c r="H282" s="4" t="s">
        <v>25</v>
      </c>
      <c r="I282" s="5">
        <v>44501</v>
      </c>
      <c r="J282" s="6">
        <v>0</v>
      </c>
      <c r="K282" s="6">
        <v>0</v>
      </c>
      <c r="L282" s="6">
        <v>1.5680000000000001</v>
      </c>
      <c r="M282" s="6">
        <v>1.5680000000000001</v>
      </c>
      <c r="N282" s="6">
        <v>1.5680000000000001</v>
      </c>
      <c r="O282" s="6">
        <v>1.5680000000000001</v>
      </c>
      <c r="P282" s="6">
        <v>32</v>
      </c>
      <c r="Q282" s="4" t="s">
        <v>26</v>
      </c>
      <c r="R282" s="4">
        <v>0</v>
      </c>
      <c r="S282" s="6">
        <v>0</v>
      </c>
      <c r="T282" s="6">
        <v>41</v>
      </c>
      <c r="U282" s="6">
        <v>79</v>
      </c>
      <c r="V282" s="6">
        <f>IF(ISERROR(VLOOKUP($S$282,'TAR FIN'!$A$1:$O$88,15,0)),0,VLOOKUP($S$282,'TAR FIN'!$A$1:$O$88,15,0))</f>
        <v>0</v>
      </c>
      <c r="W282" s="6">
        <f>IF(ISERROR(VLOOKUP($T$282,'TAR FIN'!$A$1:$O$88,15,0)),0,VLOOKUP($T$282,'TAR FIN'!$A$1:$O$88,15,0))</f>
        <v>195.8</v>
      </c>
      <c r="X282" s="6">
        <f>IF(ISERROR(VLOOKUP($U$282,'TAR FIN'!$A$1:$O$88,15,0)),0,VLOOKUP($U$282,'TAR FIN'!$A$1:$O$88,15,0))</f>
        <v>288.89999999999998</v>
      </c>
      <c r="Y282" s="6"/>
      <c r="Z282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82" s="6">
        <f>('TE BE'!$AB$15+'TE BF'!$AB$15+'TE CVA'!$AB$15)*(1-CUSTOS!$M$37)</f>
        <v>207.63042742196092</v>
      </c>
      <c r="AB282" s="6">
        <f>$K$282*$V$282</f>
        <v>0</v>
      </c>
      <c r="AC282" s="6">
        <f>$M$282*$W$282</f>
        <v>307.01440000000002</v>
      </c>
      <c r="AD282" s="6">
        <f>$O$282*$X$282</f>
        <v>452.99519999999995</v>
      </c>
      <c r="AE282" s="6">
        <f>$K$282*$Y$282</f>
        <v>0</v>
      </c>
      <c r="AF282" s="6">
        <f ca="1">$M$282*$Z$282</f>
        <v>405.59218137942196</v>
      </c>
      <c r="AG282" s="6">
        <f>$O$282*$AA$282</f>
        <v>325.56451019763472</v>
      </c>
    </row>
    <row r="283" spans="1:33" ht="11.25" customHeight="1" x14ac:dyDescent="0.25">
      <c r="A283" s="4" t="s">
        <v>21</v>
      </c>
      <c r="B283" s="4" t="s">
        <v>22</v>
      </c>
      <c r="C283" s="4" t="s">
        <v>23</v>
      </c>
      <c r="D283" s="4" t="s">
        <v>24</v>
      </c>
      <c r="E283" s="4" t="s">
        <v>31</v>
      </c>
      <c r="F283" s="4" t="s">
        <v>25</v>
      </c>
      <c r="G283" s="4" t="s">
        <v>25</v>
      </c>
      <c r="H283" s="4" t="s">
        <v>25</v>
      </c>
      <c r="I283" s="5">
        <v>44531</v>
      </c>
      <c r="J283" s="6">
        <v>0</v>
      </c>
      <c r="K283" s="6">
        <v>0</v>
      </c>
      <c r="L283" s="6">
        <v>2.3109999999999999</v>
      </c>
      <c r="M283" s="6">
        <v>2.3109999999999999</v>
      </c>
      <c r="N283" s="6">
        <v>2.3109999999999999</v>
      </c>
      <c r="O283" s="6">
        <v>2.3109999999999999</v>
      </c>
      <c r="P283" s="6">
        <v>39</v>
      </c>
      <c r="Q283" s="4" t="s">
        <v>26</v>
      </c>
      <c r="R283" s="4">
        <v>0</v>
      </c>
      <c r="S283" s="6">
        <v>0</v>
      </c>
      <c r="T283" s="6">
        <v>41</v>
      </c>
      <c r="U283" s="6">
        <v>79</v>
      </c>
      <c r="V283" s="6">
        <f>IF(ISERROR(VLOOKUP($S$283,'TAR FIN'!$A$1:$O$88,15,0)),0,VLOOKUP($S$283,'TAR FIN'!$A$1:$O$88,15,0))</f>
        <v>0</v>
      </c>
      <c r="W283" s="6">
        <f>IF(ISERROR(VLOOKUP($T$283,'TAR FIN'!$A$1:$O$88,15,0)),0,VLOOKUP($T$283,'TAR FIN'!$A$1:$O$88,15,0))</f>
        <v>195.8</v>
      </c>
      <c r="X283" s="6">
        <f>IF(ISERROR(VLOOKUP($U$283,'TAR FIN'!$A$1:$O$88,15,0)),0,VLOOKUP($U$283,'TAR FIN'!$A$1:$O$88,15,0))</f>
        <v>288.89999999999998</v>
      </c>
      <c r="Y283" s="6"/>
      <c r="Z283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83" s="6">
        <f>('TE BE'!$AB$15+'TE BF'!$AB$15+'TE CVA'!$AB$15)*(1-CUSTOS!$M$37)</f>
        <v>207.63042742196092</v>
      </c>
      <c r="AB283" s="6">
        <f>$K$283*$V$283</f>
        <v>0</v>
      </c>
      <c r="AC283" s="6">
        <f>$M$283*$W$283</f>
        <v>452.49380000000002</v>
      </c>
      <c r="AD283" s="6">
        <f>$O$283*$X$283</f>
        <v>667.64789999999994</v>
      </c>
      <c r="AE283" s="6">
        <f>$K$283*$Y$283</f>
        <v>0</v>
      </c>
      <c r="AF283" s="6">
        <f ca="1">$M$283*$Z$283</f>
        <v>597.78286426520663</v>
      </c>
      <c r="AG283" s="6">
        <f>$O$283*$AA$283</f>
        <v>479.83391777215166</v>
      </c>
    </row>
    <row r="284" spans="1:33" ht="11.25" customHeight="1" x14ac:dyDescent="0.25">
      <c r="A284" s="4" t="s">
        <v>21</v>
      </c>
      <c r="B284" s="4" t="s">
        <v>22</v>
      </c>
      <c r="C284" s="4" t="s">
        <v>23</v>
      </c>
      <c r="D284" s="4" t="s">
        <v>24</v>
      </c>
      <c r="E284" s="4" t="s">
        <v>31</v>
      </c>
      <c r="F284" s="4" t="s">
        <v>25</v>
      </c>
      <c r="G284" s="4" t="s">
        <v>25</v>
      </c>
      <c r="H284" s="4" t="s">
        <v>25</v>
      </c>
      <c r="I284" s="5">
        <v>44562</v>
      </c>
      <c r="J284" s="6">
        <v>0</v>
      </c>
      <c r="K284" s="6">
        <v>0</v>
      </c>
      <c r="L284" s="6">
        <v>1.925</v>
      </c>
      <c r="M284" s="6">
        <v>1.925</v>
      </c>
      <c r="N284" s="6">
        <v>1.925</v>
      </c>
      <c r="O284" s="6">
        <v>1.925</v>
      </c>
      <c r="P284" s="6">
        <v>34</v>
      </c>
      <c r="Q284" s="4" t="s">
        <v>26</v>
      </c>
      <c r="R284" s="4">
        <v>0</v>
      </c>
      <c r="S284" s="6">
        <v>0</v>
      </c>
      <c r="T284" s="6">
        <v>41</v>
      </c>
      <c r="U284" s="6">
        <v>79</v>
      </c>
      <c r="V284" s="6">
        <f>IF(ISERROR(VLOOKUP($S$284,'TAR FIN'!$A$1:$O$88,15,0)),0,VLOOKUP($S$284,'TAR FIN'!$A$1:$O$88,15,0))</f>
        <v>0</v>
      </c>
      <c r="W284" s="6">
        <f>IF(ISERROR(VLOOKUP($T$284,'TAR FIN'!$A$1:$O$88,15,0)),0,VLOOKUP($T$284,'TAR FIN'!$A$1:$O$88,15,0))</f>
        <v>195.8</v>
      </c>
      <c r="X284" s="6">
        <f>IF(ISERROR(VLOOKUP($U$284,'TAR FIN'!$A$1:$O$88,15,0)),0,VLOOKUP($U$284,'TAR FIN'!$A$1:$O$88,15,0))</f>
        <v>288.89999999999998</v>
      </c>
      <c r="Y284" s="6"/>
      <c r="Z284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84" s="6">
        <f>('TE BE'!$AB$15+'TE BF'!$AB$15+'TE CVA'!$AB$15)*(1-CUSTOS!$M$37)</f>
        <v>207.63042742196092</v>
      </c>
      <c r="AB284" s="6">
        <f>$K$284*$V$284</f>
        <v>0</v>
      </c>
      <c r="AC284" s="6">
        <f>$M$284*$W$284</f>
        <v>376.91500000000002</v>
      </c>
      <c r="AD284" s="6">
        <f>$O$284*$X$284</f>
        <v>556.13249999999994</v>
      </c>
      <c r="AE284" s="6">
        <f>$K$284*$Y$284</f>
        <v>0</v>
      </c>
      <c r="AF284" s="6">
        <f ca="1">$M$284*$Z$284</f>
        <v>497.93682981848679</v>
      </c>
      <c r="AG284" s="6">
        <f>$O$284*$AA$284</f>
        <v>399.68857278727478</v>
      </c>
    </row>
    <row r="285" spans="1:33" ht="11.25" customHeight="1" x14ac:dyDescent="0.25">
      <c r="A285" s="4" t="s">
        <v>21</v>
      </c>
      <c r="B285" s="4" t="s">
        <v>22</v>
      </c>
      <c r="C285" s="4" t="s">
        <v>23</v>
      </c>
      <c r="D285" s="4" t="s">
        <v>24</v>
      </c>
      <c r="E285" s="4" t="s">
        <v>31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0</v>
      </c>
      <c r="K285" s="6">
        <v>0</v>
      </c>
      <c r="L285" s="6">
        <v>1.6319999999999999</v>
      </c>
      <c r="M285" s="6">
        <v>1.6319999999999999</v>
      </c>
      <c r="N285" s="6">
        <v>1.6319999999999999</v>
      </c>
      <c r="O285" s="6">
        <v>1.6319999999999999</v>
      </c>
      <c r="P285" s="6">
        <v>23</v>
      </c>
      <c r="Q285" s="4" t="s">
        <v>26</v>
      </c>
      <c r="R285" s="4">
        <v>0</v>
      </c>
      <c r="S285" s="6">
        <v>0</v>
      </c>
      <c r="T285" s="6">
        <v>41</v>
      </c>
      <c r="U285" s="6">
        <v>79</v>
      </c>
      <c r="V285" s="6">
        <f>IF(ISERROR(VLOOKUP($S$285,'TAR FIN'!$A$1:$O$88,15,0)),0,VLOOKUP($S$285,'TAR FIN'!$A$1:$O$88,15,0))</f>
        <v>0</v>
      </c>
      <c r="W285" s="6">
        <f>IF(ISERROR(VLOOKUP($T$285,'TAR FIN'!$A$1:$O$88,15,0)),0,VLOOKUP($T$285,'TAR FIN'!$A$1:$O$88,15,0))</f>
        <v>195.8</v>
      </c>
      <c r="X285" s="6">
        <f>IF(ISERROR(VLOOKUP($U$285,'TAR FIN'!$A$1:$O$88,15,0)),0,VLOOKUP($U$285,'TAR FIN'!$A$1:$O$88,15,0))</f>
        <v>288.89999999999998</v>
      </c>
      <c r="Y285" s="6"/>
      <c r="Z285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85" s="6">
        <f>('TE BE'!$AB$15+'TE BF'!$AB$15+'TE CVA'!$AB$15)*(1-CUSTOS!$M$37)</f>
        <v>207.63042742196092</v>
      </c>
      <c r="AB285" s="6">
        <f>$K$285*$V$285</f>
        <v>0</v>
      </c>
      <c r="AC285" s="6">
        <f>$M$285*$W$285</f>
        <v>319.54559999999998</v>
      </c>
      <c r="AD285" s="6">
        <f>$O$285*$X$285</f>
        <v>471.48479999999995</v>
      </c>
      <c r="AE285" s="6">
        <f>$K$285*$Y$285</f>
        <v>0</v>
      </c>
      <c r="AF285" s="6">
        <f ca="1">$M$285*$Z$285</f>
        <v>422.14696429286772</v>
      </c>
      <c r="AG285" s="6">
        <f>$O$285*$AA$285</f>
        <v>338.85285755264022</v>
      </c>
    </row>
    <row r="286" spans="1:33" ht="11.25" customHeight="1" x14ac:dyDescent="0.25">
      <c r="A286" s="4" t="s">
        <v>21</v>
      </c>
      <c r="B286" s="4" t="s">
        <v>22</v>
      </c>
      <c r="C286" s="4" t="s">
        <v>23</v>
      </c>
      <c r="D286" s="4" t="s">
        <v>24</v>
      </c>
      <c r="E286" s="4" t="s">
        <v>31</v>
      </c>
      <c r="F286" s="4" t="s">
        <v>25</v>
      </c>
      <c r="G286" s="4" t="s">
        <v>25</v>
      </c>
      <c r="H286" s="4" t="s">
        <v>25</v>
      </c>
      <c r="I286" s="5">
        <v>44621</v>
      </c>
      <c r="J286" s="6">
        <v>0</v>
      </c>
      <c r="K286" s="6">
        <v>0</v>
      </c>
      <c r="L286" s="6">
        <v>2.0339999999999998</v>
      </c>
      <c r="M286" s="6">
        <v>2.0339999999999998</v>
      </c>
      <c r="N286" s="6">
        <v>2.0339999999999998</v>
      </c>
      <c r="O286" s="6">
        <v>2.0339999999999998</v>
      </c>
      <c r="P286" s="6">
        <v>30</v>
      </c>
      <c r="Q286" s="4" t="s">
        <v>26</v>
      </c>
      <c r="R286" s="4">
        <v>0</v>
      </c>
      <c r="S286" s="6">
        <v>0</v>
      </c>
      <c r="T286" s="6">
        <v>41</v>
      </c>
      <c r="U286" s="6">
        <v>79</v>
      </c>
      <c r="V286" s="6">
        <f>IF(ISERROR(VLOOKUP($S$286,'TAR FIN'!$A$1:$O$88,15,0)),0,VLOOKUP($S$286,'TAR FIN'!$A$1:$O$88,15,0))</f>
        <v>0</v>
      </c>
      <c r="W286" s="6">
        <f>IF(ISERROR(VLOOKUP($T$286,'TAR FIN'!$A$1:$O$88,15,0)),0,VLOOKUP($T$286,'TAR FIN'!$A$1:$O$88,15,0))</f>
        <v>195.8</v>
      </c>
      <c r="X286" s="6">
        <f>IF(ISERROR(VLOOKUP($U$286,'TAR FIN'!$A$1:$O$88,15,0)),0,VLOOKUP($U$286,'TAR FIN'!$A$1:$O$88,15,0))</f>
        <v>288.89999999999998</v>
      </c>
      <c r="Y286" s="6"/>
      <c r="Z286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86" s="6">
        <f>('TE BE'!$AB$15+'TE BF'!$AB$15+'TE CVA'!$AB$15)*(1-CUSTOS!$M$37)</f>
        <v>207.63042742196092</v>
      </c>
      <c r="AB286" s="6">
        <f>$K$286*$V$286</f>
        <v>0</v>
      </c>
      <c r="AC286" s="6">
        <f>$M$286*$W$286</f>
        <v>398.25720000000001</v>
      </c>
      <c r="AD286" s="6">
        <f>$O$286*$X$286</f>
        <v>587.62259999999992</v>
      </c>
      <c r="AE286" s="6">
        <f>$K$286*$Y$286</f>
        <v>0</v>
      </c>
      <c r="AF286" s="6">
        <f ca="1">$M$286*$Z$286</f>
        <v>526.13169446794905</v>
      </c>
      <c r="AG286" s="6">
        <f>$O$286*$AA$286</f>
        <v>422.32028937626848</v>
      </c>
    </row>
    <row r="287" spans="1:33" ht="11.25" customHeight="1" x14ac:dyDescent="0.25">
      <c r="A287" s="4" t="s">
        <v>21</v>
      </c>
      <c r="B287" s="4" t="s">
        <v>22</v>
      </c>
      <c r="C287" s="4" t="s">
        <v>23</v>
      </c>
      <c r="D287" s="4" t="s">
        <v>24</v>
      </c>
      <c r="E287" s="4" t="s">
        <v>31</v>
      </c>
      <c r="F287" s="4" t="s">
        <v>25</v>
      </c>
      <c r="G287" s="4" t="s">
        <v>25</v>
      </c>
      <c r="H287" s="4" t="s">
        <v>25</v>
      </c>
      <c r="I287" s="5">
        <v>44652</v>
      </c>
      <c r="J287" s="6">
        <v>0</v>
      </c>
      <c r="K287" s="6">
        <v>0</v>
      </c>
      <c r="L287" s="6">
        <v>0.96599999999999997</v>
      </c>
      <c r="M287" s="6">
        <v>0.96599999999999997</v>
      </c>
      <c r="N287" s="6">
        <v>0.96599999999999997</v>
      </c>
      <c r="O287" s="6">
        <v>0.96599999999999997</v>
      </c>
      <c r="P287" s="6">
        <v>22</v>
      </c>
      <c r="Q287" s="4" t="s">
        <v>26</v>
      </c>
      <c r="R287" s="4">
        <v>0</v>
      </c>
      <c r="S287" s="6">
        <v>0</v>
      </c>
      <c r="T287" s="6">
        <v>41</v>
      </c>
      <c r="U287" s="6">
        <v>79</v>
      </c>
      <c r="V287" s="6">
        <f>IF(ISERROR(VLOOKUP($S$287,'TAR FIN'!$A$1:$O$88,15,0)),0,VLOOKUP($S$287,'TAR FIN'!$A$1:$O$88,15,0))</f>
        <v>0</v>
      </c>
      <c r="W287" s="6">
        <f>IF(ISERROR(VLOOKUP($T$287,'TAR FIN'!$A$1:$O$88,15,0)),0,VLOOKUP($T$287,'TAR FIN'!$A$1:$O$88,15,0))</f>
        <v>195.8</v>
      </c>
      <c r="X287" s="6">
        <f>IF(ISERROR(VLOOKUP($U$287,'TAR FIN'!$A$1:$O$88,15,0)),0,VLOOKUP($U$287,'TAR FIN'!$A$1:$O$88,15,0))</f>
        <v>288.89999999999998</v>
      </c>
      <c r="Y287" s="6"/>
      <c r="Z287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87" s="6">
        <f>('TE BE'!$AB$15+'TE BF'!$AB$15+'TE CVA'!$AB$15)*(1-CUSTOS!$M$37)</f>
        <v>207.63042742196092</v>
      </c>
      <c r="AB287" s="6">
        <f>$K$287*$V$287</f>
        <v>0</v>
      </c>
      <c r="AC287" s="6">
        <f>$M$287*$W$287</f>
        <v>189.14279999999999</v>
      </c>
      <c r="AD287" s="6">
        <f>$O$287*$X$287</f>
        <v>279.07739999999995</v>
      </c>
      <c r="AE287" s="6">
        <f>$K$287*$Y$287</f>
        <v>0</v>
      </c>
      <c r="AF287" s="6">
        <f ca="1">$M$287*$Z$287</f>
        <v>249.87375459982243</v>
      </c>
      <c r="AG287" s="6">
        <f>$O$287*$AA$287</f>
        <v>200.57099288961425</v>
      </c>
    </row>
    <row r="288" spans="1:33" ht="11.25" customHeight="1" x14ac:dyDescent="0.25">
      <c r="A288" s="4" t="s">
        <v>21</v>
      </c>
      <c r="B288" s="4" t="s">
        <v>22</v>
      </c>
      <c r="C288" s="4" t="s">
        <v>23</v>
      </c>
      <c r="D288" s="4" t="s">
        <v>24</v>
      </c>
      <c r="E288" s="4" t="s">
        <v>31</v>
      </c>
      <c r="F288" s="4" t="s">
        <v>25</v>
      </c>
      <c r="G288" s="4" t="s">
        <v>25</v>
      </c>
      <c r="H288" s="4" t="s">
        <v>25</v>
      </c>
      <c r="I288" s="5">
        <v>44682</v>
      </c>
      <c r="J288" s="6">
        <v>0</v>
      </c>
      <c r="K288" s="6">
        <v>0</v>
      </c>
      <c r="L288" s="6">
        <v>1.1439999999999999</v>
      </c>
      <c r="M288" s="6">
        <v>1.1439999999999999</v>
      </c>
      <c r="N288" s="6">
        <v>1.1439999999999999</v>
      </c>
      <c r="O288" s="6">
        <v>1.1439999999999999</v>
      </c>
      <c r="P288" s="6">
        <v>15</v>
      </c>
      <c r="Q288" s="4" t="s">
        <v>26</v>
      </c>
      <c r="R288" s="4">
        <v>0</v>
      </c>
      <c r="S288" s="6">
        <v>0</v>
      </c>
      <c r="T288" s="6">
        <v>41</v>
      </c>
      <c r="U288" s="6">
        <v>79</v>
      </c>
      <c r="V288" s="6">
        <f>IF(ISERROR(VLOOKUP($S$288,'TAR FIN'!$A$1:$O$88,15,0)),0,VLOOKUP($S$288,'TAR FIN'!$A$1:$O$88,15,0))</f>
        <v>0</v>
      </c>
      <c r="W288" s="6">
        <f>IF(ISERROR(VLOOKUP($T$288,'TAR FIN'!$A$1:$O$88,15,0)),0,VLOOKUP($T$288,'TAR FIN'!$A$1:$O$88,15,0))</f>
        <v>195.8</v>
      </c>
      <c r="X288" s="6">
        <f>IF(ISERROR(VLOOKUP($U$288,'TAR FIN'!$A$1:$O$88,15,0)),0,VLOOKUP($U$288,'TAR FIN'!$A$1:$O$88,15,0))</f>
        <v>288.89999999999998</v>
      </c>
      <c r="Y288" s="6"/>
      <c r="Z288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88" s="6">
        <f>('TE BE'!$AB$15+'TE BF'!$AB$15+'TE CVA'!$AB$15)*(1-CUSTOS!$M$37)</f>
        <v>207.63042742196092</v>
      </c>
      <c r="AB288" s="6">
        <f>$K$288*$V$288</f>
        <v>0</v>
      </c>
      <c r="AC288" s="6">
        <f>$M$288*$W$288</f>
        <v>223.99519999999998</v>
      </c>
      <c r="AD288" s="6">
        <f>$O$288*$X$288</f>
        <v>330.50159999999994</v>
      </c>
      <c r="AE288" s="6">
        <f>$K$288*$Y$288</f>
        <v>0</v>
      </c>
      <c r="AF288" s="6">
        <f ca="1">$M$288*$Z$288</f>
        <v>295.91674457784353</v>
      </c>
      <c r="AG288" s="6">
        <f>$O$288*$AA$288</f>
        <v>237.52920897072326</v>
      </c>
    </row>
    <row r="289" spans="1:33" ht="11.25" customHeight="1" x14ac:dyDescent="0.25">
      <c r="A289" s="4" t="s">
        <v>21</v>
      </c>
      <c r="B289" s="4" t="s">
        <v>22</v>
      </c>
      <c r="C289" s="4" t="s">
        <v>23</v>
      </c>
      <c r="D289" s="4" t="s">
        <v>24</v>
      </c>
      <c r="E289" s="4" t="s">
        <v>31</v>
      </c>
      <c r="F289" s="4" t="s">
        <v>25</v>
      </c>
      <c r="G289" s="4" t="s">
        <v>25</v>
      </c>
      <c r="H289" s="4" t="s">
        <v>25</v>
      </c>
      <c r="I289" s="5">
        <v>44713</v>
      </c>
      <c r="J289" s="6">
        <v>0</v>
      </c>
      <c r="K289" s="6">
        <v>0</v>
      </c>
      <c r="L289" s="6">
        <v>1.573</v>
      </c>
      <c r="M289" s="6">
        <v>1.573</v>
      </c>
      <c r="N289" s="6">
        <v>1.573</v>
      </c>
      <c r="O289" s="6">
        <v>1.573</v>
      </c>
      <c r="P289" s="6">
        <v>26</v>
      </c>
      <c r="Q289" s="4" t="s">
        <v>26</v>
      </c>
      <c r="R289" s="4">
        <v>0</v>
      </c>
      <c r="S289" s="6">
        <v>0</v>
      </c>
      <c r="T289" s="6">
        <v>41</v>
      </c>
      <c r="U289" s="6">
        <v>79</v>
      </c>
      <c r="V289" s="6">
        <f>IF(ISERROR(VLOOKUP($S$289,'TAR FIN'!$A$1:$O$88,15,0)),0,VLOOKUP($S$289,'TAR FIN'!$A$1:$O$88,15,0))</f>
        <v>0</v>
      </c>
      <c r="W289" s="6">
        <f>IF(ISERROR(VLOOKUP($T$289,'TAR FIN'!$A$1:$O$88,15,0)),0,VLOOKUP($T$289,'TAR FIN'!$A$1:$O$88,15,0))</f>
        <v>195.8</v>
      </c>
      <c r="X289" s="6">
        <f>IF(ISERROR(VLOOKUP($U$289,'TAR FIN'!$A$1:$O$88,15,0)),0,VLOOKUP($U$289,'TAR FIN'!$A$1:$O$88,15,0))</f>
        <v>288.89999999999998</v>
      </c>
      <c r="Y289" s="6"/>
      <c r="Z289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89" s="6">
        <f>('TE BE'!$AB$15+'TE BF'!$AB$15+'TE CVA'!$AB$15)*(1-CUSTOS!$M$37)</f>
        <v>207.63042742196092</v>
      </c>
      <c r="AB289" s="6">
        <f>$K$289*$V$289</f>
        <v>0</v>
      </c>
      <c r="AC289" s="6">
        <f>$M$289*$W$289</f>
        <v>307.99340000000001</v>
      </c>
      <c r="AD289" s="6">
        <f>$O$289*$X$289</f>
        <v>454.43969999999996</v>
      </c>
      <c r="AE289" s="6">
        <f>$K$289*$Y$289</f>
        <v>0</v>
      </c>
      <c r="AF289" s="6">
        <f ca="1">$M$289*$Z$289</f>
        <v>406.88552379453489</v>
      </c>
      <c r="AG289" s="6">
        <f>$O$289*$AA$289</f>
        <v>326.60266233474454</v>
      </c>
    </row>
    <row r="290" spans="1:33" ht="11.25" customHeight="1" x14ac:dyDescent="0.25">
      <c r="A290" s="4" t="s">
        <v>55</v>
      </c>
      <c r="B290" s="4" t="s">
        <v>22</v>
      </c>
      <c r="C290" s="4" t="s">
        <v>23</v>
      </c>
      <c r="D290" s="4" t="s">
        <v>24</v>
      </c>
      <c r="E290" s="4" t="s">
        <v>31</v>
      </c>
      <c r="F290" s="4" t="s">
        <v>25</v>
      </c>
      <c r="G290" s="4" t="s">
        <v>25</v>
      </c>
      <c r="H290" s="4" t="s">
        <v>25</v>
      </c>
      <c r="I290" s="5">
        <v>44743</v>
      </c>
      <c r="J290" s="6">
        <v>0</v>
      </c>
      <c r="K290" s="6">
        <v>0</v>
      </c>
      <c r="L290" s="6">
        <v>1.573</v>
      </c>
      <c r="M290" s="6">
        <v>1.573</v>
      </c>
      <c r="N290" s="6">
        <v>1.573</v>
      </c>
      <c r="O290" s="6">
        <v>1.573</v>
      </c>
      <c r="P290" s="6">
        <v>26</v>
      </c>
      <c r="Q290" s="4" t="s">
        <v>26</v>
      </c>
      <c r="R290" s="4">
        <v>0</v>
      </c>
      <c r="S290" s="6">
        <v>0</v>
      </c>
      <c r="T290" s="6">
        <v>41</v>
      </c>
      <c r="U290" s="6">
        <v>79</v>
      </c>
      <c r="V290" s="6">
        <f>IF(ISERROR(VLOOKUP($S$290,'TAR FIN'!$A$1:$O$88,15,0)),0,VLOOKUP($S$290,'TAR FIN'!$A$1:$O$88,15,0))</f>
        <v>0</v>
      </c>
      <c r="W290" s="6">
        <f>IF(ISERROR(VLOOKUP($T$290,'TAR FIN'!$A$1:$O$88,15,0)),0,VLOOKUP($T$290,'TAR FIN'!$A$1:$O$88,15,0))</f>
        <v>195.8</v>
      </c>
      <c r="X290" s="6">
        <f>IF(ISERROR(VLOOKUP($U$290,'TAR FIN'!$A$1:$O$88,15,0)),0,VLOOKUP($U$290,'TAR FIN'!$A$1:$O$88,15,0))</f>
        <v>288.89999999999998</v>
      </c>
      <c r="Y290" s="6"/>
      <c r="Z290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290" s="6">
        <f>('TE BE'!$AB$15+'TE BF'!$AB$15+'TE CVA'!$AB$15)*(1-CUSTOS!$M$37)</f>
        <v>207.63042742196092</v>
      </c>
      <c r="AB290" s="6">
        <f>$K$290*$V$290</f>
        <v>0</v>
      </c>
      <c r="AC290" s="6">
        <f>$M$290*$W$290</f>
        <v>307.99340000000001</v>
      </c>
      <c r="AD290" s="6">
        <f>$O$290*$X$290</f>
        <v>454.43969999999996</v>
      </c>
      <c r="AE290" s="6">
        <f>$K$290*$Y$290</f>
        <v>0</v>
      </c>
      <c r="AF290" s="6">
        <f ca="1">$M$290*$Z$290</f>
        <v>406.88552379453489</v>
      </c>
      <c r="AG290" s="6">
        <f>$O$290*$AA$290</f>
        <v>326.60266233474454</v>
      </c>
    </row>
    <row r="291" spans="1:33" ht="11.25" customHeight="1" x14ac:dyDescent="0.25">
      <c r="A291" s="4" t="s">
        <v>21</v>
      </c>
      <c r="B291" s="4" t="s">
        <v>41</v>
      </c>
      <c r="C291" s="4" t="s">
        <v>23</v>
      </c>
      <c r="D291" s="4" t="s">
        <v>42</v>
      </c>
      <c r="E291" s="4" t="s">
        <v>50</v>
      </c>
      <c r="F291" s="4" t="s">
        <v>51</v>
      </c>
      <c r="G291" s="4" t="s">
        <v>25</v>
      </c>
      <c r="H291" s="4" t="s">
        <v>25</v>
      </c>
      <c r="I291" s="5">
        <v>44409</v>
      </c>
      <c r="J291" s="6">
        <v>0</v>
      </c>
      <c r="K291" s="6">
        <v>0</v>
      </c>
      <c r="L291" s="6">
        <v>0.25800000000000001</v>
      </c>
      <c r="M291" s="6">
        <v>0.25800000000000001</v>
      </c>
      <c r="N291" s="6">
        <v>0.25800000000000001</v>
      </c>
      <c r="O291" s="6">
        <v>0.25800000000000001</v>
      </c>
      <c r="P291" s="6">
        <v>0</v>
      </c>
      <c r="Q291" s="4" t="s">
        <v>26</v>
      </c>
      <c r="R291" s="4">
        <v>0</v>
      </c>
      <c r="S291" s="6">
        <v>0</v>
      </c>
      <c r="T291" s="6">
        <v>50</v>
      </c>
      <c r="U291" s="6">
        <v>1</v>
      </c>
      <c r="V291" s="6">
        <f>IF(ISERROR(VLOOKUP($S$291,'TAR FIN'!$A$1:$O$88,15,0)),0,VLOOKUP($S$291,'TAR FIN'!$A$1:$O$88,15,0))</f>
        <v>0</v>
      </c>
      <c r="W291" s="6">
        <f>IF(ISERROR(VLOOKUP($T$291,'TAR FIN'!$A$1:$O$88,15,0)),0,VLOOKUP($T$291,'TAR FIN'!$A$1:$O$88,15,0))</f>
        <v>237.52</v>
      </c>
      <c r="X291" s="6">
        <f>IF(ISERROR(VLOOKUP($U$291,'TAR FIN'!$A$1:$O$88,15,0)),0,VLOOKUP($U$291,'TAR FIN'!$A$1:$O$88,15,0))</f>
        <v>254.23</v>
      </c>
      <c r="Y291" s="6"/>
      <c r="Z291" s="6">
        <f ca="1">('TUSD BE'!$AM$33+'TUSD BF'!$AM$33+'TUSD CVA'!$AM$33)*(1-CUSTOS!$M$38)</f>
        <v>329.38655465139976</v>
      </c>
      <c r="AA291" s="6">
        <f>('TE BE'!$AB$24+'TE BF'!$AB$24+'TE CVA'!$AB$24)*(1-CUSTOS!$M$38)</f>
        <v>195.17260177664326</v>
      </c>
      <c r="AB291" s="6">
        <f>$K$291*$V$291</f>
        <v>0</v>
      </c>
      <c r="AC291" s="6">
        <f>$M$291*$W$291</f>
        <v>61.280160000000002</v>
      </c>
      <c r="AD291" s="6">
        <f>$O$291*$X$291</f>
        <v>65.591340000000002</v>
      </c>
      <c r="AE291" s="6">
        <f>$K$291*$Y$291</f>
        <v>0</v>
      </c>
      <c r="AF291" s="6">
        <f ca="1">$M$291*$Z$291</f>
        <v>84.98173110006114</v>
      </c>
      <c r="AG291" s="6">
        <f>$O$291*$AA$291</f>
        <v>50.35453125837396</v>
      </c>
    </row>
    <row r="292" spans="1:33" ht="11.25" customHeight="1" x14ac:dyDescent="0.25">
      <c r="A292" s="4" t="s">
        <v>21</v>
      </c>
      <c r="B292" s="4" t="s">
        <v>41</v>
      </c>
      <c r="C292" s="4" t="s">
        <v>23</v>
      </c>
      <c r="D292" s="4" t="s">
        <v>42</v>
      </c>
      <c r="E292" s="4" t="s">
        <v>50</v>
      </c>
      <c r="F292" s="4" t="s">
        <v>51</v>
      </c>
      <c r="G292" s="4" t="s">
        <v>25</v>
      </c>
      <c r="H292" s="4" t="s">
        <v>25</v>
      </c>
      <c r="I292" s="5">
        <v>44440</v>
      </c>
      <c r="J292" s="6">
        <v>0</v>
      </c>
      <c r="K292" s="6">
        <v>0</v>
      </c>
      <c r="L292" s="6">
        <v>0.254</v>
      </c>
      <c r="M292" s="6">
        <v>0.254</v>
      </c>
      <c r="N292" s="6">
        <v>0.254</v>
      </c>
      <c r="O292" s="6">
        <v>0.254</v>
      </c>
      <c r="P292" s="6">
        <v>0</v>
      </c>
      <c r="Q292" s="4" t="s">
        <v>26</v>
      </c>
      <c r="R292" s="4">
        <v>0</v>
      </c>
      <c r="S292" s="6">
        <v>0</v>
      </c>
      <c r="T292" s="6">
        <v>50</v>
      </c>
      <c r="U292" s="6">
        <v>1</v>
      </c>
      <c r="V292" s="6">
        <f>IF(ISERROR(VLOOKUP($S$292,'TAR FIN'!$A$1:$O$88,15,0)),0,VLOOKUP($S$292,'TAR FIN'!$A$1:$O$88,15,0))</f>
        <v>0</v>
      </c>
      <c r="W292" s="6">
        <f>IF(ISERROR(VLOOKUP($T$292,'TAR FIN'!$A$1:$O$88,15,0)),0,VLOOKUP($T$292,'TAR FIN'!$A$1:$O$88,15,0))</f>
        <v>237.52</v>
      </c>
      <c r="X292" s="6">
        <f>IF(ISERROR(VLOOKUP($U$292,'TAR FIN'!$A$1:$O$88,15,0)),0,VLOOKUP($U$292,'TAR FIN'!$A$1:$O$88,15,0))</f>
        <v>254.23</v>
      </c>
      <c r="Y292" s="6"/>
      <c r="Z292" s="6">
        <f ca="1">('TUSD BE'!$AM$33+'TUSD BF'!$AM$33+'TUSD CVA'!$AM$33)*(1-CUSTOS!$M$38)</f>
        <v>329.38655465139976</v>
      </c>
      <c r="AA292" s="6">
        <f>('TE BE'!$AB$24+'TE BF'!$AB$24+'TE CVA'!$AB$24)*(1-CUSTOS!$M$38)</f>
        <v>195.17260177664326</v>
      </c>
      <c r="AB292" s="6">
        <f>$K$292*$V$292</f>
        <v>0</v>
      </c>
      <c r="AC292" s="6">
        <f>$M$292*$W$292</f>
        <v>60.330080000000002</v>
      </c>
      <c r="AD292" s="6">
        <f>$O$292*$X$292</f>
        <v>64.574420000000003</v>
      </c>
      <c r="AE292" s="6">
        <f>$K$292*$Y$292</f>
        <v>0</v>
      </c>
      <c r="AF292" s="6">
        <f ca="1">$M$292*$Z$292</f>
        <v>83.66418488145554</v>
      </c>
      <c r="AG292" s="6">
        <f>$O$292*$AA$292</f>
        <v>49.573840851267391</v>
      </c>
    </row>
    <row r="293" spans="1:33" ht="11.25" customHeight="1" x14ac:dyDescent="0.25">
      <c r="A293" s="4" t="s">
        <v>21</v>
      </c>
      <c r="B293" s="4" t="s">
        <v>41</v>
      </c>
      <c r="C293" s="4" t="s">
        <v>23</v>
      </c>
      <c r="D293" s="4" t="s">
        <v>42</v>
      </c>
      <c r="E293" s="4" t="s">
        <v>50</v>
      </c>
      <c r="F293" s="4" t="s">
        <v>51</v>
      </c>
      <c r="G293" s="4" t="s">
        <v>25</v>
      </c>
      <c r="H293" s="4" t="s">
        <v>25</v>
      </c>
      <c r="I293" s="5">
        <v>44470</v>
      </c>
      <c r="J293" s="6">
        <v>0</v>
      </c>
      <c r="K293" s="6">
        <v>0</v>
      </c>
      <c r="L293" s="6">
        <v>0.224</v>
      </c>
      <c r="M293" s="6">
        <v>0.224</v>
      </c>
      <c r="N293" s="6">
        <v>0.224</v>
      </c>
      <c r="O293" s="6">
        <v>0.224</v>
      </c>
      <c r="P293" s="6">
        <v>0</v>
      </c>
      <c r="Q293" s="4" t="s">
        <v>26</v>
      </c>
      <c r="R293" s="4">
        <v>0</v>
      </c>
      <c r="S293" s="6">
        <v>0</v>
      </c>
      <c r="T293" s="6">
        <v>50</v>
      </c>
      <c r="U293" s="6">
        <v>1</v>
      </c>
      <c r="V293" s="6">
        <f>IF(ISERROR(VLOOKUP($S$293,'TAR FIN'!$A$1:$O$88,15,0)),0,VLOOKUP($S$293,'TAR FIN'!$A$1:$O$88,15,0))</f>
        <v>0</v>
      </c>
      <c r="W293" s="6">
        <f>IF(ISERROR(VLOOKUP($T$293,'TAR FIN'!$A$1:$O$88,15,0)),0,VLOOKUP($T$293,'TAR FIN'!$A$1:$O$88,15,0))</f>
        <v>237.52</v>
      </c>
      <c r="X293" s="6">
        <f>IF(ISERROR(VLOOKUP($U$293,'TAR FIN'!$A$1:$O$88,15,0)),0,VLOOKUP($U$293,'TAR FIN'!$A$1:$O$88,15,0))</f>
        <v>254.23</v>
      </c>
      <c r="Y293" s="6"/>
      <c r="Z293" s="6">
        <f ca="1">('TUSD BE'!$AM$33+'TUSD BF'!$AM$33+'TUSD CVA'!$AM$33)*(1-CUSTOS!$M$38)</f>
        <v>329.38655465139976</v>
      </c>
      <c r="AA293" s="6">
        <f>('TE BE'!$AB$24+'TE BF'!$AB$24+'TE CVA'!$AB$24)*(1-CUSTOS!$M$38)</f>
        <v>195.17260177664326</v>
      </c>
      <c r="AB293" s="6">
        <f>$K$293*$V$293</f>
        <v>0</v>
      </c>
      <c r="AC293" s="6">
        <f>$M$293*$W$293</f>
        <v>53.204480000000004</v>
      </c>
      <c r="AD293" s="6">
        <f>$O$293*$X$293</f>
        <v>56.947519999999997</v>
      </c>
      <c r="AE293" s="6">
        <f>$K$293*$Y$293</f>
        <v>0</v>
      </c>
      <c r="AF293" s="6">
        <f ca="1">$M$293*$Z$293</f>
        <v>73.782588241913544</v>
      </c>
      <c r="AG293" s="6">
        <f>$O$293*$AA$293</f>
        <v>43.718662797968094</v>
      </c>
    </row>
    <row r="294" spans="1:33" ht="11.25" customHeight="1" x14ac:dyDescent="0.25">
      <c r="A294" s="4" t="s">
        <v>21</v>
      </c>
      <c r="B294" s="4" t="s">
        <v>41</v>
      </c>
      <c r="C294" s="4" t="s">
        <v>23</v>
      </c>
      <c r="D294" s="4" t="s">
        <v>42</v>
      </c>
      <c r="E294" s="4" t="s">
        <v>50</v>
      </c>
      <c r="F294" s="4" t="s">
        <v>51</v>
      </c>
      <c r="G294" s="4" t="s">
        <v>25</v>
      </c>
      <c r="H294" s="4" t="s">
        <v>25</v>
      </c>
      <c r="I294" s="5">
        <v>44501</v>
      </c>
      <c r="J294" s="6">
        <v>0</v>
      </c>
      <c r="K294" s="6">
        <v>0</v>
      </c>
      <c r="L294" s="6">
        <v>0.25800000000000001</v>
      </c>
      <c r="M294" s="6">
        <v>0.25800000000000001</v>
      </c>
      <c r="N294" s="6">
        <v>0.25800000000000001</v>
      </c>
      <c r="O294" s="6">
        <v>0.25800000000000001</v>
      </c>
      <c r="P294" s="6">
        <v>0</v>
      </c>
      <c r="Q294" s="4" t="s">
        <v>26</v>
      </c>
      <c r="R294" s="4">
        <v>0</v>
      </c>
      <c r="S294" s="6">
        <v>0</v>
      </c>
      <c r="T294" s="6">
        <v>50</v>
      </c>
      <c r="U294" s="6">
        <v>1</v>
      </c>
      <c r="V294" s="6">
        <f>IF(ISERROR(VLOOKUP($S$294,'TAR FIN'!$A$1:$O$88,15,0)),0,VLOOKUP($S$294,'TAR FIN'!$A$1:$O$88,15,0))</f>
        <v>0</v>
      </c>
      <c r="W294" s="6">
        <f>IF(ISERROR(VLOOKUP($T$294,'TAR FIN'!$A$1:$O$88,15,0)),0,VLOOKUP($T$294,'TAR FIN'!$A$1:$O$88,15,0))</f>
        <v>237.52</v>
      </c>
      <c r="X294" s="6">
        <f>IF(ISERROR(VLOOKUP($U$294,'TAR FIN'!$A$1:$O$88,15,0)),0,VLOOKUP($U$294,'TAR FIN'!$A$1:$O$88,15,0))</f>
        <v>254.23</v>
      </c>
      <c r="Y294" s="6"/>
      <c r="Z294" s="6">
        <f ca="1">('TUSD BE'!$AM$33+'TUSD BF'!$AM$33+'TUSD CVA'!$AM$33)*(1-CUSTOS!$M$38)</f>
        <v>329.38655465139976</v>
      </c>
      <c r="AA294" s="6">
        <f>('TE BE'!$AB$24+'TE BF'!$AB$24+'TE CVA'!$AB$24)*(1-CUSTOS!$M$38)</f>
        <v>195.17260177664326</v>
      </c>
      <c r="AB294" s="6">
        <f>$K$294*$V$294</f>
        <v>0</v>
      </c>
      <c r="AC294" s="6">
        <f>$M$294*$W$294</f>
        <v>61.280160000000002</v>
      </c>
      <c r="AD294" s="6">
        <f>$O$294*$X$294</f>
        <v>65.591340000000002</v>
      </c>
      <c r="AE294" s="6">
        <f>$K$294*$Y$294</f>
        <v>0</v>
      </c>
      <c r="AF294" s="6">
        <f ca="1">$M$294*$Z$294</f>
        <v>84.98173110006114</v>
      </c>
      <c r="AG294" s="6">
        <f>$O$294*$AA$294</f>
        <v>50.35453125837396</v>
      </c>
    </row>
    <row r="295" spans="1:33" ht="11.25" customHeight="1" x14ac:dyDescent="0.25">
      <c r="A295" s="4" t="s">
        <v>21</v>
      </c>
      <c r="B295" s="4" t="s">
        <v>41</v>
      </c>
      <c r="C295" s="4" t="s">
        <v>23</v>
      </c>
      <c r="D295" s="4" t="s">
        <v>42</v>
      </c>
      <c r="E295" s="4" t="s">
        <v>50</v>
      </c>
      <c r="F295" s="4" t="s">
        <v>51</v>
      </c>
      <c r="G295" s="4" t="s">
        <v>25</v>
      </c>
      <c r="H295" s="4" t="s">
        <v>25</v>
      </c>
      <c r="I295" s="5">
        <v>44531</v>
      </c>
      <c r="J295" s="6">
        <v>0</v>
      </c>
      <c r="K295" s="6">
        <v>0</v>
      </c>
      <c r="L295" s="6">
        <v>0.377</v>
      </c>
      <c r="M295" s="6">
        <v>0.377</v>
      </c>
      <c r="N295" s="6">
        <v>0.377</v>
      </c>
      <c r="O295" s="6">
        <v>0.377</v>
      </c>
      <c r="P295" s="6">
        <v>0</v>
      </c>
      <c r="Q295" s="4" t="s">
        <v>26</v>
      </c>
      <c r="R295" s="4">
        <v>0</v>
      </c>
      <c r="S295" s="6">
        <v>0</v>
      </c>
      <c r="T295" s="6">
        <v>50</v>
      </c>
      <c r="U295" s="6">
        <v>1</v>
      </c>
      <c r="V295" s="6">
        <f>IF(ISERROR(VLOOKUP($S$295,'TAR FIN'!$A$1:$O$88,15,0)),0,VLOOKUP($S$295,'TAR FIN'!$A$1:$O$88,15,0))</f>
        <v>0</v>
      </c>
      <c r="W295" s="6">
        <f>IF(ISERROR(VLOOKUP($T$295,'TAR FIN'!$A$1:$O$88,15,0)),0,VLOOKUP($T$295,'TAR FIN'!$A$1:$O$88,15,0))</f>
        <v>237.52</v>
      </c>
      <c r="X295" s="6">
        <f>IF(ISERROR(VLOOKUP($U$295,'TAR FIN'!$A$1:$O$88,15,0)),0,VLOOKUP($U$295,'TAR FIN'!$A$1:$O$88,15,0))</f>
        <v>254.23</v>
      </c>
      <c r="Y295" s="6"/>
      <c r="Z295" s="6">
        <f ca="1">('TUSD BE'!$AM$33+'TUSD BF'!$AM$33+'TUSD CVA'!$AM$33)*(1-CUSTOS!$M$38)</f>
        <v>329.38655465139976</v>
      </c>
      <c r="AA295" s="6">
        <f>('TE BE'!$AB$24+'TE BF'!$AB$24+'TE CVA'!$AB$24)*(1-CUSTOS!$M$38)</f>
        <v>195.17260177664326</v>
      </c>
      <c r="AB295" s="6">
        <f>$K$295*$V$295</f>
        <v>0</v>
      </c>
      <c r="AC295" s="6">
        <f>$M$295*$W$295</f>
        <v>89.54504</v>
      </c>
      <c r="AD295" s="6">
        <f>$O$295*$X$295</f>
        <v>95.844709999999992</v>
      </c>
      <c r="AE295" s="6">
        <f>$K$295*$Y$295</f>
        <v>0</v>
      </c>
      <c r="AF295" s="6">
        <f ca="1">$M$295*$Z$295</f>
        <v>124.17873110357772</v>
      </c>
      <c r="AG295" s="6">
        <f>$O$295*$AA$295</f>
        <v>73.580070869794511</v>
      </c>
    </row>
    <row r="296" spans="1:33" ht="11.25" customHeight="1" x14ac:dyDescent="0.25">
      <c r="A296" s="4" t="s">
        <v>21</v>
      </c>
      <c r="B296" s="4" t="s">
        <v>41</v>
      </c>
      <c r="C296" s="4" t="s">
        <v>23</v>
      </c>
      <c r="D296" s="4" t="s">
        <v>42</v>
      </c>
      <c r="E296" s="4" t="s">
        <v>50</v>
      </c>
      <c r="F296" s="4" t="s">
        <v>51</v>
      </c>
      <c r="G296" s="4" t="s">
        <v>25</v>
      </c>
      <c r="H296" s="4" t="s">
        <v>25</v>
      </c>
      <c r="I296" s="5">
        <v>44562</v>
      </c>
      <c r="J296" s="6">
        <v>0</v>
      </c>
      <c r="K296" s="6">
        <v>0</v>
      </c>
      <c r="L296" s="6">
        <v>0.316</v>
      </c>
      <c r="M296" s="6">
        <v>0.316</v>
      </c>
      <c r="N296" s="6">
        <v>0.316</v>
      </c>
      <c r="O296" s="6">
        <v>0.316</v>
      </c>
      <c r="P296" s="6">
        <v>0</v>
      </c>
      <c r="Q296" s="4" t="s">
        <v>26</v>
      </c>
      <c r="R296" s="4">
        <v>0</v>
      </c>
      <c r="S296" s="6">
        <v>0</v>
      </c>
      <c r="T296" s="6">
        <v>50</v>
      </c>
      <c r="U296" s="6">
        <v>1</v>
      </c>
      <c r="V296" s="6">
        <f>IF(ISERROR(VLOOKUP($S$296,'TAR FIN'!$A$1:$O$88,15,0)),0,VLOOKUP($S$296,'TAR FIN'!$A$1:$O$88,15,0))</f>
        <v>0</v>
      </c>
      <c r="W296" s="6">
        <f>IF(ISERROR(VLOOKUP($T$296,'TAR FIN'!$A$1:$O$88,15,0)),0,VLOOKUP($T$296,'TAR FIN'!$A$1:$O$88,15,0))</f>
        <v>237.52</v>
      </c>
      <c r="X296" s="6">
        <f>IF(ISERROR(VLOOKUP($U$296,'TAR FIN'!$A$1:$O$88,15,0)),0,VLOOKUP($U$296,'TAR FIN'!$A$1:$O$88,15,0))</f>
        <v>254.23</v>
      </c>
      <c r="Y296" s="6"/>
      <c r="Z296" s="6">
        <f ca="1">('TUSD BE'!$AM$33+'TUSD BF'!$AM$33+'TUSD CVA'!$AM$33)*(1-CUSTOS!$M$38)</f>
        <v>329.38655465139976</v>
      </c>
      <c r="AA296" s="6">
        <f>('TE BE'!$AB$24+'TE BF'!$AB$24+'TE CVA'!$AB$24)*(1-CUSTOS!$M$38)</f>
        <v>195.17260177664326</v>
      </c>
      <c r="AB296" s="6">
        <f>$K$296*$V$296</f>
        <v>0</v>
      </c>
      <c r="AC296" s="6">
        <f>$M$296*$W$296</f>
        <v>75.056319999999999</v>
      </c>
      <c r="AD296" s="6">
        <f>$O$296*$X$296</f>
        <v>80.336680000000001</v>
      </c>
      <c r="AE296" s="6">
        <f>$K$296*$Y$296</f>
        <v>0</v>
      </c>
      <c r="AF296" s="6">
        <f ca="1">$M$296*$Z$296</f>
        <v>104.08615126984233</v>
      </c>
      <c r="AG296" s="6">
        <f>$O$296*$AA$296</f>
        <v>61.674542161419268</v>
      </c>
    </row>
    <row r="297" spans="1:33" ht="11.25" customHeight="1" x14ac:dyDescent="0.25">
      <c r="A297" s="4" t="s">
        <v>21</v>
      </c>
      <c r="B297" s="4" t="s">
        <v>41</v>
      </c>
      <c r="C297" s="4" t="s">
        <v>23</v>
      </c>
      <c r="D297" s="4" t="s">
        <v>42</v>
      </c>
      <c r="E297" s="4" t="s">
        <v>50</v>
      </c>
      <c r="F297" s="4" t="s">
        <v>51</v>
      </c>
      <c r="G297" s="4" t="s">
        <v>25</v>
      </c>
      <c r="H297" s="4" t="s">
        <v>25</v>
      </c>
      <c r="I297" s="5">
        <v>44593</v>
      </c>
      <c r="J297" s="6">
        <v>0</v>
      </c>
      <c r="K297" s="6">
        <v>0</v>
      </c>
      <c r="L297" s="6">
        <v>0.61</v>
      </c>
      <c r="M297" s="6">
        <v>0.61</v>
      </c>
      <c r="N297" s="6">
        <v>0.61</v>
      </c>
      <c r="O297" s="6">
        <v>0.61</v>
      </c>
      <c r="P297" s="6">
        <v>0</v>
      </c>
      <c r="Q297" s="4" t="s">
        <v>26</v>
      </c>
      <c r="R297" s="4">
        <v>0</v>
      </c>
      <c r="S297" s="6">
        <v>0</v>
      </c>
      <c r="T297" s="6">
        <v>50</v>
      </c>
      <c r="U297" s="6">
        <v>1</v>
      </c>
      <c r="V297" s="6">
        <f>IF(ISERROR(VLOOKUP($S$297,'TAR FIN'!$A$1:$O$88,15,0)),0,VLOOKUP($S$297,'TAR FIN'!$A$1:$O$88,15,0))</f>
        <v>0</v>
      </c>
      <c r="W297" s="6">
        <f>IF(ISERROR(VLOOKUP($T$297,'TAR FIN'!$A$1:$O$88,15,0)),0,VLOOKUP($T$297,'TAR FIN'!$A$1:$O$88,15,0))</f>
        <v>237.52</v>
      </c>
      <c r="X297" s="6">
        <f>IF(ISERROR(VLOOKUP($U$297,'TAR FIN'!$A$1:$O$88,15,0)),0,VLOOKUP($U$297,'TAR FIN'!$A$1:$O$88,15,0))</f>
        <v>254.23</v>
      </c>
      <c r="Y297" s="6"/>
      <c r="Z297" s="6">
        <f ca="1">('TUSD BE'!$AM$33+'TUSD BF'!$AM$33+'TUSD CVA'!$AM$33)*(1-CUSTOS!$M$38)</f>
        <v>329.38655465139976</v>
      </c>
      <c r="AA297" s="6">
        <f>('TE BE'!$AB$24+'TE BF'!$AB$24+'TE CVA'!$AB$24)*(1-CUSTOS!$M$38)</f>
        <v>195.17260177664326</v>
      </c>
      <c r="AB297" s="6">
        <f>$K$297*$V$297</f>
        <v>0</v>
      </c>
      <c r="AC297" s="6">
        <f>$M$297*$W$297</f>
        <v>144.88720000000001</v>
      </c>
      <c r="AD297" s="6">
        <f>$O$297*$X$297</f>
        <v>155.08029999999999</v>
      </c>
      <c r="AE297" s="6">
        <f>$K$297*$Y$297</f>
        <v>0</v>
      </c>
      <c r="AF297" s="6">
        <f ca="1">$M$297*$Z$297</f>
        <v>200.92579833735385</v>
      </c>
      <c r="AG297" s="6">
        <f>$O$297*$AA$297</f>
        <v>119.05528708375239</v>
      </c>
    </row>
    <row r="298" spans="1:33" ht="11.25" customHeight="1" x14ac:dyDescent="0.25">
      <c r="A298" s="4" t="s">
        <v>21</v>
      </c>
      <c r="B298" s="4" t="s">
        <v>41</v>
      </c>
      <c r="C298" s="4" t="s">
        <v>23</v>
      </c>
      <c r="D298" s="4" t="s">
        <v>42</v>
      </c>
      <c r="E298" s="4" t="s">
        <v>50</v>
      </c>
      <c r="F298" s="4" t="s">
        <v>51</v>
      </c>
      <c r="G298" s="4" t="s">
        <v>25</v>
      </c>
      <c r="H298" s="4" t="s">
        <v>25</v>
      </c>
      <c r="I298" s="5">
        <v>44621</v>
      </c>
      <c r="J298" s="6">
        <v>0</v>
      </c>
      <c r="K298" s="6">
        <v>0</v>
      </c>
      <c r="L298" s="6">
        <v>0.22900000000000001</v>
      </c>
      <c r="M298" s="6">
        <v>0.22900000000000001</v>
      </c>
      <c r="N298" s="6">
        <v>0.22900000000000001</v>
      </c>
      <c r="O298" s="6">
        <v>0.22900000000000001</v>
      </c>
      <c r="P298" s="6">
        <v>0</v>
      </c>
      <c r="Q298" s="4" t="s">
        <v>26</v>
      </c>
      <c r="R298" s="4">
        <v>0</v>
      </c>
      <c r="S298" s="6">
        <v>0</v>
      </c>
      <c r="T298" s="6">
        <v>50</v>
      </c>
      <c r="U298" s="6">
        <v>1</v>
      </c>
      <c r="V298" s="6">
        <f>IF(ISERROR(VLOOKUP($S$298,'TAR FIN'!$A$1:$O$88,15,0)),0,VLOOKUP($S$298,'TAR FIN'!$A$1:$O$88,15,0))</f>
        <v>0</v>
      </c>
      <c r="W298" s="6">
        <f>IF(ISERROR(VLOOKUP($T$298,'TAR FIN'!$A$1:$O$88,15,0)),0,VLOOKUP($T$298,'TAR FIN'!$A$1:$O$88,15,0))</f>
        <v>237.52</v>
      </c>
      <c r="X298" s="6">
        <f>IF(ISERROR(VLOOKUP($U$298,'TAR FIN'!$A$1:$O$88,15,0)),0,VLOOKUP($U$298,'TAR FIN'!$A$1:$O$88,15,0))</f>
        <v>254.23</v>
      </c>
      <c r="Y298" s="6"/>
      <c r="Z298" s="6">
        <f ca="1">('TUSD BE'!$AM$33+'TUSD BF'!$AM$33+'TUSD CVA'!$AM$33)*(1-CUSTOS!$M$38)</f>
        <v>329.38655465139976</v>
      </c>
      <c r="AA298" s="6">
        <f>('TE BE'!$AB$24+'TE BF'!$AB$24+'TE CVA'!$AB$24)*(1-CUSTOS!$M$38)</f>
        <v>195.17260177664326</v>
      </c>
      <c r="AB298" s="6">
        <f>$K$298*$V$298</f>
        <v>0</v>
      </c>
      <c r="AC298" s="6">
        <f>$M$298*$W$298</f>
        <v>54.392080000000007</v>
      </c>
      <c r="AD298" s="6">
        <f>$O$298*$X$298</f>
        <v>58.218670000000003</v>
      </c>
      <c r="AE298" s="6">
        <f>$K$298*$Y$298</f>
        <v>0</v>
      </c>
      <c r="AF298" s="6">
        <f ca="1">$M$298*$Z$298</f>
        <v>75.42952101517055</v>
      </c>
      <c r="AG298" s="6">
        <f>$O$298*$AA$298</f>
        <v>44.69452580685131</v>
      </c>
    </row>
    <row r="299" spans="1:33" ht="11.25" customHeight="1" x14ac:dyDescent="0.25">
      <c r="A299" s="4" t="s">
        <v>21</v>
      </c>
      <c r="B299" s="4" t="s">
        <v>41</v>
      </c>
      <c r="C299" s="4" t="s">
        <v>23</v>
      </c>
      <c r="D299" s="4" t="s">
        <v>42</v>
      </c>
      <c r="E299" s="4" t="s">
        <v>50</v>
      </c>
      <c r="F299" s="4" t="s">
        <v>51</v>
      </c>
      <c r="G299" s="4" t="s">
        <v>25</v>
      </c>
      <c r="H299" s="4" t="s">
        <v>25</v>
      </c>
      <c r="I299" s="5">
        <v>44652</v>
      </c>
      <c r="J299" s="6">
        <v>0</v>
      </c>
      <c r="K299" s="6">
        <v>0</v>
      </c>
      <c r="L299" s="6">
        <v>0.29899999999999999</v>
      </c>
      <c r="M299" s="6">
        <v>0.29899999999999999</v>
      </c>
      <c r="N299" s="6">
        <v>0.29899999999999999</v>
      </c>
      <c r="O299" s="6">
        <v>0.29899999999999999</v>
      </c>
      <c r="P299" s="6">
        <v>0</v>
      </c>
      <c r="Q299" s="4" t="s">
        <v>26</v>
      </c>
      <c r="R299" s="4">
        <v>0</v>
      </c>
      <c r="S299" s="6">
        <v>0</v>
      </c>
      <c r="T299" s="6">
        <v>50</v>
      </c>
      <c r="U299" s="6">
        <v>1</v>
      </c>
      <c r="V299" s="6">
        <f>IF(ISERROR(VLOOKUP($S$299,'TAR FIN'!$A$1:$O$88,15,0)),0,VLOOKUP($S$299,'TAR FIN'!$A$1:$O$88,15,0))</f>
        <v>0</v>
      </c>
      <c r="W299" s="6">
        <f>IF(ISERROR(VLOOKUP($T$299,'TAR FIN'!$A$1:$O$88,15,0)),0,VLOOKUP($T$299,'TAR FIN'!$A$1:$O$88,15,0))</f>
        <v>237.52</v>
      </c>
      <c r="X299" s="6">
        <f>IF(ISERROR(VLOOKUP($U$299,'TAR FIN'!$A$1:$O$88,15,0)),0,VLOOKUP($U$299,'TAR FIN'!$A$1:$O$88,15,0))</f>
        <v>254.23</v>
      </c>
      <c r="Y299" s="6"/>
      <c r="Z299" s="6">
        <f ca="1">('TUSD BE'!$AM$33+'TUSD BF'!$AM$33+'TUSD CVA'!$AM$33)*(1-CUSTOS!$M$38)</f>
        <v>329.38655465139976</v>
      </c>
      <c r="AA299" s="6">
        <f>('TE BE'!$AB$24+'TE BF'!$AB$24+'TE CVA'!$AB$24)*(1-CUSTOS!$M$38)</f>
        <v>195.17260177664326</v>
      </c>
      <c r="AB299" s="6">
        <f>$K$299*$V$299</f>
        <v>0</v>
      </c>
      <c r="AC299" s="6">
        <f>$M$299*$W$299</f>
        <v>71.018479999999997</v>
      </c>
      <c r="AD299" s="6">
        <f>$O$299*$X$299</f>
        <v>76.014769999999999</v>
      </c>
      <c r="AE299" s="6">
        <f>$K$299*$Y$299</f>
        <v>0</v>
      </c>
      <c r="AF299" s="6">
        <f ca="1">$M$299*$Z$299</f>
        <v>98.486579840768528</v>
      </c>
      <c r="AG299" s="6">
        <f>$O$299*$AA$299</f>
        <v>58.356607931216331</v>
      </c>
    </row>
    <row r="300" spans="1:33" ht="11.25" customHeight="1" x14ac:dyDescent="0.25">
      <c r="A300" s="4" t="s">
        <v>21</v>
      </c>
      <c r="B300" s="4" t="s">
        <v>41</v>
      </c>
      <c r="C300" s="4" t="s">
        <v>23</v>
      </c>
      <c r="D300" s="4" t="s">
        <v>42</v>
      </c>
      <c r="E300" s="4" t="s">
        <v>50</v>
      </c>
      <c r="F300" s="4" t="s">
        <v>51</v>
      </c>
      <c r="G300" s="4" t="s">
        <v>25</v>
      </c>
      <c r="H300" s="4" t="s">
        <v>25</v>
      </c>
      <c r="I300" s="5">
        <v>44682</v>
      </c>
      <c r="J300" s="6">
        <v>0</v>
      </c>
      <c r="K300" s="6">
        <v>0</v>
      </c>
      <c r="L300" s="6">
        <v>0.2</v>
      </c>
      <c r="M300" s="6">
        <v>0.2</v>
      </c>
      <c r="N300" s="6">
        <v>0.2</v>
      </c>
      <c r="O300" s="6">
        <v>0.2</v>
      </c>
      <c r="P300" s="6">
        <v>0</v>
      </c>
      <c r="Q300" s="4" t="s">
        <v>26</v>
      </c>
      <c r="R300" s="4">
        <v>0</v>
      </c>
      <c r="S300" s="6">
        <v>0</v>
      </c>
      <c r="T300" s="6">
        <v>50</v>
      </c>
      <c r="U300" s="6">
        <v>1</v>
      </c>
      <c r="V300" s="6">
        <f>IF(ISERROR(VLOOKUP($S$300,'TAR FIN'!$A$1:$O$88,15,0)),0,VLOOKUP($S$300,'TAR FIN'!$A$1:$O$88,15,0))</f>
        <v>0</v>
      </c>
      <c r="W300" s="6">
        <f>IF(ISERROR(VLOOKUP($T$300,'TAR FIN'!$A$1:$O$88,15,0)),0,VLOOKUP($T$300,'TAR FIN'!$A$1:$O$88,15,0))</f>
        <v>237.52</v>
      </c>
      <c r="X300" s="6">
        <f>IF(ISERROR(VLOOKUP($U$300,'TAR FIN'!$A$1:$O$88,15,0)),0,VLOOKUP($U$300,'TAR FIN'!$A$1:$O$88,15,0))</f>
        <v>254.23</v>
      </c>
      <c r="Y300" s="6"/>
      <c r="Z300" s="6">
        <f ca="1">('TUSD BE'!$AM$33+'TUSD BF'!$AM$33+'TUSD CVA'!$AM$33)*(1-CUSTOS!$M$38)</f>
        <v>329.38655465139976</v>
      </c>
      <c r="AA300" s="6">
        <f>('TE BE'!$AB$24+'TE BF'!$AB$24+'TE CVA'!$AB$24)*(1-CUSTOS!$M$38)</f>
        <v>195.17260177664326</v>
      </c>
      <c r="AB300" s="6">
        <f>$K$300*$V$300</f>
        <v>0</v>
      </c>
      <c r="AC300" s="6">
        <f>$M$300*$W$300</f>
        <v>47.504000000000005</v>
      </c>
      <c r="AD300" s="6">
        <f>$O$300*$X$300</f>
        <v>50.846000000000004</v>
      </c>
      <c r="AE300" s="6">
        <f>$K$300*$Y$300</f>
        <v>0</v>
      </c>
      <c r="AF300" s="6">
        <f ca="1">$M$300*$Z$300</f>
        <v>65.877310930279961</v>
      </c>
      <c r="AG300" s="6">
        <f>$O$300*$AA$300</f>
        <v>39.034520355328652</v>
      </c>
    </row>
    <row r="301" spans="1:33" ht="11.25" customHeight="1" x14ac:dyDescent="0.25">
      <c r="A301" s="4" t="s">
        <v>21</v>
      </c>
      <c r="B301" s="4" t="s">
        <v>41</v>
      </c>
      <c r="C301" s="4" t="s">
        <v>23</v>
      </c>
      <c r="D301" s="4" t="s">
        <v>42</v>
      </c>
      <c r="E301" s="4" t="s">
        <v>50</v>
      </c>
      <c r="F301" s="4" t="s">
        <v>51</v>
      </c>
      <c r="G301" s="4" t="s">
        <v>25</v>
      </c>
      <c r="H301" s="4" t="s">
        <v>25</v>
      </c>
      <c r="I301" s="5">
        <v>44713</v>
      </c>
      <c r="J301" s="6">
        <v>0</v>
      </c>
      <c r="K301" s="6">
        <v>0</v>
      </c>
      <c r="L301" s="6">
        <v>0.51900000000000002</v>
      </c>
      <c r="M301" s="6">
        <v>0.51900000000000002</v>
      </c>
      <c r="N301" s="6">
        <v>0.51900000000000002</v>
      </c>
      <c r="O301" s="6">
        <v>0.51900000000000002</v>
      </c>
      <c r="P301" s="6">
        <v>0</v>
      </c>
      <c r="Q301" s="4" t="s">
        <v>26</v>
      </c>
      <c r="R301" s="4">
        <v>0</v>
      </c>
      <c r="S301" s="6">
        <v>0</v>
      </c>
      <c r="T301" s="6">
        <v>50</v>
      </c>
      <c r="U301" s="6">
        <v>1</v>
      </c>
      <c r="V301" s="6">
        <f>IF(ISERROR(VLOOKUP($S$301,'TAR FIN'!$A$1:$O$88,15,0)),0,VLOOKUP($S$301,'TAR FIN'!$A$1:$O$88,15,0))</f>
        <v>0</v>
      </c>
      <c r="W301" s="6">
        <f>IF(ISERROR(VLOOKUP($T$301,'TAR FIN'!$A$1:$O$88,15,0)),0,VLOOKUP($T$301,'TAR FIN'!$A$1:$O$88,15,0))</f>
        <v>237.52</v>
      </c>
      <c r="X301" s="6">
        <f>IF(ISERROR(VLOOKUP($U$301,'TAR FIN'!$A$1:$O$88,15,0)),0,VLOOKUP($U$301,'TAR FIN'!$A$1:$O$88,15,0))</f>
        <v>254.23</v>
      </c>
      <c r="Y301" s="6"/>
      <c r="Z301" s="6">
        <f ca="1">('TUSD BE'!$AM$33+'TUSD BF'!$AM$33+'TUSD CVA'!$AM$33)*(1-CUSTOS!$M$38)</f>
        <v>329.38655465139976</v>
      </c>
      <c r="AA301" s="6">
        <f>('TE BE'!$AB$24+'TE BF'!$AB$24+'TE CVA'!$AB$24)*(1-CUSTOS!$M$38)</f>
        <v>195.17260177664326</v>
      </c>
      <c r="AB301" s="6">
        <f>$K$301*$V$301</f>
        <v>0</v>
      </c>
      <c r="AC301" s="6">
        <f>$M$301*$W$301</f>
        <v>123.27288000000001</v>
      </c>
      <c r="AD301" s="6">
        <f>$O$301*$X$301</f>
        <v>131.94537</v>
      </c>
      <c r="AE301" s="6">
        <f>$K$301*$Y$301</f>
        <v>0</v>
      </c>
      <c r="AF301" s="6">
        <f ca="1">$M$301*$Z$301</f>
        <v>170.95162186407649</v>
      </c>
      <c r="AG301" s="6">
        <f>$O$301*$AA$301</f>
        <v>101.29458032207786</v>
      </c>
    </row>
    <row r="302" spans="1:33" ht="11.25" customHeight="1" x14ac:dyDescent="0.25">
      <c r="A302" s="4" t="s">
        <v>55</v>
      </c>
      <c r="B302" s="4" t="s">
        <v>41</v>
      </c>
      <c r="C302" s="4" t="s">
        <v>23</v>
      </c>
      <c r="D302" s="4" t="s">
        <v>42</v>
      </c>
      <c r="E302" s="4" t="s">
        <v>50</v>
      </c>
      <c r="F302" s="4" t="s">
        <v>51</v>
      </c>
      <c r="G302" s="4" t="s">
        <v>25</v>
      </c>
      <c r="H302" s="4" t="s">
        <v>25</v>
      </c>
      <c r="I302" s="5">
        <v>44743</v>
      </c>
      <c r="J302" s="6">
        <v>0</v>
      </c>
      <c r="K302" s="6">
        <v>0</v>
      </c>
      <c r="L302" s="6">
        <v>0.51900000000000002</v>
      </c>
      <c r="M302" s="6">
        <v>0.51900000000000002</v>
      </c>
      <c r="N302" s="6">
        <v>0.51900000000000002</v>
      </c>
      <c r="O302" s="6">
        <v>0.51900000000000002</v>
      </c>
      <c r="P302" s="6">
        <v>0</v>
      </c>
      <c r="Q302" s="4" t="s">
        <v>26</v>
      </c>
      <c r="R302" s="4">
        <v>0</v>
      </c>
      <c r="S302" s="6">
        <v>0</v>
      </c>
      <c r="T302" s="6">
        <v>50</v>
      </c>
      <c r="U302" s="6">
        <v>1</v>
      </c>
      <c r="V302" s="6">
        <f>IF(ISERROR(VLOOKUP($S$302,'TAR FIN'!$A$1:$O$88,15,0)),0,VLOOKUP($S$302,'TAR FIN'!$A$1:$O$88,15,0))</f>
        <v>0</v>
      </c>
      <c r="W302" s="6">
        <f>IF(ISERROR(VLOOKUP($T$302,'TAR FIN'!$A$1:$O$88,15,0)),0,VLOOKUP($T$302,'TAR FIN'!$A$1:$O$88,15,0))</f>
        <v>237.52</v>
      </c>
      <c r="X302" s="6">
        <f>IF(ISERROR(VLOOKUP($U$302,'TAR FIN'!$A$1:$O$88,15,0)),0,VLOOKUP($U$302,'TAR FIN'!$A$1:$O$88,15,0))</f>
        <v>254.23</v>
      </c>
      <c r="Y302" s="6"/>
      <c r="Z302" s="6">
        <f ca="1">('TUSD BE'!$AM$33+'TUSD BF'!$AM$33+'TUSD CVA'!$AM$33)*(1-CUSTOS!$M$38)</f>
        <v>329.38655465139976</v>
      </c>
      <c r="AA302" s="6">
        <f>('TE BE'!$AB$24+'TE BF'!$AB$24+'TE CVA'!$AB$24)*(1-CUSTOS!$M$38)</f>
        <v>195.17260177664326</v>
      </c>
      <c r="AB302" s="6">
        <f>$K$302*$V$302</f>
        <v>0</v>
      </c>
      <c r="AC302" s="6">
        <f>$M$302*$W$302</f>
        <v>123.27288000000001</v>
      </c>
      <c r="AD302" s="6">
        <f>$O$302*$X$302</f>
        <v>131.94537</v>
      </c>
      <c r="AE302" s="6">
        <f>$K$302*$Y$302</f>
        <v>0</v>
      </c>
      <c r="AF302" s="6">
        <f ca="1">$M$302*$Z$302</f>
        <v>170.95162186407649</v>
      </c>
      <c r="AG302" s="6">
        <f>$O$302*$AA$302</f>
        <v>101.29458032207786</v>
      </c>
    </row>
    <row r="303" spans="1:33" ht="11.25" customHeight="1" x14ac:dyDescent="0.25">
      <c r="A303" s="4" t="s">
        <v>21</v>
      </c>
      <c r="B303" s="4" t="s">
        <v>41</v>
      </c>
      <c r="C303" s="4" t="s">
        <v>23</v>
      </c>
      <c r="D303" s="4" t="s">
        <v>42</v>
      </c>
      <c r="E303" s="4" t="s">
        <v>50</v>
      </c>
      <c r="F303" s="4" t="s">
        <v>52</v>
      </c>
      <c r="G303" s="4" t="s">
        <v>25</v>
      </c>
      <c r="H303" s="4" t="s">
        <v>25</v>
      </c>
      <c r="I303" s="5">
        <v>44409</v>
      </c>
      <c r="J303" s="6">
        <v>0</v>
      </c>
      <c r="K303" s="6">
        <v>0</v>
      </c>
      <c r="L303" s="6">
        <v>0.374</v>
      </c>
      <c r="M303" s="6">
        <v>0.14960000000000001</v>
      </c>
      <c r="N303" s="6">
        <v>0.374</v>
      </c>
      <c r="O303" s="6">
        <v>0.14960000000000001</v>
      </c>
      <c r="P303" s="6">
        <v>0</v>
      </c>
      <c r="Q303" s="4" t="s">
        <v>26</v>
      </c>
      <c r="R303" s="4">
        <v>0</v>
      </c>
      <c r="S303" s="6">
        <v>0</v>
      </c>
      <c r="T303" s="6">
        <v>50</v>
      </c>
      <c r="U303" s="6">
        <v>1</v>
      </c>
      <c r="V303" s="6">
        <f>IF(ISERROR(VLOOKUP($S$303,'TAR FIN'!$A$1:$O$88,15,0)),0,VLOOKUP($S$303,'TAR FIN'!$A$1:$O$88,15,0))</f>
        <v>0</v>
      </c>
      <c r="W303" s="6">
        <f>IF(ISERROR(VLOOKUP($T$303,'TAR FIN'!$A$1:$O$88,15,0)),0,VLOOKUP($T$303,'TAR FIN'!$A$1:$O$88,15,0))</f>
        <v>237.52</v>
      </c>
      <c r="X303" s="6">
        <f>IF(ISERROR(VLOOKUP($U$303,'TAR FIN'!$A$1:$O$88,15,0)),0,VLOOKUP($U$303,'TAR FIN'!$A$1:$O$88,15,0))</f>
        <v>254.23</v>
      </c>
      <c r="Y303" s="6"/>
      <c r="Z303" s="6">
        <f ca="1">('TUSD BE'!$AM$33+'TUSD BF'!$AM$33+'TUSD CVA'!$AM$33)*(1-CUSTOS!$M$38)</f>
        <v>329.38655465139976</v>
      </c>
      <c r="AA303" s="6">
        <f>('TE BE'!$AB$24+'TE BF'!$AB$24+'TE CVA'!$AB$24)*(1-CUSTOS!$M$38)</f>
        <v>195.17260177664326</v>
      </c>
      <c r="AB303" s="6">
        <f>$K$303*$V$303</f>
        <v>0</v>
      </c>
      <c r="AC303" s="6">
        <f>$M$303*$W$303</f>
        <v>35.532992000000007</v>
      </c>
      <c r="AD303" s="6">
        <f>$O$303*$X$303</f>
        <v>38.032808000000003</v>
      </c>
      <c r="AE303" s="6">
        <f>$K$303*$Y$303</f>
        <v>0</v>
      </c>
      <c r="AF303" s="6">
        <f ca="1">$M$303*$Z$303</f>
        <v>49.276228575849409</v>
      </c>
      <c r="AG303" s="6">
        <f>$O$303*$AA$303</f>
        <v>29.197821225785834</v>
      </c>
    </row>
    <row r="304" spans="1:33" ht="11.25" customHeight="1" x14ac:dyDescent="0.25">
      <c r="A304" s="4" t="s">
        <v>21</v>
      </c>
      <c r="B304" s="4" t="s">
        <v>41</v>
      </c>
      <c r="C304" s="4" t="s">
        <v>23</v>
      </c>
      <c r="D304" s="4" t="s">
        <v>42</v>
      </c>
      <c r="E304" s="4" t="s">
        <v>50</v>
      </c>
      <c r="F304" s="4" t="s">
        <v>52</v>
      </c>
      <c r="G304" s="4" t="s">
        <v>25</v>
      </c>
      <c r="H304" s="4" t="s">
        <v>25</v>
      </c>
      <c r="I304" s="5">
        <v>44440</v>
      </c>
      <c r="J304" s="6">
        <v>0</v>
      </c>
      <c r="K304" s="6">
        <v>0</v>
      </c>
      <c r="L304" s="6">
        <v>0.47699999999999998</v>
      </c>
      <c r="M304" s="6">
        <v>0.1908</v>
      </c>
      <c r="N304" s="6">
        <v>0.47699999999999998</v>
      </c>
      <c r="O304" s="6">
        <v>0.1908</v>
      </c>
      <c r="P304" s="6">
        <v>0</v>
      </c>
      <c r="Q304" s="4" t="s">
        <v>26</v>
      </c>
      <c r="R304" s="4">
        <v>0</v>
      </c>
      <c r="S304" s="6">
        <v>0</v>
      </c>
      <c r="T304" s="6">
        <v>50</v>
      </c>
      <c r="U304" s="6">
        <v>1</v>
      </c>
      <c r="V304" s="6">
        <f>IF(ISERROR(VLOOKUP($S$304,'TAR FIN'!$A$1:$O$88,15,0)),0,VLOOKUP($S$304,'TAR FIN'!$A$1:$O$88,15,0))</f>
        <v>0</v>
      </c>
      <c r="W304" s="6">
        <f>IF(ISERROR(VLOOKUP($T$304,'TAR FIN'!$A$1:$O$88,15,0)),0,VLOOKUP($T$304,'TAR FIN'!$A$1:$O$88,15,0))</f>
        <v>237.52</v>
      </c>
      <c r="X304" s="6">
        <f>IF(ISERROR(VLOOKUP($U$304,'TAR FIN'!$A$1:$O$88,15,0)),0,VLOOKUP($U$304,'TAR FIN'!$A$1:$O$88,15,0))</f>
        <v>254.23</v>
      </c>
      <c r="Y304" s="6"/>
      <c r="Z304" s="6">
        <f ca="1">('TUSD BE'!$AM$33+'TUSD BF'!$AM$33+'TUSD CVA'!$AM$33)*(1-CUSTOS!$M$38)</f>
        <v>329.38655465139976</v>
      </c>
      <c r="AA304" s="6">
        <f>('TE BE'!$AB$24+'TE BF'!$AB$24+'TE CVA'!$AB$24)*(1-CUSTOS!$M$38)</f>
        <v>195.17260177664326</v>
      </c>
      <c r="AB304" s="6">
        <f>$K$304*$V$304</f>
        <v>0</v>
      </c>
      <c r="AC304" s="6">
        <f>$M$304*$W$304</f>
        <v>45.318815999999998</v>
      </c>
      <c r="AD304" s="6">
        <f>$O$304*$X$304</f>
        <v>48.507083999999999</v>
      </c>
      <c r="AE304" s="6">
        <f>$K$304*$Y$304</f>
        <v>0</v>
      </c>
      <c r="AF304" s="6">
        <f ca="1">$M$304*$Z$304</f>
        <v>62.846954627487072</v>
      </c>
      <c r="AG304" s="6">
        <f>$O$304*$AA$304</f>
        <v>37.238932418983531</v>
      </c>
    </row>
    <row r="305" spans="1:33" ht="11.25" customHeight="1" x14ac:dyDescent="0.25">
      <c r="A305" s="4" t="s">
        <v>21</v>
      </c>
      <c r="B305" s="4" t="s">
        <v>41</v>
      </c>
      <c r="C305" s="4" t="s">
        <v>23</v>
      </c>
      <c r="D305" s="4" t="s">
        <v>42</v>
      </c>
      <c r="E305" s="4" t="s">
        <v>50</v>
      </c>
      <c r="F305" s="4" t="s">
        <v>52</v>
      </c>
      <c r="G305" s="4" t="s">
        <v>25</v>
      </c>
      <c r="H305" s="4" t="s">
        <v>25</v>
      </c>
      <c r="I305" s="5">
        <v>44470</v>
      </c>
      <c r="J305" s="6">
        <v>0</v>
      </c>
      <c r="K305" s="6">
        <v>0</v>
      </c>
      <c r="L305" s="6">
        <v>0.41799999999999998</v>
      </c>
      <c r="M305" s="6">
        <v>0.16719999999999999</v>
      </c>
      <c r="N305" s="6">
        <v>0.41799999999999998</v>
      </c>
      <c r="O305" s="6">
        <v>0.16719999999999999</v>
      </c>
      <c r="P305" s="6">
        <v>0</v>
      </c>
      <c r="Q305" s="4" t="s">
        <v>26</v>
      </c>
      <c r="R305" s="4">
        <v>0</v>
      </c>
      <c r="S305" s="6">
        <v>0</v>
      </c>
      <c r="T305" s="6">
        <v>50</v>
      </c>
      <c r="U305" s="6">
        <v>1</v>
      </c>
      <c r="V305" s="6">
        <f>IF(ISERROR(VLOOKUP($S$305,'TAR FIN'!$A$1:$O$88,15,0)),0,VLOOKUP($S$305,'TAR FIN'!$A$1:$O$88,15,0))</f>
        <v>0</v>
      </c>
      <c r="W305" s="6">
        <f>IF(ISERROR(VLOOKUP($T$305,'TAR FIN'!$A$1:$O$88,15,0)),0,VLOOKUP($T$305,'TAR FIN'!$A$1:$O$88,15,0))</f>
        <v>237.52</v>
      </c>
      <c r="X305" s="6">
        <f>IF(ISERROR(VLOOKUP($U$305,'TAR FIN'!$A$1:$O$88,15,0)),0,VLOOKUP($U$305,'TAR FIN'!$A$1:$O$88,15,0))</f>
        <v>254.23</v>
      </c>
      <c r="Y305" s="6"/>
      <c r="Z305" s="6">
        <f ca="1">('TUSD BE'!$AM$33+'TUSD BF'!$AM$33+'TUSD CVA'!$AM$33)*(1-CUSTOS!$M$38)</f>
        <v>329.38655465139976</v>
      </c>
      <c r="AA305" s="6">
        <f>('TE BE'!$AB$24+'TE BF'!$AB$24+'TE CVA'!$AB$24)*(1-CUSTOS!$M$38)</f>
        <v>195.17260177664326</v>
      </c>
      <c r="AB305" s="6">
        <f>$K$305*$V$305</f>
        <v>0</v>
      </c>
      <c r="AC305" s="6">
        <f>$M$305*$W$305</f>
        <v>39.713343999999999</v>
      </c>
      <c r="AD305" s="6">
        <f>$O$305*$X$305</f>
        <v>42.507255999999998</v>
      </c>
      <c r="AE305" s="6">
        <f>$K$305*$Y$305</f>
        <v>0</v>
      </c>
      <c r="AF305" s="6">
        <f ca="1">$M$305*$Z$305</f>
        <v>55.073431937714034</v>
      </c>
      <c r="AG305" s="6">
        <f>$O$305*$AA$305</f>
        <v>32.632859017054749</v>
      </c>
    </row>
    <row r="306" spans="1:33" ht="11.25" customHeight="1" x14ac:dyDescent="0.25">
      <c r="A306" s="4" t="s">
        <v>21</v>
      </c>
      <c r="B306" s="4" t="s">
        <v>41</v>
      </c>
      <c r="C306" s="4" t="s">
        <v>23</v>
      </c>
      <c r="D306" s="4" t="s">
        <v>42</v>
      </c>
      <c r="E306" s="4" t="s">
        <v>50</v>
      </c>
      <c r="F306" s="4" t="s">
        <v>52</v>
      </c>
      <c r="G306" s="4" t="s">
        <v>25</v>
      </c>
      <c r="H306" s="4" t="s">
        <v>25</v>
      </c>
      <c r="I306" s="5">
        <v>44501</v>
      </c>
      <c r="J306" s="6">
        <v>0</v>
      </c>
      <c r="K306" s="6">
        <v>0</v>
      </c>
      <c r="L306" s="6">
        <v>1.002</v>
      </c>
      <c r="M306" s="6">
        <v>0.40079999999999999</v>
      </c>
      <c r="N306" s="6">
        <v>1.002</v>
      </c>
      <c r="O306" s="6">
        <v>0.40079999999999999</v>
      </c>
      <c r="P306" s="6">
        <v>0</v>
      </c>
      <c r="Q306" s="4" t="s">
        <v>26</v>
      </c>
      <c r="R306" s="4">
        <v>0</v>
      </c>
      <c r="S306" s="6">
        <v>0</v>
      </c>
      <c r="T306" s="6">
        <v>50</v>
      </c>
      <c r="U306" s="6">
        <v>1</v>
      </c>
      <c r="V306" s="6">
        <f>IF(ISERROR(VLOOKUP($S$306,'TAR FIN'!$A$1:$O$88,15,0)),0,VLOOKUP($S$306,'TAR FIN'!$A$1:$O$88,15,0))</f>
        <v>0</v>
      </c>
      <c r="W306" s="6">
        <f>IF(ISERROR(VLOOKUP($T$306,'TAR FIN'!$A$1:$O$88,15,0)),0,VLOOKUP($T$306,'TAR FIN'!$A$1:$O$88,15,0))</f>
        <v>237.52</v>
      </c>
      <c r="X306" s="6">
        <f>IF(ISERROR(VLOOKUP($U$306,'TAR FIN'!$A$1:$O$88,15,0)),0,VLOOKUP($U$306,'TAR FIN'!$A$1:$O$88,15,0))</f>
        <v>254.23</v>
      </c>
      <c r="Y306" s="6"/>
      <c r="Z306" s="6">
        <f ca="1">('TUSD BE'!$AM$33+'TUSD BF'!$AM$33+'TUSD CVA'!$AM$33)*(1-CUSTOS!$M$38)</f>
        <v>329.38655465139976</v>
      </c>
      <c r="AA306" s="6">
        <f>('TE BE'!$AB$24+'TE BF'!$AB$24+'TE CVA'!$AB$24)*(1-CUSTOS!$M$38)</f>
        <v>195.17260177664326</v>
      </c>
      <c r="AB306" s="6">
        <f>$K$306*$V$306</f>
        <v>0</v>
      </c>
      <c r="AC306" s="6">
        <f>$M$306*$W$306</f>
        <v>95.198015999999996</v>
      </c>
      <c r="AD306" s="6">
        <f>$O$306*$X$306</f>
        <v>101.89538399999999</v>
      </c>
      <c r="AE306" s="6">
        <f>$K$306*$Y$306</f>
        <v>0</v>
      </c>
      <c r="AF306" s="6">
        <f ca="1">$M$306*$Z$306</f>
        <v>132.01813110428103</v>
      </c>
      <c r="AG306" s="6">
        <f>$O$306*$AA$306</f>
        <v>78.225178792078623</v>
      </c>
    </row>
    <row r="307" spans="1:33" ht="11.25" customHeight="1" x14ac:dyDescent="0.25">
      <c r="A307" s="4" t="s">
        <v>21</v>
      </c>
      <c r="B307" s="4" t="s">
        <v>41</v>
      </c>
      <c r="C307" s="4" t="s">
        <v>23</v>
      </c>
      <c r="D307" s="4" t="s">
        <v>42</v>
      </c>
      <c r="E307" s="4" t="s">
        <v>50</v>
      </c>
      <c r="F307" s="4" t="s">
        <v>52</v>
      </c>
      <c r="G307" s="4" t="s">
        <v>25</v>
      </c>
      <c r="H307" s="4" t="s">
        <v>25</v>
      </c>
      <c r="I307" s="5">
        <v>44531</v>
      </c>
      <c r="J307" s="6">
        <v>0</v>
      </c>
      <c r="K307" s="6">
        <v>0</v>
      </c>
      <c r="L307" s="6">
        <v>3.3149999999999999</v>
      </c>
      <c r="M307" s="6">
        <v>1.3260000000000001</v>
      </c>
      <c r="N307" s="6">
        <v>3.3149999999999999</v>
      </c>
      <c r="O307" s="6">
        <v>1.3260000000000001</v>
      </c>
      <c r="P307" s="6">
        <v>0</v>
      </c>
      <c r="Q307" s="4" t="s">
        <v>26</v>
      </c>
      <c r="R307" s="4">
        <v>0</v>
      </c>
      <c r="S307" s="6">
        <v>0</v>
      </c>
      <c r="T307" s="6">
        <v>50</v>
      </c>
      <c r="U307" s="6">
        <v>1</v>
      </c>
      <c r="V307" s="6">
        <f>IF(ISERROR(VLOOKUP($S$307,'TAR FIN'!$A$1:$O$88,15,0)),0,VLOOKUP($S$307,'TAR FIN'!$A$1:$O$88,15,0))</f>
        <v>0</v>
      </c>
      <c r="W307" s="6">
        <f>IF(ISERROR(VLOOKUP($T$307,'TAR FIN'!$A$1:$O$88,15,0)),0,VLOOKUP($T$307,'TAR FIN'!$A$1:$O$88,15,0))</f>
        <v>237.52</v>
      </c>
      <c r="X307" s="6">
        <f>IF(ISERROR(VLOOKUP($U$307,'TAR FIN'!$A$1:$O$88,15,0)),0,VLOOKUP($U$307,'TAR FIN'!$A$1:$O$88,15,0))</f>
        <v>254.23</v>
      </c>
      <c r="Y307" s="6"/>
      <c r="Z307" s="6">
        <f ca="1">('TUSD BE'!$AM$33+'TUSD BF'!$AM$33+'TUSD CVA'!$AM$33)*(1-CUSTOS!$M$38)</f>
        <v>329.38655465139976</v>
      </c>
      <c r="AA307" s="6">
        <f>('TE BE'!$AB$24+'TE BF'!$AB$24+'TE CVA'!$AB$24)*(1-CUSTOS!$M$38)</f>
        <v>195.17260177664326</v>
      </c>
      <c r="AB307" s="6">
        <f>$K$307*$V$307</f>
        <v>0</v>
      </c>
      <c r="AC307" s="6">
        <f>$M$307*$W$307</f>
        <v>314.95152000000002</v>
      </c>
      <c r="AD307" s="6">
        <f>$O$307*$X$307</f>
        <v>337.10898000000003</v>
      </c>
      <c r="AE307" s="6">
        <f>$K$307*$Y$307</f>
        <v>0</v>
      </c>
      <c r="AF307" s="6">
        <f ca="1">$M$307*$Z$307</f>
        <v>436.76657146775608</v>
      </c>
      <c r="AG307" s="6">
        <f>$O$307*$AA$307</f>
        <v>258.79886995582899</v>
      </c>
    </row>
    <row r="308" spans="1:33" ht="11.25" customHeight="1" x14ac:dyDescent="0.25">
      <c r="A308" s="4" t="s">
        <v>21</v>
      </c>
      <c r="B308" s="4" t="s">
        <v>41</v>
      </c>
      <c r="C308" s="4" t="s">
        <v>23</v>
      </c>
      <c r="D308" s="4" t="s">
        <v>42</v>
      </c>
      <c r="E308" s="4" t="s">
        <v>50</v>
      </c>
      <c r="F308" s="4" t="s">
        <v>52</v>
      </c>
      <c r="G308" s="4" t="s">
        <v>25</v>
      </c>
      <c r="H308" s="4" t="s">
        <v>25</v>
      </c>
      <c r="I308" s="5">
        <v>44562</v>
      </c>
      <c r="J308" s="6">
        <v>0</v>
      </c>
      <c r="K308" s="6">
        <v>0</v>
      </c>
      <c r="L308" s="6">
        <v>1.873</v>
      </c>
      <c r="M308" s="6">
        <v>0.74919999999999998</v>
      </c>
      <c r="N308" s="6">
        <v>1.873</v>
      </c>
      <c r="O308" s="6">
        <v>0.74919999999999998</v>
      </c>
      <c r="P308" s="6">
        <v>0</v>
      </c>
      <c r="Q308" s="4" t="s">
        <v>26</v>
      </c>
      <c r="R308" s="4">
        <v>0</v>
      </c>
      <c r="S308" s="6">
        <v>0</v>
      </c>
      <c r="T308" s="6">
        <v>50</v>
      </c>
      <c r="U308" s="6">
        <v>1</v>
      </c>
      <c r="V308" s="6">
        <f>IF(ISERROR(VLOOKUP($S$308,'TAR FIN'!$A$1:$O$88,15,0)),0,VLOOKUP($S$308,'TAR FIN'!$A$1:$O$88,15,0))</f>
        <v>0</v>
      </c>
      <c r="W308" s="6">
        <f>IF(ISERROR(VLOOKUP($T$308,'TAR FIN'!$A$1:$O$88,15,0)),0,VLOOKUP($T$308,'TAR FIN'!$A$1:$O$88,15,0))</f>
        <v>237.52</v>
      </c>
      <c r="X308" s="6">
        <f>IF(ISERROR(VLOOKUP($U$308,'TAR FIN'!$A$1:$O$88,15,0)),0,VLOOKUP($U$308,'TAR FIN'!$A$1:$O$88,15,0))</f>
        <v>254.23</v>
      </c>
      <c r="Y308" s="6"/>
      <c r="Z308" s="6">
        <f ca="1">('TUSD BE'!$AM$33+'TUSD BF'!$AM$33+'TUSD CVA'!$AM$33)*(1-CUSTOS!$M$38)</f>
        <v>329.38655465139976</v>
      </c>
      <c r="AA308" s="6">
        <f>('TE BE'!$AB$24+'TE BF'!$AB$24+'TE CVA'!$AB$24)*(1-CUSTOS!$M$38)</f>
        <v>195.17260177664326</v>
      </c>
      <c r="AB308" s="6">
        <f>$K$308*$V$308</f>
        <v>0</v>
      </c>
      <c r="AC308" s="6">
        <f>$M$308*$W$308</f>
        <v>177.949984</v>
      </c>
      <c r="AD308" s="6">
        <f>$O$308*$X$308</f>
        <v>190.46911599999999</v>
      </c>
      <c r="AE308" s="6">
        <f>$K$308*$Y$308</f>
        <v>0</v>
      </c>
      <c r="AF308" s="6">
        <f ca="1">$M$308*$Z$308</f>
        <v>246.77640674482871</v>
      </c>
      <c r="AG308" s="6">
        <f>$O$308*$AA$308</f>
        <v>146.22331325106111</v>
      </c>
    </row>
    <row r="309" spans="1:33" ht="11.25" customHeight="1" x14ac:dyDescent="0.25">
      <c r="A309" s="4" t="s">
        <v>21</v>
      </c>
      <c r="B309" s="4" t="s">
        <v>41</v>
      </c>
      <c r="C309" s="4" t="s">
        <v>23</v>
      </c>
      <c r="D309" s="4" t="s">
        <v>42</v>
      </c>
      <c r="E309" s="4" t="s">
        <v>50</v>
      </c>
      <c r="F309" s="4" t="s">
        <v>52</v>
      </c>
      <c r="G309" s="4" t="s">
        <v>25</v>
      </c>
      <c r="H309" s="4" t="s">
        <v>25</v>
      </c>
      <c r="I309" s="5">
        <v>44593</v>
      </c>
      <c r="J309" s="6">
        <v>0</v>
      </c>
      <c r="K309" s="6">
        <v>0</v>
      </c>
      <c r="L309" s="6">
        <v>0.86899999999999999</v>
      </c>
      <c r="M309" s="6">
        <v>0.34760000000000002</v>
      </c>
      <c r="N309" s="6">
        <v>0.86899999999999999</v>
      </c>
      <c r="O309" s="6">
        <v>0.34760000000000002</v>
      </c>
      <c r="P309" s="6">
        <v>0</v>
      </c>
      <c r="Q309" s="4" t="s">
        <v>26</v>
      </c>
      <c r="R309" s="4">
        <v>0</v>
      </c>
      <c r="S309" s="6">
        <v>0</v>
      </c>
      <c r="T309" s="6">
        <v>50</v>
      </c>
      <c r="U309" s="6">
        <v>1</v>
      </c>
      <c r="V309" s="6">
        <f>IF(ISERROR(VLOOKUP($S$309,'TAR FIN'!$A$1:$O$88,15,0)),0,VLOOKUP($S$309,'TAR FIN'!$A$1:$O$88,15,0))</f>
        <v>0</v>
      </c>
      <c r="W309" s="6">
        <f>IF(ISERROR(VLOOKUP($T$309,'TAR FIN'!$A$1:$O$88,15,0)),0,VLOOKUP($T$309,'TAR FIN'!$A$1:$O$88,15,0))</f>
        <v>237.52</v>
      </c>
      <c r="X309" s="6">
        <f>IF(ISERROR(VLOOKUP($U$309,'TAR FIN'!$A$1:$O$88,15,0)),0,VLOOKUP($U$309,'TAR FIN'!$A$1:$O$88,15,0))</f>
        <v>254.23</v>
      </c>
      <c r="Y309" s="6"/>
      <c r="Z309" s="6">
        <f ca="1">('TUSD BE'!$AM$33+'TUSD BF'!$AM$33+'TUSD CVA'!$AM$33)*(1-CUSTOS!$M$38)</f>
        <v>329.38655465139976</v>
      </c>
      <c r="AA309" s="6">
        <f>('TE BE'!$AB$24+'TE BF'!$AB$24+'TE CVA'!$AB$24)*(1-CUSTOS!$M$38)</f>
        <v>195.17260177664326</v>
      </c>
      <c r="AB309" s="6">
        <f>$K$309*$V$309</f>
        <v>0</v>
      </c>
      <c r="AC309" s="6">
        <f>$M$309*$W$309</f>
        <v>82.561952000000005</v>
      </c>
      <c r="AD309" s="6">
        <f>$O$309*$X$309</f>
        <v>88.370348000000007</v>
      </c>
      <c r="AE309" s="6">
        <f>$K$309*$Y$309</f>
        <v>0</v>
      </c>
      <c r="AF309" s="6">
        <f ca="1">$M$309*$Z$309</f>
        <v>114.49476639682656</v>
      </c>
      <c r="AG309" s="6">
        <f>$O$309*$AA$309</f>
        <v>67.841996377561202</v>
      </c>
    </row>
    <row r="310" spans="1:33" ht="11.25" customHeight="1" x14ac:dyDescent="0.25">
      <c r="A310" s="4" t="s">
        <v>21</v>
      </c>
      <c r="B310" s="4" t="s">
        <v>41</v>
      </c>
      <c r="C310" s="4" t="s">
        <v>23</v>
      </c>
      <c r="D310" s="4" t="s">
        <v>42</v>
      </c>
      <c r="E310" s="4" t="s">
        <v>50</v>
      </c>
      <c r="F310" s="4" t="s">
        <v>52</v>
      </c>
      <c r="G310" s="4" t="s">
        <v>25</v>
      </c>
      <c r="H310" s="4" t="s">
        <v>25</v>
      </c>
      <c r="I310" s="5">
        <v>44621</v>
      </c>
      <c r="J310" s="6">
        <v>0</v>
      </c>
      <c r="K310" s="6">
        <v>0</v>
      </c>
      <c r="L310" s="6">
        <v>0.53500000000000003</v>
      </c>
      <c r="M310" s="6">
        <v>0.214</v>
      </c>
      <c r="N310" s="6">
        <v>0.53500000000000003</v>
      </c>
      <c r="O310" s="6">
        <v>0.214</v>
      </c>
      <c r="P310" s="6">
        <v>0</v>
      </c>
      <c r="Q310" s="4" t="s">
        <v>26</v>
      </c>
      <c r="R310" s="4">
        <v>0</v>
      </c>
      <c r="S310" s="6">
        <v>0</v>
      </c>
      <c r="T310" s="6">
        <v>50</v>
      </c>
      <c r="U310" s="6">
        <v>1</v>
      </c>
      <c r="V310" s="6">
        <f>IF(ISERROR(VLOOKUP($S$310,'TAR FIN'!$A$1:$O$88,15,0)),0,VLOOKUP($S$310,'TAR FIN'!$A$1:$O$88,15,0))</f>
        <v>0</v>
      </c>
      <c r="W310" s="6">
        <f>IF(ISERROR(VLOOKUP($T$310,'TAR FIN'!$A$1:$O$88,15,0)),0,VLOOKUP($T$310,'TAR FIN'!$A$1:$O$88,15,0))</f>
        <v>237.52</v>
      </c>
      <c r="X310" s="6">
        <f>IF(ISERROR(VLOOKUP($U$310,'TAR FIN'!$A$1:$O$88,15,0)),0,VLOOKUP($U$310,'TAR FIN'!$A$1:$O$88,15,0))</f>
        <v>254.23</v>
      </c>
      <c r="Y310" s="6"/>
      <c r="Z310" s="6">
        <f ca="1">('TUSD BE'!$AM$33+'TUSD BF'!$AM$33+'TUSD CVA'!$AM$33)*(1-CUSTOS!$M$38)</f>
        <v>329.38655465139976</v>
      </c>
      <c r="AA310" s="6">
        <f>('TE BE'!$AB$24+'TE BF'!$AB$24+'TE CVA'!$AB$24)*(1-CUSTOS!$M$38)</f>
        <v>195.17260177664326</v>
      </c>
      <c r="AB310" s="6">
        <f>$K$310*$V$310</f>
        <v>0</v>
      </c>
      <c r="AC310" s="6">
        <f>$M$310*$W$310</f>
        <v>50.829280000000004</v>
      </c>
      <c r="AD310" s="6">
        <f>$O$310*$X$310</f>
        <v>54.40522</v>
      </c>
      <c r="AE310" s="6">
        <f>$K$310*$Y$310</f>
        <v>0</v>
      </c>
      <c r="AF310" s="6">
        <f ca="1">$M$310*$Z$310</f>
        <v>70.488722695399545</v>
      </c>
      <c r="AG310" s="6">
        <f>$O$310*$AA$310</f>
        <v>41.766936780201654</v>
      </c>
    </row>
    <row r="311" spans="1:33" ht="11.25" customHeight="1" x14ac:dyDescent="0.25">
      <c r="A311" s="4" t="s">
        <v>21</v>
      </c>
      <c r="B311" s="4" t="s">
        <v>41</v>
      </c>
      <c r="C311" s="4" t="s">
        <v>23</v>
      </c>
      <c r="D311" s="4" t="s">
        <v>42</v>
      </c>
      <c r="E311" s="4" t="s">
        <v>50</v>
      </c>
      <c r="F311" s="4" t="s">
        <v>52</v>
      </c>
      <c r="G311" s="4" t="s">
        <v>25</v>
      </c>
      <c r="H311" s="4" t="s">
        <v>25</v>
      </c>
      <c r="I311" s="5">
        <v>44652</v>
      </c>
      <c r="J311" s="6">
        <v>0</v>
      </c>
      <c r="K311" s="6">
        <v>0</v>
      </c>
      <c r="L311" s="6">
        <v>0.30099999999999999</v>
      </c>
      <c r="M311" s="6">
        <v>0.12039999999999999</v>
      </c>
      <c r="N311" s="6">
        <v>0.30099999999999999</v>
      </c>
      <c r="O311" s="6">
        <v>0.12039999999999999</v>
      </c>
      <c r="P311" s="6">
        <v>0</v>
      </c>
      <c r="Q311" s="4" t="s">
        <v>26</v>
      </c>
      <c r="R311" s="4">
        <v>0</v>
      </c>
      <c r="S311" s="6">
        <v>0</v>
      </c>
      <c r="T311" s="6">
        <v>50</v>
      </c>
      <c r="U311" s="6">
        <v>1</v>
      </c>
      <c r="V311" s="6">
        <f>IF(ISERROR(VLOOKUP($S$311,'TAR FIN'!$A$1:$O$88,15,0)),0,VLOOKUP($S$311,'TAR FIN'!$A$1:$O$88,15,0))</f>
        <v>0</v>
      </c>
      <c r="W311" s="6">
        <f>IF(ISERROR(VLOOKUP($T$311,'TAR FIN'!$A$1:$O$88,15,0)),0,VLOOKUP($T$311,'TAR FIN'!$A$1:$O$88,15,0))</f>
        <v>237.52</v>
      </c>
      <c r="X311" s="6">
        <f>IF(ISERROR(VLOOKUP($U$311,'TAR FIN'!$A$1:$O$88,15,0)),0,VLOOKUP($U$311,'TAR FIN'!$A$1:$O$88,15,0))</f>
        <v>254.23</v>
      </c>
      <c r="Y311" s="6"/>
      <c r="Z311" s="6">
        <f ca="1">('TUSD BE'!$AM$33+'TUSD BF'!$AM$33+'TUSD CVA'!$AM$33)*(1-CUSTOS!$M$38)</f>
        <v>329.38655465139976</v>
      </c>
      <c r="AA311" s="6">
        <f>('TE BE'!$AB$24+'TE BF'!$AB$24+'TE CVA'!$AB$24)*(1-CUSTOS!$M$38)</f>
        <v>195.17260177664326</v>
      </c>
      <c r="AB311" s="6">
        <f>$K$311*$V$311</f>
        <v>0</v>
      </c>
      <c r="AC311" s="6">
        <f>$M$311*$W$311</f>
        <v>28.597407999999998</v>
      </c>
      <c r="AD311" s="6">
        <f>$O$311*$X$311</f>
        <v>30.609291999999996</v>
      </c>
      <c r="AE311" s="6">
        <f>$K$311*$Y$311</f>
        <v>0</v>
      </c>
      <c r="AF311" s="6">
        <f ca="1">$M$311*$Z$311</f>
        <v>39.65814118002853</v>
      </c>
      <c r="AG311" s="6">
        <f>$O$311*$AA$311</f>
        <v>23.498781253907847</v>
      </c>
    </row>
    <row r="312" spans="1:33" ht="11.25" customHeight="1" x14ac:dyDescent="0.25">
      <c r="A312" s="4" t="s">
        <v>21</v>
      </c>
      <c r="B312" s="4" t="s">
        <v>41</v>
      </c>
      <c r="C312" s="4" t="s">
        <v>23</v>
      </c>
      <c r="D312" s="4" t="s">
        <v>42</v>
      </c>
      <c r="E312" s="4" t="s">
        <v>50</v>
      </c>
      <c r="F312" s="4" t="s">
        <v>52</v>
      </c>
      <c r="G312" s="4" t="s">
        <v>25</v>
      </c>
      <c r="H312" s="4" t="s">
        <v>25</v>
      </c>
      <c r="I312" s="5">
        <v>44682</v>
      </c>
      <c r="J312" s="6">
        <v>0</v>
      </c>
      <c r="K312" s="6">
        <v>0</v>
      </c>
      <c r="L312" s="6">
        <v>0.2</v>
      </c>
      <c r="M312" s="6">
        <v>0.08</v>
      </c>
      <c r="N312" s="6">
        <v>0.2</v>
      </c>
      <c r="O312" s="6">
        <v>0.08</v>
      </c>
      <c r="P312" s="6">
        <v>0</v>
      </c>
      <c r="Q312" s="4" t="s">
        <v>26</v>
      </c>
      <c r="R312" s="4">
        <v>0</v>
      </c>
      <c r="S312" s="6">
        <v>0</v>
      </c>
      <c r="T312" s="6">
        <v>50</v>
      </c>
      <c r="U312" s="6">
        <v>1</v>
      </c>
      <c r="V312" s="6">
        <f>IF(ISERROR(VLOOKUP($S$312,'TAR FIN'!$A$1:$O$88,15,0)),0,VLOOKUP($S$312,'TAR FIN'!$A$1:$O$88,15,0))</f>
        <v>0</v>
      </c>
      <c r="W312" s="6">
        <f>IF(ISERROR(VLOOKUP($T$312,'TAR FIN'!$A$1:$O$88,15,0)),0,VLOOKUP($T$312,'TAR FIN'!$A$1:$O$88,15,0))</f>
        <v>237.52</v>
      </c>
      <c r="X312" s="6">
        <f>IF(ISERROR(VLOOKUP($U$312,'TAR FIN'!$A$1:$O$88,15,0)),0,VLOOKUP($U$312,'TAR FIN'!$A$1:$O$88,15,0))</f>
        <v>254.23</v>
      </c>
      <c r="Y312" s="6"/>
      <c r="Z312" s="6">
        <f ca="1">('TUSD BE'!$AM$33+'TUSD BF'!$AM$33+'TUSD CVA'!$AM$33)*(1-CUSTOS!$M$38)</f>
        <v>329.38655465139976</v>
      </c>
      <c r="AA312" s="6">
        <f>('TE BE'!$AB$24+'TE BF'!$AB$24+'TE CVA'!$AB$24)*(1-CUSTOS!$M$38)</f>
        <v>195.17260177664326</v>
      </c>
      <c r="AB312" s="6">
        <f>$K$312*$V$312</f>
        <v>0</v>
      </c>
      <c r="AC312" s="6">
        <f>$M$312*$W$312</f>
        <v>19.0016</v>
      </c>
      <c r="AD312" s="6">
        <f>$O$312*$X$312</f>
        <v>20.3384</v>
      </c>
      <c r="AE312" s="6">
        <f>$K$312*$Y$312</f>
        <v>0</v>
      </c>
      <c r="AF312" s="6">
        <f ca="1">$M$312*$Z$312</f>
        <v>26.350924372111983</v>
      </c>
      <c r="AG312" s="6">
        <f>$O$312*$AA$312</f>
        <v>15.613808142131461</v>
      </c>
    </row>
    <row r="313" spans="1:33" ht="11.25" customHeight="1" x14ac:dyDescent="0.25">
      <c r="A313" s="4" t="s">
        <v>21</v>
      </c>
      <c r="B313" s="4" t="s">
        <v>41</v>
      </c>
      <c r="C313" s="4" t="s">
        <v>23</v>
      </c>
      <c r="D313" s="4" t="s">
        <v>42</v>
      </c>
      <c r="E313" s="4" t="s">
        <v>50</v>
      </c>
      <c r="F313" s="4" t="s">
        <v>52</v>
      </c>
      <c r="G313" s="4" t="s">
        <v>25</v>
      </c>
      <c r="H313" s="4" t="s">
        <v>25</v>
      </c>
      <c r="I313" s="5">
        <v>44713</v>
      </c>
      <c r="J313" s="6">
        <v>0</v>
      </c>
      <c r="K313" s="6">
        <v>0</v>
      </c>
      <c r="L313" s="6">
        <v>0.54</v>
      </c>
      <c r="M313" s="6">
        <v>0.216</v>
      </c>
      <c r="N313" s="6">
        <v>0.54</v>
      </c>
      <c r="O313" s="6">
        <v>0.216</v>
      </c>
      <c r="P313" s="6">
        <v>0</v>
      </c>
      <c r="Q313" s="4" t="s">
        <v>26</v>
      </c>
      <c r="R313" s="4">
        <v>0</v>
      </c>
      <c r="S313" s="6">
        <v>0</v>
      </c>
      <c r="T313" s="6">
        <v>50</v>
      </c>
      <c r="U313" s="6">
        <v>1</v>
      </c>
      <c r="V313" s="6">
        <f>IF(ISERROR(VLOOKUP($S$313,'TAR FIN'!$A$1:$O$88,15,0)),0,VLOOKUP($S$313,'TAR FIN'!$A$1:$O$88,15,0))</f>
        <v>0</v>
      </c>
      <c r="W313" s="6">
        <f>IF(ISERROR(VLOOKUP($T$313,'TAR FIN'!$A$1:$O$88,15,0)),0,VLOOKUP($T$313,'TAR FIN'!$A$1:$O$88,15,0))</f>
        <v>237.52</v>
      </c>
      <c r="X313" s="6">
        <f>IF(ISERROR(VLOOKUP($U$313,'TAR FIN'!$A$1:$O$88,15,0)),0,VLOOKUP($U$313,'TAR FIN'!$A$1:$O$88,15,0))</f>
        <v>254.23</v>
      </c>
      <c r="Y313" s="6"/>
      <c r="Z313" s="6">
        <f ca="1">('TUSD BE'!$AM$33+'TUSD BF'!$AM$33+'TUSD CVA'!$AM$33)*(1-CUSTOS!$M$38)</f>
        <v>329.38655465139976</v>
      </c>
      <c r="AA313" s="6">
        <f>('TE BE'!$AB$24+'TE BF'!$AB$24+'TE CVA'!$AB$24)*(1-CUSTOS!$M$38)</f>
        <v>195.17260177664326</v>
      </c>
      <c r="AB313" s="6">
        <f>$K$313*$V$313</f>
        <v>0</v>
      </c>
      <c r="AC313" s="6">
        <f>$M$313*$W$313</f>
        <v>51.304320000000004</v>
      </c>
      <c r="AD313" s="6">
        <f>$O$313*$X$313</f>
        <v>54.913679999999999</v>
      </c>
      <c r="AE313" s="6">
        <f>$K$313*$Y$313</f>
        <v>0</v>
      </c>
      <c r="AF313" s="6">
        <f ca="1">$M$313*$Z$313</f>
        <v>71.147495804702345</v>
      </c>
      <c r="AG313" s="6">
        <f>$O$313*$AA$313</f>
        <v>42.157281983754942</v>
      </c>
    </row>
    <row r="314" spans="1:33" ht="11.25" customHeight="1" x14ac:dyDescent="0.25">
      <c r="A314" s="4" t="s">
        <v>55</v>
      </c>
      <c r="B314" s="4" t="s">
        <v>41</v>
      </c>
      <c r="C314" s="4" t="s">
        <v>23</v>
      </c>
      <c r="D314" s="4" t="s">
        <v>42</v>
      </c>
      <c r="E314" s="4" t="s">
        <v>50</v>
      </c>
      <c r="F314" s="4" t="s">
        <v>52</v>
      </c>
      <c r="G314" s="4" t="s">
        <v>25</v>
      </c>
      <c r="H314" s="4" t="s">
        <v>25</v>
      </c>
      <c r="I314" s="5">
        <v>44743</v>
      </c>
      <c r="J314" s="6">
        <v>0</v>
      </c>
      <c r="K314" s="6">
        <v>0</v>
      </c>
      <c r="L314" s="6">
        <v>0.54</v>
      </c>
      <c r="M314" s="6">
        <v>0.216</v>
      </c>
      <c r="N314" s="6">
        <v>0.54</v>
      </c>
      <c r="O314" s="6">
        <v>0.216</v>
      </c>
      <c r="P314" s="6">
        <v>0</v>
      </c>
      <c r="Q314" s="4" t="s">
        <v>26</v>
      </c>
      <c r="R314" s="4">
        <v>0</v>
      </c>
      <c r="S314" s="6">
        <v>0</v>
      </c>
      <c r="T314" s="6">
        <v>50</v>
      </c>
      <c r="U314" s="6">
        <v>1</v>
      </c>
      <c r="V314" s="6">
        <f>IF(ISERROR(VLOOKUP($S$314,'TAR FIN'!$A$1:$O$88,15,0)),0,VLOOKUP($S$314,'TAR FIN'!$A$1:$O$88,15,0))</f>
        <v>0</v>
      </c>
      <c r="W314" s="6">
        <f>IF(ISERROR(VLOOKUP($T$314,'TAR FIN'!$A$1:$O$88,15,0)),0,VLOOKUP($T$314,'TAR FIN'!$A$1:$O$88,15,0))</f>
        <v>237.52</v>
      </c>
      <c r="X314" s="6">
        <f>IF(ISERROR(VLOOKUP($U$314,'TAR FIN'!$A$1:$O$88,15,0)),0,VLOOKUP($U$314,'TAR FIN'!$A$1:$O$88,15,0))</f>
        <v>254.23</v>
      </c>
      <c r="Y314" s="6"/>
      <c r="Z314" s="6">
        <f ca="1">('TUSD BE'!$AM$33+'TUSD BF'!$AM$33+'TUSD CVA'!$AM$33)*(1-CUSTOS!$M$38)</f>
        <v>329.38655465139976</v>
      </c>
      <c r="AA314" s="6">
        <f>('TE BE'!$AB$24+'TE BF'!$AB$24+'TE CVA'!$AB$24)*(1-CUSTOS!$M$38)</f>
        <v>195.17260177664326</v>
      </c>
      <c r="AB314" s="6">
        <f>$K$314*$V$314</f>
        <v>0</v>
      </c>
      <c r="AC314" s="6">
        <f>$M$314*$W$314</f>
        <v>51.304320000000004</v>
      </c>
      <c r="AD314" s="6">
        <f>$O$314*$X$314</f>
        <v>54.913679999999999</v>
      </c>
      <c r="AE314" s="6">
        <f>$K$314*$Y$314</f>
        <v>0</v>
      </c>
      <c r="AF314" s="6">
        <f ca="1">$M$314*$Z$314</f>
        <v>71.147495804702345</v>
      </c>
      <c r="AG314" s="6">
        <f>$O$314*$AA$314</f>
        <v>42.157281983754942</v>
      </c>
    </row>
    <row r="315" spans="1:33" ht="11.25" customHeight="1" x14ac:dyDescent="0.25">
      <c r="A315" s="4" t="s">
        <v>21</v>
      </c>
      <c r="B315" s="4" t="s">
        <v>41</v>
      </c>
      <c r="C315" s="4" t="s">
        <v>23</v>
      </c>
      <c r="D315" s="4" t="s">
        <v>42</v>
      </c>
      <c r="E315" s="4" t="s">
        <v>53</v>
      </c>
      <c r="F315" s="4" t="s">
        <v>51</v>
      </c>
      <c r="G315" s="4" t="s">
        <v>25</v>
      </c>
      <c r="H315" s="4" t="s">
        <v>25</v>
      </c>
      <c r="I315" s="5">
        <v>44409</v>
      </c>
      <c r="J315" s="6">
        <v>0</v>
      </c>
      <c r="K315" s="6">
        <v>0</v>
      </c>
      <c r="L315" s="6">
        <v>0.496</v>
      </c>
      <c r="M315" s="6">
        <v>0.496</v>
      </c>
      <c r="N315" s="6">
        <v>0.496</v>
      </c>
      <c r="O315" s="6">
        <v>0.496</v>
      </c>
      <c r="P315" s="6">
        <v>0</v>
      </c>
      <c r="Q315" s="4" t="s">
        <v>26</v>
      </c>
      <c r="R315" s="4">
        <v>0</v>
      </c>
      <c r="S315" s="6">
        <v>0</v>
      </c>
      <c r="T315" s="6">
        <v>50</v>
      </c>
      <c r="U315" s="6">
        <v>1</v>
      </c>
      <c r="V315" s="6">
        <f>IF(ISERROR(VLOOKUP($S$315,'TAR FIN'!$A$1:$O$88,15,0)),0,VLOOKUP($S$315,'TAR FIN'!$A$1:$O$88,15,0))</f>
        <v>0</v>
      </c>
      <c r="W315" s="6">
        <f>IF(ISERROR(VLOOKUP($T$315,'TAR FIN'!$A$1:$O$88,15,0)),0,VLOOKUP($T$315,'TAR FIN'!$A$1:$O$88,15,0))</f>
        <v>237.52</v>
      </c>
      <c r="X315" s="6">
        <f>IF(ISERROR(VLOOKUP($U$315,'TAR FIN'!$A$1:$O$88,15,0)),0,VLOOKUP($U$315,'TAR FIN'!$A$1:$O$88,15,0))</f>
        <v>254.23</v>
      </c>
      <c r="Y315" s="6"/>
      <c r="Z315" s="6">
        <f ca="1">('TUSD BE'!$AM$33+'TUSD BF'!$AM$33+'TUSD CVA'!$AM$33)*(1-CUSTOS!$M$38)</f>
        <v>329.38655465139976</v>
      </c>
      <c r="AA315" s="6">
        <f>('TE BE'!$AB$24+'TE BF'!$AB$24+'TE CVA'!$AB$24)*(1-CUSTOS!$M$38)</f>
        <v>195.17260177664326</v>
      </c>
      <c r="AB315" s="6">
        <f>$K$315*$V$315</f>
        <v>0</v>
      </c>
      <c r="AC315" s="6">
        <f>$M$315*$W$315</f>
        <v>117.80992000000001</v>
      </c>
      <c r="AD315" s="6">
        <f>$O$315*$X$315</f>
        <v>126.09808</v>
      </c>
      <c r="AE315" s="6">
        <f>$K$315*$Y$315</f>
        <v>0</v>
      </c>
      <c r="AF315" s="6">
        <f ca="1">$M$315*$Z$315</f>
        <v>163.37573110709428</v>
      </c>
      <c r="AG315" s="6">
        <f>$O$315*$AA$315</f>
        <v>96.805610481215055</v>
      </c>
    </row>
    <row r="316" spans="1:33" ht="11.25" customHeight="1" x14ac:dyDescent="0.25">
      <c r="A316" s="4" t="s">
        <v>21</v>
      </c>
      <c r="B316" s="4" t="s">
        <v>41</v>
      </c>
      <c r="C316" s="4" t="s">
        <v>23</v>
      </c>
      <c r="D316" s="4" t="s">
        <v>42</v>
      </c>
      <c r="E316" s="4" t="s">
        <v>53</v>
      </c>
      <c r="F316" s="4" t="s">
        <v>51</v>
      </c>
      <c r="G316" s="4" t="s">
        <v>25</v>
      </c>
      <c r="H316" s="4" t="s">
        <v>25</v>
      </c>
      <c r="I316" s="5">
        <v>44440</v>
      </c>
      <c r="J316" s="6">
        <v>0</v>
      </c>
      <c r="K316" s="6">
        <v>0</v>
      </c>
      <c r="L316" s="6">
        <v>9.2999999999999999E-2</v>
      </c>
      <c r="M316" s="6">
        <v>9.2999999999999999E-2</v>
      </c>
      <c r="N316" s="6">
        <v>9.2999999999999999E-2</v>
      </c>
      <c r="O316" s="6">
        <v>9.2999999999999999E-2</v>
      </c>
      <c r="P316" s="6">
        <v>0</v>
      </c>
      <c r="Q316" s="4" t="s">
        <v>26</v>
      </c>
      <c r="R316" s="4">
        <v>0</v>
      </c>
      <c r="S316" s="6">
        <v>0</v>
      </c>
      <c r="T316" s="6">
        <v>50</v>
      </c>
      <c r="U316" s="6">
        <v>1</v>
      </c>
      <c r="V316" s="6">
        <f>IF(ISERROR(VLOOKUP($S$316,'TAR FIN'!$A$1:$O$88,15,0)),0,VLOOKUP($S$316,'TAR FIN'!$A$1:$O$88,15,0))</f>
        <v>0</v>
      </c>
      <c r="W316" s="6">
        <f>IF(ISERROR(VLOOKUP($T$316,'TAR FIN'!$A$1:$O$88,15,0)),0,VLOOKUP($T$316,'TAR FIN'!$A$1:$O$88,15,0))</f>
        <v>237.52</v>
      </c>
      <c r="X316" s="6">
        <f>IF(ISERROR(VLOOKUP($U$316,'TAR FIN'!$A$1:$O$88,15,0)),0,VLOOKUP($U$316,'TAR FIN'!$A$1:$O$88,15,0))</f>
        <v>254.23</v>
      </c>
      <c r="Y316" s="6"/>
      <c r="Z316" s="6">
        <f ca="1">('TUSD BE'!$AM$33+'TUSD BF'!$AM$33+'TUSD CVA'!$AM$33)*(1-CUSTOS!$M$38)</f>
        <v>329.38655465139976</v>
      </c>
      <c r="AA316" s="6">
        <f>('TE BE'!$AB$24+'TE BF'!$AB$24+'TE CVA'!$AB$24)*(1-CUSTOS!$M$38)</f>
        <v>195.17260177664326</v>
      </c>
      <c r="AB316" s="6">
        <f>$K$316*$V$316</f>
        <v>0</v>
      </c>
      <c r="AC316" s="6">
        <f>$M$316*$W$316</f>
        <v>22.089359999999999</v>
      </c>
      <c r="AD316" s="6">
        <f>$O$316*$X$316</f>
        <v>23.64339</v>
      </c>
      <c r="AE316" s="6">
        <f>$K$316*$Y$316</f>
        <v>0</v>
      </c>
      <c r="AF316" s="6">
        <f ca="1">$M$316*$Z$316</f>
        <v>30.632949582580178</v>
      </c>
      <c r="AG316" s="6">
        <f>$O$316*$AA$316</f>
        <v>18.151051965227822</v>
      </c>
    </row>
    <row r="317" spans="1:33" ht="11.25" customHeight="1" x14ac:dyDescent="0.25">
      <c r="A317" s="4" t="s">
        <v>21</v>
      </c>
      <c r="B317" s="4" t="s">
        <v>41</v>
      </c>
      <c r="C317" s="4" t="s">
        <v>23</v>
      </c>
      <c r="D317" s="4" t="s">
        <v>42</v>
      </c>
      <c r="E317" s="4" t="s">
        <v>53</v>
      </c>
      <c r="F317" s="4" t="s">
        <v>52</v>
      </c>
      <c r="G317" s="4" t="s">
        <v>25</v>
      </c>
      <c r="H317" s="4" t="s">
        <v>25</v>
      </c>
      <c r="I317" s="5">
        <v>44409</v>
      </c>
      <c r="J317" s="6">
        <v>0</v>
      </c>
      <c r="K317" s="6">
        <v>0</v>
      </c>
      <c r="L317" s="6">
        <v>1.4019999999999999</v>
      </c>
      <c r="M317" s="6">
        <v>0.56079999999999997</v>
      </c>
      <c r="N317" s="6">
        <v>1.4019999999999999</v>
      </c>
      <c r="O317" s="6">
        <v>0.56079999999999997</v>
      </c>
      <c r="P317" s="6">
        <v>0</v>
      </c>
      <c r="Q317" s="4" t="s">
        <v>26</v>
      </c>
      <c r="R317" s="4">
        <v>0</v>
      </c>
      <c r="S317" s="6">
        <v>0</v>
      </c>
      <c r="T317" s="6">
        <v>50</v>
      </c>
      <c r="U317" s="6">
        <v>1</v>
      </c>
      <c r="V317" s="6">
        <f>IF(ISERROR(VLOOKUP($S$317,'TAR FIN'!$A$1:$O$88,15,0)),0,VLOOKUP($S$317,'TAR FIN'!$A$1:$O$88,15,0))</f>
        <v>0</v>
      </c>
      <c r="W317" s="6">
        <f>IF(ISERROR(VLOOKUP($T$317,'TAR FIN'!$A$1:$O$88,15,0)),0,VLOOKUP($T$317,'TAR FIN'!$A$1:$O$88,15,0))</f>
        <v>237.52</v>
      </c>
      <c r="X317" s="6">
        <f>IF(ISERROR(VLOOKUP($U$317,'TAR FIN'!$A$1:$O$88,15,0)),0,VLOOKUP($U$317,'TAR FIN'!$A$1:$O$88,15,0))</f>
        <v>254.23</v>
      </c>
      <c r="Y317" s="6"/>
      <c r="Z317" s="6">
        <f ca="1">('TUSD BE'!$AM$33+'TUSD BF'!$AM$33+'TUSD CVA'!$AM$33)*(1-CUSTOS!$M$38)</f>
        <v>329.38655465139976</v>
      </c>
      <c r="AA317" s="6">
        <f>('TE BE'!$AB$24+'TE BF'!$AB$24+'TE CVA'!$AB$24)*(1-CUSTOS!$M$38)</f>
        <v>195.17260177664326</v>
      </c>
      <c r="AB317" s="6">
        <f>$K$317*$V$317</f>
        <v>0</v>
      </c>
      <c r="AC317" s="6">
        <f>$M$317*$W$317</f>
        <v>133.20121599999999</v>
      </c>
      <c r="AD317" s="6">
        <f>$O$317*$X$317</f>
        <v>142.57218399999999</v>
      </c>
      <c r="AE317" s="6">
        <f>$K$317*$Y$317</f>
        <v>0</v>
      </c>
      <c r="AF317" s="6">
        <f ca="1">$M$317*$Z$317</f>
        <v>184.71997984850498</v>
      </c>
      <c r="AG317" s="6">
        <f>$O$317*$AA$317</f>
        <v>109.45279507634153</v>
      </c>
    </row>
    <row r="318" spans="1:33" ht="11.25" customHeight="1" x14ac:dyDescent="0.25">
      <c r="A318" s="4" t="s">
        <v>21</v>
      </c>
      <c r="B318" s="4" t="s">
        <v>41</v>
      </c>
      <c r="C318" s="4" t="s">
        <v>23</v>
      </c>
      <c r="D318" s="4" t="s">
        <v>42</v>
      </c>
      <c r="E318" s="4" t="s">
        <v>53</v>
      </c>
      <c r="F318" s="4" t="s">
        <v>52</v>
      </c>
      <c r="G318" s="4" t="s">
        <v>25</v>
      </c>
      <c r="H318" s="4" t="s">
        <v>25</v>
      </c>
      <c r="I318" s="5">
        <v>44440</v>
      </c>
      <c r="J318" s="6">
        <v>0</v>
      </c>
      <c r="K318" s="6">
        <v>0</v>
      </c>
      <c r="L318" s="6">
        <v>7.0000000000000001E-3</v>
      </c>
      <c r="M318" s="6">
        <v>2.8E-3</v>
      </c>
      <c r="N318" s="6">
        <v>7.0000000000000001E-3</v>
      </c>
      <c r="O318" s="6">
        <v>2.8E-3</v>
      </c>
      <c r="P318" s="6">
        <v>0</v>
      </c>
      <c r="Q318" s="4" t="s">
        <v>26</v>
      </c>
      <c r="R318" s="4">
        <v>0</v>
      </c>
      <c r="S318" s="6">
        <v>0</v>
      </c>
      <c r="T318" s="6">
        <v>50</v>
      </c>
      <c r="U318" s="6">
        <v>1</v>
      </c>
      <c r="V318" s="6">
        <f>IF(ISERROR(VLOOKUP($S$318,'TAR FIN'!$A$1:$O$88,15,0)),0,VLOOKUP($S$318,'TAR FIN'!$A$1:$O$88,15,0))</f>
        <v>0</v>
      </c>
      <c r="W318" s="6">
        <f>IF(ISERROR(VLOOKUP($T$318,'TAR FIN'!$A$1:$O$88,15,0)),0,VLOOKUP($T$318,'TAR FIN'!$A$1:$O$88,15,0))</f>
        <v>237.52</v>
      </c>
      <c r="X318" s="6">
        <f>IF(ISERROR(VLOOKUP($U$318,'TAR FIN'!$A$1:$O$88,15,0)),0,VLOOKUP($U$318,'TAR FIN'!$A$1:$O$88,15,0))</f>
        <v>254.23</v>
      </c>
      <c r="Y318" s="6"/>
      <c r="Z318" s="6">
        <f ca="1">('TUSD BE'!$AM$33+'TUSD BF'!$AM$33+'TUSD CVA'!$AM$33)*(1-CUSTOS!$M$38)</f>
        <v>329.38655465139976</v>
      </c>
      <c r="AA318" s="6">
        <f>('TE BE'!$AB$24+'TE BF'!$AB$24+'TE CVA'!$AB$24)*(1-CUSTOS!$M$38)</f>
        <v>195.17260177664326</v>
      </c>
      <c r="AB318" s="6">
        <f>$K$318*$V$318</f>
        <v>0</v>
      </c>
      <c r="AC318" s="6">
        <f>$M$318*$W$318</f>
        <v>0.66505599999999998</v>
      </c>
      <c r="AD318" s="6">
        <f>$O$318*$X$318</f>
        <v>0.71184399999999992</v>
      </c>
      <c r="AE318" s="6">
        <f>$K$318*$Y$318</f>
        <v>0</v>
      </c>
      <c r="AF318" s="6">
        <f ca="1">$M$318*$Z$318</f>
        <v>0.92228235302391937</v>
      </c>
      <c r="AG318" s="6">
        <f>$O$318*$AA$318</f>
        <v>0.54648328497460108</v>
      </c>
    </row>
    <row r="319" spans="1:33" ht="11.25" customHeight="1" x14ac:dyDescent="0.25">
      <c r="A319" s="4" t="s">
        <v>21</v>
      </c>
      <c r="B319" s="4" t="s">
        <v>41</v>
      </c>
      <c r="C319" s="4" t="s">
        <v>23</v>
      </c>
      <c r="D319" s="4" t="s">
        <v>42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44409</v>
      </c>
      <c r="J319" s="6">
        <v>0</v>
      </c>
      <c r="K319" s="6">
        <v>0</v>
      </c>
      <c r="L319" s="6">
        <v>274.19200000000001</v>
      </c>
      <c r="M319" s="6">
        <v>274.19200000000001</v>
      </c>
      <c r="N319" s="6">
        <v>274.19200000000001</v>
      </c>
      <c r="O319" s="6">
        <v>274.19200000000001</v>
      </c>
      <c r="P319" s="6">
        <v>711</v>
      </c>
      <c r="Q319" s="4" t="s">
        <v>26</v>
      </c>
      <c r="R319" s="4">
        <v>0</v>
      </c>
      <c r="S319" s="6">
        <v>0</v>
      </c>
      <c r="T319" s="6">
        <v>50</v>
      </c>
      <c r="U319" s="6">
        <v>1</v>
      </c>
      <c r="V319" s="6">
        <f>IF(ISERROR(VLOOKUP($S$319,'TAR FIN'!$A$1:$O$88,15,0)),0,VLOOKUP($S$319,'TAR FIN'!$A$1:$O$88,15,0))</f>
        <v>0</v>
      </c>
      <c r="W319" s="6">
        <f>IF(ISERROR(VLOOKUP($T$319,'TAR FIN'!$A$1:$O$88,15,0)),0,VLOOKUP($T$319,'TAR FIN'!$A$1:$O$88,15,0))</f>
        <v>237.52</v>
      </c>
      <c r="X319" s="6">
        <f>IF(ISERROR(VLOOKUP($U$319,'TAR FIN'!$A$1:$O$88,15,0)),0,VLOOKUP($U$319,'TAR FIN'!$A$1:$O$88,15,0))</f>
        <v>254.23</v>
      </c>
      <c r="Y319" s="6"/>
      <c r="Z319" s="6">
        <f ca="1">('TUSD BE'!$AM$33+'TUSD BF'!$AM$33+'TUSD CVA'!$AM$33)*(1-CUSTOS!$M$38)</f>
        <v>329.38655465139976</v>
      </c>
      <c r="AA319" s="6">
        <f>('TE BE'!$AB$24+'TE BF'!$AB$24+'TE CVA'!$AB$24)*(1-CUSTOS!$M$38)</f>
        <v>195.17260177664326</v>
      </c>
      <c r="AB319" s="6">
        <f>$K$319*$V$319</f>
        <v>0</v>
      </c>
      <c r="AC319" s="6">
        <f>$M$319*$W$319</f>
        <v>65126.083840000007</v>
      </c>
      <c r="AD319" s="6">
        <f>$O$319*$X$319</f>
        <v>69707.832160000005</v>
      </c>
      <c r="AE319" s="6">
        <f>$K$319*$Y$319</f>
        <v>0</v>
      </c>
      <c r="AF319" s="6">
        <f ca="1">$M$319*$Z$319</f>
        <v>90315.158192976611</v>
      </c>
      <c r="AG319" s="6">
        <f>$O$319*$AA$319</f>
        <v>53514.766026341371</v>
      </c>
    </row>
    <row r="320" spans="1:33" ht="11.25" customHeight="1" x14ac:dyDescent="0.25">
      <c r="A320" s="4" t="s">
        <v>27</v>
      </c>
      <c r="B320" s="4" t="s">
        <v>41</v>
      </c>
      <c r="C320" s="4" t="s">
        <v>23</v>
      </c>
      <c r="D320" s="4" t="s">
        <v>42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44409</v>
      </c>
      <c r="J320" s="6">
        <v>0</v>
      </c>
      <c r="K320" s="6">
        <v>0</v>
      </c>
      <c r="L320" s="6">
        <v>2.69</v>
      </c>
      <c r="M320" s="6">
        <v>2.69</v>
      </c>
      <c r="N320" s="6">
        <v>2.69</v>
      </c>
      <c r="O320" s="6">
        <v>2.69</v>
      </c>
      <c r="P320" s="6">
        <v>17</v>
      </c>
      <c r="Q320" s="4" t="s">
        <v>26</v>
      </c>
      <c r="R320" s="4">
        <v>0</v>
      </c>
      <c r="S320" s="6">
        <v>0</v>
      </c>
      <c r="T320" s="6">
        <v>50</v>
      </c>
      <c r="U320" s="6">
        <v>1</v>
      </c>
      <c r="V320" s="6">
        <f>IF(ISERROR(VLOOKUP($S$320,'TAR FIN'!$A$1:$O$88,15,0)),0,VLOOKUP($S$320,'TAR FIN'!$A$1:$O$88,15,0))</f>
        <v>0</v>
      </c>
      <c r="W320" s="6">
        <f>IF(ISERROR(VLOOKUP($T$320,'TAR FIN'!$A$1:$O$88,15,0)),0,VLOOKUP($T$320,'TAR FIN'!$A$1:$O$88,15,0))</f>
        <v>237.52</v>
      </c>
      <c r="X320" s="6">
        <f>IF(ISERROR(VLOOKUP($U$320,'TAR FIN'!$A$1:$O$88,15,0)),0,VLOOKUP($U$320,'TAR FIN'!$A$1:$O$88,15,0))</f>
        <v>254.23</v>
      </c>
      <c r="Y320" s="6"/>
      <c r="Z320" s="6">
        <f ca="1">('TUSD BE'!$AM$33+'TUSD BF'!$AM$33+'TUSD CVA'!$AM$33)*(1-CUSTOS!$M$38)</f>
        <v>329.38655465139976</v>
      </c>
      <c r="AA320" s="6">
        <f>('TE BE'!$AB$24+'TE BF'!$AB$24+'TE CVA'!$AB$24)*(1-CUSTOS!$M$38)</f>
        <v>195.17260177664326</v>
      </c>
      <c r="AB320" s="6">
        <f>$K$320*$V$320</f>
        <v>0</v>
      </c>
      <c r="AC320" s="6">
        <f>$M$320*$W$320</f>
        <v>638.92880000000002</v>
      </c>
      <c r="AD320" s="6">
        <f>$O$320*$X$320</f>
        <v>683.87869999999998</v>
      </c>
      <c r="AE320" s="6">
        <f>$K$320*$Y$320</f>
        <v>0</v>
      </c>
      <c r="AF320" s="6">
        <f ca="1">$M$320*$Z$320</f>
        <v>886.04983201226537</v>
      </c>
      <c r="AG320" s="6">
        <f>$O$320*$AA$320</f>
        <v>525.01429877917042</v>
      </c>
    </row>
    <row r="321" spans="1:33" ht="11.25" customHeight="1" x14ac:dyDescent="0.25">
      <c r="A321" s="4" t="s">
        <v>21</v>
      </c>
      <c r="B321" s="4" t="s">
        <v>41</v>
      </c>
      <c r="C321" s="4" t="s">
        <v>23</v>
      </c>
      <c r="D321" s="4" t="s">
        <v>42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44440</v>
      </c>
      <c r="J321" s="6">
        <v>0</v>
      </c>
      <c r="K321" s="6">
        <v>0</v>
      </c>
      <c r="L321" s="6">
        <v>270.55799999999999</v>
      </c>
      <c r="M321" s="6">
        <v>270.55799999999999</v>
      </c>
      <c r="N321" s="6">
        <v>270.55799999999999</v>
      </c>
      <c r="O321" s="6">
        <v>270.55799999999999</v>
      </c>
      <c r="P321" s="6">
        <v>712</v>
      </c>
      <c r="Q321" s="4" t="s">
        <v>26</v>
      </c>
      <c r="R321" s="4">
        <v>0</v>
      </c>
      <c r="S321" s="6">
        <v>0</v>
      </c>
      <c r="T321" s="6">
        <v>50</v>
      </c>
      <c r="U321" s="6">
        <v>1</v>
      </c>
      <c r="V321" s="6">
        <f>IF(ISERROR(VLOOKUP($S$321,'TAR FIN'!$A$1:$O$88,15,0)),0,VLOOKUP($S$321,'TAR FIN'!$A$1:$O$88,15,0))</f>
        <v>0</v>
      </c>
      <c r="W321" s="6">
        <f>IF(ISERROR(VLOOKUP($T$321,'TAR FIN'!$A$1:$O$88,15,0)),0,VLOOKUP($T$321,'TAR FIN'!$A$1:$O$88,15,0))</f>
        <v>237.52</v>
      </c>
      <c r="X321" s="6">
        <f>IF(ISERROR(VLOOKUP($U$321,'TAR FIN'!$A$1:$O$88,15,0)),0,VLOOKUP($U$321,'TAR FIN'!$A$1:$O$88,15,0))</f>
        <v>254.23</v>
      </c>
      <c r="Y321" s="6"/>
      <c r="Z321" s="6">
        <f ca="1">('TUSD BE'!$AM$33+'TUSD BF'!$AM$33+'TUSD CVA'!$AM$33)*(1-CUSTOS!$M$38)</f>
        <v>329.38655465139976</v>
      </c>
      <c r="AA321" s="6">
        <f>('TE BE'!$AB$24+'TE BF'!$AB$24+'TE CVA'!$AB$24)*(1-CUSTOS!$M$38)</f>
        <v>195.17260177664326</v>
      </c>
      <c r="AB321" s="6">
        <f>$K$321*$V$321</f>
        <v>0</v>
      </c>
      <c r="AC321" s="6">
        <f>$M$321*$W$321</f>
        <v>64262.936159999997</v>
      </c>
      <c r="AD321" s="6">
        <f>$O$321*$X$321</f>
        <v>68783.960339999991</v>
      </c>
      <c r="AE321" s="6">
        <f>$K$321*$Y$321</f>
        <v>0</v>
      </c>
      <c r="AF321" s="6">
        <f ca="1">$M$321*$Z$321</f>
        <v>89118.167453373419</v>
      </c>
      <c r="AG321" s="6">
        <f>$O$321*$AA$321</f>
        <v>52805.508791485045</v>
      </c>
    </row>
    <row r="322" spans="1:33" ht="11.25" customHeight="1" x14ac:dyDescent="0.25">
      <c r="A322" s="4" t="s">
        <v>27</v>
      </c>
      <c r="B322" s="4" t="s">
        <v>41</v>
      </c>
      <c r="C322" s="4" t="s">
        <v>23</v>
      </c>
      <c r="D322" s="4" t="s">
        <v>42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44440</v>
      </c>
      <c r="J322" s="6">
        <v>0</v>
      </c>
      <c r="K322" s="6">
        <v>0</v>
      </c>
      <c r="L322" s="6">
        <v>6.202</v>
      </c>
      <c r="M322" s="6">
        <v>6.202</v>
      </c>
      <c r="N322" s="6">
        <v>6.202</v>
      </c>
      <c r="O322" s="6">
        <v>6.202</v>
      </c>
      <c r="P322" s="6">
        <v>19</v>
      </c>
      <c r="Q322" s="4" t="s">
        <v>26</v>
      </c>
      <c r="R322" s="4">
        <v>0</v>
      </c>
      <c r="S322" s="6">
        <v>0</v>
      </c>
      <c r="T322" s="6">
        <v>50</v>
      </c>
      <c r="U322" s="6">
        <v>1</v>
      </c>
      <c r="V322" s="6">
        <f>IF(ISERROR(VLOOKUP($S$322,'TAR FIN'!$A$1:$O$88,15,0)),0,VLOOKUP($S$322,'TAR FIN'!$A$1:$O$88,15,0))</f>
        <v>0</v>
      </c>
      <c r="W322" s="6">
        <f>IF(ISERROR(VLOOKUP($T$322,'TAR FIN'!$A$1:$O$88,15,0)),0,VLOOKUP($T$322,'TAR FIN'!$A$1:$O$88,15,0))</f>
        <v>237.52</v>
      </c>
      <c r="X322" s="6">
        <f>IF(ISERROR(VLOOKUP($U$322,'TAR FIN'!$A$1:$O$88,15,0)),0,VLOOKUP($U$322,'TAR FIN'!$A$1:$O$88,15,0))</f>
        <v>254.23</v>
      </c>
      <c r="Y322" s="6"/>
      <c r="Z322" s="6">
        <f ca="1">('TUSD BE'!$AM$33+'TUSD BF'!$AM$33+'TUSD CVA'!$AM$33)*(1-CUSTOS!$M$38)</f>
        <v>329.38655465139976</v>
      </c>
      <c r="AA322" s="6">
        <f>('TE BE'!$AB$24+'TE BF'!$AB$24+'TE CVA'!$AB$24)*(1-CUSTOS!$M$38)</f>
        <v>195.17260177664326</v>
      </c>
      <c r="AB322" s="6">
        <f>$K$322*$V$322</f>
        <v>0</v>
      </c>
      <c r="AC322" s="6">
        <f>$M$322*$W$322</f>
        <v>1473.0990400000001</v>
      </c>
      <c r="AD322" s="6">
        <f>$O$322*$X$322</f>
        <v>1576.7344599999999</v>
      </c>
      <c r="AE322" s="6">
        <f>$K$322*$Y$322</f>
        <v>0</v>
      </c>
      <c r="AF322" s="6">
        <f ca="1">$M$322*$Z$322</f>
        <v>2042.8554119479813</v>
      </c>
      <c r="AG322" s="6">
        <f>$O$322*$AA$322</f>
        <v>1210.4604762187414</v>
      </c>
    </row>
    <row r="323" spans="1:33" ht="11.25" customHeight="1" x14ac:dyDescent="0.25">
      <c r="A323" s="4" t="s">
        <v>21</v>
      </c>
      <c r="B323" s="4" t="s">
        <v>41</v>
      </c>
      <c r="C323" s="4" t="s">
        <v>23</v>
      </c>
      <c r="D323" s="4" t="s">
        <v>42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44470</v>
      </c>
      <c r="J323" s="6">
        <v>0</v>
      </c>
      <c r="K323" s="6">
        <v>0</v>
      </c>
      <c r="L323" s="6">
        <v>266.101</v>
      </c>
      <c r="M323" s="6">
        <v>266.101</v>
      </c>
      <c r="N323" s="6">
        <v>266.101</v>
      </c>
      <c r="O323" s="6">
        <v>266.101</v>
      </c>
      <c r="P323" s="6">
        <v>712</v>
      </c>
      <c r="Q323" s="4" t="s">
        <v>26</v>
      </c>
      <c r="R323" s="4">
        <v>0</v>
      </c>
      <c r="S323" s="6">
        <v>0</v>
      </c>
      <c r="T323" s="6">
        <v>50</v>
      </c>
      <c r="U323" s="6">
        <v>1</v>
      </c>
      <c r="V323" s="6">
        <f>IF(ISERROR(VLOOKUP($S$323,'TAR FIN'!$A$1:$O$88,15,0)),0,VLOOKUP($S$323,'TAR FIN'!$A$1:$O$88,15,0))</f>
        <v>0</v>
      </c>
      <c r="W323" s="6">
        <f>IF(ISERROR(VLOOKUP($T$323,'TAR FIN'!$A$1:$O$88,15,0)),0,VLOOKUP($T$323,'TAR FIN'!$A$1:$O$88,15,0))</f>
        <v>237.52</v>
      </c>
      <c r="X323" s="6">
        <f>IF(ISERROR(VLOOKUP($U$323,'TAR FIN'!$A$1:$O$88,15,0)),0,VLOOKUP($U$323,'TAR FIN'!$A$1:$O$88,15,0))</f>
        <v>254.23</v>
      </c>
      <c r="Y323" s="6"/>
      <c r="Z323" s="6">
        <f ca="1">('TUSD BE'!$AM$33+'TUSD BF'!$AM$33+'TUSD CVA'!$AM$33)*(1-CUSTOS!$M$38)</f>
        <v>329.38655465139976</v>
      </c>
      <c r="AA323" s="6">
        <f>('TE BE'!$AB$24+'TE BF'!$AB$24+'TE CVA'!$AB$24)*(1-CUSTOS!$M$38)</f>
        <v>195.17260177664326</v>
      </c>
      <c r="AB323" s="6">
        <f>$K$323*$V$323</f>
        <v>0</v>
      </c>
      <c r="AC323" s="6">
        <f>$M$323*$W$323</f>
        <v>63204.309520000003</v>
      </c>
      <c r="AD323" s="6">
        <f>$O$323*$X$323</f>
        <v>67650.857229999994</v>
      </c>
      <c r="AE323" s="6">
        <f>$K$323*$Y$323</f>
        <v>0</v>
      </c>
      <c r="AF323" s="6">
        <f ca="1">$M$323*$Z$323</f>
        <v>87650.09157929213</v>
      </c>
      <c r="AG323" s="6">
        <f>$O$323*$AA$323</f>
        <v>51935.624505366548</v>
      </c>
    </row>
    <row r="324" spans="1:33" ht="11.25" customHeight="1" x14ac:dyDescent="0.25">
      <c r="A324" s="4" t="s">
        <v>27</v>
      </c>
      <c r="B324" s="4" t="s">
        <v>41</v>
      </c>
      <c r="C324" s="4" t="s">
        <v>23</v>
      </c>
      <c r="D324" s="4" t="s">
        <v>42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44470</v>
      </c>
      <c r="J324" s="6">
        <v>0</v>
      </c>
      <c r="K324" s="6">
        <v>0</v>
      </c>
      <c r="L324" s="6">
        <v>4.1890000000000001</v>
      </c>
      <c r="M324" s="6">
        <v>4.1890000000000001</v>
      </c>
      <c r="N324" s="6">
        <v>4.1890000000000001</v>
      </c>
      <c r="O324" s="6">
        <v>4.1890000000000001</v>
      </c>
      <c r="P324" s="6">
        <v>20</v>
      </c>
      <c r="Q324" s="4" t="s">
        <v>26</v>
      </c>
      <c r="R324" s="4">
        <v>0</v>
      </c>
      <c r="S324" s="6">
        <v>0</v>
      </c>
      <c r="T324" s="6">
        <v>50</v>
      </c>
      <c r="U324" s="6">
        <v>1</v>
      </c>
      <c r="V324" s="6">
        <f>IF(ISERROR(VLOOKUP($S$324,'TAR FIN'!$A$1:$O$88,15,0)),0,VLOOKUP($S$324,'TAR FIN'!$A$1:$O$88,15,0))</f>
        <v>0</v>
      </c>
      <c r="W324" s="6">
        <f>IF(ISERROR(VLOOKUP($T$324,'TAR FIN'!$A$1:$O$88,15,0)),0,VLOOKUP($T$324,'TAR FIN'!$A$1:$O$88,15,0))</f>
        <v>237.52</v>
      </c>
      <c r="X324" s="6">
        <f>IF(ISERROR(VLOOKUP($U$324,'TAR FIN'!$A$1:$O$88,15,0)),0,VLOOKUP($U$324,'TAR FIN'!$A$1:$O$88,15,0))</f>
        <v>254.23</v>
      </c>
      <c r="Y324" s="6"/>
      <c r="Z324" s="6">
        <f ca="1">('TUSD BE'!$AM$33+'TUSD BF'!$AM$33+'TUSD CVA'!$AM$33)*(1-CUSTOS!$M$38)</f>
        <v>329.38655465139976</v>
      </c>
      <c r="AA324" s="6">
        <f>('TE BE'!$AB$24+'TE BF'!$AB$24+'TE CVA'!$AB$24)*(1-CUSTOS!$M$38)</f>
        <v>195.17260177664326</v>
      </c>
      <c r="AB324" s="6">
        <f>$K$324*$V$324</f>
        <v>0</v>
      </c>
      <c r="AC324" s="6">
        <f>$M$324*$W$324</f>
        <v>994.97128000000009</v>
      </c>
      <c r="AD324" s="6">
        <f>$O$324*$X$324</f>
        <v>1064.96947</v>
      </c>
      <c r="AE324" s="6">
        <f>$K$324*$Y$324</f>
        <v>0</v>
      </c>
      <c r="AF324" s="6">
        <f ca="1">$M$324*$Z$324</f>
        <v>1379.8002774347137</v>
      </c>
      <c r="AG324" s="6">
        <f>$O$324*$AA$324</f>
        <v>817.57802884235866</v>
      </c>
    </row>
    <row r="325" spans="1:33" ht="11.25" customHeight="1" x14ac:dyDescent="0.25">
      <c r="A325" s="4" t="s">
        <v>21</v>
      </c>
      <c r="B325" s="4" t="s">
        <v>41</v>
      </c>
      <c r="C325" s="4" t="s">
        <v>23</v>
      </c>
      <c r="D325" s="4" t="s">
        <v>42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44501</v>
      </c>
      <c r="J325" s="6">
        <v>0</v>
      </c>
      <c r="K325" s="6">
        <v>0</v>
      </c>
      <c r="L325" s="6">
        <v>276.16699999999997</v>
      </c>
      <c r="M325" s="6">
        <v>276.16699999999997</v>
      </c>
      <c r="N325" s="6">
        <v>276.16699999999997</v>
      </c>
      <c r="O325" s="6">
        <v>276.16699999999997</v>
      </c>
      <c r="P325" s="6">
        <v>711</v>
      </c>
      <c r="Q325" s="4" t="s">
        <v>26</v>
      </c>
      <c r="R325" s="4">
        <v>0</v>
      </c>
      <c r="S325" s="6">
        <v>0</v>
      </c>
      <c r="T325" s="6">
        <v>50</v>
      </c>
      <c r="U325" s="6">
        <v>1</v>
      </c>
      <c r="V325" s="6">
        <f>IF(ISERROR(VLOOKUP($S$325,'TAR FIN'!$A$1:$O$88,15,0)),0,VLOOKUP($S$325,'TAR FIN'!$A$1:$O$88,15,0))</f>
        <v>0</v>
      </c>
      <c r="W325" s="6">
        <f>IF(ISERROR(VLOOKUP($T$325,'TAR FIN'!$A$1:$O$88,15,0)),0,VLOOKUP($T$325,'TAR FIN'!$A$1:$O$88,15,0))</f>
        <v>237.52</v>
      </c>
      <c r="X325" s="6">
        <f>IF(ISERROR(VLOOKUP($U$325,'TAR FIN'!$A$1:$O$88,15,0)),0,VLOOKUP($U$325,'TAR FIN'!$A$1:$O$88,15,0))</f>
        <v>254.23</v>
      </c>
      <c r="Y325" s="6"/>
      <c r="Z325" s="6">
        <f ca="1">('TUSD BE'!$AM$33+'TUSD BF'!$AM$33+'TUSD CVA'!$AM$33)*(1-CUSTOS!$M$38)</f>
        <v>329.38655465139976</v>
      </c>
      <c r="AA325" s="6">
        <f>('TE BE'!$AB$24+'TE BF'!$AB$24+'TE CVA'!$AB$24)*(1-CUSTOS!$M$38)</f>
        <v>195.17260177664326</v>
      </c>
      <c r="AB325" s="6">
        <f>$K$325*$V$325</f>
        <v>0</v>
      </c>
      <c r="AC325" s="6">
        <f>$M$325*$W$325</f>
        <v>65595.185839999991</v>
      </c>
      <c r="AD325" s="6">
        <f>$O$325*$X$325</f>
        <v>70209.936409999995</v>
      </c>
      <c r="AE325" s="6">
        <f>$K$325*$Y$325</f>
        <v>0</v>
      </c>
      <c r="AF325" s="6">
        <f ca="1">$M$325*$Z$325</f>
        <v>90965.696638413108</v>
      </c>
      <c r="AG325" s="6">
        <f>$O$325*$AA$325</f>
        <v>53900.231914850236</v>
      </c>
    </row>
    <row r="326" spans="1:33" ht="11.25" customHeight="1" x14ac:dyDescent="0.25">
      <c r="A326" s="4" t="s">
        <v>27</v>
      </c>
      <c r="B326" s="4" t="s">
        <v>41</v>
      </c>
      <c r="C326" s="4" t="s">
        <v>23</v>
      </c>
      <c r="D326" s="4" t="s">
        <v>42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44501</v>
      </c>
      <c r="J326" s="6">
        <v>0</v>
      </c>
      <c r="K326" s="6">
        <v>0</v>
      </c>
      <c r="L326" s="6">
        <v>8.4710000000000001</v>
      </c>
      <c r="M326" s="6">
        <v>8.4710000000000001</v>
      </c>
      <c r="N326" s="6">
        <v>8.4710000000000001</v>
      </c>
      <c r="O326" s="6">
        <v>8.4710000000000001</v>
      </c>
      <c r="P326" s="6">
        <v>23</v>
      </c>
      <c r="Q326" s="4" t="s">
        <v>26</v>
      </c>
      <c r="R326" s="4">
        <v>0</v>
      </c>
      <c r="S326" s="6">
        <v>0</v>
      </c>
      <c r="T326" s="6">
        <v>50</v>
      </c>
      <c r="U326" s="6">
        <v>1</v>
      </c>
      <c r="V326" s="6">
        <f>IF(ISERROR(VLOOKUP($S$326,'TAR FIN'!$A$1:$O$88,15,0)),0,VLOOKUP($S$326,'TAR FIN'!$A$1:$O$88,15,0))</f>
        <v>0</v>
      </c>
      <c r="W326" s="6">
        <f>IF(ISERROR(VLOOKUP($T$326,'TAR FIN'!$A$1:$O$88,15,0)),0,VLOOKUP($T$326,'TAR FIN'!$A$1:$O$88,15,0))</f>
        <v>237.52</v>
      </c>
      <c r="X326" s="6">
        <f>IF(ISERROR(VLOOKUP($U$326,'TAR FIN'!$A$1:$O$88,15,0)),0,VLOOKUP($U$326,'TAR FIN'!$A$1:$O$88,15,0))</f>
        <v>254.23</v>
      </c>
      <c r="Y326" s="6"/>
      <c r="Z326" s="6">
        <f ca="1">('TUSD BE'!$AM$33+'TUSD BF'!$AM$33+'TUSD CVA'!$AM$33)*(1-CUSTOS!$M$38)</f>
        <v>329.38655465139976</v>
      </c>
      <c r="AA326" s="6">
        <f>('TE BE'!$AB$24+'TE BF'!$AB$24+'TE CVA'!$AB$24)*(1-CUSTOS!$M$38)</f>
        <v>195.17260177664326</v>
      </c>
      <c r="AB326" s="6">
        <f>$K$326*$V$326</f>
        <v>0</v>
      </c>
      <c r="AC326" s="6">
        <f>$M$326*$W$326</f>
        <v>2012.0319200000001</v>
      </c>
      <c r="AD326" s="6">
        <f>$O$326*$X$326</f>
        <v>2153.5823299999997</v>
      </c>
      <c r="AE326" s="6">
        <f>$K$326*$Y$326</f>
        <v>0</v>
      </c>
      <c r="AF326" s="6">
        <f ca="1">$M$326*$Z$326</f>
        <v>2790.2335044520073</v>
      </c>
      <c r="AG326" s="6">
        <f>$O$326*$AA$326</f>
        <v>1653.307109649945</v>
      </c>
    </row>
    <row r="327" spans="1:33" ht="11.25" customHeight="1" x14ac:dyDescent="0.25">
      <c r="A327" s="4" t="s">
        <v>21</v>
      </c>
      <c r="B327" s="4" t="s">
        <v>41</v>
      </c>
      <c r="C327" s="4" t="s">
        <v>23</v>
      </c>
      <c r="D327" s="4" t="s">
        <v>42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44531</v>
      </c>
      <c r="J327" s="6">
        <v>0</v>
      </c>
      <c r="K327" s="6">
        <v>0</v>
      </c>
      <c r="L327" s="6">
        <v>279.435</v>
      </c>
      <c r="M327" s="6">
        <v>279.435</v>
      </c>
      <c r="N327" s="6">
        <v>279.435</v>
      </c>
      <c r="O327" s="6">
        <v>279.435</v>
      </c>
      <c r="P327" s="6">
        <v>707</v>
      </c>
      <c r="Q327" s="4" t="s">
        <v>26</v>
      </c>
      <c r="R327" s="4">
        <v>0</v>
      </c>
      <c r="S327" s="6">
        <v>0</v>
      </c>
      <c r="T327" s="6">
        <v>50</v>
      </c>
      <c r="U327" s="6">
        <v>1</v>
      </c>
      <c r="V327" s="6">
        <f>IF(ISERROR(VLOOKUP($S$327,'TAR FIN'!$A$1:$O$88,15,0)),0,VLOOKUP($S$327,'TAR FIN'!$A$1:$O$88,15,0))</f>
        <v>0</v>
      </c>
      <c r="W327" s="6">
        <f>IF(ISERROR(VLOOKUP($T$327,'TAR FIN'!$A$1:$O$88,15,0)),0,VLOOKUP($T$327,'TAR FIN'!$A$1:$O$88,15,0))</f>
        <v>237.52</v>
      </c>
      <c r="X327" s="6">
        <f>IF(ISERROR(VLOOKUP($U$327,'TAR FIN'!$A$1:$O$88,15,0)),0,VLOOKUP($U$327,'TAR FIN'!$A$1:$O$88,15,0))</f>
        <v>254.23</v>
      </c>
      <c r="Y327" s="6"/>
      <c r="Z327" s="6">
        <f ca="1">('TUSD BE'!$AM$33+'TUSD BF'!$AM$33+'TUSD CVA'!$AM$33)*(1-CUSTOS!$M$38)</f>
        <v>329.38655465139976</v>
      </c>
      <c r="AA327" s="6">
        <f>('TE BE'!$AB$24+'TE BF'!$AB$24+'TE CVA'!$AB$24)*(1-CUSTOS!$M$38)</f>
        <v>195.17260177664326</v>
      </c>
      <c r="AB327" s="6">
        <f>$K$327*$V$327</f>
        <v>0</v>
      </c>
      <c r="AC327" s="6">
        <f>$M$327*$W$327</f>
        <v>66371.401200000008</v>
      </c>
      <c r="AD327" s="6">
        <f>$O$327*$X$327</f>
        <v>71040.760049999997</v>
      </c>
      <c r="AE327" s="6">
        <f>$K$327*$Y$327</f>
        <v>0</v>
      </c>
      <c r="AF327" s="6">
        <f ca="1">$M$327*$Z$327</f>
        <v>92042.131899013897</v>
      </c>
      <c r="AG327" s="6">
        <f>$O$327*$AA$327</f>
        <v>54538.055977456308</v>
      </c>
    </row>
    <row r="328" spans="1:33" ht="11.25" customHeight="1" x14ac:dyDescent="0.25">
      <c r="A328" s="4" t="s">
        <v>27</v>
      </c>
      <c r="B328" s="4" t="s">
        <v>41</v>
      </c>
      <c r="C328" s="4" t="s">
        <v>23</v>
      </c>
      <c r="D328" s="4" t="s">
        <v>42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44531</v>
      </c>
      <c r="J328" s="6">
        <v>0</v>
      </c>
      <c r="K328" s="6">
        <v>0</v>
      </c>
      <c r="L328" s="6">
        <v>9.2650000000000006</v>
      </c>
      <c r="M328" s="6">
        <v>9.2650000000000006</v>
      </c>
      <c r="N328" s="6">
        <v>9.2650000000000006</v>
      </c>
      <c r="O328" s="6">
        <v>9.2650000000000006</v>
      </c>
      <c r="P328" s="6">
        <v>26</v>
      </c>
      <c r="Q328" s="4" t="s">
        <v>26</v>
      </c>
      <c r="R328" s="4">
        <v>0</v>
      </c>
      <c r="S328" s="6">
        <v>0</v>
      </c>
      <c r="T328" s="6">
        <v>50</v>
      </c>
      <c r="U328" s="6">
        <v>1</v>
      </c>
      <c r="V328" s="6">
        <f>IF(ISERROR(VLOOKUP($S$328,'TAR FIN'!$A$1:$O$88,15,0)),0,VLOOKUP($S$328,'TAR FIN'!$A$1:$O$88,15,0))</f>
        <v>0</v>
      </c>
      <c r="W328" s="6">
        <f>IF(ISERROR(VLOOKUP($T$328,'TAR FIN'!$A$1:$O$88,15,0)),0,VLOOKUP($T$328,'TAR FIN'!$A$1:$O$88,15,0))</f>
        <v>237.52</v>
      </c>
      <c r="X328" s="6">
        <f>IF(ISERROR(VLOOKUP($U$328,'TAR FIN'!$A$1:$O$88,15,0)),0,VLOOKUP($U$328,'TAR FIN'!$A$1:$O$88,15,0))</f>
        <v>254.23</v>
      </c>
      <c r="Y328" s="6"/>
      <c r="Z328" s="6">
        <f ca="1">('TUSD BE'!$AM$33+'TUSD BF'!$AM$33+'TUSD CVA'!$AM$33)*(1-CUSTOS!$M$38)</f>
        <v>329.38655465139976</v>
      </c>
      <c r="AA328" s="6">
        <f>('TE BE'!$AB$24+'TE BF'!$AB$24+'TE CVA'!$AB$24)*(1-CUSTOS!$M$38)</f>
        <v>195.17260177664326</v>
      </c>
      <c r="AB328" s="6">
        <f>$K$328*$V$328</f>
        <v>0</v>
      </c>
      <c r="AC328" s="6">
        <f>$M$328*$W$328</f>
        <v>2200.6228000000001</v>
      </c>
      <c r="AD328" s="6">
        <f>$O$328*$X$328</f>
        <v>2355.4409500000002</v>
      </c>
      <c r="AE328" s="6">
        <f>$K$328*$Y$328</f>
        <v>0</v>
      </c>
      <c r="AF328" s="6">
        <f ca="1">$M$328*$Z$328</f>
        <v>3051.7664288452188</v>
      </c>
      <c r="AG328" s="6">
        <f>$O$328*$AA$328</f>
        <v>1808.2741554606</v>
      </c>
    </row>
    <row r="329" spans="1:33" ht="11.25" customHeight="1" x14ac:dyDescent="0.25">
      <c r="A329" s="4" t="s">
        <v>21</v>
      </c>
      <c r="B329" s="4" t="s">
        <v>41</v>
      </c>
      <c r="C329" s="4" t="s">
        <v>23</v>
      </c>
      <c r="D329" s="4" t="s">
        <v>42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44562</v>
      </c>
      <c r="J329" s="6">
        <v>0</v>
      </c>
      <c r="K329" s="6">
        <v>0</v>
      </c>
      <c r="L329" s="6">
        <v>277.08</v>
      </c>
      <c r="M329" s="6">
        <v>277.08</v>
      </c>
      <c r="N329" s="6">
        <v>277.08</v>
      </c>
      <c r="O329" s="6">
        <v>277.08</v>
      </c>
      <c r="P329" s="6">
        <v>707</v>
      </c>
      <c r="Q329" s="4" t="s">
        <v>26</v>
      </c>
      <c r="R329" s="4">
        <v>0</v>
      </c>
      <c r="S329" s="6">
        <v>0</v>
      </c>
      <c r="T329" s="6">
        <v>50</v>
      </c>
      <c r="U329" s="6">
        <v>1</v>
      </c>
      <c r="V329" s="6">
        <f>IF(ISERROR(VLOOKUP($S$329,'TAR FIN'!$A$1:$O$88,15,0)),0,VLOOKUP($S$329,'TAR FIN'!$A$1:$O$88,15,0))</f>
        <v>0</v>
      </c>
      <c r="W329" s="6">
        <f>IF(ISERROR(VLOOKUP($T$329,'TAR FIN'!$A$1:$O$88,15,0)),0,VLOOKUP($T$329,'TAR FIN'!$A$1:$O$88,15,0))</f>
        <v>237.52</v>
      </c>
      <c r="X329" s="6">
        <f>IF(ISERROR(VLOOKUP($U$329,'TAR FIN'!$A$1:$O$88,15,0)),0,VLOOKUP($U$329,'TAR FIN'!$A$1:$O$88,15,0))</f>
        <v>254.23</v>
      </c>
      <c r="Y329" s="6"/>
      <c r="Z329" s="6">
        <f ca="1">('TUSD BE'!$AM$33+'TUSD BF'!$AM$33+'TUSD CVA'!$AM$33)*(1-CUSTOS!$M$38)</f>
        <v>329.38655465139976</v>
      </c>
      <c r="AA329" s="6">
        <f>('TE BE'!$AB$24+'TE BF'!$AB$24+'TE CVA'!$AB$24)*(1-CUSTOS!$M$38)</f>
        <v>195.17260177664326</v>
      </c>
      <c r="AB329" s="6">
        <f>$K$329*$V$329</f>
        <v>0</v>
      </c>
      <c r="AC329" s="6">
        <f>$M$329*$W$329</f>
        <v>65812.041599999997</v>
      </c>
      <c r="AD329" s="6">
        <f>$O$329*$X$329</f>
        <v>70442.0484</v>
      </c>
      <c r="AE329" s="6">
        <f>$K$329*$Y$329</f>
        <v>0</v>
      </c>
      <c r="AF329" s="6">
        <f ca="1">$M$329*$Z$329</f>
        <v>91266.426562809836</v>
      </c>
      <c r="AG329" s="6">
        <f>$O$329*$AA$329</f>
        <v>54078.424500272311</v>
      </c>
    </row>
    <row r="330" spans="1:33" ht="11.25" customHeight="1" x14ac:dyDescent="0.25">
      <c r="A330" s="4" t="s">
        <v>27</v>
      </c>
      <c r="B330" s="4" t="s">
        <v>41</v>
      </c>
      <c r="C330" s="4" t="s">
        <v>23</v>
      </c>
      <c r="D330" s="4" t="s">
        <v>42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44562</v>
      </c>
      <c r="J330" s="6">
        <v>0</v>
      </c>
      <c r="K330" s="6">
        <v>0</v>
      </c>
      <c r="L330" s="6">
        <v>11.061999999999999</v>
      </c>
      <c r="M330" s="6">
        <v>11.061999999999999</v>
      </c>
      <c r="N330" s="6">
        <v>11.061999999999999</v>
      </c>
      <c r="O330" s="6">
        <v>11.061999999999999</v>
      </c>
      <c r="P330" s="6">
        <v>27</v>
      </c>
      <c r="Q330" s="4" t="s">
        <v>26</v>
      </c>
      <c r="R330" s="4">
        <v>0</v>
      </c>
      <c r="S330" s="6">
        <v>0</v>
      </c>
      <c r="T330" s="6">
        <v>50</v>
      </c>
      <c r="U330" s="6">
        <v>1</v>
      </c>
      <c r="V330" s="6">
        <f>IF(ISERROR(VLOOKUP($S$330,'TAR FIN'!$A$1:$O$88,15,0)),0,VLOOKUP($S$330,'TAR FIN'!$A$1:$O$88,15,0))</f>
        <v>0</v>
      </c>
      <c r="W330" s="6">
        <f>IF(ISERROR(VLOOKUP($T$330,'TAR FIN'!$A$1:$O$88,15,0)),0,VLOOKUP($T$330,'TAR FIN'!$A$1:$O$88,15,0))</f>
        <v>237.52</v>
      </c>
      <c r="X330" s="6">
        <f>IF(ISERROR(VLOOKUP($U$330,'TAR FIN'!$A$1:$O$88,15,0)),0,VLOOKUP($U$330,'TAR FIN'!$A$1:$O$88,15,0))</f>
        <v>254.23</v>
      </c>
      <c r="Y330" s="6"/>
      <c r="Z330" s="6">
        <f ca="1">('TUSD BE'!$AM$33+'TUSD BF'!$AM$33+'TUSD CVA'!$AM$33)*(1-CUSTOS!$M$38)</f>
        <v>329.38655465139976</v>
      </c>
      <c r="AA330" s="6">
        <f>('TE BE'!$AB$24+'TE BF'!$AB$24+'TE CVA'!$AB$24)*(1-CUSTOS!$M$38)</f>
        <v>195.17260177664326</v>
      </c>
      <c r="AB330" s="6">
        <f>$K$330*$V$330</f>
        <v>0</v>
      </c>
      <c r="AC330" s="6">
        <f>$M$330*$W$330</f>
        <v>2627.4462399999998</v>
      </c>
      <c r="AD330" s="6">
        <f>$O$330*$X$330</f>
        <v>2812.2922599999997</v>
      </c>
      <c r="AE330" s="6">
        <f>$K$330*$Y$330</f>
        <v>0</v>
      </c>
      <c r="AF330" s="6">
        <f ca="1">$M$330*$Z$330</f>
        <v>3643.674067553784</v>
      </c>
      <c r="AG330" s="6">
        <f>$O$330*$AA$330</f>
        <v>2158.9993208532278</v>
      </c>
    </row>
    <row r="331" spans="1:33" ht="11.25" customHeight="1" x14ac:dyDescent="0.25">
      <c r="A331" s="4" t="s">
        <v>21</v>
      </c>
      <c r="B331" s="4" t="s">
        <v>41</v>
      </c>
      <c r="C331" s="4" t="s">
        <v>23</v>
      </c>
      <c r="D331" s="4" t="s">
        <v>42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44593</v>
      </c>
      <c r="J331" s="6">
        <v>0</v>
      </c>
      <c r="K331" s="6">
        <v>0</v>
      </c>
      <c r="L331" s="6">
        <v>264.673</v>
      </c>
      <c r="M331" s="6">
        <v>264.673</v>
      </c>
      <c r="N331" s="6">
        <v>264.673</v>
      </c>
      <c r="O331" s="6">
        <v>264.673</v>
      </c>
      <c r="P331" s="6">
        <v>700</v>
      </c>
      <c r="Q331" s="4" t="s">
        <v>26</v>
      </c>
      <c r="R331" s="4">
        <v>0</v>
      </c>
      <c r="S331" s="6">
        <v>0</v>
      </c>
      <c r="T331" s="6">
        <v>50</v>
      </c>
      <c r="U331" s="6">
        <v>1</v>
      </c>
      <c r="V331" s="6">
        <f>IF(ISERROR(VLOOKUP($S$331,'TAR FIN'!$A$1:$O$88,15,0)),0,VLOOKUP($S$331,'TAR FIN'!$A$1:$O$88,15,0))</f>
        <v>0</v>
      </c>
      <c r="W331" s="6">
        <f>IF(ISERROR(VLOOKUP($T$331,'TAR FIN'!$A$1:$O$88,15,0)),0,VLOOKUP($T$331,'TAR FIN'!$A$1:$O$88,15,0))</f>
        <v>237.52</v>
      </c>
      <c r="X331" s="6">
        <f>IF(ISERROR(VLOOKUP($U$331,'TAR FIN'!$A$1:$O$88,15,0)),0,VLOOKUP($U$331,'TAR FIN'!$A$1:$O$88,15,0))</f>
        <v>254.23</v>
      </c>
      <c r="Y331" s="6"/>
      <c r="Z331" s="6">
        <f ca="1">('TUSD BE'!$AM$33+'TUSD BF'!$AM$33+'TUSD CVA'!$AM$33)*(1-CUSTOS!$M$38)</f>
        <v>329.38655465139976</v>
      </c>
      <c r="AA331" s="6">
        <f>('TE BE'!$AB$24+'TE BF'!$AB$24+'TE CVA'!$AB$24)*(1-CUSTOS!$M$38)</f>
        <v>195.17260177664326</v>
      </c>
      <c r="AB331" s="6">
        <f>$K$331*$V$331</f>
        <v>0</v>
      </c>
      <c r="AC331" s="6">
        <f>$M$331*$W$331</f>
        <v>62865.130960000002</v>
      </c>
      <c r="AD331" s="6">
        <f>$O$331*$X$331</f>
        <v>67287.816789999997</v>
      </c>
      <c r="AE331" s="6">
        <f>$K$331*$Y$331</f>
        <v>0</v>
      </c>
      <c r="AF331" s="6">
        <f ca="1">$M$331*$Z$331</f>
        <v>87179.727579249928</v>
      </c>
      <c r="AG331" s="6">
        <f>$O$331*$AA$331</f>
        <v>51656.918030029505</v>
      </c>
    </row>
    <row r="332" spans="1:33" ht="11.25" customHeight="1" x14ac:dyDescent="0.25">
      <c r="A332" s="4" t="s">
        <v>27</v>
      </c>
      <c r="B332" s="4" t="s">
        <v>41</v>
      </c>
      <c r="C332" s="4" t="s">
        <v>23</v>
      </c>
      <c r="D332" s="4" t="s">
        <v>42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44593</v>
      </c>
      <c r="J332" s="6">
        <v>0</v>
      </c>
      <c r="K332" s="6">
        <v>0</v>
      </c>
      <c r="L332" s="6">
        <v>10.478999999999999</v>
      </c>
      <c r="M332" s="6">
        <v>10.478999999999999</v>
      </c>
      <c r="N332" s="6">
        <v>10.478999999999999</v>
      </c>
      <c r="O332" s="6">
        <v>10.478999999999999</v>
      </c>
      <c r="P332" s="6">
        <v>33</v>
      </c>
      <c r="Q332" s="4" t="s">
        <v>26</v>
      </c>
      <c r="R332" s="4">
        <v>0</v>
      </c>
      <c r="S332" s="6">
        <v>0</v>
      </c>
      <c r="T332" s="6">
        <v>50</v>
      </c>
      <c r="U332" s="6">
        <v>1</v>
      </c>
      <c r="V332" s="6">
        <f>IF(ISERROR(VLOOKUP($S$332,'TAR FIN'!$A$1:$O$88,15,0)),0,VLOOKUP($S$332,'TAR FIN'!$A$1:$O$88,15,0))</f>
        <v>0</v>
      </c>
      <c r="W332" s="6">
        <f>IF(ISERROR(VLOOKUP($T$332,'TAR FIN'!$A$1:$O$88,15,0)),0,VLOOKUP($T$332,'TAR FIN'!$A$1:$O$88,15,0))</f>
        <v>237.52</v>
      </c>
      <c r="X332" s="6">
        <f>IF(ISERROR(VLOOKUP($U$332,'TAR FIN'!$A$1:$O$88,15,0)),0,VLOOKUP($U$332,'TAR FIN'!$A$1:$O$88,15,0))</f>
        <v>254.23</v>
      </c>
      <c r="Y332" s="6"/>
      <c r="Z332" s="6">
        <f ca="1">('TUSD BE'!$AM$33+'TUSD BF'!$AM$33+'TUSD CVA'!$AM$33)*(1-CUSTOS!$M$38)</f>
        <v>329.38655465139976</v>
      </c>
      <c r="AA332" s="6">
        <f>('TE BE'!$AB$24+'TE BF'!$AB$24+'TE CVA'!$AB$24)*(1-CUSTOS!$M$38)</f>
        <v>195.17260177664326</v>
      </c>
      <c r="AB332" s="6">
        <f>$K$332*$V$332</f>
        <v>0</v>
      </c>
      <c r="AC332" s="6">
        <f>$M$332*$W$332</f>
        <v>2488.97208</v>
      </c>
      <c r="AD332" s="6">
        <f>$O$332*$X$332</f>
        <v>2664.0761699999998</v>
      </c>
      <c r="AE332" s="6">
        <f>$K$332*$Y$332</f>
        <v>0</v>
      </c>
      <c r="AF332" s="6">
        <f ca="1">$M$332*$Z$332</f>
        <v>3451.6417061920179</v>
      </c>
      <c r="AG332" s="6">
        <f>$O$332*$AA$332</f>
        <v>2045.2136940174446</v>
      </c>
    </row>
    <row r="333" spans="1:33" ht="11.25" customHeight="1" x14ac:dyDescent="0.25">
      <c r="A333" s="4" t="s">
        <v>21</v>
      </c>
      <c r="B333" s="4" t="s">
        <v>41</v>
      </c>
      <c r="C333" s="4" t="s">
        <v>23</v>
      </c>
      <c r="D333" s="4" t="s">
        <v>42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44621</v>
      </c>
      <c r="J333" s="6">
        <v>0</v>
      </c>
      <c r="K333" s="6">
        <v>0</v>
      </c>
      <c r="L333" s="6">
        <v>263.85599999999999</v>
      </c>
      <c r="M333" s="6">
        <v>263.85599999999999</v>
      </c>
      <c r="N333" s="6">
        <v>263.85599999999999</v>
      </c>
      <c r="O333" s="6">
        <v>263.85599999999999</v>
      </c>
      <c r="P333" s="6">
        <v>697</v>
      </c>
      <c r="Q333" s="4" t="s">
        <v>26</v>
      </c>
      <c r="R333" s="4">
        <v>0</v>
      </c>
      <c r="S333" s="6">
        <v>0</v>
      </c>
      <c r="T333" s="6">
        <v>50</v>
      </c>
      <c r="U333" s="6">
        <v>1</v>
      </c>
      <c r="V333" s="6">
        <f>IF(ISERROR(VLOOKUP($S$333,'TAR FIN'!$A$1:$O$88,15,0)),0,VLOOKUP($S$333,'TAR FIN'!$A$1:$O$88,15,0))</f>
        <v>0</v>
      </c>
      <c r="W333" s="6">
        <f>IF(ISERROR(VLOOKUP($T$333,'TAR FIN'!$A$1:$O$88,15,0)),0,VLOOKUP($T$333,'TAR FIN'!$A$1:$O$88,15,0))</f>
        <v>237.52</v>
      </c>
      <c r="X333" s="6">
        <f>IF(ISERROR(VLOOKUP($U$333,'TAR FIN'!$A$1:$O$88,15,0)),0,VLOOKUP($U$333,'TAR FIN'!$A$1:$O$88,15,0))</f>
        <v>254.23</v>
      </c>
      <c r="Y333" s="6"/>
      <c r="Z333" s="6">
        <f ca="1">('TUSD BE'!$AM$33+'TUSD BF'!$AM$33+'TUSD CVA'!$AM$33)*(1-CUSTOS!$M$38)</f>
        <v>329.38655465139976</v>
      </c>
      <c r="AA333" s="6">
        <f>('TE BE'!$AB$24+'TE BF'!$AB$24+'TE CVA'!$AB$24)*(1-CUSTOS!$M$38)</f>
        <v>195.17260177664326</v>
      </c>
      <c r="AB333" s="6">
        <f>$K$333*$V$333</f>
        <v>0</v>
      </c>
      <c r="AC333" s="6">
        <f>$M$333*$W$333</f>
        <v>62671.077120000002</v>
      </c>
      <c r="AD333" s="6">
        <f>$O$333*$X$333</f>
        <v>67080.110879999993</v>
      </c>
      <c r="AE333" s="6">
        <f>$K$333*$Y$333</f>
        <v>0</v>
      </c>
      <c r="AF333" s="6">
        <f ca="1">$M$333*$Z$333</f>
        <v>86910.618764099738</v>
      </c>
      <c r="AG333" s="6">
        <f>$O$333*$AA$333</f>
        <v>51497.462014377983</v>
      </c>
    </row>
    <row r="334" spans="1:33" ht="11.25" customHeight="1" x14ac:dyDescent="0.25">
      <c r="A334" s="4" t="s">
        <v>27</v>
      </c>
      <c r="B334" s="4" t="s">
        <v>41</v>
      </c>
      <c r="C334" s="4" t="s">
        <v>23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44621</v>
      </c>
      <c r="J334" s="6">
        <v>0</v>
      </c>
      <c r="K334" s="6">
        <v>0</v>
      </c>
      <c r="L334" s="6">
        <v>14.637</v>
      </c>
      <c r="M334" s="6">
        <v>14.637</v>
      </c>
      <c r="N334" s="6">
        <v>14.637</v>
      </c>
      <c r="O334" s="6">
        <v>14.637</v>
      </c>
      <c r="P334" s="6">
        <v>35</v>
      </c>
      <c r="Q334" s="4" t="s">
        <v>26</v>
      </c>
      <c r="R334" s="4">
        <v>0</v>
      </c>
      <c r="S334" s="6">
        <v>0</v>
      </c>
      <c r="T334" s="6">
        <v>50</v>
      </c>
      <c r="U334" s="6">
        <v>1</v>
      </c>
      <c r="V334" s="6">
        <f>IF(ISERROR(VLOOKUP($S$334,'TAR FIN'!$A$1:$O$88,15,0)),0,VLOOKUP($S$334,'TAR FIN'!$A$1:$O$88,15,0))</f>
        <v>0</v>
      </c>
      <c r="W334" s="6">
        <f>IF(ISERROR(VLOOKUP($T$334,'TAR FIN'!$A$1:$O$88,15,0)),0,VLOOKUP($T$334,'TAR FIN'!$A$1:$O$88,15,0))</f>
        <v>237.52</v>
      </c>
      <c r="X334" s="6">
        <f>IF(ISERROR(VLOOKUP($U$334,'TAR FIN'!$A$1:$O$88,15,0)),0,VLOOKUP($U$334,'TAR FIN'!$A$1:$O$88,15,0))</f>
        <v>254.23</v>
      </c>
      <c r="Y334" s="6"/>
      <c r="Z334" s="6">
        <f ca="1">('TUSD BE'!$AM$33+'TUSD BF'!$AM$33+'TUSD CVA'!$AM$33)*(1-CUSTOS!$M$38)</f>
        <v>329.38655465139976</v>
      </c>
      <c r="AA334" s="6">
        <f>('TE BE'!$AB$24+'TE BF'!$AB$24+'TE CVA'!$AB$24)*(1-CUSTOS!$M$38)</f>
        <v>195.17260177664326</v>
      </c>
      <c r="AB334" s="6">
        <f>$K$334*$V$334</f>
        <v>0</v>
      </c>
      <c r="AC334" s="6">
        <f>$M$334*$W$334</f>
        <v>3476.5802400000002</v>
      </c>
      <c r="AD334" s="6">
        <f>$O$334*$X$334</f>
        <v>3721.1645100000001</v>
      </c>
      <c r="AE334" s="6">
        <f>$K$334*$Y$334</f>
        <v>0</v>
      </c>
      <c r="AF334" s="6">
        <f ca="1">$M$334*$Z$334</f>
        <v>4821.2310004325382</v>
      </c>
      <c r="AG334" s="6">
        <f>$O$334*$AA$334</f>
        <v>2856.7413722047277</v>
      </c>
    </row>
    <row r="335" spans="1:33" ht="11.25" customHeight="1" x14ac:dyDescent="0.25">
      <c r="A335" s="4" t="s">
        <v>21</v>
      </c>
      <c r="B335" s="4" t="s">
        <v>41</v>
      </c>
      <c r="C335" s="4" t="s">
        <v>23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44652</v>
      </c>
      <c r="J335" s="6">
        <v>0</v>
      </c>
      <c r="K335" s="6">
        <v>0</v>
      </c>
      <c r="L335" s="6">
        <v>253.28200000000001</v>
      </c>
      <c r="M335" s="6">
        <v>253.28200000000001</v>
      </c>
      <c r="N335" s="6">
        <v>253.28200000000001</v>
      </c>
      <c r="O335" s="6">
        <v>253.28200000000001</v>
      </c>
      <c r="P335" s="6">
        <v>695</v>
      </c>
      <c r="Q335" s="4" t="s">
        <v>26</v>
      </c>
      <c r="R335" s="4">
        <v>0</v>
      </c>
      <c r="S335" s="6">
        <v>0</v>
      </c>
      <c r="T335" s="6">
        <v>50</v>
      </c>
      <c r="U335" s="6">
        <v>1</v>
      </c>
      <c r="V335" s="6">
        <f>IF(ISERROR(VLOOKUP($S$335,'TAR FIN'!$A$1:$O$88,15,0)),0,VLOOKUP($S$335,'TAR FIN'!$A$1:$O$88,15,0))</f>
        <v>0</v>
      </c>
      <c r="W335" s="6">
        <f>IF(ISERROR(VLOOKUP($T$335,'TAR FIN'!$A$1:$O$88,15,0)),0,VLOOKUP($T$335,'TAR FIN'!$A$1:$O$88,15,0))</f>
        <v>237.52</v>
      </c>
      <c r="X335" s="6">
        <f>IF(ISERROR(VLOOKUP($U$335,'TAR FIN'!$A$1:$O$88,15,0)),0,VLOOKUP($U$335,'TAR FIN'!$A$1:$O$88,15,0))</f>
        <v>254.23</v>
      </c>
      <c r="Y335" s="6"/>
      <c r="Z335" s="6">
        <f ca="1">('TUSD BE'!$AM$33+'TUSD BF'!$AM$33+'TUSD CVA'!$AM$33)*(1-CUSTOS!$M$38)</f>
        <v>329.38655465139976</v>
      </c>
      <c r="AA335" s="6">
        <f>('TE BE'!$AB$24+'TE BF'!$AB$24+'TE CVA'!$AB$24)*(1-CUSTOS!$M$38)</f>
        <v>195.17260177664326</v>
      </c>
      <c r="AB335" s="6">
        <f>$K$335*$V$335</f>
        <v>0</v>
      </c>
      <c r="AC335" s="6">
        <f>$M$335*$W$335</f>
        <v>60159.540640000007</v>
      </c>
      <c r="AD335" s="6">
        <f>$O$335*$X$335</f>
        <v>64391.882859999998</v>
      </c>
      <c r="AE335" s="6">
        <f>$K$335*$Y$335</f>
        <v>0</v>
      </c>
      <c r="AF335" s="6">
        <f ca="1">$M$335*$Z$335</f>
        <v>83427.685335215836</v>
      </c>
      <c r="AG335" s="6">
        <f>$O$335*$AA$335</f>
        <v>49433.706923191763</v>
      </c>
    </row>
    <row r="336" spans="1:33" ht="11.25" customHeight="1" x14ac:dyDescent="0.25">
      <c r="A336" s="4" t="s">
        <v>27</v>
      </c>
      <c r="B336" s="4" t="s">
        <v>41</v>
      </c>
      <c r="C336" s="4" t="s">
        <v>23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44652</v>
      </c>
      <c r="J336" s="6">
        <v>0</v>
      </c>
      <c r="K336" s="6">
        <v>0</v>
      </c>
      <c r="L336" s="6">
        <v>13.574999999999999</v>
      </c>
      <c r="M336" s="6">
        <v>13.574999999999999</v>
      </c>
      <c r="N336" s="6">
        <v>13.574999999999999</v>
      </c>
      <c r="O336" s="6">
        <v>13.574999999999999</v>
      </c>
      <c r="P336" s="6">
        <v>40</v>
      </c>
      <c r="Q336" s="4" t="s">
        <v>26</v>
      </c>
      <c r="R336" s="4">
        <v>0</v>
      </c>
      <c r="S336" s="6">
        <v>0</v>
      </c>
      <c r="T336" s="6">
        <v>50</v>
      </c>
      <c r="U336" s="6">
        <v>1</v>
      </c>
      <c r="V336" s="6">
        <f>IF(ISERROR(VLOOKUP($S$336,'TAR FIN'!$A$1:$O$88,15,0)),0,VLOOKUP($S$336,'TAR FIN'!$A$1:$O$88,15,0))</f>
        <v>0</v>
      </c>
      <c r="W336" s="6">
        <f>IF(ISERROR(VLOOKUP($T$336,'TAR FIN'!$A$1:$O$88,15,0)),0,VLOOKUP($T$336,'TAR FIN'!$A$1:$O$88,15,0))</f>
        <v>237.52</v>
      </c>
      <c r="X336" s="6">
        <f>IF(ISERROR(VLOOKUP($U$336,'TAR FIN'!$A$1:$O$88,15,0)),0,VLOOKUP($U$336,'TAR FIN'!$A$1:$O$88,15,0))</f>
        <v>254.23</v>
      </c>
      <c r="Y336" s="6"/>
      <c r="Z336" s="6">
        <f ca="1">('TUSD BE'!$AM$33+'TUSD BF'!$AM$33+'TUSD CVA'!$AM$33)*(1-CUSTOS!$M$38)</f>
        <v>329.38655465139976</v>
      </c>
      <c r="AA336" s="6">
        <f>('TE BE'!$AB$24+'TE BF'!$AB$24+'TE CVA'!$AB$24)*(1-CUSTOS!$M$38)</f>
        <v>195.17260177664326</v>
      </c>
      <c r="AB336" s="6">
        <f>$K$336*$V$336</f>
        <v>0</v>
      </c>
      <c r="AC336" s="6">
        <f>$M$336*$W$336</f>
        <v>3224.3339999999998</v>
      </c>
      <c r="AD336" s="6">
        <f>$O$336*$X$336</f>
        <v>3451.1722499999996</v>
      </c>
      <c r="AE336" s="6">
        <f>$K$336*$Y$336</f>
        <v>0</v>
      </c>
      <c r="AF336" s="6">
        <f ca="1">$M$336*$Z$336</f>
        <v>4471.4224793927515</v>
      </c>
      <c r="AG336" s="6">
        <f>$O$336*$AA$336</f>
        <v>2649.4680691179319</v>
      </c>
    </row>
    <row r="337" spans="1:33" ht="11.25" customHeight="1" x14ac:dyDescent="0.25">
      <c r="A337" s="4" t="s">
        <v>21</v>
      </c>
      <c r="B337" s="4" t="s">
        <v>41</v>
      </c>
      <c r="C337" s="4" t="s">
        <v>23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44682</v>
      </c>
      <c r="J337" s="6">
        <v>0</v>
      </c>
      <c r="K337" s="6">
        <v>0</v>
      </c>
      <c r="L337" s="6">
        <v>275.17200000000003</v>
      </c>
      <c r="M337" s="6">
        <v>275.17200000000003</v>
      </c>
      <c r="N337" s="6">
        <v>275.17200000000003</v>
      </c>
      <c r="O337" s="6">
        <v>275.17200000000003</v>
      </c>
      <c r="P337" s="6">
        <v>689</v>
      </c>
      <c r="Q337" s="4" t="s">
        <v>26</v>
      </c>
      <c r="R337" s="4">
        <v>0</v>
      </c>
      <c r="S337" s="6">
        <v>0</v>
      </c>
      <c r="T337" s="6">
        <v>50</v>
      </c>
      <c r="U337" s="6">
        <v>1</v>
      </c>
      <c r="V337" s="6">
        <f>IF(ISERROR(VLOOKUP($S$337,'TAR FIN'!$A$1:$O$88,15,0)),0,VLOOKUP($S$337,'TAR FIN'!$A$1:$O$88,15,0))</f>
        <v>0</v>
      </c>
      <c r="W337" s="6">
        <f>IF(ISERROR(VLOOKUP($T$337,'TAR FIN'!$A$1:$O$88,15,0)),0,VLOOKUP($T$337,'TAR FIN'!$A$1:$O$88,15,0))</f>
        <v>237.52</v>
      </c>
      <c r="X337" s="6">
        <f>IF(ISERROR(VLOOKUP($U$337,'TAR FIN'!$A$1:$O$88,15,0)),0,VLOOKUP($U$337,'TAR FIN'!$A$1:$O$88,15,0))</f>
        <v>254.23</v>
      </c>
      <c r="Y337" s="6"/>
      <c r="Z337" s="6">
        <f ca="1">('TUSD BE'!$AM$33+'TUSD BF'!$AM$33+'TUSD CVA'!$AM$33)*(1-CUSTOS!$M$38)</f>
        <v>329.38655465139976</v>
      </c>
      <c r="AA337" s="6">
        <f>('TE BE'!$AB$24+'TE BF'!$AB$24+'TE CVA'!$AB$24)*(1-CUSTOS!$M$38)</f>
        <v>195.17260177664326</v>
      </c>
      <c r="AB337" s="6">
        <f>$K$337*$V$337</f>
        <v>0</v>
      </c>
      <c r="AC337" s="6">
        <f>$M$337*$W$337</f>
        <v>65358.853440000006</v>
      </c>
      <c r="AD337" s="6">
        <f>$O$337*$X$337</f>
        <v>69956.977559999999</v>
      </c>
      <c r="AE337" s="6">
        <f>$K$337*$Y$337</f>
        <v>0</v>
      </c>
      <c r="AF337" s="6">
        <f ca="1">$M$337*$Z$337</f>
        <v>90637.957016534987</v>
      </c>
      <c r="AG337" s="6">
        <f>$O$337*$AA$337</f>
        <v>53706.035176082485</v>
      </c>
    </row>
    <row r="338" spans="1:33" ht="11.25" customHeight="1" x14ac:dyDescent="0.25">
      <c r="A338" s="4" t="s">
        <v>27</v>
      </c>
      <c r="B338" s="4" t="s">
        <v>41</v>
      </c>
      <c r="C338" s="4" t="s">
        <v>23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44682</v>
      </c>
      <c r="J338" s="6">
        <v>0</v>
      </c>
      <c r="K338" s="6">
        <v>0</v>
      </c>
      <c r="L338" s="6">
        <v>9.4760000000000009</v>
      </c>
      <c r="M338" s="6">
        <v>9.4760000000000009</v>
      </c>
      <c r="N338" s="6">
        <v>9.4760000000000009</v>
      </c>
      <c r="O338" s="6">
        <v>9.4760000000000009</v>
      </c>
      <c r="P338" s="6">
        <v>42</v>
      </c>
      <c r="Q338" s="4" t="s">
        <v>26</v>
      </c>
      <c r="R338" s="4">
        <v>0</v>
      </c>
      <c r="S338" s="6">
        <v>0</v>
      </c>
      <c r="T338" s="6">
        <v>50</v>
      </c>
      <c r="U338" s="6">
        <v>1</v>
      </c>
      <c r="V338" s="6">
        <f>IF(ISERROR(VLOOKUP($S$338,'TAR FIN'!$A$1:$O$88,15,0)),0,VLOOKUP($S$338,'TAR FIN'!$A$1:$O$88,15,0))</f>
        <v>0</v>
      </c>
      <c r="W338" s="6">
        <f>IF(ISERROR(VLOOKUP($T$338,'TAR FIN'!$A$1:$O$88,15,0)),0,VLOOKUP($T$338,'TAR FIN'!$A$1:$O$88,15,0))</f>
        <v>237.52</v>
      </c>
      <c r="X338" s="6">
        <f>IF(ISERROR(VLOOKUP($U$338,'TAR FIN'!$A$1:$O$88,15,0)),0,VLOOKUP($U$338,'TAR FIN'!$A$1:$O$88,15,0))</f>
        <v>254.23</v>
      </c>
      <c r="Y338" s="6"/>
      <c r="Z338" s="6">
        <f ca="1">('TUSD BE'!$AM$33+'TUSD BF'!$AM$33+'TUSD CVA'!$AM$33)*(1-CUSTOS!$M$38)</f>
        <v>329.38655465139976</v>
      </c>
      <c r="AA338" s="6">
        <f>('TE BE'!$AB$24+'TE BF'!$AB$24+'TE CVA'!$AB$24)*(1-CUSTOS!$M$38)</f>
        <v>195.17260177664326</v>
      </c>
      <c r="AB338" s="6">
        <f>$K$338*$V$338</f>
        <v>0</v>
      </c>
      <c r="AC338" s="6">
        <f>$M$338*$W$338</f>
        <v>2250.7395200000001</v>
      </c>
      <c r="AD338" s="6">
        <f>$O$338*$X$338</f>
        <v>2409.0834800000002</v>
      </c>
      <c r="AE338" s="6">
        <f>$K$338*$Y$338</f>
        <v>0</v>
      </c>
      <c r="AF338" s="6">
        <f ca="1">$M$338*$Z$338</f>
        <v>3121.2669918766646</v>
      </c>
      <c r="AG338" s="6">
        <f>$O$338*$AA$338</f>
        <v>1849.4555744354718</v>
      </c>
    </row>
    <row r="339" spans="1:33" ht="11.25" customHeight="1" x14ac:dyDescent="0.25">
      <c r="A339" s="4" t="s">
        <v>21</v>
      </c>
      <c r="B339" s="4" t="s">
        <v>41</v>
      </c>
      <c r="C339" s="4" t="s">
        <v>23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44713</v>
      </c>
      <c r="J339" s="6">
        <v>0</v>
      </c>
      <c r="K339" s="6">
        <v>0</v>
      </c>
      <c r="L339" s="6">
        <v>252.16800000000001</v>
      </c>
      <c r="M339" s="6">
        <v>252.16800000000001</v>
      </c>
      <c r="N339" s="6">
        <v>252.16800000000001</v>
      </c>
      <c r="O339" s="6">
        <v>252.16800000000001</v>
      </c>
      <c r="P339" s="6">
        <v>709</v>
      </c>
      <c r="Q339" s="4" t="s">
        <v>26</v>
      </c>
      <c r="R339" s="4">
        <v>0</v>
      </c>
      <c r="S339" s="6">
        <v>0</v>
      </c>
      <c r="T339" s="6">
        <v>50</v>
      </c>
      <c r="U339" s="6">
        <v>1</v>
      </c>
      <c r="V339" s="6">
        <f>IF(ISERROR(VLOOKUP($S$339,'TAR FIN'!$A$1:$O$88,15,0)),0,VLOOKUP($S$339,'TAR FIN'!$A$1:$O$88,15,0))</f>
        <v>0</v>
      </c>
      <c r="W339" s="6">
        <f>IF(ISERROR(VLOOKUP($T$339,'TAR FIN'!$A$1:$O$88,15,0)),0,VLOOKUP($T$339,'TAR FIN'!$A$1:$O$88,15,0))</f>
        <v>237.52</v>
      </c>
      <c r="X339" s="6">
        <f>IF(ISERROR(VLOOKUP($U$339,'TAR FIN'!$A$1:$O$88,15,0)),0,VLOOKUP($U$339,'TAR FIN'!$A$1:$O$88,15,0))</f>
        <v>254.23</v>
      </c>
      <c r="Y339" s="6"/>
      <c r="Z339" s="6">
        <f ca="1">('TUSD BE'!$AM$33+'TUSD BF'!$AM$33+'TUSD CVA'!$AM$33)*(1-CUSTOS!$M$38)</f>
        <v>329.38655465139976</v>
      </c>
      <c r="AA339" s="6">
        <f>('TE BE'!$AB$24+'TE BF'!$AB$24+'TE CVA'!$AB$24)*(1-CUSTOS!$M$38)</f>
        <v>195.17260177664326</v>
      </c>
      <c r="AB339" s="6">
        <f>$K$339*$V$339</f>
        <v>0</v>
      </c>
      <c r="AC339" s="6">
        <f>$M$339*$W$339</f>
        <v>59894.943360000005</v>
      </c>
      <c r="AD339" s="6">
        <f>$O$339*$X$339</f>
        <v>64108.670639999997</v>
      </c>
      <c r="AE339" s="6">
        <f>$K$339*$Y$339</f>
        <v>0</v>
      </c>
      <c r="AF339" s="6">
        <f ca="1">$M$339*$Z$339</f>
        <v>83060.748713334178</v>
      </c>
      <c r="AG339" s="6">
        <f>$O$339*$AA$339</f>
        <v>49216.284644812578</v>
      </c>
    </row>
    <row r="340" spans="1:33" ht="11.25" customHeight="1" x14ac:dyDescent="0.25">
      <c r="A340" s="4" t="s">
        <v>27</v>
      </c>
      <c r="B340" s="4" t="s">
        <v>41</v>
      </c>
      <c r="C340" s="4" t="s">
        <v>23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44713</v>
      </c>
      <c r="J340" s="6">
        <v>0</v>
      </c>
      <c r="K340" s="6">
        <v>0</v>
      </c>
      <c r="L340" s="6">
        <v>12.196999999999999</v>
      </c>
      <c r="M340" s="6">
        <v>12.196999999999999</v>
      </c>
      <c r="N340" s="6">
        <v>12.196999999999999</v>
      </c>
      <c r="O340" s="6">
        <v>12.196999999999999</v>
      </c>
      <c r="P340" s="6">
        <v>44</v>
      </c>
      <c r="Q340" s="4" t="s">
        <v>26</v>
      </c>
      <c r="R340" s="4">
        <v>0</v>
      </c>
      <c r="S340" s="6">
        <v>0</v>
      </c>
      <c r="T340" s="6">
        <v>50</v>
      </c>
      <c r="U340" s="6">
        <v>1</v>
      </c>
      <c r="V340" s="6">
        <f>IF(ISERROR(VLOOKUP($S$340,'TAR FIN'!$A$1:$O$88,15,0)),0,VLOOKUP($S$340,'TAR FIN'!$A$1:$O$88,15,0))</f>
        <v>0</v>
      </c>
      <c r="W340" s="6">
        <f>IF(ISERROR(VLOOKUP($T$340,'TAR FIN'!$A$1:$O$88,15,0)),0,VLOOKUP($T$340,'TAR FIN'!$A$1:$O$88,15,0))</f>
        <v>237.52</v>
      </c>
      <c r="X340" s="6">
        <f>IF(ISERROR(VLOOKUP($U$340,'TAR FIN'!$A$1:$O$88,15,0)),0,VLOOKUP($U$340,'TAR FIN'!$A$1:$O$88,15,0))</f>
        <v>254.23</v>
      </c>
      <c r="Y340" s="6"/>
      <c r="Z340" s="6">
        <f ca="1">('TUSD BE'!$AM$33+'TUSD BF'!$AM$33+'TUSD CVA'!$AM$33)*(1-CUSTOS!$M$38)</f>
        <v>329.38655465139976</v>
      </c>
      <c r="AA340" s="6">
        <f>('TE BE'!$AB$24+'TE BF'!$AB$24+'TE CVA'!$AB$24)*(1-CUSTOS!$M$38)</f>
        <v>195.17260177664326</v>
      </c>
      <c r="AB340" s="6">
        <f>$K$340*$V$340</f>
        <v>0</v>
      </c>
      <c r="AC340" s="6">
        <f>$M$340*$W$340</f>
        <v>2897.0314399999997</v>
      </c>
      <c r="AD340" s="6">
        <f>$O$340*$X$340</f>
        <v>3100.8433099999997</v>
      </c>
      <c r="AE340" s="6">
        <f>$K$340*$Y$340</f>
        <v>0</v>
      </c>
      <c r="AF340" s="6">
        <f ca="1">$M$340*$Z$340</f>
        <v>4017.5278070831228</v>
      </c>
      <c r="AG340" s="6">
        <f>$O$340*$AA$340</f>
        <v>2380.5202238697175</v>
      </c>
    </row>
    <row r="341" spans="1:33" ht="11.25" customHeight="1" x14ac:dyDescent="0.25">
      <c r="A341" s="4" t="s">
        <v>55</v>
      </c>
      <c r="B341" s="4" t="s">
        <v>41</v>
      </c>
      <c r="C341" s="4" t="s">
        <v>23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44743</v>
      </c>
      <c r="J341" s="6">
        <v>0</v>
      </c>
      <c r="K341" s="6">
        <v>0</v>
      </c>
      <c r="L341" s="6">
        <v>252.16800000000001</v>
      </c>
      <c r="M341" s="6">
        <v>252.16800000000001</v>
      </c>
      <c r="N341" s="6">
        <v>252.16800000000001</v>
      </c>
      <c r="O341" s="6">
        <v>252.16800000000001</v>
      </c>
      <c r="P341" s="6">
        <v>709</v>
      </c>
      <c r="Q341" s="4" t="s">
        <v>26</v>
      </c>
      <c r="R341" s="4">
        <v>0</v>
      </c>
      <c r="S341" s="6">
        <v>0</v>
      </c>
      <c r="T341" s="6">
        <v>50</v>
      </c>
      <c r="U341" s="6">
        <v>1</v>
      </c>
      <c r="V341" s="6">
        <f>IF(ISERROR(VLOOKUP($S$341,'TAR FIN'!$A$1:$O$88,15,0)),0,VLOOKUP($S$341,'TAR FIN'!$A$1:$O$88,15,0))</f>
        <v>0</v>
      </c>
      <c r="W341" s="6">
        <f>IF(ISERROR(VLOOKUP($T$341,'TAR FIN'!$A$1:$O$88,15,0)),0,VLOOKUP($T$341,'TAR FIN'!$A$1:$O$88,15,0))</f>
        <v>237.52</v>
      </c>
      <c r="X341" s="6">
        <f>IF(ISERROR(VLOOKUP($U$341,'TAR FIN'!$A$1:$O$88,15,0)),0,VLOOKUP($U$341,'TAR FIN'!$A$1:$O$88,15,0))</f>
        <v>254.23</v>
      </c>
      <c r="Y341" s="6"/>
      <c r="Z341" s="6">
        <f ca="1">('TUSD BE'!$AM$33+'TUSD BF'!$AM$33+'TUSD CVA'!$AM$33)*(1-CUSTOS!$M$38)</f>
        <v>329.38655465139976</v>
      </c>
      <c r="AA341" s="6">
        <f>('TE BE'!$AB$24+'TE BF'!$AB$24+'TE CVA'!$AB$24)*(1-CUSTOS!$M$38)</f>
        <v>195.17260177664326</v>
      </c>
      <c r="AB341" s="6">
        <f>$K$341*$V$341</f>
        <v>0</v>
      </c>
      <c r="AC341" s="6">
        <f>$M$341*$W$341</f>
        <v>59894.943360000005</v>
      </c>
      <c r="AD341" s="6">
        <f>$O$341*$X$341</f>
        <v>64108.670639999997</v>
      </c>
      <c r="AE341" s="6">
        <f>$K$341*$Y$341</f>
        <v>0</v>
      </c>
      <c r="AF341" s="6">
        <f ca="1">$M$341*$Z$341</f>
        <v>83060.748713334178</v>
      </c>
      <c r="AG341" s="6">
        <f>$O$341*$AA$341</f>
        <v>49216.284644812578</v>
      </c>
    </row>
    <row r="342" spans="1:33" ht="11.25" customHeight="1" x14ac:dyDescent="0.25">
      <c r="A342" s="4" t="s">
        <v>55</v>
      </c>
      <c r="B342" s="4" t="s">
        <v>41</v>
      </c>
      <c r="C342" s="4" t="s">
        <v>23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44743</v>
      </c>
      <c r="J342" s="6">
        <v>0</v>
      </c>
      <c r="K342" s="6">
        <v>0</v>
      </c>
      <c r="L342" s="6">
        <v>12.196999999999999</v>
      </c>
      <c r="M342" s="6">
        <v>12.196999999999999</v>
      </c>
      <c r="N342" s="6">
        <v>12.196999999999999</v>
      </c>
      <c r="O342" s="6">
        <v>12.196999999999999</v>
      </c>
      <c r="P342" s="6">
        <v>44</v>
      </c>
      <c r="Q342" s="4" t="s">
        <v>26</v>
      </c>
      <c r="R342" s="4">
        <v>0</v>
      </c>
      <c r="S342" s="6">
        <v>0</v>
      </c>
      <c r="T342" s="6">
        <v>50</v>
      </c>
      <c r="U342" s="6">
        <v>1</v>
      </c>
      <c r="V342" s="6">
        <f>IF(ISERROR(VLOOKUP($S$342,'TAR FIN'!$A$1:$O$88,15,0)),0,VLOOKUP($S$342,'TAR FIN'!$A$1:$O$88,15,0))</f>
        <v>0</v>
      </c>
      <c r="W342" s="6">
        <f>IF(ISERROR(VLOOKUP($T$342,'TAR FIN'!$A$1:$O$88,15,0)),0,VLOOKUP($T$342,'TAR FIN'!$A$1:$O$88,15,0))</f>
        <v>237.52</v>
      </c>
      <c r="X342" s="6">
        <f>IF(ISERROR(VLOOKUP($U$342,'TAR FIN'!$A$1:$O$88,15,0)),0,VLOOKUP($U$342,'TAR FIN'!$A$1:$O$88,15,0))</f>
        <v>254.23</v>
      </c>
      <c r="Y342" s="6"/>
      <c r="Z342" s="6">
        <f ca="1">('TUSD BE'!$AM$33+'TUSD BF'!$AM$33+'TUSD CVA'!$AM$33)*(1-CUSTOS!$M$38)</f>
        <v>329.38655465139976</v>
      </c>
      <c r="AA342" s="6">
        <f>('TE BE'!$AB$24+'TE BF'!$AB$24+'TE CVA'!$AB$24)*(1-CUSTOS!$M$38)</f>
        <v>195.17260177664326</v>
      </c>
      <c r="AB342" s="6">
        <f>$K$342*$V$342</f>
        <v>0</v>
      </c>
      <c r="AC342" s="6">
        <f>$M$342*$W$342</f>
        <v>2897.0314399999997</v>
      </c>
      <c r="AD342" s="6">
        <f>$O$342*$X$342</f>
        <v>3100.8433099999997</v>
      </c>
      <c r="AE342" s="6">
        <f>$K$342*$Y$342</f>
        <v>0</v>
      </c>
      <c r="AF342" s="6">
        <f ca="1">$M$342*$Z$342</f>
        <v>4017.5278070831228</v>
      </c>
      <c r="AG342" s="6">
        <f>$O$342*$AA$342</f>
        <v>2380.5202238697175</v>
      </c>
    </row>
    <row r="343" spans="1:33" ht="11.25" customHeight="1" x14ac:dyDescent="0.25">
      <c r="A343" s="4" t="s">
        <v>21</v>
      </c>
      <c r="B343" s="4" t="s">
        <v>36</v>
      </c>
      <c r="C343" s="4" t="s">
        <v>32</v>
      </c>
      <c r="D343" s="4" t="s">
        <v>40</v>
      </c>
      <c r="E343" s="4" t="s">
        <v>25</v>
      </c>
      <c r="F343" s="4" t="s">
        <v>25</v>
      </c>
      <c r="G343" s="4" t="s">
        <v>25</v>
      </c>
      <c r="H343" s="4" t="s">
        <v>34</v>
      </c>
      <c r="I343" s="5">
        <v>44409</v>
      </c>
      <c r="J343" s="6">
        <v>0</v>
      </c>
      <c r="K343" s="6">
        <v>0</v>
      </c>
      <c r="L343" s="6">
        <v>0.67900000000000005</v>
      </c>
      <c r="M343" s="6">
        <v>0.67900000000000005</v>
      </c>
      <c r="N343" s="6">
        <v>0.67900000000000005</v>
      </c>
      <c r="O343" s="6">
        <v>0.67900000000000005</v>
      </c>
      <c r="P343" s="6">
        <v>0</v>
      </c>
      <c r="Q343" s="4" t="s">
        <v>26</v>
      </c>
      <c r="R343" s="4">
        <v>0</v>
      </c>
      <c r="S343" s="6">
        <v>0</v>
      </c>
      <c r="T343" s="6">
        <v>64</v>
      </c>
      <c r="U343" s="6">
        <v>23</v>
      </c>
      <c r="V343" s="6">
        <f>IF(ISERROR(VLOOKUP($S$343,'TAR FIN'!$A$1:$O$88,15,0)),0,VLOOKUP($S$343,'TAR FIN'!$A$1:$O$88,15,0))</f>
        <v>0</v>
      </c>
      <c r="W343" s="6">
        <f>IF(ISERROR(VLOOKUP($T$343,'TAR FIN'!$A$1:$O$88,15,0)),0,VLOOKUP($T$343,'TAR FIN'!$A$1:$O$88,15,0))</f>
        <v>214.77</v>
      </c>
      <c r="X343" s="6">
        <f>IF(ISERROR(VLOOKUP($U$343,'TAR FIN'!$A$1:$O$88,15,0)),0,VLOOKUP($U$343,'TAR FIN'!$A$1:$O$88,15,0))</f>
        <v>275.36</v>
      </c>
      <c r="Y343" s="6"/>
      <c r="Z343" s="6">
        <f ca="1">('TUSD BE'!$AM$47+'TUSD BF'!$AM$47+'TUSD CVA'!$AM$47)*1</f>
        <v>269.96971100776761</v>
      </c>
      <c r="AA343" s="6">
        <f>('TE BE'!$AB$38+'TE BF'!$AB$38+'TE CVA'!$AB$38)*1</f>
        <v>197.6895725142987</v>
      </c>
      <c r="AB343" s="6">
        <f>$K$343*$V$343</f>
        <v>0</v>
      </c>
      <c r="AC343" s="6">
        <f>$M$343*$W$343</f>
        <v>145.82883000000001</v>
      </c>
      <c r="AD343" s="6">
        <f>$O$343*$X$343</f>
        <v>186.96944000000002</v>
      </c>
      <c r="AE343" s="6">
        <f>$K$343*$Y$343</f>
        <v>0</v>
      </c>
      <c r="AF343" s="6">
        <f ca="1">$M$343*$Z$343</f>
        <v>183.30943377427423</v>
      </c>
      <c r="AG343" s="6">
        <f>$O$343*$AA$343</f>
        <v>134.23121973720882</v>
      </c>
    </row>
    <row r="344" spans="1:33" ht="11.25" customHeight="1" x14ac:dyDescent="0.25">
      <c r="A344" s="4" t="s">
        <v>21</v>
      </c>
      <c r="B344" s="4" t="s">
        <v>36</v>
      </c>
      <c r="C344" s="4" t="s">
        <v>32</v>
      </c>
      <c r="D344" s="4" t="s">
        <v>40</v>
      </c>
      <c r="E344" s="4" t="s">
        <v>25</v>
      </c>
      <c r="F344" s="4" t="s">
        <v>25</v>
      </c>
      <c r="G344" s="4" t="s">
        <v>25</v>
      </c>
      <c r="H344" s="4" t="s">
        <v>34</v>
      </c>
      <c r="I344" s="5">
        <v>44440</v>
      </c>
      <c r="J344" s="6">
        <v>0</v>
      </c>
      <c r="K344" s="6">
        <v>0</v>
      </c>
      <c r="L344" s="6">
        <v>0.73699999999999999</v>
      </c>
      <c r="M344" s="6">
        <v>0.73699999999999999</v>
      </c>
      <c r="N344" s="6">
        <v>0.73699999999999999</v>
      </c>
      <c r="O344" s="6">
        <v>0.73699999999999999</v>
      </c>
      <c r="P344" s="6">
        <v>0</v>
      </c>
      <c r="Q344" s="4" t="s">
        <v>26</v>
      </c>
      <c r="R344" s="4">
        <v>0</v>
      </c>
      <c r="S344" s="6">
        <v>0</v>
      </c>
      <c r="T344" s="6">
        <v>64</v>
      </c>
      <c r="U344" s="6">
        <v>23</v>
      </c>
      <c r="V344" s="6">
        <f>IF(ISERROR(VLOOKUP($S$344,'TAR FIN'!$A$1:$O$88,15,0)),0,VLOOKUP($S$344,'TAR FIN'!$A$1:$O$88,15,0))</f>
        <v>0</v>
      </c>
      <c r="W344" s="6">
        <f>IF(ISERROR(VLOOKUP($T$344,'TAR FIN'!$A$1:$O$88,15,0)),0,VLOOKUP($T$344,'TAR FIN'!$A$1:$O$88,15,0))</f>
        <v>214.77</v>
      </c>
      <c r="X344" s="6">
        <f>IF(ISERROR(VLOOKUP($U$344,'TAR FIN'!$A$1:$O$88,15,0)),0,VLOOKUP($U$344,'TAR FIN'!$A$1:$O$88,15,0))</f>
        <v>275.36</v>
      </c>
      <c r="Y344" s="6"/>
      <c r="Z344" s="6">
        <f ca="1">('TUSD BE'!$AM$47+'TUSD BF'!$AM$47+'TUSD CVA'!$AM$47)*1</f>
        <v>269.96971100776761</v>
      </c>
      <c r="AA344" s="6">
        <f>('TE BE'!$AB$38+'TE BF'!$AB$38+'TE CVA'!$AB$38)*1</f>
        <v>197.6895725142987</v>
      </c>
      <c r="AB344" s="6">
        <f>$K$344*$V$344</f>
        <v>0</v>
      </c>
      <c r="AC344" s="6">
        <f>$M$344*$W$344</f>
        <v>158.28549000000001</v>
      </c>
      <c r="AD344" s="6">
        <f>$O$344*$X$344</f>
        <v>202.94032000000001</v>
      </c>
      <c r="AE344" s="6">
        <f>$K$344*$Y$344</f>
        <v>0</v>
      </c>
      <c r="AF344" s="6">
        <f ca="1">$M$344*$Z$344</f>
        <v>198.96767701272472</v>
      </c>
      <c r="AG344" s="6">
        <f>$O$344*$AA$344</f>
        <v>145.69721494303815</v>
      </c>
    </row>
    <row r="345" spans="1:33" ht="11.25" customHeight="1" x14ac:dyDescent="0.25">
      <c r="A345" s="4" t="s">
        <v>21</v>
      </c>
      <c r="B345" s="4" t="s">
        <v>36</v>
      </c>
      <c r="C345" s="4" t="s">
        <v>32</v>
      </c>
      <c r="D345" s="4" t="s">
        <v>40</v>
      </c>
      <c r="E345" s="4" t="s">
        <v>25</v>
      </c>
      <c r="F345" s="4" t="s">
        <v>25</v>
      </c>
      <c r="G345" s="4" t="s">
        <v>25</v>
      </c>
      <c r="H345" s="4" t="s">
        <v>34</v>
      </c>
      <c r="I345" s="5">
        <v>44470</v>
      </c>
      <c r="J345" s="6">
        <v>0</v>
      </c>
      <c r="K345" s="6">
        <v>0</v>
      </c>
      <c r="L345" s="6">
        <v>0.70199999999999996</v>
      </c>
      <c r="M345" s="6">
        <v>0.70199999999999996</v>
      </c>
      <c r="N345" s="6">
        <v>0.70199999999999996</v>
      </c>
      <c r="O345" s="6">
        <v>0.70199999999999996</v>
      </c>
      <c r="P345" s="6">
        <v>0</v>
      </c>
      <c r="Q345" s="4" t="s">
        <v>26</v>
      </c>
      <c r="R345" s="4">
        <v>0</v>
      </c>
      <c r="S345" s="6">
        <v>0</v>
      </c>
      <c r="T345" s="6">
        <v>64</v>
      </c>
      <c r="U345" s="6">
        <v>23</v>
      </c>
      <c r="V345" s="6">
        <f>IF(ISERROR(VLOOKUP($S$345,'TAR FIN'!$A$1:$O$88,15,0)),0,VLOOKUP($S$345,'TAR FIN'!$A$1:$O$88,15,0))</f>
        <v>0</v>
      </c>
      <c r="W345" s="6">
        <f>IF(ISERROR(VLOOKUP($T$345,'TAR FIN'!$A$1:$O$88,15,0)),0,VLOOKUP($T$345,'TAR FIN'!$A$1:$O$88,15,0))</f>
        <v>214.77</v>
      </c>
      <c r="X345" s="6">
        <f>IF(ISERROR(VLOOKUP($U$345,'TAR FIN'!$A$1:$O$88,15,0)),0,VLOOKUP($U$345,'TAR FIN'!$A$1:$O$88,15,0))</f>
        <v>275.36</v>
      </c>
      <c r="Y345" s="6"/>
      <c r="Z345" s="6">
        <f ca="1">('TUSD BE'!$AM$47+'TUSD BF'!$AM$47+'TUSD CVA'!$AM$47)*1</f>
        <v>269.96971100776761</v>
      </c>
      <c r="AA345" s="6">
        <f>('TE BE'!$AB$38+'TE BF'!$AB$38+'TE CVA'!$AB$38)*1</f>
        <v>197.6895725142987</v>
      </c>
      <c r="AB345" s="6">
        <f>$K$345*$V$345</f>
        <v>0</v>
      </c>
      <c r="AC345" s="6">
        <f>$M$345*$W$345</f>
        <v>150.76854</v>
      </c>
      <c r="AD345" s="6">
        <f>$O$345*$X$345</f>
        <v>193.30271999999999</v>
      </c>
      <c r="AE345" s="6">
        <f>$K$345*$Y$345</f>
        <v>0</v>
      </c>
      <c r="AF345" s="6">
        <f ca="1">$M$345*$Z$345</f>
        <v>189.51873712745285</v>
      </c>
      <c r="AG345" s="6">
        <f>$O$345*$AA$345</f>
        <v>138.77807990503769</v>
      </c>
    </row>
    <row r="346" spans="1:33" ht="11.25" customHeight="1" x14ac:dyDescent="0.25">
      <c r="A346" s="4" t="s">
        <v>21</v>
      </c>
      <c r="B346" s="4" t="s">
        <v>36</v>
      </c>
      <c r="C346" s="4" t="s">
        <v>32</v>
      </c>
      <c r="D346" s="4" t="s">
        <v>40</v>
      </c>
      <c r="E346" s="4" t="s">
        <v>25</v>
      </c>
      <c r="F346" s="4" t="s">
        <v>25</v>
      </c>
      <c r="G346" s="4" t="s">
        <v>25</v>
      </c>
      <c r="H346" s="4" t="s">
        <v>34</v>
      </c>
      <c r="I346" s="5">
        <v>44501</v>
      </c>
      <c r="J346" s="6">
        <v>0</v>
      </c>
      <c r="K346" s="6">
        <v>0</v>
      </c>
      <c r="L346" s="6">
        <v>1.1000000000000001</v>
      </c>
      <c r="M346" s="6">
        <v>1.1000000000000001</v>
      </c>
      <c r="N346" s="6">
        <v>1.1000000000000001</v>
      </c>
      <c r="O346" s="6">
        <v>1.1000000000000001</v>
      </c>
      <c r="P346" s="6">
        <v>0</v>
      </c>
      <c r="Q346" s="4" t="s">
        <v>26</v>
      </c>
      <c r="R346" s="4">
        <v>0</v>
      </c>
      <c r="S346" s="6">
        <v>0</v>
      </c>
      <c r="T346" s="6">
        <v>64</v>
      </c>
      <c r="U346" s="6">
        <v>23</v>
      </c>
      <c r="V346" s="6">
        <f>IF(ISERROR(VLOOKUP($S$346,'TAR FIN'!$A$1:$O$88,15,0)),0,VLOOKUP($S$346,'TAR FIN'!$A$1:$O$88,15,0))</f>
        <v>0</v>
      </c>
      <c r="W346" s="6">
        <f>IF(ISERROR(VLOOKUP($T$346,'TAR FIN'!$A$1:$O$88,15,0)),0,VLOOKUP($T$346,'TAR FIN'!$A$1:$O$88,15,0))</f>
        <v>214.77</v>
      </c>
      <c r="X346" s="6">
        <f>IF(ISERROR(VLOOKUP($U$346,'TAR FIN'!$A$1:$O$88,15,0)),0,VLOOKUP($U$346,'TAR FIN'!$A$1:$O$88,15,0))</f>
        <v>275.36</v>
      </c>
      <c r="Y346" s="6"/>
      <c r="Z346" s="6">
        <f ca="1">('TUSD BE'!$AM$47+'TUSD BF'!$AM$47+'TUSD CVA'!$AM$47)*1</f>
        <v>269.96971100776761</v>
      </c>
      <c r="AA346" s="6">
        <f>('TE BE'!$AB$38+'TE BF'!$AB$38+'TE CVA'!$AB$38)*1</f>
        <v>197.6895725142987</v>
      </c>
      <c r="AB346" s="6">
        <f>$K$346*$V$346</f>
        <v>0</v>
      </c>
      <c r="AC346" s="6">
        <f>$M$346*$W$346</f>
        <v>236.24700000000004</v>
      </c>
      <c r="AD346" s="6">
        <f>$O$346*$X$346</f>
        <v>302.89600000000002</v>
      </c>
      <c r="AE346" s="6">
        <f>$K$346*$Y$346</f>
        <v>0</v>
      </c>
      <c r="AF346" s="6">
        <f ca="1">$M$346*$Z$346</f>
        <v>296.96668210854438</v>
      </c>
      <c r="AG346" s="6">
        <f>$O$346*$AA$346</f>
        <v>217.4585297657286</v>
      </c>
    </row>
    <row r="347" spans="1:33" ht="11.25" customHeight="1" x14ac:dyDescent="0.25">
      <c r="A347" s="4" t="s">
        <v>21</v>
      </c>
      <c r="B347" s="4" t="s">
        <v>36</v>
      </c>
      <c r="C347" s="4" t="s">
        <v>32</v>
      </c>
      <c r="D347" s="4" t="s">
        <v>40</v>
      </c>
      <c r="E347" s="4" t="s">
        <v>25</v>
      </c>
      <c r="F347" s="4" t="s">
        <v>25</v>
      </c>
      <c r="G347" s="4" t="s">
        <v>25</v>
      </c>
      <c r="H347" s="4" t="s">
        <v>34</v>
      </c>
      <c r="I347" s="5">
        <v>44531</v>
      </c>
      <c r="J347" s="6">
        <v>0</v>
      </c>
      <c r="K347" s="6">
        <v>0</v>
      </c>
      <c r="L347" s="6">
        <v>1.31</v>
      </c>
      <c r="M347" s="6">
        <v>1.31</v>
      </c>
      <c r="N347" s="6">
        <v>1.31</v>
      </c>
      <c r="O347" s="6">
        <v>1.31</v>
      </c>
      <c r="P347" s="6">
        <v>0</v>
      </c>
      <c r="Q347" s="4" t="s">
        <v>26</v>
      </c>
      <c r="R347" s="4">
        <v>0</v>
      </c>
      <c r="S347" s="6">
        <v>0</v>
      </c>
      <c r="T347" s="6">
        <v>64</v>
      </c>
      <c r="U347" s="6">
        <v>23</v>
      </c>
      <c r="V347" s="6">
        <f>IF(ISERROR(VLOOKUP($S$347,'TAR FIN'!$A$1:$O$88,15,0)),0,VLOOKUP($S$347,'TAR FIN'!$A$1:$O$88,15,0))</f>
        <v>0</v>
      </c>
      <c r="W347" s="6">
        <f>IF(ISERROR(VLOOKUP($T$347,'TAR FIN'!$A$1:$O$88,15,0)),0,VLOOKUP($T$347,'TAR FIN'!$A$1:$O$88,15,0))</f>
        <v>214.77</v>
      </c>
      <c r="X347" s="6">
        <f>IF(ISERROR(VLOOKUP($U$347,'TAR FIN'!$A$1:$O$88,15,0)),0,VLOOKUP($U$347,'TAR FIN'!$A$1:$O$88,15,0))</f>
        <v>275.36</v>
      </c>
      <c r="Y347" s="6"/>
      <c r="Z347" s="6">
        <f ca="1">('TUSD BE'!$AM$47+'TUSD BF'!$AM$47+'TUSD CVA'!$AM$47)*1</f>
        <v>269.96971100776761</v>
      </c>
      <c r="AA347" s="6">
        <f>('TE BE'!$AB$38+'TE BF'!$AB$38+'TE CVA'!$AB$38)*1</f>
        <v>197.6895725142987</v>
      </c>
      <c r="AB347" s="6">
        <f>$K$347*$V$347</f>
        <v>0</v>
      </c>
      <c r="AC347" s="6">
        <f>$M$347*$W$347</f>
        <v>281.34870000000001</v>
      </c>
      <c r="AD347" s="6">
        <f>$O$347*$X$347</f>
        <v>360.72160000000002</v>
      </c>
      <c r="AE347" s="6">
        <f>$K$347*$Y$347</f>
        <v>0</v>
      </c>
      <c r="AF347" s="6">
        <f ca="1">$M$347*$Z$347</f>
        <v>353.66032142017559</v>
      </c>
      <c r="AG347" s="6">
        <f>$O$347*$AA$347</f>
        <v>258.97333999373132</v>
      </c>
    </row>
    <row r="348" spans="1:33" ht="11.25" customHeight="1" x14ac:dyDescent="0.25">
      <c r="A348" s="4" t="s">
        <v>21</v>
      </c>
      <c r="B348" s="4" t="s">
        <v>36</v>
      </c>
      <c r="C348" s="4" t="s">
        <v>32</v>
      </c>
      <c r="D348" s="4" t="s">
        <v>40</v>
      </c>
      <c r="E348" s="4" t="s">
        <v>25</v>
      </c>
      <c r="F348" s="4" t="s">
        <v>25</v>
      </c>
      <c r="G348" s="4" t="s">
        <v>25</v>
      </c>
      <c r="H348" s="4" t="s">
        <v>34</v>
      </c>
      <c r="I348" s="5">
        <v>44562</v>
      </c>
      <c r="J348" s="6">
        <v>0</v>
      </c>
      <c r="K348" s="6">
        <v>0</v>
      </c>
      <c r="L348" s="6">
        <v>1.37</v>
      </c>
      <c r="M348" s="6">
        <v>1.37</v>
      </c>
      <c r="N348" s="6">
        <v>1.37</v>
      </c>
      <c r="O348" s="6">
        <v>1.37</v>
      </c>
      <c r="P348" s="6">
        <v>0</v>
      </c>
      <c r="Q348" s="4" t="s">
        <v>26</v>
      </c>
      <c r="R348" s="4">
        <v>0</v>
      </c>
      <c r="S348" s="6">
        <v>0</v>
      </c>
      <c r="T348" s="6">
        <v>64</v>
      </c>
      <c r="U348" s="6">
        <v>23</v>
      </c>
      <c r="V348" s="6">
        <f>IF(ISERROR(VLOOKUP($S$348,'TAR FIN'!$A$1:$O$88,15,0)),0,VLOOKUP($S$348,'TAR FIN'!$A$1:$O$88,15,0))</f>
        <v>0</v>
      </c>
      <c r="W348" s="6">
        <f>IF(ISERROR(VLOOKUP($T$348,'TAR FIN'!$A$1:$O$88,15,0)),0,VLOOKUP($T$348,'TAR FIN'!$A$1:$O$88,15,0))</f>
        <v>214.77</v>
      </c>
      <c r="X348" s="6">
        <f>IF(ISERROR(VLOOKUP($U$348,'TAR FIN'!$A$1:$O$88,15,0)),0,VLOOKUP($U$348,'TAR FIN'!$A$1:$O$88,15,0))</f>
        <v>275.36</v>
      </c>
      <c r="Y348" s="6"/>
      <c r="Z348" s="6">
        <f ca="1">('TUSD BE'!$AM$47+'TUSD BF'!$AM$47+'TUSD CVA'!$AM$47)*1</f>
        <v>269.96971100776761</v>
      </c>
      <c r="AA348" s="6">
        <f>('TE BE'!$AB$38+'TE BF'!$AB$38+'TE CVA'!$AB$38)*1</f>
        <v>197.6895725142987</v>
      </c>
      <c r="AB348" s="6">
        <f>$K$348*$V$348</f>
        <v>0</v>
      </c>
      <c r="AC348" s="6">
        <f>$M$348*$W$348</f>
        <v>294.23490000000004</v>
      </c>
      <c r="AD348" s="6">
        <f>$O$348*$X$348</f>
        <v>377.24320000000006</v>
      </c>
      <c r="AE348" s="6">
        <f>$K$348*$Y$348</f>
        <v>0</v>
      </c>
      <c r="AF348" s="6">
        <f ca="1">$M$348*$Z$348</f>
        <v>369.85850408064164</v>
      </c>
      <c r="AG348" s="6">
        <f>$O$348*$AA$348</f>
        <v>270.83471434458926</v>
      </c>
    </row>
    <row r="349" spans="1:33" ht="11.25" customHeight="1" x14ac:dyDescent="0.25">
      <c r="A349" s="4" t="s">
        <v>21</v>
      </c>
      <c r="B349" s="4" t="s">
        <v>36</v>
      </c>
      <c r="C349" s="4" t="s">
        <v>32</v>
      </c>
      <c r="D349" s="4" t="s">
        <v>40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44593</v>
      </c>
      <c r="J349" s="6">
        <v>0</v>
      </c>
      <c r="K349" s="6">
        <v>0</v>
      </c>
      <c r="L349" s="6">
        <v>1.2749999999999999</v>
      </c>
      <c r="M349" s="6">
        <v>1.2749999999999999</v>
      </c>
      <c r="N349" s="6">
        <v>1.2749999999999999</v>
      </c>
      <c r="O349" s="6">
        <v>1.2749999999999999</v>
      </c>
      <c r="P349" s="6">
        <v>0</v>
      </c>
      <c r="Q349" s="4" t="s">
        <v>26</v>
      </c>
      <c r="R349" s="4">
        <v>0</v>
      </c>
      <c r="S349" s="6">
        <v>0</v>
      </c>
      <c r="T349" s="6">
        <v>64</v>
      </c>
      <c r="U349" s="6">
        <v>23</v>
      </c>
      <c r="V349" s="6">
        <f>IF(ISERROR(VLOOKUP($S$349,'TAR FIN'!$A$1:$O$88,15,0)),0,VLOOKUP($S$349,'TAR FIN'!$A$1:$O$88,15,0))</f>
        <v>0</v>
      </c>
      <c r="W349" s="6">
        <f>IF(ISERROR(VLOOKUP($T$349,'TAR FIN'!$A$1:$O$88,15,0)),0,VLOOKUP($T$349,'TAR FIN'!$A$1:$O$88,15,0))</f>
        <v>214.77</v>
      </c>
      <c r="X349" s="6">
        <f>IF(ISERROR(VLOOKUP($U$349,'TAR FIN'!$A$1:$O$88,15,0)),0,VLOOKUP($U$349,'TAR FIN'!$A$1:$O$88,15,0))</f>
        <v>275.36</v>
      </c>
      <c r="Y349" s="6"/>
      <c r="Z349" s="6">
        <f ca="1">('TUSD BE'!$AM$47+'TUSD BF'!$AM$47+'TUSD CVA'!$AM$47)*1</f>
        <v>269.96971100776761</v>
      </c>
      <c r="AA349" s="6">
        <f>('TE BE'!$AB$38+'TE BF'!$AB$38+'TE CVA'!$AB$38)*1</f>
        <v>197.6895725142987</v>
      </c>
      <c r="AB349" s="6">
        <f>$K$349*$V$349</f>
        <v>0</v>
      </c>
      <c r="AC349" s="6">
        <f>$M$349*$W$349</f>
        <v>273.83175</v>
      </c>
      <c r="AD349" s="6">
        <f>$O$349*$X$349</f>
        <v>351.084</v>
      </c>
      <c r="AE349" s="6">
        <f>$K$349*$Y$349</f>
        <v>0</v>
      </c>
      <c r="AF349" s="6">
        <f ca="1">$M$349*$Z$349</f>
        <v>344.21138153490369</v>
      </c>
      <c r="AG349" s="6">
        <f>$O$349*$AA$349</f>
        <v>252.05420495573082</v>
      </c>
    </row>
    <row r="350" spans="1:33" ht="11.25" customHeight="1" x14ac:dyDescent="0.25">
      <c r="A350" s="4" t="s">
        <v>21</v>
      </c>
      <c r="B350" s="4" t="s">
        <v>36</v>
      </c>
      <c r="C350" s="4" t="s">
        <v>32</v>
      </c>
      <c r="D350" s="4" t="s">
        <v>40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44621</v>
      </c>
      <c r="J350" s="6">
        <v>0</v>
      </c>
      <c r="K350" s="6">
        <v>0</v>
      </c>
      <c r="L350" s="6">
        <v>1.129</v>
      </c>
      <c r="M350" s="6">
        <v>1.129</v>
      </c>
      <c r="N350" s="6">
        <v>1.129</v>
      </c>
      <c r="O350" s="6">
        <v>1.129</v>
      </c>
      <c r="P350" s="6">
        <v>0</v>
      </c>
      <c r="Q350" s="4" t="s">
        <v>26</v>
      </c>
      <c r="R350" s="4">
        <v>0</v>
      </c>
      <c r="S350" s="6">
        <v>0</v>
      </c>
      <c r="T350" s="6">
        <v>64</v>
      </c>
      <c r="U350" s="6">
        <v>23</v>
      </c>
      <c r="V350" s="6">
        <f>IF(ISERROR(VLOOKUP($S$350,'TAR FIN'!$A$1:$O$88,15,0)),0,VLOOKUP($S$350,'TAR FIN'!$A$1:$O$88,15,0))</f>
        <v>0</v>
      </c>
      <c r="W350" s="6">
        <f>IF(ISERROR(VLOOKUP($T$350,'TAR FIN'!$A$1:$O$88,15,0)),0,VLOOKUP($T$350,'TAR FIN'!$A$1:$O$88,15,0))</f>
        <v>214.77</v>
      </c>
      <c r="X350" s="6">
        <f>IF(ISERROR(VLOOKUP($U$350,'TAR FIN'!$A$1:$O$88,15,0)),0,VLOOKUP($U$350,'TAR FIN'!$A$1:$O$88,15,0))</f>
        <v>275.36</v>
      </c>
      <c r="Y350" s="6"/>
      <c r="Z350" s="6">
        <f ca="1">('TUSD BE'!$AM$47+'TUSD BF'!$AM$47+'TUSD CVA'!$AM$47)*1</f>
        <v>269.96971100776761</v>
      </c>
      <c r="AA350" s="6">
        <f>('TE BE'!$AB$38+'TE BF'!$AB$38+'TE CVA'!$AB$38)*1</f>
        <v>197.6895725142987</v>
      </c>
      <c r="AB350" s="6">
        <f>$K$350*$V$350</f>
        <v>0</v>
      </c>
      <c r="AC350" s="6">
        <f>$M$350*$W$350</f>
        <v>242.47533000000001</v>
      </c>
      <c r="AD350" s="6">
        <f>$O$350*$X$350</f>
        <v>310.88144</v>
      </c>
      <c r="AE350" s="6">
        <f>$K$350*$Y$350</f>
        <v>0</v>
      </c>
      <c r="AF350" s="6">
        <f ca="1">$M$350*$Z$350</f>
        <v>304.79580372776962</v>
      </c>
      <c r="AG350" s="6">
        <f>$O$350*$AA$350</f>
        <v>223.19152736864325</v>
      </c>
    </row>
    <row r="351" spans="1:33" ht="11.25" customHeight="1" x14ac:dyDescent="0.25">
      <c r="A351" s="4" t="s">
        <v>21</v>
      </c>
      <c r="B351" s="4" t="s">
        <v>36</v>
      </c>
      <c r="C351" s="4" t="s">
        <v>32</v>
      </c>
      <c r="D351" s="4" t="s">
        <v>40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44652</v>
      </c>
      <c r="J351" s="6">
        <v>0</v>
      </c>
      <c r="K351" s="6">
        <v>0</v>
      </c>
      <c r="L351" s="6">
        <v>0.77100000000000002</v>
      </c>
      <c r="M351" s="6">
        <v>0.77100000000000002</v>
      </c>
      <c r="N351" s="6">
        <v>0.77100000000000002</v>
      </c>
      <c r="O351" s="6">
        <v>0.77100000000000002</v>
      </c>
      <c r="P351" s="6">
        <v>0</v>
      </c>
      <c r="Q351" s="4" t="s">
        <v>26</v>
      </c>
      <c r="R351" s="4">
        <v>0</v>
      </c>
      <c r="S351" s="6">
        <v>0</v>
      </c>
      <c r="T351" s="6">
        <v>64</v>
      </c>
      <c r="U351" s="6">
        <v>23</v>
      </c>
      <c r="V351" s="6">
        <f>IF(ISERROR(VLOOKUP($S$351,'TAR FIN'!$A$1:$O$88,15,0)),0,VLOOKUP($S$351,'TAR FIN'!$A$1:$O$88,15,0))</f>
        <v>0</v>
      </c>
      <c r="W351" s="6">
        <f>IF(ISERROR(VLOOKUP($T$351,'TAR FIN'!$A$1:$O$88,15,0)),0,VLOOKUP($T$351,'TAR FIN'!$A$1:$O$88,15,0))</f>
        <v>214.77</v>
      </c>
      <c r="X351" s="6">
        <f>IF(ISERROR(VLOOKUP($U$351,'TAR FIN'!$A$1:$O$88,15,0)),0,VLOOKUP($U$351,'TAR FIN'!$A$1:$O$88,15,0))</f>
        <v>275.36</v>
      </c>
      <c r="Y351" s="6"/>
      <c r="Z351" s="6">
        <f ca="1">('TUSD BE'!$AM$47+'TUSD BF'!$AM$47+'TUSD CVA'!$AM$47)*1</f>
        <v>269.96971100776761</v>
      </c>
      <c r="AA351" s="6">
        <f>('TE BE'!$AB$38+'TE BF'!$AB$38+'TE CVA'!$AB$38)*1</f>
        <v>197.6895725142987</v>
      </c>
      <c r="AB351" s="6">
        <f>$K$351*$V$351</f>
        <v>0</v>
      </c>
      <c r="AC351" s="6">
        <f>$M$351*$W$351</f>
        <v>165.58767</v>
      </c>
      <c r="AD351" s="6">
        <f>$O$351*$X$351</f>
        <v>212.30256000000003</v>
      </c>
      <c r="AE351" s="6">
        <f>$K$351*$Y$351</f>
        <v>0</v>
      </c>
      <c r="AF351" s="6">
        <f ca="1">$M$351*$Z$351</f>
        <v>208.14664718698884</v>
      </c>
      <c r="AG351" s="6">
        <f>$O$351*$AA$351</f>
        <v>152.41866040852432</v>
      </c>
    </row>
    <row r="352" spans="1:33" ht="11.25" customHeight="1" x14ac:dyDescent="0.25">
      <c r="A352" s="4" t="s">
        <v>21</v>
      </c>
      <c r="B352" s="4" t="s">
        <v>36</v>
      </c>
      <c r="C352" s="4" t="s">
        <v>32</v>
      </c>
      <c r="D352" s="4" t="s">
        <v>40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44682</v>
      </c>
      <c r="J352" s="6">
        <v>0</v>
      </c>
      <c r="K352" s="6">
        <v>0</v>
      </c>
      <c r="L352" s="6">
        <v>0.61699999999999999</v>
      </c>
      <c r="M352" s="6">
        <v>0.61699999999999999</v>
      </c>
      <c r="N352" s="6">
        <v>0.61699999999999999</v>
      </c>
      <c r="O352" s="6">
        <v>0.61699999999999999</v>
      </c>
      <c r="P352" s="6">
        <v>0</v>
      </c>
      <c r="Q352" s="4" t="s">
        <v>26</v>
      </c>
      <c r="R352" s="4">
        <v>0</v>
      </c>
      <c r="S352" s="6">
        <v>0</v>
      </c>
      <c r="T352" s="6">
        <v>64</v>
      </c>
      <c r="U352" s="6">
        <v>23</v>
      </c>
      <c r="V352" s="6">
        <f>IF(ISERROR(VLOOKUP($S$352,'TAR FIN'!$A$1:$O$88,15,0)),0,VLOOKUP($S$352,'TAR FIN'!$A$1:$O$88,15,0))</f>
        <v>0</v>
      </c>
      <c r="W352" s="6">
        <f>IF(ISERROR(VLOOKUP($T$352,'TAR FIN'!$A$1:$O$88,15,0)),0,VLOOKUP($T$352,'TAR FIN'!$A$1:$O$88,15,0))</f>
        <v>214.77</v>
      </c>
      <c r="X352" s="6">
        <f>IF(ISERROR(VLOOKUP($U$352,'TAR FIN'!$A$1:$O$88,15,0)),0,VLOOKUP($U$352,'TAR FIN'!$A$1:$O$88,15,0))</f>
        <v>275.36</v>
      </c>
      <c r="Y352" s="6"/>
      <c r="Z352" s="6">
        <f ca="1">('TUSD BE'!$AM$47+'TUSD BF'!$AM$47+'TUSD CVA'!$AM$47)*1</f>
        <v>269.96971100776761</v>
      </c>
      <c r="AA352" s="6">
        <f>('TE BE'!$AB$38+'TE BF'!$AB$38+'TE CVA'!$AB$38)*1</f>
        <v>197.6895725142987</v>
      </c>
      <c r="AB352" s="6">
        <f>$K$352*$V$352</f>
        <v>0</v>
      </c>
      <c r="AC352" s="6">
        <f>$M$352*$W$352</f>
        <v>132.51309000000001</v>
      </c>
      <c r="AD352" s="6">
        <f>$O$352*$X$352</f>
        <v>169.89712</v>
      </c>
      <c r="AE352" s="6">
        <f>$K$352*$Y$352</f>
        <v>0</v>
      </c>
      <c r="AF352" s="6">
        <f ca="1">$M$352*$Z$352</f>
        <v>166.57131169179263</v>
      </c>
      <c r="AG352" s="6">
        <f>$O$352*$AA$352</f>
        <v>121.9744662413223</v>
      </c>
    </row>
    <row r="353" spans="1:33" ht="11.25" customHeight="1" x14ac:dyDescent="0.25">
      <c r="A353" s="4" t="s">
        <v>21</v>
      </c>
      <c r="B353" s="4" t="s">
        <v>36</v>
      </c>
      <c r="C353" s="4" t="s">
        <v>32</v>
      </c>
      <c r="D353" s="4" t="s">
        <v>40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44713</v>
      </c>
      <c r="J353" s="6">
        <v>0</v>
      </c>
      <c r="K353" s="6">
        <v>0</v>
      </c>
      <c r="L353" s="6">
        <v>0.443</v>
      </c>
      <c r="M353" s="6">
        <v>0.443</v>
      </c>
      <c r="N353" s="6">
        <v>0.443</v>
      </c>
      <c r="O353" s="6">
        <v>0.443</v>
      </c>
      <c r="P353" s="6">
        <v>0</v>
      </c>
      <c r="Q353" s="4" t="s">
        <v>26</v>
      </c>
      <c r="R353" s="4">
        <v>0</v>
      </c>
      <c r="S353" s="6">
        <v>0</v>
      </c>
      <c r="T353" s="6">
        <v>64</v>
      </c>
      <c r="U353" s="6">
        <v>23</v>
      </c>
      <c r="V353" s="6">
        <f>IF(ISERROR(VLOOKUP($S$353,'TAR FIN'!$A$1:$O$88,15,0)),0,VLOOKUP($S$353,'TAR FIN'!$A$1:$O$88,15,0))</f>
        <v>0</v>
      </c>
      <c r="W353" s="6">
        <f>IF(ISERROR(VLOOKUP($T$353,'TAR FIN'!$A$1:$O$88,15,0)),0,VLOOKUP($T$353,'TAR FIN'!$A$1:$O$88,15,0))</f>
        <v>214.77</v>
      </c>
      <c r="X353" s="6">
        <f>IF(ISERROR(VLOOKUP($U$353,'TAR FIN'!$A$1:$O$88,15,0)),0,VLOOKUP($U$353,'TAR FIN'!$A$1:$O$88,15,0))</f>
        <v>275.36</v>
      </c>
      <c r="Y353" s="6"/>
      <c r="Z353" s="6">
        <f ca="1">('TUSD BE'!$AM$47+'TUSD BF'!$AM$47+'TUSD CVA'!$AM$47)*1</f>
        <v>269.96971100776761</v>
      </c>
      <c r="AA353" s="6">
        <f>('TE BE'!$AB$38+'TE BF'!$AB$38+'TE CVA'!$AB$38)*1</f>
        <v>197.6895725142987</v>
      </c>
      <c r="AB353" s="6">
        <f>$K$353*$V$353</f>
        <v>0</v>
      </c>
      <c r="AC353" s="6">
        <f>$M$353*$W$353</f>
        <v>95.143110000000007</v>
      </c>
      <c r="AD353" s="6">
        <f>$O$353*$X$353</f>
        <v>121.98448</v>
      </c>
      <c r="AE353" s="6">
        <f>$K$353*$Y$353</f>
        <v>0</v>
      </c>
      <c r="AF353" s="6">
        <f ca="1">$M$353*$Z$353</f>
        <v>119.59658197644106</v>
      </c>
      <c r="AG353" s="6">
        <f>$O$353*$AA$353</f>
        <v>87.576480623834328</v>
      </c>
    </row>
    <row r="354" spans="1:33" ht="11.25" customHeight="1" x14ac:dyDescent="0.25">
      <c r="A354" s="4" t="s">
        <v>55</v>
      </c>
      <c r="B354" s="4" t="s">
        <v>36</v>
      </c>
      <c r="C354" s="4" t="s">
        <v>32</v>
      </c>
      <c r="D354" s="4" t="s">
        <v>40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44743</v>
      </c>
      <c r="J354" s="6">
        <v>0</v>
      </c>
      <c r="K354" s="6">
        <v>0</v>
      </c>
      <c r="L354" s="6">
        <v>0.443</v>
      </c>
      <c r="M354" s="6">
        <v>0.443</v>
      </c>
      <c r="N354" s="6">
        <v>0.443</v>
      </c>
      <c r="O354" s="6">
        <v>0.443</v>
      </c>
      <c r="P354" s="6">
        <v>0</v>
      </c>
      <c r="Q354" s="4" t="s">
        <v>26</v>
      </c>
      <c r="R354" s="4">
        <v>0</v>
      </c>
      <c r="S354" s="6">
        <v>0</v>
      </c>
      <c r="T354" s="6">
        <v>64</v>
      </c>
      <c r="U354" s="6">
        <v>23</v>
      </c>
      <c r="V354" s="6">
        <f>IF(ISERROR(VLOOKUP($S$354,'TAR FIN'!$A$1:$O$88,15,0)),0,VLOOKUP($S$354,'TAR FIN'!$A$1:$O$88,15,0))</f>
        <v>0</v>
      </c>
      <c r="W354" s="6">
        <f>IF(ISERROR(VLOOKUP($T$354,'TAR FIN'!$A$1:$O$88,15,0)),0,VLOOKUP($T$354,'TAR FIN'!$A$1:$O$88,15,0))</f>
        <v>214.77</v>
      </c>
      <c r="X354" s="6">
        <f>IF(ISERROR(VLOOKUP($U$354,'TAR FIN'!$A$1:$O$88,15,0)),0,VLOOKUP($U$354,'TAR FIN'!$A$1:$O$88,15,0))</f>
        <v>275.36</v>
      </c>
      <c r="Y354" s="6"/>
      <c r="Z354" s="6">
        <f ca="1">('TUSD BE'!$AM$47+'TUSD BF'!$AM$47+'TUSD CVA'!$AM$47)*1</f>
        <v>269.96971100776761</v>
      </c>
      <c r="AA354" s="6">
        <f>('TE BE'!$AB$38+'TE BF'!$AB$38+'TE CVA'!$AB$38)*1</f>
        <v>197.6895725142987</v>
      </c>
      <c r="AB354" s="6">
        <f>$K$354*$V$354</f>
        <v>0</v>
      </c>
      <c r="AC354" s="6">
        <f>$M$354*$W$354</f>
        <v>95.143110000000007</v>
      </c>
      <c r="AD354" s="6">
        <f>$O$354*$X$354</f>
        <v>121.98448</v>
      </c>
      <c r="AE354" s="6">
        <f>$K$354*$Y$354</f>
        <v>0</v>
      </c>
      <c r="AF354" s="6">
        <f ca="1">$M$354*$Z$354</f>
        <v>119.59658197644106</v>
      </c>
      <c r="AG354" s="6">
        <f>$O$354*$AA$354</f>
        <v>87.576480623834328</v>
      </c>
    </row>
    <row r="355" spans="1:33" ht="11.25" customHeight="1" x14ac:dyDescent="0.25">
      <c r="A355" s="4" t="s">
        <v>21</v>
      </c>
      <c r="B355" s="4" t="s">
        <v>36</v>
      </c>
      <c r="C355" s="4" t="s">
        <v>32</v>
      </c>
      <c r="D355" s="4" t="s">
        <v>40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44409</v>
      </c>
      <c r="J355" s="6">
        <v>0</v>
      </c>
      <c r="K355" s="6">
        <v>0</v>
      </c>
      <c r="L355" s="6">
        <v>2.5999999999999999E-2</v>
      </c>
      <c r="M355" s="6">
        <v>2.5999999999999999E-2</v>
      </c>
      <c r="N355" s="6">
        <v>2.5999999999999999E-2</v>
      </c>
      <c r="O355" s="6">
        <v>2.5999999999999999E-2</v>
      </c>
      <c r="P355" s="6">
        <v>0</v>
      </c>
      <c r="Q355" s="4" t="s">
        <v>26</v>
      </c>
      <c r="R355" s="4">
        <v>0</v>
      </c>
      <c r="S355" s="6">
        <v>0</v>
      </c>
      <c r="T355" s="6">
        <v>63</v>
      </c>
      <c r="U355" s="6">
        <v>22</v>
      </c>
      <c r="V355" s="6">
        <f>IF(ISERROR(VLOOKUP($S$355,'TAR FIN'!$A$1:$O$88,15,0)),0,VLOOKUP($S$355,'TAR FIN'!$A$1:$O$88,15,0))</f>
        <v>0</v>
      </c>
      <c r="W355" s="6">
        <f>IF(ISERROR(VLOOKUP($T$355,'TAR FIN'!$A$1:$O$88,15,0)),0,VLOOKUP($T$355,'TAR FIN'!$A$1:$O$88,15,0))</f>
        <v>428.83</v>
      </c>
      <c r="X355" s="6">
        <f>IF(ISERROR(VLOOKUP($U$355,'TAR FIN'!$A$1:$O$88,15,0)),0,VLOOKUP($U$355,'TAR FIN'!$A$1:$O$88,15,0))</f>
        <v>275.36</v>
      </c>
      <c r="Y355" s="6"/>
      <c r="Z355" s="6">
        <f ca="1">('TUSD BE'!$AM$46+'TUSD BF'!$AM$46+'TUSD CVA'!$AM$46)*1</f>
        <v>582.27187973444109</v>
      </c>
      <c r="AA355" s="6">
        <f>('TE BE'!$AB$37+'TE BF'!$AB$37+'TE CVA'!$AB$37)*1</f>
        <v>197.6895725142987</v>
      </c>
      <c r="AB355" s="6">
        <f>$K$355*$V$355</f>
        <v>0</v>
      </c>
      <c r="AC355" s="6">
        <f>$M$355*$W$355</f>
        <v>11.149579999999998</v>
      </c>
      <c r="AD355" s="6">
        <f>$O$355*$X$355</f>
        <v>7.1593600000000004</v>
      </c>
      <c r="AE355" s="6">
        <f>$K$355*$Y$355</f>
        <v>0</v>
      </c>
      <c r="AF355" s="6">
        <f ca="1">$M$355*$Z$355</f>
        <v>15.139068873095468</v>
      </c>
      <c r="AG355" s="6">
        <f>$O$355*$AA$355</f>
        <v>5.1399288853717664</v>
      </c>
    </row>
    <row r="356" spans="1:33" ht="11.25" customHeight="1" x14ac:dyDescent="0.25">
      <c r="A356" s="4" t="s">
        <v>21</v>
      </c>
      <c r="B356" s="4" t="s">
        <v>36</v>
      </c>
      <c r="C356" s="4" t="s">
        <v>32</v>
      </c>
      <c r="D356" s="4" t="s">
        <v>40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44440</v>
      </c>
      <c r="J356" s="6">
        <v>0</v>
      </c>
      <c r="K356" s="6">
        <v>0</v>
      </c>
      <c r="L356" s="6">
        <v>2.8000000000000001E-2</v>
      </c>
      <c r="M356" s="6">
        <v>2.8000000000000001E-2</v>
      </c>
      <c r="N356" s="6">
        <v>2.8000000000000001E-2</v>
      </c>
      <c r="O356" s="6">
        <v>2.8000000000000001E-2</v>
      </c>
      <c r="P356" s="6">
        <v>0</v>
      </c>
      <c r="Q356" s="4" t="s">
        <v>26</v>
      </c>
      <c r="R356" s="4">
        <v>0</v>
      </c>
      <c r="S356" s="6">
        <v>0</v>
      </c>
      <c r="T356" s="6">
        <v>63</v>
      </c>
      <c r="U356" s="6">
        <v>22</v>
      </c>
      <c r="V356" s="6">
        <f>IF(ISERROR(VLOOKUP($S$356,'TAR FIN'!$A$1:$O$88,15,0)),0,VLOOKUP($S$356,'TAR FIN'!$A$1:$O$88,15,0))</f>
        <v>0</v>
      </c>
      <c r="W356" s="6">
        <f>IF(ISERROR(VLOOKUP($T$356,'TAR FIN'!$A$1:$O$88,15,0)),0,VLOOKUP($T$356,'TAR FIN'!$A$1:$O$88,15,0))</f>
        <v>428.83</v>
      </c>
      <c r="X356" s="6">
        <f>IF(ISERROR(VLOOKUP($U$356,'TAR FIN'!$A$1:$O$88,15,0)),0,VLOOKUP($U$356,'TAR FIN'!$A$1:$O$88,15,0))</f>
        <v>275.36</v>
      </c>
      <c r="Y356" s="6"/>
      <c r="Z356" s="6">
        <f ca="1">('TUSD BE'!$AM$46+'TUSD BF'!$AM$46+'TUSD CVA'!$AM$46)*1</f>
        <v>582.27187973444109</v>
      </c>
      <c r="AA356" s="6">
        <f>('TE BE'!$AB$37+'TE BF'!$AB$37+'TE CVA'!$AB$37)*1</f>
        <v>197.6895725142987</v>
      </c>
      <c r="AB356" s="6">
        <f>$K$356*$V$356</f>
        <v>0</v>
      </c>
      <c r="AC356" s="6">
        <f>$M$356*$W$356</f>
        <v>12.007239999999999</v>
      </c>
      <c r="AD356" s="6">
        <f>$O$356*$X$356</f>
        <v>7.7100800000000005</v>
      </c>
      <c r="AE356" s="6">
        <f>$K$356*$Y$356</f>
        <v>0</v>
      </c>
      <c r="AF356" s="6">
        <f ca="1">$M$356*$Z$356</f>
        <v>16.303612632564352</v>
      </c>
      <c r="AG356" s="6">
        <f>$O$356*$AA$356</f>
        <v>5.5353080304003637</v>
      </c>
    </row>
    <row r="357" spans="1:33" ht="11.25" customHeight="1" x14ac:dyDescent="0.25">
      <c r="A357" s="4" t="s">
        <v>21</v>
      </c>
      <c r="B357" s="4" t="s">
        <v>36</v>
      </c>
      <c r="C357" s="4" t="s">
        <v>32</v>
      </c>
      <c r="D357" s="4" t="s">
        <v>40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44470</v>
      </c>
      <c r="J357" s="6">
        <v>0</v>
      </c>
      <c r="K357" s="6">
        <v>0</v>
      </c>
      <c r="L357" s="6">
        <v>3.1E-2</v>
      </c>
      <c r="M357" s="6">
        <v>3.1E-2</v>
      </c>
      <c r="N357" s="6">
        <v>3.1E-2</v>
      </c>
      <c r="O357" s="6">
        <v>3.1E-2</v>
      </c>
      <c r="P357" s="6">
        <v>0</v>
      </c>
      <c r="Q357" s="4" t="s">
        <v>26</v>
      </c>
      <c r="R357" s="4">
        <v>0</v>
      </c>
      <c r="S357" s="6">
        <v>0</v>
      </c>
      <c r="T357" s="6">
        <v>63</v>
      </c>
      <c r="U357" s="6">
        <v>22</v>
      </c>
      <c r="V357" s="6">
        <f>IF(ISERROR(VLOOKUP($S$357,'TAR FIN'!$A$1:$O$88,15,0)),0,VLOOKUP($S$357,'TAR FIN'!$A$1:$O$88,15,0))</f>
        <v>0</v>
      </c>
      <c r="W357" s="6">
        <f>IF(ISERROR(VLOOKUP($T$357,'TAR FIN'!$A$1:$O$88,15,0)),0,VLOOKUP($T$357,'TAR FIN'!$A$1:$O$88,15,0))</f>
        <v>428.83</v>
      </c>
      <c r="X357" s="6">
        <f>IF(ISERROR(VLOOKUP($U$357,'TAR FIN'!$A$1:$O$88,15,0)),0,VLOOKUP($U$357,'TAR FIN'!$A$1:$O$88,15,0))</f>
        <v>275.36</v>
      </c>
      <c r="Y357" s="6"/>
      <c r="Z357" s="6">
        <f ca="1">('TUSD BE'!$AM$46+'TUSD BF'!$AM$46+'TUSD CVA'!$AM$46)*1</f>
        <v>582.27187973444109</v>
      </c>
      <c r="AA357" s="6">
        <f>('TE BE'!$AB$37+'TE BF'!$AB$37+'TE CVA'!$AB$37)*1</f>
        <v>197.6895725142987</v>
      </c>
      <c r="AB357" s="6">
        <f>$K$357*$V$357</f>
        <v>0</v>
      </c>
      <c r="AC357" s="6">
        <f>$M$357*$W$357</f>
        <v>13.29373</v>
      </c>
      <c r="AD357" s="6">
        <f>$O$357*$X$357</f>
        <v>8.5361600000000006</v>
      </c>
      <c r="AE357" s="6">
        <f>$K$357*$Y$357</f>
        <v>0</v>
      </c>
      <c r="AF357" s="6">
        <f ca="1">$M$357*$Z$357</f>
        <v>18.050428271767675</v>
      </c>
      <c r="AG357" s="6">
        <f>$O$357*$AA$357</f>
        <v>6.1283767479432596</v>
      </c>
    </row>
    <row r="358" spans="1:33" ht="11.25" customHeight="1" x14ac:dyDescent="0.25">
      <c r="A358" s="4" t="s">
        <v>21</v>
      </c>
      <c r="B358" s="4" t="s">
        <v>36</v>
      </c>
      <c r="C358" s="4" t="s">
        <v>32</v>
      </c>
      <c r="D358" s="4" t="s">
        <v>40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44501</v>
      </c>
      <c r="J358" s="6">
        <v>0</v>
      </c>
      <c r="K358" s="6">
        <v>0</v>
      </c>
      <c r="L358" s="6">
        <v>4.8000000000000001E-2</v>
      </c>
      <c r="M358" s="6">
        <v>4.8000000000000001E-2</v>
      </c>
      <c r="N358" s="6">
        <v>4.8000000000000001E-2</v>
      </c>
      <c r="O358" s="6">
        <v>4.8000000000000001E-2</v>
      </c>
      <c r="P358" s="6">
        <v>0</v>
      </c>
      <c r="Q358" s="4" t="s">
        <v>26</v>
      </c>
      <c r="R358" s="4">
        <v>0</v>
      </c>
      <c r="S358" s="6">
        <v>0</v>
      </c>
      <c r="T358" s="6">
        <v>63</v>
      </c>
      <c r="U358" s="6">
        <v>22</v>
      </c>
      <c r="V358" s="6">
        <f>IF(ISERROR(VLOOKUP($S$358,'TAR FIN'!$A$1:$O$88,15,0)),0,VLOOKUP($S$358,'TAR FIN'!$A$1:$O$88,15,0))</f>
        <v>0</v>
      </c>
      <c r="W358" s="6">
        <f>IF(ISERROR(VLOOKUP($T$358,'TAR FIN'!$A$1:$O$88,15,0)),0,VLOOKUP($T$358,'TAR FIN'!$A$1:$O$88,15,0))</f>
        <v>428.83</v>
      </c>
      <c r="X358" s="6">
        <f>IF(ISERROR(VLOOKUP($U$358,'TAR FIN'!$A$1:$O$88,15,0)),0,VLOOKUP($U$358,'TAR FIN'!$A$1:$O$88,15,0))</f>
        <v>275.36</v>
      </c>
      <c r="Y358" s="6"/>
      <c r="Z358" s="6">
        <f ca="1">('TUSD BE'!$AM$46+'TUSD BF'!$AM$46+'TUSD CVA'!$AM$46)*1</f>
        <v>582.27187973444109</v>
      </c>
      <c r="AA358" s="6">
        <f>('TE BE'!$AB$37+'TE BF'!$AB$37+'TE CVA'!$AB$37)*1</f>
        <v>197.6895725142987</v>
      </c>
      <c r="AB358" s="6">
        <f>$K$358*$V$358</f>
        <v>0</v>
      </c>
      <c r="AC358" s="6">
        <f>$M$358*$W$358</f>
        <v>20.583839999999999</v>
      </c>
      <c r="AD358" s="6">
        <f>$O$358*$X$358</f>
        <v>13.217280000000001</v>
      </c>
      <c r="AE358" s="6">
        <f>$K$358*$Y$358</f>
        <v>0</v>
      </c>
      <c r="AF358" s="6">
        <f ca="1">$M$358*$Z$358</f>
        <v>27.949050227253174</v>
      </c>
      <c r="AG358" s="6">
        <f>$O$358*$AA$358</f>
        <v>9.4890994806863382</v>
      </c>
    </row>
    <row r="359" spans="1:33" ht="11.25" customHeight="1" x14ac:dyDescent="0.25">
      <c r="A359" s="4" t="s">
        <v>21</v>
      </c>
      <c r="B359" s="4" t="s">
        <v>36</v>
      </c>
      <c r="C359" s="4" t="s">
        <v>32</v>
      </c>
      <c r="D359" s="4" t="s">
        <v>40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44531</v>
      </c>
      <c r="J359" s="6">
        <v>0</v>
      </c>
      <c r="K359" s="6">
        <v>0</v>
      </c>
      <c r="L359" s="6">
        <v>4.9000000000000002E-2</v>
      </c>
      <c r="M359" s="6">
        <v>4.9000000000000002E-2</v>
      </c>
      <c r="N359" s="6">
        <v>4.9000000000000002E-2</v>
      </c>
      <c r="O359" s="6">
        <v>4.9000000000000002E-2</v>
      </c>
      <c r="P359" s="6">
        <v>0</v>
      </c>
      <c r="Q359" s="4" t="s">
        <v>26</v>
      </c>
      <c r="R359" s="4">
        <v>0</v>
      </c>
      <c r="S359" s="6">
        <v>0</v>
      </c>
      <c r="T359" s="6">
        <v>63</v>
      </c>
      <c r="U359" s="6">
        <v>22</v>
      </c>
      <c r="V359" s="6">
        <f>IF(ISERROR(VLOOKUP($S$359,'TAR FIN'!$A$1:$O$88,15,0)),0,VLOOKUP($S$359,'TAR FIN'!$A$1:$O$88,15,0))</f>
        <v>0</v>
      </c>
      <c r="W359" s="6">
        <f>IF(ISERROR(VLOOKUP($T$359,'TAR FIN'!$A$1:$O$88,15,0)),0,VLOOKUP($T$359,'TAR FIN'!$A$1:$O$88,15,0))</f>
        <v>428.83</v>
      </c>
      <c r="X359" s="6">
        <f>IF(ISERROR(VLOOKUP($U$359,'TAR FIN'!$A$1:$O$88,15,0)),0,VLOOKUP($U$359,'TAR FIN'!$A$1:$O$88,15,0))</f>
        <v>275.36</v>
      </c>
      <c r="Y359" s="6"/>
      <c r="Z359" s="6">
        <f ca="1">('TUSD BE'!$AM$46+'TUSD BF'!$AM$46+'TUSD CVA'!$AM$46)*1</f>
        <v>582.27187973444109</v>
      </c>
      <c r="AA359" s="6">
        <f>('TE BE'!$AB$37+'TE BF'!$AB$37+'TE CVA'!$AB$37)*1</f>
        <v>197.6895725142987</v>
      </c>
      <c r="AB359" s="6">
        <f>$K$359*$V$359</f>
        <v>0</v>
      </c>
      <c r="AC359" s="6">
        <f>$M$359*$W$359</f>
        <v>21.01267</v>
      </c>
      <c r="AD359" s="6">
        <f>$O$359*$X$359</f>
        <v>13.492640000000002</v>
      </c>
      <c r="AE359" s="6">
        <f>$K$359*$Y$359</f>
        <v>0</v>
      </c>
      <c r="AF359" s="6">
        <f ca="1">$M$359*$Z$359</f>
        <v>28.531322106987613</v>
      </c>
      <c r="AG359" s="6">
        <f>$O$359*$AA$359</f>
        <v>9.686789053200636</v>
      </c>
    </row>
    <row r="360" spans="1:33" ht="11.25" customHeight="1" x14ac:dyDescent="0.25">
      <c r="A360" s="4" t="s">
        <v>21</v>
      </c>
      <c r="B360" s="4" t="s">
        <v>36</v>
      </c>
      <c r="C360" s="4" t="s">
        <v>32</v>
      </c>
      <c r="D360" s="4" t="s">
        <v>40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44562</v>
      </c>
      <c r="J360" s="6">
        <v>0</v>
      </c>
      <c r="K360" s="6">
        <v>0</v>
      </c>
      <c r="L360" s="6">
        <v>4.1000000000000002E-2</v>
      </c>
      <c r="M360" s="6">
        <v>4.1000000000000002E-2</v>
      </c>
      <c r="N360" s="6">
        <v>4.1000000000000002E-2</v>
      </c>
      <c r="O360" s="6">
        <v>4.1000000000000002E-2</v>
      </c>
      <c r="P360" s="6">
        <v>0</v>
      </c>
      <c r="Q360" s="4" t="s">
        <v>26</v>
      </c>
      <c r="R360" s="4">
        <v>0</v>
      </c>
      <c r="S360" s="6">
        <v>0</v>
      </c>
      <c r="T360" s="6">
        <v>63</v>
      </c>
      <c r="U360" s="6">
        <v>22</v>
      </c>
      <c r="V360" s="6">
        <f>IF(ISERROR(VLOOKUP($S$360,'TAR FIN'!$A$1:$O$88,15,0)),0,VLOOKUP($S$360,'TAR FIN'!$A$1:$O$88,15,0))</f>
        <v>0</v>
      </c>
      <c r="W360" s="6">
        <f>IF(ISERROR(VLOOKUP($T$360,'TAR FIN'!$A$1:$O$88,15,0)),0,VLOOKUP($T$360,'TAR FIN'!$A$1:$O$88,15,0))</f>
        <v>428.83</v>
      </c>
      <c r="X360" s="6">
        <f>IF(ISERROR(VLOOKUP($U$360,'TAR FIN'!$A$1:$O$88,15,0)),0,VLOOKUP($U$360,'TAR FIN'!$A$1:$O$88,15,0))</f>
        <v>275.36</v>
      </c>
      <c r="Y360" s="6"/>
      <c r="Z360" s="6">
        <f ca="1">('TUSD BE'!$AM$46+'TUSD BF'!$AM$46+'TUSD CVA'!$AM$46)*1</f>
        <v>582.27187973444109</v>
      </c>
      <c r="AA360" s="6">
        <f>('TE BE'!$AB$37+'TE BF'!$AB$37+'TE CVA'!$AB$37)*1</f>
        <v>197.6895725142987</v>
      </c>
      <c r="AB360" s="6">
        <f>$K$360*$V$360</f>
        <v>0</v>
      </c>
      <c r="AC360" s="6">
        <f>$M$360*$W$360</f>
        <v>17.58203</v>
      </c>
      <c r="AD360" s="6">
        <f>$O$360*$X$360</f>
        <v>11.289760000000001</v>
      </c>
      <c r="AE360" s="6">
        <f>$K$360*$Y$360</f>
        <v>0</v>
      </c>
      <c r="AF360" s="6">
        <f ca="1">$M$360*$Z$360</f>
        <v>23.873147069112086</v>
      </c>
      <c r="AG360" s="6">
        <f>$O$360*$AA$360</f>
        <v>8.1052724730862469</v>
      </c>
    </row>
    <row r="361" spans="1:33" ht="11.25" customHeight="1" x14ac:dyDescent="0.25">
      <c r="A361" s="4" t="s">
        <v>21</v>
      </c>
      <c r="B361" s="4" t="s">
        <v>36</v>
      </c>
      <c r="C361" s="4" t="s">
        <v>32</v>
      </c>
      <c r="D361" s="4" t="s">
        <v>40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44593</v>
      </c>
      <c r="J361" s="6">
        <v>0</v>
      </c>
      <c r="K361" s="6">
        <v>0</v>
      </c>
      <c r="L361" s="6">
        <v>6.4000000000000001E-2</v>
      </c>
      <c r="M361" s="6">
        <v>6.4000000000000001E-2</v>
      </c>
      <c r="N361" s="6">
        <v>6.4000000000000001E-2</v>
      </c>
      <c r="O361" s="6">
        <v>6.4000000000000001E-2</v>
      </c>
      <c r="P361" s="6">
        <v>0</v>
      </c>
      <c r="Q361" s="4" t="s">
        <v>26</v>
      </c>
      <c r="R361" s="4">
        <v>0</v>
      </c>
      <c r="S361" s="6">
        <v>0</v>
      </c>
      <c r="T361" s="6">
        <v>63</v>
      </c>
      <c r="U361" s="6">
        <v>22</v>
      </c>
      <c r="V361" s="6">
        <f>IF(ISERROR(VLOOKUP($S$361,'TAR FIN'!$A$1:$O$88,15,0)),0,VLOOKUP($S$361,'TAR FIN'!$A$1:$O$88,15,0))</f>
        <v>0</v>
      </c>
      <c r="W361" s="6">
        <f>IF(ISERROR(VLOOKUP($T$361,'TAR FIN'!$A$1:$O$88,15,0)),0,VLOOKUP($T$361,'TAR FIN'!$A$1:$O$88,15,0))</f>
        <v>428.83</v>
      </c>
      <c r="X361" s="6">
        <f>IF(ISERROR(VLOOKUP($U$361,'TAR FIN'!$A$1:$O$88,15,0)),0,VLOOKUP($U$361,'TAR FIN'!$A$1:$O$88,15,0))</f>
        <v>275.36</v>
      </c>
      <c r="Y361" s="6"/>
      <c r="Z361" s="6">
        <f ca="1">('TUSD BE'!$AM$46+'TUSD BF'!$AM$46+'TUSD CVA'!$AM$46)*1</f>
        <v>582.27187973444109</v>
      </c>
      <c r="AA361" s="6">
        <f>('TE BE'!$AB$37+'TE BF'!$AB$37+'TE CVA'!$AB$37)*1</f>
        <v>197.6895725142987</v>
      </c>
      <c r="AB361" s="6">
        <f>$K$361*$V$361</f>
        <v>0</v>
      </c>
      <c r="AC361" s="6">
        <f>$M$361*$W$361</f>
        <v>27.445119999999999</v>
      </c>
      <c r="AD361" s="6">
        <f>$O$361*$X$361</f>
        <v>17.62304</v>
      </c>
      <c r="AE361" s="6">
        <f>$K$361*$Y$361</f>
        <v>0</v>
      </c>
      <c r="AF361" s="6">
        <f ca="1">$M$361*$Z$361</f>
        <v>37.265400303004228</v>
      </c>
      <c r="AG361" s="6">
        <f>$O$361*$AA$361</f>
        <v>12.652132640915116</v>
      </c>
    </row>
    <row r="362" spans="1:33" ht="11.25" customHeight="1" x14ac:dyDescent="0.25">
      <c r="A362" s="4" t="s">
        <v>21</v>
      </c>
      <c r="B362" s="4" t="s">
        <v>36</v>
      </c>
      <c r="C362" s="4" t="s">
        <v>32</v>
      </c>
      <c r="D362" s="4" t="s">
        <v>40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44621</v>
      </c>
      <c r="J362" s="6">
        <v>0</v>
      </c>
      <c r="K362" s="6">
        <v>0</v>
      </c>
      <c r="L362" s="6">
        <v>4.3999999999999997E-2</v>
      </c>
      <c r="M362" s="6">
        <v>4.3999999999999997E-2</v>
      </c>
      <c r="N362" s="6">
        <v>4.3999999999999997E-2</v>
      </c>
      <c r="O362" s="6">
        <v>4.3999999999999997E-2</v>
      </c>
      <c r="P362" s="6">
        <v>0</v>
      </c>
      <c r="Q362" s="4" t="s">
        <v>26</v>
      </c>
      <c r="R362" s="4">
        <v>0</v>
      </c>
      <c r="S362" s="6">
        <v>0</v>
      </c>
      <c r="T362" s="6">
        <v>63</v>
      </c>
      <c r="U362" s="6">
        <v>22</v>
      </c>
      <c r="V362" s="6">
        <f>IF(ISERROR(VLOOKUP($S$362,'TAR FIN'!$A$1:$O$88,15,0)),0,VLOOKUP($S$362,'TAR FIN'!$A$1:$O$88,15,0))</f>
        <v>0</v>
      </c>
      <c r="W362" s="6">
        <f>IF(ISERROR(VLOOKUP($T$362,'TAR FIN'!$A$1:$O$88,15,0)),0,VLOOKUP($T$362,'TAR FIN'!$A$1:$O$88,15,0))</f>
        <v>428.83</v>
      </c>
      <c r="X362" s="6">
        <f>IF(ISERROR(VLOOKUP($U$362,'TAR FIN'!$A$1:$O$88,15,0)),0,VLOOKUP($U$362,'TAR FIN'!$A$1:$O$88,15,0))</f>
        <v>275.36</v>
      </c>
      <c r="Y362" s="6"/>
      <c r="Z362" s="6">
        <f ca="1">('TUSD BE'!$AM$46+'TUSD BF'!$AM$46+'TUSD CVA'!$AM$46)*1</f>
        <v>582.27187973444109</v>
      </c>
      <c r="AA362" s="6">
        <f>('TE BE'!$AB$37+'TE BF'!$AB$37+'TE CVA'!$AB$37)*1</f>
        <v>197.6895725142987</v>
      </c>
      <c r="AB362" s="6">
        <f>$K$362*$V$362</f>
        <v>0</v>
      </c>
      <c r="AC362" s="6">
        <f>$M$362*$W$362</f>
        <v>18.868519999999997</v>
      </c>
      <c r="AD362" s="6">
        <f>$O$362*$X$362</f>
        <v>12.11584</v>
      </c>
      <c r="AE362" s="6">
        <f>$K$362*$Y$362</f>
        <v>0</v>
      </c>
      <c r="AF362" s="6">
        <f ca="1">$M$362*$Z$362</f>
        <v>25.619962708315406</v>
      </c>
      <c r="AG362" s="6">
        <f>$O$362*$AA$362</f>
        <v>8.6983411906291419</v>
      </c>
    </row>
    <row r="363" spans="1:33" ht="11.25" customHeight="1" x14ac:dyDescent="0.25">
      <c r="A363" s="4" t="s">
        <v>21</v>
      </c>
      <c r="B363" s="4" t="s">
        <v>36</v>
      </c>
      <c r="C363" s="4" t="s">
        <v>32</v>
      </c>
      <c r="D363" s="4" t="s">
        <v>40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44652</v>
      </c>
      <c r="J363" s="6">
        <v>0</v>
      </c>
      <c r="K363" s="6">
        <v>0</v>
      </c>
      <c r="L363" s="6">
        <v>3.6999999999999998E-2</v>
      </c>
      <c r="M363" s="6">
        <v>3.6999999999999998E-2</v>
      </c>
      <c r="N363" s="6">
        <v>3.6999999999999998E-2</v>
      </c>
      <c r="O363" s="6">
        <v>3.6999999999999998E-2</v>
      </c>
      <c r="P363" s="6">
        <v>0</v>
      </c>
      <c r="Q363" s="4" t="s">
        <v>26</v>
      </c>
      <c r="R363" s="4">
        <v>0</v>
      </c>
      <c r="S363" s="6">
        <v>0</v>
      </c>
      <c r="T363" s="6">
        <v>63</v>
      </c>
      <c r="U363" s="6">
        <v>22</v>
      </c>
      <c r="V363" s="6">
        <f>IF(ISERROR(VLOOKUP($S$363,'TAR FIN'!$A$1:$O$88,15,0)),0,VLOOKUP($S$363,'TAR FIN'!$A$1:$O$88,15,0))</f>
        <v>0</v>
      </c>
      <c r="W363" s="6">
        <f>IF(ISERROR(VLOOKUP($T$363,'TAR FIN'!$A$1:$O$88,15,0)),0,VLOOKUP($T$363,'TAR FIN'!$A$1:$O$88,15,0))</f>
        <v>428.83</v>
      </c>
      <c r="X363" s="6">
        <f>IF(ISERROR(VLOOKUP($U$363,'TAR FIN'!$A$1:$O$88,15,0)),0,VLOOKUP($U$363,'TAR FIN'!$A$1:$O$88,15,0))</f>
        <v>275.36</v>
      </c>
      <c r="Y363" s="6"/>
      <c r="Z363" s="6">
        <f ca="1">('TUSD BE'!$AM$46+'TUSD BF'!$AM$46+'TUSD CVA'!$AM$46)*1</f>
        <v>582.27187973444109</v>
      </c>
      <c r="AA363" s="6">
        <f>('TE BE'!$AB$37+'TE BF'!$AB$37+'TE CVA'!$AB$37)*1</f>
        <v>197.6895725142987</v>
      </c>
      <c r="AB363" s="6">
        <f>$K$363*$V$363</f>
        <v>0</v>
      </c>
      <c r="AC363" s="6">
        <f>$M$363*$W$363</f>
        <v>15.866709999999999</v>
      </c>
      <c r="AD363" s="6">
        <f>$O$363*$X$363</f>
        <v>10.188319999999999</v>
      </c>
      <c r="AE363" s="6">
        <f>$K$363*$Y$363</f>
        <v>0</v>
      </c>
      <c r="AF363" s="6">
        <f ca="1">$M$363*$Z$363</f>
        <v>21.544059550174318</v>
      </c>
      <c r="AG363" s="6">
        <f>$O$363*$AA$363</f>
        <v>7.3145141830290514</v>
      </c>
    </row>
    <row r="364" spans="1:33" ht="11.25" customHeight="1" x14ac:dyDescent="0.25">
      <c r="A364" s="4" t="s">
        <v>21</v>
      </c>
      <c r="B364" s="4" t="s">
        <v>36</v>
      </c>
      <c r="C364" s="4" t="s">
        <v>32</v>
      </c>
      <c r="D364" s="4" t="s">
        <v>40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44682</v>
      </c>
      <c r="J364" s="6">
        <v>0</v>
      </c>
      <c r="K364" s="6">
        <v>0</v>
      </c>
      <c r="L364" s="6">
        <v>3.5000000000000003E-2</v>
      </c>
      <c r="M364" s="6">
        <v>3.5000000000000003E-2</v>
      </c>
      <c r="N364" s="6">
        <v>3.5000000000000003E-2</v>
      </c>
      <c r="O364" s="6">
        <v>3.5000000000000003E-2</v>
      </c>
      <c r="P364" s="6">
        <v>0</v>
      </c>
      <c r="Q364" s="4" t="s">
        <v>26</v>
      </c>
      <c r="R364" s="4">
        <v>0</v>
      </c>
      <c r="S364" s="6">
        <v>0</v>
      </c>
      <c r="T364" s="6">
        <v>63</v>
      </c>
      <c r="U364" s="6">
        <v>22</v>
      </c>
      <c r="V364" s="6">
        <f>IF(ISERROR(VLOOKUP($S$364,'TAR FIN'!$A$1:$O$88,15,0)),0,VLOOKUP($S$364,'TAR FIN'!$A$1:$O$88,15,0))</f>
        <v>0</v>
      </c>
      <c r="W364" s="6">
        <f>IF(ISERROR(VLOOKUP($T$364,'TAR FIN'!$A$1:$O$88,15,0)),0,VLOOKUP($T$364,'TAR FIN'!$A$1:$O$88,15,0))</f>
        <v>428.83</v>
      </c>
      <c r="X364" s="6">
        <f>IF(ISERROR(VLOOKUP($U$364,'TAR FIN'!$A$1:$O$88,15,0)),0,VLOOKUP($U$364,'TAR FIN'!$A$1:$O$88,15,0))</f>
        <v>275.36</v>
      </c>
      <c r="Y364" s="6"/>
      <c r="Z364" s="6">
        <f ca="1">('TUSD BE'!$AM$46+'TUSD BF'!$AM$46+'TUSD CVA'!$AM$46)*1</f>
        <v>582.27187973444109</v>
      </c>
      <c r="AA364" s="6">
        <f>('TE BE'!$AB$37+'TE BF'!$AB$37+'TE CVA'!$AB$37)*1</f>
        <v>197.6895725142987</v>
      </c>
      <c r="AB364" s="6">
        <f>$K$364*$V$364</f>
        <v>0</v>
      </c>
      <c r="AC364" s="6">
        <f>$M$364*$W$364</f>
        <v>15.00905</v>
      </c>
      <c r="AD364" s="6">
        <f>$O$364*$X$364</f>
        <v>9.6376000000000008</v>
      </c>
      <c r="AE364" s="6">
        <f>$K$364*$Y$364</f>
        <v>0</v>
      </c>
      <c r="AF364" s="6">
        <f ca="1">$M$364*$Z$364</f>
        <v>20.37951579070544</v>
      </c>
      <c r="AG364" s="6">
        <f>$O$364*$AA$364</f>
        <v>6.919135038000455</v>
      </c>
    </row>
    <row r="365" spans="1:33" ht="11.25" customHeight="1" x14ac:dyDescent="0.25">
      <c r="A365" s="4" t="s">
        <v>21</v>
      </c>
      <c r="B365" s="4" t="s">
        <v>36</v>
      </c>
      <c r="C365" s="4" t="s">
        <v>32</v>
      </c>
      <c r="D365" s="4" t="s">
        <v>40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44713</v>
      </c>
      <c r="J365" s="6">
        <v>0</v>
      </c>
      <c r="K365" s="6">
        <v>0</v>
      </c>
      <c r="L365" s="6">
        <v>2.8000000000000001E-2</v>
      </c>
      <c r="M365" s="6">
        <v>2.8000000000000001E-2</v>
      </c>
      <c r="N365" s="6">
        <v>2.8000000000000001E-2</v>
      </c>
      <c r="O365" s="6">
        <v>2.8000000000000001E-2</v>
      </c>
      <c r="P365" s="6">
        <v>0</v>
      </c>
      <c r="Q365" s="4" t="s">
        <v>26</v>
      </c>
      <c r="R365" s="4">
        <v>0</v>
      </c>
      <c r="S365" s="6">
        <v>0</v>
      </c>
      <c r="T365" s="6">
        <v>63</v>
      </c>
      <c r="U365" s="6">
        <v>22</v>
      </c>
      <c r="V365" s="6">
        <f>IF(ISERROR(VLOOKUP($S$365,'TAR FIN'!$A$1:$O$88,15,0)),0,VLOOKUP($S$365,'TAR FIN'!$A$1:$O$88,15,0))</f>
        <v>0</v>
      </c>
      <c r="W365" s="6">
        <f>IF(ISERROR(VLOOKUP($T$365,'TAR FIN'!$A$1:$O$88,15,0)),0,VLOOKUP($T$365,'TAR FIN'!$A$1:$O$88,15,0))</f>
        <v>428.83</v>
      </c>
      <c r="X365" s="6">
        <f>IF(ISERROR(VLOOKUP($U$365,'TAR FIN'!$A$1:$O$88,15,0)),0,VLOOKUP($U$365,'TAR FIN'!$A$1:$O$88,15,0))</f>
        <v>275.36</v>
      </c>
      <c r="Y365" s="6"/>
      <c r="Z365" s="6">
        <f ca="1">('TUSD BE'!$AM$46+'TUSD BF'!$AM$46+'TUSD CVA'!$AM$46)*1</f>
        <v>582.27187973444109</v>
      </c>
      <c r="AA365" s="6">
        <f>('TE BE'!$AB$37+'TE BF'!$AB$37+'TE CVA'!$AB$37)*1</f>
        <v>197.6895725142987</v>
      </c>
      <c r="AB365" s="6">
        <f>$K$365*$V$365</f>
        <v>0</v>
      </c>
      <c r="AC365" s="6">
        <f>$M$365*$W$365</f>
        <v>12.007239999999999</v>
      </c>
      <c r="AD365" s="6">
        <f>$O$365*$X$365</f>
        <v>7.7100800000000005</v>
      </c>
      <c r="AE365" s="6">
        <f>$K$365*$Y$365</f>
        <v>0</v>
      </c>
      <c r="AF365" s="6">
        <f ca="1">$M$365*$Z$365</f>
        <v>16.303612632564352</v>
      </c>
      <c r="AG365" s="6">
        <f>$O$365*$AA$365</f>
        <v>5.5353080304003637</v>
      </c>
    </row>
    <row r="366" spans="1:33" ht="11.25" customHeight="1" x14ac:dyDescent="0.25">
      <c r="A366" s="4" t="s">
        <v>55</v>
      </c>
      <c r="B366" s="4" t="s">
        <v>36</v>
      </c>
      <c r="C366" s="4" t="s">
        <v>32</v>
      </c>
      <c r="D366" s="4" t="s">
        <v>40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44743</v>
      </c>
      <c r="J366" s="6">
        <v>0</v>
      </c>
      <c r="K366" s="6">
        <v>0</v>
      </c>
      <c r="L366" s="6">
        <v>2.8000000000000001E-2</v>
      </c>
      <c r="M366" s="6">
        <v>2.8000000000000001E-2</v>
      </c>
      <c r="N366" s="6">
        <v>2.8000000000000001E-2</v>
      </c>
      <c r="O366" s="6">
        <v>2.8000000000000001E-2</v>
      </c>
      <c r="P366" s="6">
        <v>0</v>
      </c>
      <c r="Q366" s="4" t="s">
        <v>26</v>
      </c>
      <c r="R366" s="4">
        <v>0</v>
      </c>
      <c r="S366" s="6">
        <v>0</v>
      </c>
      <c r="T366" s="6">
        <v>63</v>
      </c>
      <c r="U366" s="6">
        <v>22</v>
      </c>
      <c r="V366" s="6">
        <f>IF(ISERROR(VLOOKUP($S$366,'TAR FIN'!$A$1:$O$88,15,0)),0,VLOOKUP($S$366,'TAR FIN'!$A$1:$O$88,15,0))</f>
        <v>0</v>
      </c>
      <c r="W366" s="6">
        <f>IF(ISERROR(VLOOKUP($T$366,'TAR FIN'!$A$1:$O$88,15,0)),0,VLOOKUP($T$366,'TAR FIN'!$A$1:$O$88,15,0))</f>
        <v>428.83</v>
      </c>
      <c r="X366" s="6">
        <f>IF(ISERROR(VLOOKUP($U$366,'TAR FIN'!$A$1:$O$88,15,0)),0,VLOOKUP($U$366,'TAR FIN'!$A$1:$O$88,15,0))</f>
        <v>275.36</v>
      </c>
      <c r="Y366" s="6"/>
      <c r="Z366" s="6">
        <f ca="1">('TUSD BE'!$AM$46+'TUSD BF'!$AM$46+'TUSD CVA'!$AM$46)*1</f>
        <v>582.27187973444109</v>
      </c>
      <c r="AA366" s="6">
        <f>('TE BE'!$AB$37+'TE BF'!$AB$37+'TE CVA'!$AB$37)*1</f>
        <v>197.6895725142987</v>
      </c>
      <c r="AB366" s="6">
        <f>$K$366*$V$366</f>
        <v>0</v>
      </c>
      <c r="AC366" s="6">
        <f>$M$366*$W$366</f>
        <v>12.007239999999999</v>
      </c>
      <c r="AD366" s="6">
        <f>$O$366*$X$366</f>
        <v>7.7100800000000005</v>
      </c>
      <c r="AE366" s="6">
        <f>$K$366*$Y$366</f>
        <v>0</v>
      </c>
      <c r="AF366" s="6">
        <f ca="1">$M$366*$Z$366</f>
        <v>16.303612632564352</v>
      </c>
      <c r="AG366" s="6">
        <f>$O$366*$AA$366</f>
        <v>5.5353080304003637</v>
      </c>
    </row>
    <row r="367" spans="1:33" ht="11.25" customHeight="1" x14ac:dyDescent="0.25">
      <c r="A367" s="4" t="s">
        <v>21</v>
      </c>
      <c r="B367" s="4" t="s">
        <v>36</v>
      </c>
      <c r="C367" s="4" t="s">
        <v>32</v>
      </c>
      <c r="D367" s="4" t="s">
        <v>40</v>
      </c>
      <c r="E367" s="4" t="s">
        <v>25</v>
      </c>
      <c r="F367" s="4" t="s">
        <v>25</v>
      </c>
      <c r="G367" s="4" t="s">
        <v>25</v>
      </c>
      <c r="H367" s="4" t="s">
        <v>33</v>
      </c>
      <c r="I367" s="5">
        <v>44409</v>
      </c>
      <c r="J367" s="6">
        <v>0</v>
      </c>
      <c r="K367" s="6">
        <v>0</v>
      </c>
      <c r="L367" s="6">
        <v>2.9000000000000001E-2</v>
      </c>
      <c r="M367" s="6">
        <v>2.9000000000000001E-2</v>
      </c>
      <c r="N367" s="6">
        <v>2.9000000000000001E-2</v>
      </c>
      <c r="O367" s="6">
        <v>2.9000000000000001E-2</v>
      </c>
      <c r="P367" s="6">
        <v>0</v>
      </c>
      <c r="Q367" s="4" t="s">
        <v>26</v>
      </c>
      <c r="R367" s="4">
        <v>0</v>
      </c>
      <c r="S367" s="6">
        <v>0</v>
      </c>
      <c r="T367" s="6">
        <v>62</v>
      </c>
      <c r="U367" s="6">
        <v>20</v>
      </c>
      <c r="V367" s="6">
        <f>IF(ISERROR(VLOOKUP($S$367,'TAR FIN'!$A$1:$O$88,15,0)),0,VLOOKUP($S$367,'TAR FIN'!$A$1:$O$88,15,0))</f>
        <v>0</v>
      </c>
      <c r="W367" s="6">
        <f>IF(ISERROR(VLOOKUP($T$367,'TAR FIN'!$A$1:$O$88,15,0)),0,VLOOKUP($T$367,'TAR FIN'!$A$1:$O$88,15,0))</f>
        <v>642.88</v>
      </c>
      <c r="X367" s="6">
        <f>IF(ISERROR(VLOOKUP($U$367,'TAR FIN'!$A$1:$O$88,15,0)),0,VLOOKUP($U$367,'TAR FIN'!$A$1:$O$88,15,0))</f>
        <v>437.87</v>
      </c>
      <c r="Y367" s="6"/>
      <c r="Z367" s="6">
        <f ca="1">('TUSD BE'!$AM$45+'TUSD BF'!$AM$45+'TUSD CVA'!$AM$45)*1</f>
        <v>894.57413914883352</v>
      </c>
      <c r="AA367" s="6">
        <f>('TE BE'!$AB$36+'TE BF'!$AB$36+'TE CVA'!$AB$36)*1</f>
        <v>316.97983140624547</v>
      </c>
      <c r="AB367" s="6">
        <f>$K$367*$V$367</f>
        <v>0</v>
      </c>
      <c r="AC367" s="6">
        <f>$M$367*$W$367</f>
        <v>18.643520000000002</v>
      </c>
      <c r="AD367" s="6">
        <f>$O$367*$X$367</f>
        <v>12.698230000000001</v>
      </c>
      <c r="AE367" s="6">
        <f>$K$367*$Y$367</f>
        <v>0</v>
      </c>
      <c r="AF367" s="6">
        <f ca="1">$M$367*$Z$367</f>
        <v>25.942650035316174</v>
      </c>
      <c r="AG367" s="6">
        <f>$O$367*$AA$367</f>
        <v>9.1924151107811198</v>
      </c>
    </row>
    <row r="368" spans="1:33" ht="11.25" customHeight="1" x14ac:dyDescent="0.25">
      <c r="A368" s="4" t="s">
        <v>21</v>
      </c>
      <c r="B368" s="4" t="s">
        <v>36</v>
      </c>
      <c r="C368" s="4" t="s">
        <v>32</v>
      </c>
      <c r="D368" s="4" t="s">
        <v>40</v>
      </c>
      <c r="E368" s="4" t="s">
        <v>25</v>
      </c>
      <c r="F368" s="4" t="s">
        <v>25</v>
      </c>
      <c r="G368" s="4" t="s">
        <v>25</v>
      </c>
      <c r="H368" s="4" t="s">
        <v>33</v>
      </c>
      <c r="I368" s="5">
        <v>44440</v>
      </c>
      <c r="J368" s="6">
        <v>0</v>
      </c>
      <c r="K368" s="6">
        <v>0</v>
      </c>
      <c r="L368" s="6">
        <v>2.9000000000000001E-2</v>
      </c>
      <c r="M368" s="6">
        <v>2.9000000000000001E-2</v>
      </c>
      <c r="N368" s="6">
        <v>2.9000000000000001E-2</v>
      </c>
      <c r="O368" s="6">
        <v>2.9000000000000001E-2</v>
      </c>
      <c r="P368" s="6">
        <v>0</v>
      </c>
      <c r="Q368" s="4" t="s">
        <v>26</v>
      </c>
      <c r="R368" s="4">
        <v>0</v>
      </c>
      <c r="S368" s="6">
        <v>0</v>
      </c>
      <c r="T368" s="6">
        <v>62</v>
      </c>
      <c r="U368" s="6">
        <v>20</v>
      </c>
      <c r="V368" s="6">
        <f>IF(ISERROR(VLOOKUP($S$368,'TAR FIN'!$A$1:$O$88,15,0)),0,VLOOKUP($S$368,'TAR FIN'!$A$1:$O$88,15,0))</f>
        <v>0</v>
      </c>
      <c r="W368" s="6">
        <f>IF(ISERROR(VLOOKUP($T$368,'TAR FIN'!$A$1:$O$88,15,0)),0,VLOOKUP($T$368,'TAR FIN'!$A$1:$O$88,15,0))</f>
        <v>642.88</v>
      </c>
      <c r="X368" s="6">
        <f>IF(ISERROR(VLOOKUP($U$368,'TAR FIN'!$A$1:$O$88,15,0)),0,VLOOKUP($U$368,'TAR FIN'!$A$1:$O$88,15,0))</f>
        <v>437.87</v>
      </c>
      <c r="Y368" s="6"/>
      <c r="Z368" s="6">
        <f ca="1">('TUSD BE'!$AM$45+'TUSD BF'!$AM$45+'TUSD CVA'!$AM$45)*1</f>
        <v>894.57413914883352</v>
      </c>
      <c r="AA368" s="6">
        <f>('TE BE'!$AB$36+'TE BF'!$AB$36+'TE CVA'!$AB$36)*1</f>
        <v>316.97983140624547</v>
      </c>
      <c r="AB368" s="6">
        <f>$K$368*$V$368</f>
        <v>0</v>
      </c>
      <c r="AC368" s="6">
        <f>$M$368*$W$368</f>
        <v>18.643520000000002</v>
      </c>
      <c r="AD368" s="6">
        <f>$O$368*$X$368</f>
        <v>12.698230000000001</v>
      </c>
      <c r="AE368" s="6">
        <f>$K$368*$Y$368</f>
        <v>0</v>
      </c>
      <c r="AF368" s="6">
        <f ca="1">$M$368*$Z$368</f>
        <v>25.942650035316174</v>
      </c>
      <c r="AG368" s="6">
        <f>$O$368*$AA$368</f>
        <v>9.1924151107811198</v>
      </c>
    </row>
    <row r="369" spans="1:33" ht="11.25" customHeight="1" x14ac:dyDescent="0.25">
      <c r="A369" s="4" t="s">
        <v>21</v>
      </c>
      <c r="B369" s="4" t="s">
        <v>36</v>
      </c>
      <c r="C369" s="4" t="s">
        <v>32</v>
      </c>
      <c r="D369" s="4" t="s">
        <v>40</v>
      </c>
      <c r="E369" s="4" t="s">
        <v>25</v>
      </c>
      <c r="F369" s="4" t="s">
        <v>25</v>
      </c>
      <c r="G369" s="4" t="s">
        <v>25</v>
      </c>
      <c r="H369" s="4" t="s">
        <v>33</v>
      </c>
      <c r="I369" s="5">
        <v>44470</v>
      </c>
      <c r="J369" s="6">
        <v>0</v>
      </c>
      <c r="K369" s="6">
        <v>0</v>
      </c>
      <c r="L369" s="6">
        <v>2.5000000000000001E-2</v>
      </c>
      <c r="M369" s="6">
        <v>2.5000000000000001E-2</v>
      </c>
      <c r="N369" s="6">
        <v>2.5000000000000001E-2</v>
      </c>
      <c r="O369" s="6">
        <v>2.5000000000000001E-2</v>
      </c>
      <c r="P369" s="6">
        <v>0</v>
      </c>
      <c r="Q369" s="4" t="s">
        <v>26</v>
      </c>
      <c r="R369" s="4">
        <v>0</v>
      </c>
      <c r="S369" s="6">
        <v>0</v>
      </c>
      <c r="T369" s="6">
        <v>62</v>
      </c>
      <c r="U369" s="6">
        <v>20</v>
      </c>
      <c r="V369" s="6">
        <f>IF(ISERROR(VLOOKUP($S$369,'TAR FIN'!$A$1:$O$88,15,0)),0,VLOOKUP($S$369,'TAR FIN'!$A$1:$O$88,15,0))</f>
        <v>0</v>
      </c>
      <c r="W369" s="6">
        <f>IF(ISERROR(VLOOKUP($T$369,'TAR FIN'!$A$1:$O$88,15,0)),0,VLOOKUP($T$369,'TAR FIN'!$A$1:$O$88,15,0))</f>
        <v>642.88</v>
      </c>
      <c r="X369" s="6">
        <f>IF(ISERROR(VLOOKUP($U$369,'TAR FIN'!$A$1:$O$88,15,0)),0,VLOOKUP($U$369,'TAR FIN'!$A$1:$O$88,15,0))</f>
        <v>437.87</v>
      </c>
      <c r="Y369" s="6"/>
      <c r="Z369" s="6">
        <f ca="1">('TUSD BE'!$AM$45+'TUSD BF'!$AM$45+'TUSD CVA'!$AM$45)*1</f>
        <v>894.57413914883352</v>
      </c>
      <c r="AA369" s="6">
        <f>('TE BE'!$AB$36+'TE BF'!$AB$36+'TE CVA'!$AB$36)*1</f>
        <v>316.97983140624547</v>
      </c>
      <c r="AB369" s="6">
        <f>$K$369*$V$369</f>
        <v>0</v>
      </c>
      <c r="AC369" s="6">
        <f>$M$369*$W$369</f>
        <v>16.071999999999999</v>
      </c>
      <c r="AD369" s="6">
        <f>$O$369*$X$369</f>
        <v>10.946750000000002</v>
      </c>
      <c r="AE369" s="6">
        <f>$K$369*$Y$369</f>
        <v>0</v>
      </c>
      <c r="AF369" s="6">
        <f ca="1">$M$369*$Z$369</f>
        <v>22.36435347872084</v>
      </c>
      <c r="AG369" s="6">
        <f>$O$369*$AA$369</f>
        <v>7.9244957851561368</v>
      </c>
    </row>
    <row r="370" spans="1:33" ht="11.25" customHeight="1" x14ac:dyDescent="0.25">
      <c r="A370" s="4" t="s">
        <v>21</v>
      </c>
      <c r="B370" s="4" t="s">
        <v>36</v>
      </c>
      <c r="C370" s="4" t="s">
        <v>32</v>
      </c>
      <c r="D370" s="4" t="s">
        <v>40</v>
      </c>
      <c r="E370" s="4" t="s">
        <v>25</v>
      </c>
      <c r="F370" s="4" t="s">
        <v>25</v>
      </c>
      <c r="G370" s="4" t="s">
        <v>25</v>
      </c>
      <c r="H370" s="4" t="s">
        <v>33</v>
      </c>
      <c r="I370" s="5">
        <v>44501</v>
      </c>
      <c r="J370" s="6">
        <v>0</v>
      </c>
      <c r="K370" s="6">
        <v>0</v>
      </c>
      <c r="L370" s="6">
        <v>2.5000000000000001E-2</v>
      </c>
      <c r="M370" s="6">
        <v>2.5000000000000001E-2</v>
      </c>
      <c r="N370" s="6">
        <v>2.5000000000000001E-2</v>
      </c>
      <c r="O370" s="6">
        <v>2.5000000000000001E-2</v>
      </c>
      <c r="P370" s="6">
        <v>0</v>
      </c>
      <c r="Q370" s="4" t="s">
        <v>26</v>
      </c>
      <c r="R370" s="4">
        <v>0</v>
      </c>
      <c r="S370" s="6">
        <v>0</v>
      </c>
      <c r="T370" s="6">
        <v>62</v>
      </c>
      <c r="U370" s="6">
        <v>20</v>
      </c>
      <c r="V370" s="6">
        <f>IF(ISERROR(VLOOKUP($S$370,'TAR FIN'!$A$1:$O$88,15,0)),0,VLOOKUP($S$370,'TAR FIN'!$A$1:$O$88,15,0))</f>
        <v>0</v>
      </c>
      <c r="W370" s="6">
        <f>IF(ISERROR(VLOOKUP($T$370,'TAR FIN'!$A$1:$O$88,15,0)),0,VLOOKUP($T$370,'TAR FIN'!$A$1:$O$88,15,0))</f>
        <v>642.88</v>
      </c>
      <c r="X370" s="6">
        <f>IF(ISERROR(VLOOKUP($U$370,'TAR FIN'!$A$1:$O$88,15,0)),0,VLOOKUP($U$370,'TAR FIN'!$A$1:$O$88,15,0))</f>
        <v>437.87</v>
      </c>
      <c r="Y370" s="6"/>
      <c r="Z370" s="6">
        <f ca="1">('TUSD BE'!$AM$45+'TUSD BF'!$AM$45+'TUSD CVA'!$AM$45)*1</f>
        <v>894.57413914883352</v>
      </c>
      <c r="AA370" s="6">
        <f>('TE BE'!$AB$36+'TE BF'!$AB$36+'TE CVA'!$AB$36)*1</f>
        <v>316.97983140624547</v>
      </c>
      <c r="AB370" s="6">
        <f>$K$370*$V$370</f>
        <v>0</v>
      </c>
      <c r="AC370" s="6">
        <f>$M$370*$W$370</f>
        <v>16.071999999999999</v>
      </c>
      <c r="AD370" s="6">
        <f>$O$370*$X$370</f>
        <v>10.946750000000002</v>
      </c>
      <c r="AE370" s="6">
        <f>$K$370*$Y$370</f>
        <v>0</v>
      </c>
      <c r="AF370" s="6">
        <f ca="1">$M$370*$Z$370</f>
        <v>22.36435347872084</v>
      </c>
      <c r="AG370" s="6">
        <f>$O$370*$AA$370</f>
        <v>7.9244957851561368</v>
      </c>
    </row>
    <row r="371" spans="1:33" ht="11.25" customHeight="1" x14ac:dyDescent="0.25">
      <c r="A371" s="4" t="s">
        <v>21</v>
      </c>
      <c r="B371" s="4" t="s">
        <v>36</v>
      </c>
      <c r="C371" s="4" t="s">
        <v>32</v>
      </c>
      <c r="D371" s="4" t="s">
        <v>40</v>
      </c>
      <c r="E371" s="4" t="s">
        <v>25</v>
      </c>
      <c r="F371" s="4" t="s">
        <v>25</v>
      </c>
      <c r="G371" s="4" t="s">
        <v>25</v>
      </c>
      <c r="H371" s="4" t="s">
        <v>33</v>
      </c>
      <c r="I371" s="5">
        <v>44531</v>
      </c>
      <c r="J371" s="6">
        <v>0</v>
      </c>
      <c r="K371" s="6">
        <v>0</v>
      </c>
      <c r="L371" s="6">
        <v>3.1E-2</v>
      </c>
      <c r="M371" s="6">
        <v>3.1E-2</v>
      </c>
      <c r="N371" s="6">
        <v>3.1E-2</v>
      </c>
      <c r="O371" s="6">
        <v>3.1E-2</v>
      </c>
      <c r="P371" s="6">
        <v>0</v>
      </c>
      <c r="Q371" s="4" t="s">
        <v>26</v>
      </c>
      <c r="R371" s="4">
        <v>0</v>
      </c>
      <c r="S371" s="6">
        <v>0</v>
      </c>
      <c r="T371" s="6">
        <v>62</v>
      </c>
      <c r="U371" s="6">
        <v>20</v>
      </c>
      <c r="V371" s="6">
        <f>IF(ISERROR(VLOOKUP($S$371,'TAR FIN'!$A$1:$O$88,15,0)),0,VLOOKUP($S$371,'TAR FIN'!$A$1:$O$88,15,0))</f>
        <v>0</v>
      </c>
      <c r="W371" s="6">
        <f>IF(ISERROR(VLOOKUP($T$371,'TAR FIN'!$A$1:$O$88,15,0)),0,VLOOKUP($T$371,'TAR FIN'!$A$1:$O$88,15,0))</f>
        <v>642.88</v>
      </c>
      <c r="X371" s="6">
        <f>IF(ISERROR(VLOOKUP($U$371,'TAR FIN'!$A$1:$O$88,15,0)),0,VLOOKUP($U$371,'TAR FIN'!$A$1:$O$88,15,0))</f>
        <v>437.87</v>
      </c>
      <c r="Y371" s="6"/>
      <c r="Z371" s="6">
        <f ca="1">('TUSD BE'!$AM$45+'TUSD BF'!$AM$45+'TUSD CVA'!$AM$45)*1</f>
        <v>894.57413914883352</v>
      </c>
      <c r="AA371" s="6">
        <f>('TE BE'!$AB$36+'TE BF'!$AB$36+'TE CVA'!$AB$36)*1</f>
        <v>316.97983140624547</v>
      </c>
      <c r="AB371" s="6">
        <f>$K$371*$V$371</f>
        <v>0</v>
      </c>
      <c r="AC371" s="6">
        <f>$M$371*$W$371</f>
        <v>19.929279999999999</v>
      </c>
      <c r="AD371" s="6">
        <f>$O$371*$X$371</f>
        <v>13.573969999999999</v>
      </c>
      <c r="AE371" s="6">
        <f>$K$371*$Y$371</f>
        <v>0</v>
      </c>
      <c r="AF371" s="6">
        <f ca="1">$M$371*$Z$371</f>
        <v>27.73179831361384</v>
      </c>
      <c r="AG371" s="6">
        <f>$O$371*$AA$371</f>
        <v>9.82637477359361</v>
      </c>
    </row>
    <row r="372" spans="1:33" ht="11.25" customHeight="1" x14ac:dyDescent="0.25">
      <c r="A372" s="4" t="s">
        <v>21</v>
      </c>
      <c r="B372" s="4" t="s">
        <v>36</v>
      </c>
      <c r="C372" s="4" t="s">
        <v>32</v>
      </c>
      <c r="D372" s="4" t="s">
        <v>40</v>
      </c>
      <c r="E372" s="4" t="s">
        <v>25</v>
      </c>
      <c r="F372" s="4" t="s">
        <v>25</v>
      </c>
      <c r="G372" s="4" t="s">
        <v>25</v>
      </c>
      <c r="H372" s="4" t="s">
        <v>33</v>
      </c>
      <c r="I372" s="5">
        <v>44562</v>
      </c>
      <c r="J372" s="6">
        <v>0</v>
      </c>
      <c r="K372" s="6">
        <v>0</v>
      </c>
      <c r="L372" s="6">
        <v>0.03</v>
      </c>
      <c r="M372" s="6">
        <v>0.03</v>
      </c>
      <c r="N372" s="6">
        <v>0.03</v>
      </c>
      <c r="O372" s="6">
        <v>0.03</v>
      </c>
      <c r="P372" s="6">
        <v>0</v>
      </c>
      <c r="Q372" s="4" t="s">
        <v>26</v>
      </c>
      <c r="R372" s="4">
        <v>0</v>
      </c>
      <c r="S372" s="6">
        <v>0</v>
      </c>
      <c r="T372" s="6">
        <v>62</v>
      </c>
      <c r="U372" s="6">
        <v>20</v>
      </c>
      <c r="V372" s="6">
        <f>IF(ISERROR(VLOOKUP($S$372,'TAR FIN'!$A$1:$O$88,15,0)),0,VLOOKUP($S$372,'TAR FIN'!$A$1:$O$88,15,0))</f>
        <v>0</v>
      </c>
      <c r="W372" s="6">
        <f>IF(ISERROR(VLOOKUP($T$372,'TAR FIN'!$A$1:$O$88,15,0)),0,VLOOKUP($T$372,'TAR FIN'!$A$1:$O$88,15,0))</f>
        <v>642.88</v>
      </c>
      <c r="X372" s="6">
        <f>IF(ISERROR(VLOOKUP($U$372,'TAR FIN'!$A$1:$O$88,15,0)),0,VLOOKUP($U$372,'TAR FIN'!$A$1:$O$88,15,0))</f>
        <v>437.87</v>
      </c>
      <c r="Y372" s="6"/>
      <c r="Z372" s="6">
        <f ca="1">('TUSD BE'!$AM$45+'TUSD BF'!$AM$45+'TUSD CVA'!$AM$45)*1</f>
        <v>894.57413914883352</v>
      </c>
      <c r="AA372" s="6">
        <f>('TE BE'!$AB$36+'TE BF'!$AB$36+'TE CVA'!$AB$36)*1</f>
        <v>316.97983140624547</v>
      </c>
      <c r="AB372" s="6">
        <f>$K$372*$V$372</f>
        <v>0</v>
      </c>
      <c r="AC372" s="6">
        <f>$M$372*$W$372</f>
        <v>19.2864</v>
      </c>
      <c r="AD372" s="6">
        <f>$O$372*$X$372</f>
        <v>13.136099999999999</v>
      </c>
      <c r="AE372" s="6">
        <f>$K$372*$Y$372</f>
        <v>0</v>
      </c>
      <c r="AF372" s="6">
        <f ca="1">$M$372*$Z$372</f>
        <v>26.837224174465003</v>
      </c>
      <c r="AG372" s="6">
        <f>$O$372*$AA$372</f>
        <v>9.5093949421873631</v>
      </c>
    </row>
    <row r="373" spans="1:33" ht="11.25" customHeight="1" x14ac:dyDescent="0.25">
      <c r="A373" s="4" t="s">
        <v>21</v>
      </c>
      <c r="B373" s="4" t="s">
        <v>36</v>
      </c>
      <c r="C373" s="4" t="s">
        <v>32</v>
      </c>
      <c r="D373" s="4" t="s">
        <v>40</v>
      </c>
      <c r="E373" s="4" t="s">
        <v>25</v>
      </c>
      <c r="F373" s="4" t="s">
        <v>25</v>
      </c>
      <c r="G373" s="4" t="s">
        <v>25</v>
      </c>
      <c r="H373" s="4" t="s">
        <v>33</v>
      </c>
      <c r="I373" s="5">
        <v>44593</v>
      </c>
      <c r="J373" s="6">
        <v>0</v>
      </c>
      <c r="K373" s="6">
        <v>0</v>
      </c>
      <c r="L373" s="6">
        <v>3.6999999999999998E-2</v>
      </c>
      <c r="M373" s="6">
        <v>3.6999999999999998E-2</v>
      </c>
      <c r="N373" s="6">
        <v>3.6999999999999998E-2</v>
      </c>
      <c r="O373" s="6">
        <v>3.6999999999999998E-2</v>
      </c>
      <c r="P373" s="6">
        <v>0</v>
      </c>
      <c r="Q373" s="4" t="s">
        <v>26</v>
      </c>
      <c r="R373" s="4">
        <v>0</v>
      </c>
      <c r="S373" s="6">
        <v>0</v>
      </c>
      <c r="T373" s="6">
        <v>62</v>
      </c>
      <c r="U373" s="6">
        <v>20</v>
      </c>
      <c r="V373" s="6">
        <f>IF(ISERROR(VLOOKUP($S$373,'TAR FIN'!$A$1:$O$88,15,0)),0,VLOOKUP($S$373,'TAR FIN'!$A$1:$O$88,15,0))</f>
        <v>0</v>
      </c>
      <c r="W373" s="6">
        <f>IF(ISERROR(VLOOKUP($T$373,'TAR FIN'!$A$1:$O$88,15,0)),0,VLOOKUP($T$373,'TAR FIN'!$A$1:$O$88,15,0))</f>
        <v>642.88</v>
      </c>
      <c r="X373" s="6">
        <f>IF(ISERROR(VLOOKUP($U$373,'TAR FIN'!$A$1:$O$88,15,0)),0,VLOOKUP($U$373,'TAR FIN'!$A$1:$O$88,15,0))</f>
        <v>437.87</v>
      </c>
      <c r="Y373" s="6"/>
      <c r="Z373" s="6">
        <f ca="1">('TUSD BE'!$AM$45+'TUSD BF'!$AM$45+'TUSD CVA'!$AM$45)*1</f>
        <v>894.57413914883352</v>
      </c>
      <c r="AA373" s="6">
        <f>('TE BE'!$AB$36+'TE BF'!$AB$36+'TE CVA'!$AB$36)*1</f>
        <v>316.97983140624547</v>
      </c>
      <c r="AB373" s="6">
        <f>$K$373*$V$373</f>
        <v>0</v>
      </c>
      <c r="AC373" s="6">
        <f>$M$373*$W$373</f>
        <v>23.786559999999998</v>
      </c>
      <c r="AD373" s="6">
        <f>$O$373*$X$373</f>
        <v>16.20119</v>
      </c>
      <c r="AE373" s="6">
        <f>$K$373*$Y$373</f>
        <v>0</v>
      </c>
      <c r="AF373" s="6">
        <f ca="1">$M$373*$Z$373</f>
        <v>33.099243148506837</v>
      </c>
      <c r="AG373" s="6">
        <f>$O$373*$AA$373</f>
        <v>11.728253762031082</v>
      </c>
    </row>
    <row r="374" spans="1:33" ht="11.25" customHeight="1" x14ac:dyDescent="0.25">
      <c r="A374" s="4" t="s">
        <v>21</v>
      </c>
      <c r="B374" s="4" t="s">
        <v>36</v>
      </c>
      <c r="C374" s="4" t="s">
        <v>32</v>
      </c>
      <c r="D374" s="4" t="s">
        <v>40</v>
      </c>
      <c r="E374" s="4" t="s">
        <v>25</v>
      </c>
      <c r="F374" s="4" t="s">
        <v>25</v>
      </c>
      <c r="G374" s="4" t="s">
        <v>25</v>
      </c>
      <c r="H374" s="4" t="s">
        <v>33</v>
      </c>
      <c r="I374" s="5">
        <v>44621</v>
      </c>
      <c r="J374" s="6">
        <v>0</v>
      </c>
      <c r="K374" s="6">
        <v>0</v>
      </c>
      <c r="L374" s="6">
        <v>2.5999999999999999E-2</v>
      </c>
      <c r="M374" s="6">
        <v>2.5999999999999999E-2</v>
      </c>
      <c r="N374" s="6">
        <v>2.5999999999999999E-2</v>
      </c>
      <c r="O374" s="6">
        <v>2.5999999999999999E-2</v>
      </c>
      <c r="P374" s="6">
        <v>0</v>
      </c>
      <c r="Q374" s="4" t="s">
        <v>26</v>
      </c>
      <c r="R374" s="4">
        <v>0</v>
      </c>
      <c r="S374" s="6">
        <v>0</v>
      </c>
      <c r="T374" s="6">
        <v>62</v>
      </c>
      <c r="U374" s="6">
        <v>20</v>
      </c>
      <c r="V374" s="6">
        <f>IF(ISERROR(VLOOKUP($S$374,'TAR FIN'!$A$1:$O$88,15,0)),0,VLOOKUP($S$374,'TAR FIN'!$A$1:$O$88,15,0))</f>
        <v>0</v>
      </c>
      <c r="W374" s="6">
        <f>IF(ISERROR(VLOOKUP($T$374,'TAR FIN'!$A$1:$O$88,15,0)),0,VLOOKUP($T$374,'TAR FIN'!$A$1:$O$88,15,0))</f>
        <v>642.88</v>
      </c>
      <c r="X374" s="6">
        <f>IF(ISERROR(VLOOKUP($U$374,'TAR FIN'!$A$1:$O$88,15,0)),0,VLOOKUP($U$374,'TAR FIN'!$A$1:$O$88,15,0))</f>
        <v>437.87</v>
      </c>
      <c r="Y374" s="6"/>
      <c r="Z374" s="6">
        <f ca="1">('TUSD BE'!$AM$45+'TUSD BF'!$AM$45+'TUSD CVA'!$AM$45)*1</f>
        <v>894.57413914883352</v>
      </c>
      <c r="AA374" s="6">
        <f>('TE BE'!$AB$36+'TE BF'!$AB$36+'TE CVA'!$AB$36)*1</f>
        <v>316.97983140624547</v>
      </c>
      <c r="AB374" s="6">
        <f>$K$374*$V$374</f>
        <v>0</v>
      </c>
      <c r="AC374" s="6">
        <f>$M$374*$W$374</f>
        <v>16.714880000000001</v>
      </c>
      <c r="AD374" s="6">
        <f>$O$374*$X$374</f>
        <v>11.38462</v>
      </c>
      <c r="AE374" s="6">
        <f>$K$374*$Y$374</f>
        <v>0</v>
      </c>
      <c r="AF374" s="6">
        <f ca="1">$M$374*$Z$374</f>
        <v>23.25892761786967</v>
      </c>
      <c r="AG374" s="6">
        <f>$O$374*$AA$374</f>
        <v>8.241475616562381</v>
      </c>
    </row>
    <row r="375" spans="1:33" ht="11.25" customHeight="1" x14ac:dyDescent="0.25">
      <c r="A375" s="4" t="s">
        <v>21</v>
      </c>
      <c r="B375" s="4" t="s">
        <v>36</v>
      </c>
      <c r="C375" s="4" t="s">
        <v>32</v>
      </c>
      <c r="D375" s="4" t="s">
        <v>40</v>
      </c>
      <c r="E375" s="4" t="s">
        <v>25</v>
      </c>
      <c r="F375" s="4" t="s">
        <v>25</v>
      </c>
      <c r="G375" s="4" t="s">
        <v>25</v>
      </c>
      <c r="H375" s="4" t="s">
        <v>33</v>
      </c>
      <c r="I375" s="5">
        <v>44652</v>
      </c>
      <c r="J375" s="6">
        <v>0</v>
      </c>
      <c r="K375" s="6">
        <v>0</v>
      </c>
      <c r="L375" s="6">
        <v>2.4E-2</v>
      </c>
      <c r="M375" s="6">
        <v>2.4E-2</v>
      </c>
      <c r="N375" s="6">
        <v>2.4E-2</v>
      </c>
      <c r="O375" s="6">
        <v>2.4E-2</v>
      </c>
      <c r="P375" s="6">
        <v>0</v>
      </c>
      <c r="Q375" s="4" t="s">
        <v>26</v>
      </c>
      <c r="R375" s="4">
        <v>0</v>
      </c>
      <c r="S375" s="6">
        <v>0</v>
      </c>
      <c r="T375" s="6">
        <v>62</v>
      </c>
      <c r="U375" s="6">
        <v>20</v>
      </c>
      <c r="V375" s="6">
        <f>IF(ISERROR(VLOOKUP($S$375,'TAR FIN'!$A$1:$O$88,15,0)),0,VLOOKUP($S$375,'TAR FIN'!$A$1:$O$88,15,0))</f>
        <v>0</v>
      </c>
      <c r="W375" s="6">
        <f>IF(ISERROR(VLOOKUP($T$375,'TAR FIN'!$A$1:$O$88,15,0)),0,VLOOKUP($T$375,'TAR FIN'!$A$1:$O$88,15,0))</f>
        <v>642.88</v>
      </c>
      <c r="X375" s="6">
        <f>IF(ISERROR(VLOOKUP($U$375,'TAR FIN'!$A$1:$O$88,15,0)),0,VLOOKUP($U$375,'TAR FIN'!$A$1:$O$88,15,0))</f>
        <v>437.87</v>
      </c>
      <c r="Y375" s="6"/>
      <c r="Z375" s="6">
        <f ca="1">('TUSD BE'!$AM$45+'TUSD BF'!$AM$45+'TUSD CVA'!$AM$45)*1</f>
        <v>894.57413914883352</v>
      </c>
      <c r="AA375" s="6">
        <f>('TE BE'!$AB$36+'TE BF'!$AB$36+'TE CVA'!$AB$36)*1</f>
        <v>316.97983140624547</v>
      </c>
      <c r="AB375" s="6">
        <f>$K$375*$V$375</f>
        <v>0</v>
      </c>
      <c r="AC375" s="6">
        <f>$M$375*$W$375</f>
        <v>15.429120000000001</v>
      </c>
      <c r="AD375" s="6">
        <f>$O$375*$X$375</f>
        <v>10.50888</v>
      </c>
      <c r="AE375" s="6">
        <f>$K$375*$Y$375</f>
        <v>0</v>
      </c>
      <c r="AF375" s="6">
        <f ca="1">$M$375*$Z$375</f>
        <v>21.469779339572003</v>
      </c>
      <c r="AG375" s="6">
        <f>$O$375*$AA$375</f>
        <v>7.6075159537498918</v>
      </c>
    </row>
    <row r="376" spans="1:33" ht="11.25" customHeight="1" x14ac:dyDescent="0.25">
      <c r="A376" s="4" t="s">
        <v>21</v>
      </c>
      <c r="B376" s="4" t="s">
        <v>36</v>
      </c>
      <c r="C376" s="4" t="s">
        <v>32</v>
      </c>
      <c r="D376" s="4" t="s">
        <v>40</v>
      </c>
      <c r="E376" s="4" t="s">
        <v>25</v>
      </c>
      <c r="F376" s="4" t="s">
        <v>25</v>
      </c>
      <c r="G376" s="4" t="s">
        <v>25</v>
      </c>
      <c r="H376" s="4" t="s">
        <v>33</v>
      </c>
      <c r="I376" s="5">
        <v>44682</v>
      </c>
      <c r="J376" s="6">
        <v>0</v>
      </c>
      <c r="K376" s="6">
        <v>0</v>
      </c>
      <c r="L376" s="6">
        <v>2.5999999999999999E-2</v>
      </c>
      <c r="M376" s="6">
        <v>2.5999999999999999E-2</v>
      </c>
      <c r="N376" s="6">
        <v>2.5999999999999999E-2</v>
      </c>
      <c r="O376" s="6">
        <v>2.5999999999999999E-2</v>
      </c>
      <c r="P376" s="6">
        <v>0</v>
      </c>
      <c r="Q376" s="4" t="s">
        <v>26</v>
      </c>
      <c r="R376" s="4">
        <v>0</v>
      </c>
      <c r="S376" s="6">
        <v>0</v>
      </c>
      <c r="T376" s="6">
        <v>62</v>
      </c>
      <c r="U376" s="6">
        <v>20</v>
      </c>
      <c r="V376" s="6">
        <f>IF(ISERROR(VLOOKUP($S$376,'TAR FIN'!$A$1:$O$88,15,0)),0,VLOOKUP($S$376,'TAR FIN'!$A$1:$O$88,15,0))</f>
        <v>0</v>
      </c>
      <c r="W376" s="6">
        <f>IF(ISERROR(VLOOKUP($T$376,'TAR FIN'!$A$1:$O$88,15,0)),0,VLOOKUP($T$376,'TAR FIN'!$A$1:$O$88,15,0))</f>
        <v>642.88</v>
      </c>
      <c r="X376" s="6">
        <f>IF(ISERROR(VLOOKUP($U$376,'TAR FIN'!$A$1:$O$88,15,0)),0,VLOOKUP($U$376,'TAR FIN'!$A$1:$O$88,15,0))</f>
        <v>437.87</v>
      </c>
      <c r="Y376" s="6"/>
      <c r="Z376" s="6">
        <f ca="1">('TUSD BE'!$AM$45+'TUSD BF'!$AM$45+'TUSD CVA'!$AM$45)*1</f>
        <v>894.57413914883352</v>
      </c>
      <c r="AA376" s="6">
        <f>('TE BE'!$AB$36+'TE BF'!$AB$36+'TE CVA'!$AB$36)*1</f>
        <v>316.97983140624547</v>
      </c>
      <c r="AB376" s="6">
        <f>$K$376*$V$376</f>
        <v>0</v>
      </c>
      <c r="AC376" s="6">
        <f>$M$376*$W$376</f>
        <v>16.714880000000001</v>
      </c>
      <c r="AD376" s="6">
        <f>$O$376*$X$376</f>
        <v>11.38462</v>
      </c>
      <c r="AE376" s="6">
        <f>$K$376*$Y$376</f>
        <v>0</v>
      </c>
      <c r="AF376" s="6">
        <f ca="1">$M$376*$Z$376</f>
        <v>23.25892761786967</v>
      </c>
      <c r="AG376" s="6">
        <f>$O$376*$AA$376</f>
        <v>8.241475616562381</v>
      </c>
    </row>
    <row r="377" spans="1:33" ht="11.25" customHeight="1" x14ac:dyDescent="0.25">
      <c r="A377" s="4" t="s">
        <v>21</v>
      </c>
      <c r="B377" s="4" t="s">
        <v>36</v>
      </c>
      <c r="C377" s="4" t="s">
        <v>32</v>
      </c>
      <c r="D377" s="4" t="s">
        <v>40</v>
      </c>
      <c r="E377" s="4" t="s">
        <v>25</v>
      </c>
      <c r="F377" s="4" t="s">
        <v>25</v>
      </c>
      <c r="G377" s="4" t="s">
        <v>25</v>
      </c>
      <c r="H377" s="4" t="s">
        <v>33</v>
      </c>
      <c r="I377" s="5">
        <v>44713</v>
      </c>
      <c r="J377" s="6">
        <v>0</v>
      </c>
      <c r="K377" s="6">
        <v>0</v>
      </c>
      <c r="L377" s="6">
        <v>2.7E-2</v>
      </c>
      <c r="M377" s="6">
        <v>2.7E-2</v>
      </c>
      <c r="N377" s="6">
        <v>2.7E-2</v>
      </c>
      <c r="O377" s="6">
        <v>2.7E-2</v>
      </c>
      <c r="P377" s="6">
        <v>0</v>
      </c>
      <c r="Q377" s="4" t="s">
        <v>26</v>
      </c>
      <c r="R377" s="4">
        <v>0</v>
      </c>
      <c r="S377" s="6">
        <v>0</v>
      </c>
      <c r="T377" s="6">
        <v>62</v>
      </c>
      <c r="U377" s="6">
        <v>20</v>
      </c>
      <c r="V377" s="6">
        <f>IF(ISERROR(VLOOKUP($S$377,'TAR FIN'!$A$1:$O$88,15,0)),0,VLOOKUP($S$377,'TAR FIN'!$A$1:$O$88,15,0))</f>
        <v>0</v>
      </c>
      <c r="W377" s="6">
        <f>IF(ISERROR(VLOOKUP($T$377,'TAR FIN'!$A$1:$O$88,15,0)),0,VLOOKUP($T$377,'TAR FIN'!$A$1:$O$88,15,0))</f>
        <v>642.88</v>
      </c>
      <c r="X377" s="6">
        <f>IF(ISERROR(VLOOKUP($U$377,'TAR FIN'!$A$1:$O$88,15,0)),0,VLOOKUP($U$377,'TAR FIN'!$A$1:$O$88,15,0))</f>
        <v>437.87</v>
      </c>
      <c r="Y377" s="6"/>
      <c r="Z377" s="6">
        <f ca="1">('TUSD BE'!$AM$45+'TUSD BF'!$AM$45+'TUSD CVA'!$AM$45)*1</f>
        <v>894.57413914883352</v>
      </c>
      <c r="AA377" s="6">
        <f>('TE BE'!$AB$36+'TE BF'!$AB$36+'TE CVA'!$AB$36)*1</f>
        <v>316.97983140624547</v>
      </c>
      <c r="AB377" s="6">
        <f>$K$377*$V$377</f>
        <v>0</v>
      </c>
      <c r="AC377" s="6">
        <f>$M$377*$W$377</f>
        <v>17.357759999999999</v>
      </c>
      <c r="AD377" s="6">
        <f>$O$377*$X$377</f>
        <v>11.82249</v>
      </c>
      <c r="AE377" s="6">
        <f>$K$377*$Y$377</f>
        <v>0</v>
      </c>
      <c r="AF377" s="6">
        <f ca="1">$M$377*$Z$377</f>
        <v>24.153501757018503</v>
      </c>
      <c r="AG377" s="6">
        <f>$O$377*$AA$377</f>
        <v>8.5584554479686279</v>
      </c>
    </row>
    <row r="378" spans="1:33" ht="11.25" customHeight="1" x14ac:dyDescent="0.25">
      <c r="A378" s="4" t="s">
        <v>55</v>
      </c>
      <c r="B378" s="4" t="s">
        <v>36</v>
      </c>
      <c r="C378" s="4" t="s">
        <v>32</v>
      </c>
      <c r="D378" s="4" t="s">
        <v>40</v>
      </c>
      <c r="E378" s="4" t="s">
        <v>25</v>
      </c>
      <c r="F378" s="4" t="s">
        <v>25</v>
      </c>
      <c r="G378" s="4" t="s">
        <v>25</v>
      </c>
      <c r="H378" s="4" t="s">
        <v>33</v>
      </c>
      <c r="I378" s="5">
        <v>44743</v>
      </c>
      <c r="J378" s="6">
        <v>0</v>
      </c>
      <c r="K378" s="6">
        <v>0</v>
      </c>
      <c r="L378" s="6">
        <v>2.7E-2</v>
      </c>
      <c r="M378" s="6">
        <v>2.7E-2</v>
      </c>
      <c r="N378" s="6">
        <v>2.7E-2</v>
      </c>
      <c r="O378" s="6">
        <v>2.7E-2</v>
      </c>
      <c r="P378" s="6">
        <v>0</v>
      </c>
      <c r="Q378" s="4" t="s">
        <v>26</v>
      </c>
      <c r="R378" s="4">
        <v>0</v>
      </c>
      <c r="S378" s="6">
        <v>0</v>
      </c>
      <c r="T378" s="6">
        <v>62</v>
      </c>
      <c r="U378" s="6">
        <v>20</v>
      </c>
      <c r="V378" s="6">
        <f>IF(ISERROR(VLOOKUP($S$378,'TAR FIN'!$A$1:$O$88,15,0)),0,VLOOKUP($S$378,'TAR FIN'!$A$1:$O$88,15,0))</f>
        <v>0</v>
      </c>
      <c r="W378" s="6">
        <f>IF(ISERROR(VLOOKUP($T$378,'TAR FIN'!$A$1:$O$88,15,0)),0,VLOOKUP($T$378,'TAR FIN'!$A$1:$O$88,15,0))</f>
        <v>642.88</v>
      </c>
      <c r="X378" s="6">
        <f>IF(ISERROR(VLOOKUP($U$378,'TAR FIN'!$A$1:$O$88,15,0)),0,VLOOKUP($U$378,'TAR FIN'!$A$1:$O$88,15,0))</f>
        <v>437.87</v>
      </c>
      <c r="Y378" s="6"/>
      <c r="Z378" s="6">
        <f ca="1">('TUSD BE'!$AM$45+'TUSD BF'!$AM$45+'TUSD CVA'!$AM$45)*1</f>
        <v>894.57413914883352</v>
      </c>
      <c r="AA378" s="6">
        <f>('TE BE'!$AB$36+'TE BF'!$AB$36+'TE CVA'!$AB$36)*1</f>
        <v>316.97983140624547</v>
      </c>
      <c r="AB378" s="6">
        <f>$K$378*$V$378</f>
        <v>0</v>
      </c>
      <c r="AC378" s="6">
        <f>$M$378*$W$378</f>
        <v>17.357759999999999</v>
      </c>
      <c r="AD378" s="6">
        <f>$O$378*$X$378</f>
        <v>11.82249</v>
      </c>
      <c r="AE378" s="6">
        <f>$K$378*$Y$378</f>
        <v>0</v>
      </c>
      <c r="AF378" s="6">
        <f ca="1">$M$378*$Z$378</f>
        <v>24.153501757018503</v>
      </c>
      <c r="AG378" s="6">
        <f>$O$378*$AA$378</f>
        <v>8.5584554479686279</v>
      </c>
    </row>
    <row r="379" spans="1:33" ht="11.25" customHeight="1" x14ac:dyDescent="0.25">
      <c r="A379" s="4" t="s">
        <v>21</v>
      </c>
      <c r="B379" s="4" t="s">
        <v>36</v>
      </c>
      <c r="C379" s="4" t="s">
        <v>23</v>
      </c>
      <c r="D379" s="4" t="s">
        <v>40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44409</v>
      </c>
      <c r="J379" s="6">
        <v>0</v>
      </c>
      <c r="K379" s="6">
        <v>0</v>
      </c>
      <c r="L379" s="6">
        <v>292.185</v>
      </c>
      <c r="M379" s="6">
        <v>292.185</v>
      </c>
      <c r="N379" s="6">
        <v>292.185</v>
      </c>
      <c r="O379" s="6">
        <v>292.185</v>
      </c>
      <c r="P379" s="6">
        <v>728</v>
      </c>
      <c r="Q379" s="4" t="s">
        <v>26</v>
      </c>
      <c r="R379" s="4">
        <v>0</v>
      </c>
      <c r="S379" s="6">
        <v>0</v>
      </c>
      <c r="T379" s="6">
        <v>65</v>
      </c>
      <c r="U379" s="6">
        <v>25</v>
      </c>
      <c r="V379" s="6">
        <f>IF(ISERROR(VLOOKUP($S$379,'TAR FIN'!$A$1:$O$88,15,0)),0,VLOOKUP($S$379,'TAR FIN'!$A$1:$O$88,15,0))</f>
        <v>0</v>
      </c>
      <c r="W379" s="6">
        <f>IF(ISERROR(VLOOKUP($T$379,'TAR FIN'!$A$1:$O$88,15,0)),0,VLOOKUP($T$379,'TAR FIN'!$A$1:$O$88,15,0))</f>
        <v>269.91000000000003</v>
      </c>
      <c r="X379" s="6">
        <f>IF(ISERROR(VLOOKUP($U$379,'TAR FIN'!$A$1:$O$88,15,0)),0,VLOOKUP($U$379,'TAR FIN'!$A$1:$O$88,15,0))</f>
        <v>288.89999999999998</v>
      </c>
      <c r="Y379" s="6"/>
      <c r="Z379" s="6">
        <f ca="1">('TUSD BE'!$AM$48+'TUSD BF'!$AM$48+'TUSD CVA'!$AM$48)*1</f>
        <v>350.41122835255294</v>
      </c>
      <c r="AA379" s="6">
        <f>('TE BE'!$AB$39+'TE BF'!$AB$39+'TE CVA'!$AB$39)*1</f>
        <v>207.63042742196092</v>
      </c>
      <c r="AB379" s="6">
        <f>$K$379*$V$379</f>
        <v>0</v>
      </c>
      <c r="AC379" s="6">
        <f>$M$379*$W$379</f>
        <v>78863.653350000008</v>
      </c>
      <c r="AD379" s="6">
        <f>$O$379*$X$379</f>
        <v>84412.246499999994</v>
      </c>
      <c r="AE379" s="6">
        <f>$K$379*$Y$379</f>
        <v>0</v>
      </c>
      <c r="AF379" s="6">
        <f ca="1">$M$379*$Z$379</f>
        <v>102384.90475619068</v>
      </c>
      <c r="AG379" s="6">
        <f>$O$379*$AA$379</f>
        <v>60666.496436285648</v>
      </c>
    </row>
    <row r="380" spans="1:33" ht="11.25" customHeight="1" x14ac:dyDescent="0.25">
      <c r="A380" s="4" t="s">
        <v>27</v>
      </c>
      <c r="B380" s="4" t="s">
        <v>36</v>
      </c>
      <c r="C380" s="4" t="s">
        <v>23</v>
      </c>
      <c r="D380" s="4" t="s">
        <v>40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44409</v>
      </c>
      <c r="J380" s="6">
        <v>0</v>
      </c>
      <c r="K380" s="6">
        <v>0</v>
      </c>
      <c r="L380" s="6">
        <v>13.595000000000001</v>
      </c>
      <c r="M380" s="6">
        <v>13.595000000000001</v>
      </c>
      <c r="N380" s="6">
        <v>13.595000000000001</v>
      </c>
      <c r="O380" s="6">
        <v>13.595000000000001</v>
      </c>
      <c r="P380" s="6">
        <v>62</v>
      </c>
      <c r="Q380" s="4" t="s">
        <v>26</v>
      </c>
      <c r="R380" s="4">
        <v>0</v>
      </c>
      <c r="S380" s="6">
        <v>0</v>
      </c>
      <c r="T380" s="6">
        <v>65</v>
      </c>
      <c r="U380" s="6">
        <v>25</v>
      </c>
      <c r="V380" s="6">
        <f>IF(ISERROR(VLOOKUP($S$380,'TAR FIN'!$A$1:$O$88,15,0)),0,VLOOKUP($S$380,'TAR FIN'!$A$1:$O$88,15,0))</f>
        <v>0</v>
      </c>
      <c r="W380" s="6">
        <f>IF(ISERROR(VLOOKUP($T$380,'TAR FIN'!$A$1:$O$88,15,0)),0,VLOOKUP($T$380,'TAR FIN'!$A$1:$O$88,15,0))</f>
        <v>269.91000000000003</v>
      </c>
      <c r="X380" s="6">
        <f>IF(ISERROR(VLOOKUP($U$380,'TAR FIN'!$A$1:$O$88,15,0)),0,VLOOKUP($U$380,'TAR FIN'!$A$1:$O$88,15,0))</f>
        <v>288.89999999999998</v>
      </c>
      <c r="Y380" s="6"/>
      <c r="Z380" s="6">
        <f ca="1">('TUSD BE'!$AM$48+'TUSD BF'!$AM$48+'TUSD CVA'!$AM$48)*1</f>
        <v>350.41122835255294</v>
      </c>
      <c r="AA380" s="6">
        <f>('TE BE'!$AB$39+'TE BF'!$AB$39+'TE CVA'!$AB$39)*1</f>
        <v>207.63042742196092</v>
      </c>
      <c r="AB380" s="6">
        <f>$K$380*$V$380</f>
        <v>0</v>
      </c>
      <c r="AC380" s="6">
        <f>$M$380*$W$380</f>
        <v>3669.4264500000004</v>
      </c>
      <c r="AD380" s="6">
        <f>$O$380*$X$380</f>
        <v>3927.5954999999999</v>
      </c>
      <c r="AE380" s="6">
        <f>$K$380*$Y$380</f>
        <v>0</v>
      </c>
      <c r="AF380" s="6">
        <f ca="1">$M$380*$Z$380</f>
        <v>4763.8406494529572</v>
      </c>
      <c r="AG380" s="6">
        <f>$O$380*$AA$380</f>
        <v>2822.7356608015589</v>
      </c>
    </row>
    <row r="381" spans="1:33" ht="11.25" customHeight="1" x14ac:dyDescent="0.25">
      <c r="A381" s="4" t="s">
        <v>21</v>
      </c>
      <c r="B381" s="4" t="s">
        <v>36</v>
      </c>
      <c r="C381" s="4" t="s">
        <v>23</v>
      </c>
      <c r="D381" s="4" t="s">
        <v>40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44440</v>
      </c>
      <c r="J381" s="6">
        <v>0</v>
      </c>
      <c r="K381" s="6">
        <v>0</v>
      </c>
      <c r="L381" s="6">
        <v>319.61500000000001</v>
      </c>
      <c r="M381" s="6">
        <v>319.61500000000001</v>
      </c>
      <c r="N381" s="6">
        <v>319.61500000000001</v>
      </c>
      <c r="O381" s="6">
        <v>319.61500000000001</v>
      </c>
      <c r="P381" s="6">
        <v>730</v>
      </c>
      <c r="Q381" s="4" t="s">
        <v>26</v>
      </c>
      <c r="R381" s="4">
        <v>0</v>
      </c>
      <c r="S381" s="6">
        <v>0</v>
      </c>
      <c r="T381" s="6">
        <v>65</v>
      </c>
      <c r="U381" s="6">
        <v>25</v>
      </c>
      <c r="V381" s="6">
        <f>IF(ISERROR(VLOOKUP($S$381,'TAR FIN'!$A$1:$O$88,15,0)),0,VLOOKUP($S$381,'TAR FIN'!$A$1:$O$88,15,0))</f>
        <v>0</v>
      </c>
      <c r="W381" s="6">
        <f>IF(ISERROR(VLOOKUP($T$381,'TAR FIN'!$A$1:$O$88,15,0)),0,VLOOKUP($T$381,'TAR FIN'!$A$1:$O$88,15,0))</f>
        <v>269.91000000000003</v>
      </c>
      <c r="X381" s="6">
        <f>IF(ISERROR(VLOOKUP($U$381,'TAR FIN'!$A$1:$O$88,15,0)),0,VLOOKUP($U$381,'TAR FIN'!$A$1:$O$88,15,0))</f>
        <v>288.89999999999998</v>
      </c>
      <c r="Y381" s="6"/>
      <c r="Z381" s="6">
        <f ca="1">('TUSD BE'!$AM$48+'TUSD BF'!$AM$48+'TUSD CVA'!$AM$48)*1</f>
        <v>350.41122835255294</v>
      </c>
      <c r="AA381" s="6">
        <f>('TE BE'!$AB$39+'TE BF'!$AB$39+'TE CVA'!$AB$39)*1</f>
        <v>207.63042742196092</v>
      </c>
      <c r="AB381" s="6">
        <f>$K$381*$V$381</f>
        <v>0</v>
      </c>
      <c r="AC381" s="6">
        <f>$M$381*$W$381</f>
        <v>86267.284650000016</v>
      </c>
      <c r="AD381" s="6">
        <f>$O$381*$X$381</f>
        <v>92336.773499999996</v>
      </c>
      <c r="AE381" s="6">
        <f>$K$381*$Y$381</f>
        <v>0</v>
      </c>
      <c r="AF381" s="6">
        <f ca="1">$M$381*$Z$381</f>
        <v>111996.68474990121</v>
      </c>
      <c r="AG381" s="6">
        <f>$O$381*$AA$381</f>
        <v>66361.799060470046</v>
      </c>
    </row>
    <row r="382" spans="1:33" ht="11.25" customHeight="1" x14ac:dyDescent="0.25">
      <c r="A382" s="4" t="s">
        <v>27</v>
      </c>
      <c r="B382" s="4" t="s">
        <v>36</v>
      </c>
      <c r="C382" s="4" t="s">
        <v>23</v>
      </c>
      <c r="D382" s="4" t="s">
        <v>40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44440</v>
      </c>
      <c r="J382" s="6">
        <v>0</v>
      </c>
      <c r="K382" s="6">
        <v>0</v>
      </c>
      <c r="L382" s="6">
        <v>11.760999999999999</v>
      </c>
      <c r="M382" s="6">
        <v>11.760999999999999</v>
      </c>
      <c r="N382" s="6">
        <v>11.760999999999999</v>
      </c>
      <c r="O382" s="6">
        <v>11.760999999999999</v>
      </c>
      <c r="P382" s="6">
        <v>63</v>
      </c>
      <c r="Q382" s="4" t="s">
        <v>26</v>
      </c>
      <c r="R382" s="4">
        <v>0</v>
      </c>
      <c r="S382" s="6">
        <v>0</v>
      </c>
      <c r="T382" s="6">
        <v>65</v>
      </c>
      <c r="U382" s="6">
        <v>25</v>
      </c>
      <c r="V382" s="6">
        <f>IF(ISERROR(VLOOKUP($S$382,'TAR FIN'!$A$1:$O$88,15,0)),0,VLOOKUP($S$382,'TAR FIN'!$A$1:$O$88,15,0))</f>
        <v>0</v>
      </c>
      <c r="W382" s="6">
        <f>IF(ISERROR(VLOOKUP($T$382,'TAR FIN'!$A$1:$O$88,15,0)),0,VLOOKUP($T$382,'TAR FIN'!$A$1:$O$88,15,0))</f>
        <v>269.91000000000003</v>
      </c>
      <c r="X382" s="6">
        <f>IF(ISERROR(VLOOKUP($U$382,'TAR FIN'!$A$1:$O$88,15,0)),0,VLOOKUP($U$382,'TAR FIN'!$A$1:$O$88,15,0))</f>
        <v>288.89999999999998</v>
      </c>
      <c r="Y382" s="6"/>
      <c r="Z382" s="6">
        <f ca="1">('TUSD BE'!$AM$48+'TUSD BF'!$AM$48+'TUSD CVA'!$AM$48)*1</f>
        <v>350.41122835255294</v>
      </c>
      <c r="AA382" s="6">
        <f>('TE BE'!$AB$39+'TE BF'!$AB$39+'TE CVA'!$AB$39)*1</f>
        <v>207.63042742196092</v>
      </c>
      <c r="AB382" s="6">
        <f>$K$382*$V$382</f>
        <v>0</v>
      </c>
      <c r="AC382" s="6">
        <f>$M$382*$W$382</f>
        <v>3174.4115099999999</v>
      </c>
      <c r="AD382" s="6">
        <f>$O$382*$X$382</f>
        <v>3397.7528999999995</v>
      </c>
      <c r="AE382" s="6">
        <f>$K$382*$Y$382</f>
        <v>0</v>
      </c>
      <c r="AF382" s="6">
        <f ca="1">$M$382*$Z$382</f>
        <v>4121.1864566543745</v>
      </c>
      <c r="AG382" s="6">
        <f>$O$382*$AA$382</f>
        <v>2441.9414569096821</v>
      </c>
    </row>
    <row r="383" spans="1:33" ht="11.25" customHeight="1" x14ac:dyDescent="0.25">
      <c r="A383" s="4" t="s">
        <v>21</v>
      </c>
      <c r="B383" s="4" t="s">
        <v>36</v>
      </c>
      <c r="C383" s="4" t="s">
        <v>23</v>
      </c>
      <c r="D383" s="4" t="s">
        <v>40</v>
      </c>
      <c r="E383" s="4" t="s">
        <v>25</v>
      </c>
      <c r="F383" s="4" t="s">
        <v>25</v>
      </c>
      <c r="G383" s="4" t="s">
        <v>25</v>
      </c>
      <c r="H383" s="4" t="s">
        <v>25</v>
      </c>
      <c r="I383" s="5">
        <v>44470</v>
      </c>
      <c r="J383" s="6">
        <v>0</v>
      </c>
      <c r="K383" s="6">
        <v>0</v>
      </c>
      <c r="L383" s="6">
        <v>290.27999999999997</v>
      </c>
      <c r="M383" s="6">
        <v>290.27999999999997</v>
      </c>
      <c r="N383" s="6">
        <v>290.27999999999997</v>
      </c>
      <c r="O383" s="6">
        <v>290.27999999999997</v>
      </c>
      <c r="P383" s="6">
        <v>724</v>
      </c>
      <c r="Q383" s="4" t="s">
        <v>26</v>
      </c>
      <c r="R383" s="4">
        <v>0</v>
      </c>
      <c r="S383" s="6">
        <v>0</v>
      </c>
      <c r="T383" s="6">
        <v>65</v>
      </c>
      <c r="U383" s="6">
        <v>25</v>
      </c>
      <c r="V383" s="6">
        <f>IF(ISERROR(VLOOKUP($S$383,'TAR FIN'!$A$1:$O$88,15,0)),0,VLOOKUP($S$383,'TAR FIN'!$A$1:$O$88,15,0))</f>
        <v>0</v>
      </c>
      <c r="W383" s="6">
        <f>IF(ISERROR(VLOOKUP($T$383,'TAR FIN'!$A$1:$O$88,15,0)),0,VLOOKUP($T$383,'TAR FIN'!$A$1:$O$88,15,0))</f>
        <v>269.91000000000003</v>
      </c>
      <c r="X383" s="6">
        <f>IF(ISERROR(VLOOKUP($U$383,'TAR FIN'!$A$1:$O$88,15,0)),0,VLOOKUP($U$383,'TAR FIN'!$A$1:$O$88,15,0))</f>
        <v>288.89999999999998</v>
      </c>
      <c r="Y383" s="6"/>
      <c r="Z383" s="6">
        <f ca="1">('TUSD BE'!$AM$48+'TUSD BF'!$AM$48+'TUSD CVA'!$AM$48)*1</f>
        <v>350.41122835255294</v>
      </c>
      <c r="AA383" s="6">
        <f>('TE BE'!$AB$39+'TE BF'!$AB$39+'TE CVA'!$AB$39)*1</f>
        <v>207.63042742196092</v>
      </c>
      <c r="AB383" s="6">
        <f>$K$383*$V$383</f>
        <v>0</v>
      </c>
      <c r="AC383" s="6">
        <f>$M$383*$W$383</f>
        <v>78349.474799999996</v>
      </c>
      <c r="AD383" s="6">
        <f>$O$383*$X$383</f>
        <v>83861.891999999993</v>
      </c>
      <c r="AE383" s="6">
        <f>$K$383*$Y$383</f>
        <v>0</v>
      </c>
      <c r="AF383" s="6">
        <f ca="1">$M$383*$Z$383</f>
        <v>101717.37136617905</v>
      </c>
      <c r="AG383" s="6">
        <f>$O$383*$AA$383</f>
        <v>60270.960472046812</v>
      </c>
    </row>
    <row r="384" spans="1:33" ht="11.25" customHeight="1" x14ac:dyDescent="0.25">
      <c r="A384" s="4" t="s">
        <v>27</v>
      </c>
      <c r="B384" s="4" t="s">
        <v>36</v>
      </c>
      <c r="C384" s="4" t="s">
        <v>23</v>
      </c>
      <c r="D384" s="4" t="s">
        <v>40</v>
      </c>
      <c r="E384" s="4" t="s">
        <v>25</v>
      </c>
      <c r="F384" s="4" t="s">
        <v>25</v>
      </c>
      <c r="G384" s="4" t="s">
        <v>25</v>
      </c>
      <c r="H384" s="4" t="s">
        <v>25</v>
      </c>
      <c r="I384" s="5">
        <v>44470</v>
      </c>
      <c r="J384" s="6">
        <v>0</v>
      </c>
      <c r="K384" s="6">
        <v>0</v>
      </c>
      <c r="L384" s="6">
        <v>16.209</v>
      </c>
      <c r="M384" s="6">
        <v>16.209</v>
      </c>
      <c r="N384" s="6">
        <v>16.209</v>
      </c>
      <c r="O384" s="6">
        <v>16.209</v>
      </c>
      <c r="P384" s="6">
        <v>68</v>
      </c>
      <c r="Q384" s="4" t="s">
        <v>26</v>
      </c>
      <c r="R384" s="4">
        <v>0</v>
      </c>
      <c r="S384" s="6">
        <v>0</v>
      </c>
      <c r="T384" s="6">
        <v>65</v>
      </c>
      <c r="U384" s="6">
        <v>25</v>
      </c>
      <c r="V384" s="6">
        <f>IF(ISERROR(VLOOKUP($S$384,'TAR FIN'!$A$1:$O$88,15,0)),0,VLOOKUP($S$384,'TAR FIN'!$A$1:$O$88,15,0))</f>
        <v>0</v>
      </c>
      <c r="W384" s="6">
        <f>IF(ISERROR(VLOOKUP($T$384,'TAR FIN'!$A$1:$O$88,15,0)),0,VLOOKUP($T$384,'TAR FIN'!$A$1:$O$88,15,0))</f>
        <v>269.91000000000003</v>
      </c>
      <c r="X384" s="6">
        <f>IF(ISERROR(VLOOKUP($U$384,'TAR FIN'!$A$1:$O$88,15,0)),0,VLOOKUP($U$384,'TAR FIN'!$A$1:$O$88,15,0))</f>
        <v>288.89999999999998</v>
      </c>
      <c r="Y384" s="6"/>
      <c r="Z384" s="6">
        <f ca="1">('TUSD BE'!$AM$48+'TUSD BF'!$AM$48+'TUSD CVA'!$AM$48)*1</f>
        <v>350.41122835255294</v>
      </c>
      <c r="AA384" s="6">
        <f>('TE BE'!$AB$39+'TE BF'!$AB$39+'TE CVA'!$AB$39)*1</f>
        <v>207.63042742196092</v>
      </c>
      <c r="AB384" s="6">
        <f>$K$384*$V$384</f>
        <v>0</v>
      </c>
      <c r="AC384" s="6">
        <f>$M$384*$W$384</f>
        <v>4374.9711900000002</v>
      </c>
      <c r="AD384" s="6">
        <f>$O$384*$X$384</f>
        <v>4682.7800999999999</v>
      </c>
      <c r="AE384" s="6">
        <f>$K$384*$Y$384</f>
        <v>0</v>
      </c>
      <c r="AF384" s="6">
        <f ca="1">$M$384*$Z$384</f>
        <v>5679.8156003665308</v>
      </c>
      <c r="AG384" s="6">
        <f>$O$384*$AA$384</f>
        <v>3365.4815980825642</v>
      </c>
    </row>
    <row r="385" spans="1:33" ht="11.25" customHeight="1" x14ac:dyDescent="0.25">
      <c r="A385" s="4" t="s">
        <v>21</v>
      </c>
      <c r="B385" s="4" t="s">
        <v>36</v>
      </c>
      <c r="C385" s="4" t="s">
        <v>23</v>
      </c>
      <c r="D385" s="4" t="s">
        <v>40</v>
      </c>
      <c r="E385" s="4" t="s">
        <v>25</v>
      </c>
      <c r="F385" s="4" t="s">
        <v>25</v>
      </c>
      <c r="G385" s="4" t="s">
        <v>25</v>
      </c>
      <c r="H385" s="4" t="s">
        <v>25</v>
      </c>
      <c r="I385" s="5">
        <v>44501</v>
      </c>
      <c r="J385" s="6">
        <v>0</v>
      </c>
      <c r="K385" s="6">
        <v>0</v>
      </c>
      <c r="L385" s="6">
        <v>354.77800000000002</v>
      </c>
      <c r="M385" s="6">
        <v>354.77800000000002</v>
      </c>
      <c r="N385" s="6">
        <v>354.77800000000002</v>
      </c>
      <c r="O385" s="6">
        <v>354.77800000000002</v>
      </c>
      <c r="P385" s="6">
        <v>724</v>
      </c>
      <c r="Q385" s="4" t="s">
        <v>26</v>
      </c>
      <c r="R385" s="4">
        <v>0</v>
      </c>
      <c r="S385" s="6">
        <v>0</v>
      </c>
      <c r="T385" s="6">
        <v>65</v>
      </c>
      <c r="U385" s="6">
        <v>25</v>
      </c>
      <c r="V385" s="6">
        <f>IF(ISERROR(VLOOKUP($S$385,'TAR FIN'!$A$1:$O$88,15,0)),0,VLOOKUP($S$385,'TAR FIN'!$A$1:$O$88,15,0))</f>
        <v>0</v>
      </c>
      <c r="W385" s="6">
        <f>IF(ISERROR(VLOOKUP($T$385,'TAR FIN'!$A$1:$O$88,15,0)),0,VLOOKUP($T$385,'TAR FIN'!$A$1:$O$88,15,0))</f>
        <v>269.91000000000003</v>
      </c>
      <c r="X385" s="6">
        <f>IF(ISERROR(VLOOKUP($U$385,'TAR FIN'!$A$1:$O$88,15,0)),0,VLOOKUP($U$385,'TAR FIN'!$A$1:$O$88,15,0))</f>
        <v>288.89999999999998</v>
      </c>
      <c r="Y385" s="6"/>
      <c r="Z385" s="6">
        <f ca="1">('TUSD BE'!$AM$48+'TUSD BF'!$AM$48+'TUSD CVA'!$AM$48)*1</f>
        <v>350.41122835255294</v>
      </c>
      <c r="AA385" s="6">
        <f>('TE BE'!$AB$39+'TE BF'!$AB$39+'TE CVA'!$AB$39)*1</f>
        <v>207.63042742196092</v>
      </c>
      <c r="AB385" s="6">
        <f>$K$385*$V$385</f>
        <v>0</v>
      </c>
      <c r="AC385" s="6">
        <f>$M$385*$W$385</f>
        <v>95758.129980000012</v>
      </c>
      <c r="AD385" s="6">
        <f>$O$385*$X$385</f>
        <v>102495.3642</v>
      </c>
      <c r="AE385" s="6">
        <f>$K$385*$Y$385</f>
        <v>0</v>
      </c>
      <c r="AF385" s="6">
        <f ca="1">$M$385*$Z$385</f>
        <v>124318.19477246204</v>
      </c>
      <c r="AG385" s="6">
        <f>$O$385*$AA$385</f>
        <v>73662.707779908451</v>
      </c>
    </row>
    <row r="386" spans="1:33" ht="11.25" customHeight="1" x14ac:dyDescent="0.25">
      <c r="A386" s="4" t="s">
        <v>27</v>
      </c>
      <c r="B386" s="4" t="s">
        <v>36</v>
      </c>
      <c r="C386" s="4" t="s">
        <v>23</v>
      </c>
      <c r="D386" s="4" t="s">
        <v>40</v>
      </c>
      <c r="E386" s="4" t="s">
        <v>25</v>
      </c>
      <c r="F386" s="4" t="s">
        <v>25</v>
      </c>
      <c r="G386" s="4" t="s">
        <v>25</v>
      </c>
      <c r="H386" s="4" t="s">
        <v>25</v>
      </c>
      <c r="I386" s="5">
        <v>44501</v>
      </c>
      <c r="J386" s="6">
        <v>0</v>
      </c>
      <c r="K386" s="6">
        <v>0</v>
      </c>
      <c r="L386" s="6">
        <v>12.118</v>
      </c>
      <c r="M386" s="6">
        <v>12.118</v>
      </c>
      <c r="N386" s="6">
        <v>12.118</v>
      </c>
      <c r="O386" s="6">
        <v>12.118</v>
      </c>
      <c r="P386" s="6">
        <v>71</v>
      </c>
      <c r="Q386" s="4" t="s">
        <v>26</v>
      </c>
      <c r="R386" s="4">
        <v>0</v>
      </c>
      <c r="S386" s="6">
        <v>0</v>
      </c>
      <c r="T386" s="6">
        <v>65</v>
      </c>
      <c r="U386" s="6">
        <v>25</v>
      </c>
      <c r="V386" s="6">
        <f>IF(ISERROR(VLOOKUP($S$386,'TAR FIN'!$A$1:$O$88,15,0)),0,VLOOKUP($S$386,'TAR FIN'!$A$1:$O$88,15,0))</f>
        <v>0</v>
      </c>
      <c r="W386" s="6">
        <f>IF(ISERROR(VLOOKUP($T$386,'TAR FIN'!$A$1:$O$88,15,0)),0,VLOOKUP($T$386,'TAR FIN'!$A$1:$O$88,15,0))</f>
        <v>269.91000000000003</v>
      </c>
      <c r="X386" s="6">
        <f>IF(ISERROR(VLOOKUP($U$386,'TAR FIN'!$A$1:$O$88,15,0)),0,VLOOKUP($U$386,'TAR FIN'!$A$1:$O$88,15,0))</f>
        <v>288.89999999999998</v>
      </c>
      <c r="Y386" s="6"/>
      <c r="Z386" s="6">
        <f ca="1">('TUSD BE'!$AM$48+'TUSD BF'!$AM$48+'TUSD CVA'!$AM$48)*1</f>
        <v>350.41122835255294</v>
      </c>
      <c r="AA386" s="6">
        <f>('TE BE'!$AB$39+'TE BF'!$AB$39+'TE CVA'!$AB$39)*1</f>
        <v>207.63042742196092</v>
      </c>
      <c r="AB386" s="6">
        <f>$K$386*$V$386</f>
        <v>0</v>
      </c>
      <c r="AC386" s="6">
        <f>$M$386*$W$386</f>
        <v>3270.7693800000002</v>
      </c>
      <c r="AD386" s="6">
        <f>$O$386*$X$386</f>
        <v>3500.8901999999998</v>
      </c>
      <c r="AE386" s="6">
        <f>$K$386*$Y$386</f>
        <v>0</v>
      </c>
      <c r="AF386" s="6">
        <f ca="1">$M$386*$Z$386</f>
        <v>4246.2832651762365</v>
      </c>
      <c r="AG386" s="6">
        <f>$O$386*$AA$386</f>
        <v>2516.0655194993224</v>
      </c>
    </row>
    <row r="387" spans="1:33" ht="11.25" customHeight="1" x14ac:dyDescent="0.25">
      <c r="A387" s="4" t="s">
        <v>21</v>
      </c>
      <c r="B387" s="4" t="s">
        <v>36</v>
      </c>
      <c r="C387" s="4" t="s">
        <v>23</v>
      </c>
      <c r="D387" s="4" t="s">
        <v>40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44531</v>
      </c>
      <c r="J387" s="6">
        <v>0</v>
      </c>
      <c r="K387" s="6">
        <v>0</v>
      </c>
      <c r="L387" s="6">
        <v>393.10399999999998</v>
      </c>
      <c r="M387" s="6">
        <v>393.10399999999998</v>
      </c>
      <c r="N387" s="6">
        <v>393.10399999999998</v>
      </c>
      <c r="O387" s="6">
        <v>393.10399999999998</v>
      </c>
      <c r="P387" s="6">
        <v>724</v>
      </c>
      <c r="Q387" s="4" t="s">
        <v>26</v>
      </c>
      <c r="R387" s="4">
        <v>0</v>
      </c>
      <c r="S387" s="6">
        <v>0</v>
      </c>
      <c r="T387" s="6">
        <v>65</v>
      </c>
      <c r="U387" s="6">
        <v>25</v>
      </c>
      <c r="V387" s="6">
        <f>IF(ISERROR(VLOOKUP($S$387,'TAR FIN'!$A$1:$O$88,15,0)),0,VLOOKUP($S$387,'TAR FIN'!$A$1:$O$88,15,0))</f>
        <v>0</v>
      </c>
      <c r="W387" s="6">
        <f>IF(ISERROR(VLOOKUP($T$387,'TAR FIN'!$A$1:$O$88,15,0)),0,VLOOKUP($T$387,'TAR FIN'!$A$1:$O$88,15,0))</f>
        <v>269.91000000000003</v>
      </c>
      <c r="X387" s="6">
        <f>IF(ISERROR(VLOOKUP($U$387,'TAR FIN'!$A$1:$O$88,15,0)),0,VLOOKUP($U$387,'TAR FIN'!$A$1:$O$88,15,0))</f>
        <v>288.89999999999998</v>
      </c>
      <c r="Y387" s="6"/>
      <c r="Z387" s="6">
        <f ca="1">('TUSD BE'!$AM$48+'TUSD BF'!$AM$48+'TUSD CVA'!$AM$48)*1</f>
        <v>350.41122835255294</v>
      </c>
      <c r="AA387" s="6">
        <f>('TE BE'!$AB$39+'TE BF'!$AB$39+'TE CVA'!$AB$39)*1</f>
        <v>207.63042742196092</v>
      </c>
      <c r="AB387" s="6">
        <f>$K$387*$V$387</f>
        <v>0</v>
      </c>
      <c r="AC387" s="6">
        <f>$M$387*$W$387</f>
        <v>106102.70064000001</v>
      </c>
      <c r="AD387" s="6">
        <f>$O$387*$X$387</f>
        <v>113567.74559999998</v>
      </c>
      <c r="AE387" s="6">
        <f>$K$387*$Y$387</f>
        <v>0</v>
      </c>
      <c r="AF387" s="6">
        <f ca="1">$M$387*$Z$387</f>
        <v>137748.05551030196</v>
      </c>
      <c r="AG387" s="6">
        <f>$O$387*$AA$387</f>
        <v>81620.351541282522</v>
      </c>
    </row>
    <row r="388" spans="1:33" ht="11.25" customHeight="1" x14ac:dyDescent="0.25">
      <c r="A388" s="4" t="s">
        <v>27</v>
      </c>
      <c r="B388" s="4" t="s">
        <v>36</v>
      </c>
      <c r="C388" s="4" t="s">
        <v>23</v>
      </c>
      <c r="D388" s="4" t="s">
        <v>40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44531</v>
      </c>
      <c r="J388" s="6">
        <v>0</v>
      </c>
      <c r="K388" s="6">
        <v>0</v>
      </c>
      <c r="L388" s="6">
        <v>15.016</v>
      </c>
      <c r="M388" s="6">
        <v>15.016</v>
      </c>
      <c r="N388" s="6">
        <v>15.016</v>
      </c>
      <c r="O388" s="6">
        <v>15.016</v>
      </c>
      <c r="P388" s="6">
        <v>74</v>
      </c>
      <c r="Q388" s="4" t="s">
        <v>26</v>
      </c>
      <c r="R388" s="4">
        <v>0</v>
      </c>
      <c r="S388" s="6">
        <v>0</v>
      </c>
      <c r="T388" s="6">
        <v>65</v>
      </c>
      <c r="U388" s="6">
        <v>25</v>
      </c>
      <c r="V388" s="6">
        <f>IF(ISERROR(VLOOKUP($S$388,'TAR FIN'!$A$1:$O$88,15,0)),0,VLOOKUP($S$388,'TAR FIN'!$A$1:$O$88,15,0))</f>
        <v>0</v>
      </c>
      <c r="W388" s="6">
        <f>IF(ISERROR(VLOOKUP($T$388,'TAR FIN'!$A$1:$O$88,15,0)),0,VLOOKUP($T$388,'TAR FIN'!$A$1:$O$88,15,0))</f>
        <v>269.91000000000003</v>
      </c>
      <c r="X388" s="6">
        <f>IF(ISERROR(VLOOKUP($U$388,'TAR FIN'!$A$1:$O$88,15,0)),0,VLOOKUP($U$388,'TAR FIN'!$A$1:$O$88,15,0))</f>
        <v>288.89999999999998</v>
      </c>
      <c r="Y388" s="6"/>
      <c r="Z388" s="6">
        <f ca="1">('TUSD BE'!$AM$48+'TUSD BF'!$AM$48+'TUSD CVA'!$AM$48)*1</f>
        <v>350.41122835255294</v>
      </c>
      <c r="AA388" s="6">
        <f>('TE BE'!$AB$39+'TE BF'!$AB$39+'TE CVA'!$AB$39)*1</f>
        <v>207.63042742196092</v>
      </c>
      <c r="AB388" s="6">
        <f>$K$388*$V$388</f>
        <v>0</v>
      </c>
      <c r="AC388" s="6">
        <f>$M$388*$W$388</f>
        <v>4052.9685600000003</v>
      </c>
      <c r="AD388" s="6">
        <f>$O$388*$X$388</f>
        <v>4338.1223999999993</v>
      </c>
      <c r="AE388" s="6">
        <f>$K$388*$Y$388</f>
        <v>0</v>
      </c>
      <c r="AF388" s="6">
        <f ca="1">$M$388*$Z$388</f>
        <v>5261.7750049419346</v>
      </c>
      <c r="AG388" s="6">
        <f>$O$388*$AA$388</f>
        <v>3117.7784981681652</v>
      </c>
    </row>
    <row r="389" spans="1:33" ht="11.25" customHeight="1" x14ac:dyDescent="0.25">
      <c r="A389" s="4" t="s">
        <v>21</v>
      </c>
      <c r="B389" s="4" t="s">
        <v>36</v>
      </c>
      <c r="C389" s="4" t="s">
        <v>23</v>
      </c>
      <c r="D389" s="4" t="s">
        <v>40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44562</v>
      </c>
      <c r="J389" s="6">
        <v>0</v>
      </c>
      <c r="K389" s="6">
        <v>0</v>
      </c>
      <c r="L389" s="6">
        <v>376.59699999999998</v>
      </c>
      <c r="M389" s="6">
        <v>376.59699999999998</v>
      </c>
      <c r="N389" s="6">
        <v>376.59699999999998</v>
      </c>
      <c r="O389" s="6">
        <v>376.59699999999998</v>
      </c>
      <c r="P389" s="6">
        <v>721</v>
      </c>
      <c r="Q389" s="4" t="s">
        <v>26</v>
      </c>
      <c r="R389" s="4">
        <v>0</v>
      </c>
      <c r="S389" s="6">
        <v>0</v>
      </c>
      <c r="T389" s="6">
        <v>65</v>
      </c>
      <c r="U389" s="6">
        <v>25</v>
      </c>
      <c r="V389" s="6">
        <f>IF(ISERROR(VLOOKUP($S$389,'TAR FIN'!$A$1:$O$88,15,0)),0,VLOOKUP($S$389,'TAR FIN'!$A$1:$O$88,15,0))</f>
        <v>0</v>
      </c>
      <c r="W389" s="6">
        <f>IF(ISERROR(VLOOKUP($T$389,'TAR FIN'!$A$1:$O$88,15,0)),0,VLOOKUP($T$389,'TAR FIN'!$A$1:$O$88,15,0))</f>
        <v>269.91000000000003</v>
      </c>
      <c r="X389" s="6">
        <f>IF(ISERROR(VLOOKUP($U$389,'TAR FIN'!$A$1:$O$88,15,0)),0,VLOOKUP($U$389,'TAR FIN'!$A$1:$O$88,15,0))</f>
        <v>288.89999999999998</v>
      </c>
      <c r="Y389" s="6"/>
      <c r="Z389" s="6">
        <f ca="1">('TUSD BE'!$AM$48+'TUSD BF'!$AM$48+'TUSD CVA'!$AM$48)*1</f>
        <v>350.41122835255294</v>
      </c>
      <c r="AA389" s="6">
        <f>('TE BE'!$AB$39+'TE BF'!$AB$39+'TE CVA'!$AB$39)*1</f>
        <v>207.63042742196092</v>
      </c>
      <c r="AB389" s="6">
        <f>$K$389*$V$389</f>
        <v>0</v>
      </c>
      <c r="AC389" s="6">
        <f>$M$389*$W$389</f>
        <v>101647.29627000001</v>
      </c>
      <c r="AD389" s="6">
        <f>$O$389*$X$389</f>
        <v>108798.87329999999</v>
      </c>
      <c r="AE389" s="6">
        <f>$K$389*$Y$389</f>
        <v>0</v>
      </c>
      <c r="AF389" s="6">
        <f ca="1">$M$389*$Z$389</f>
        <v>131963.81736388637</v>
      </c>
      <c r="AG389" s="6">
        <f>$O$389*$AA$389</f>
        <v>78192.99607582821</v>
      </c>
    </row>
    <row r="390" spans="1:33" ht="11.25" customHeight="1" x14ac:dyDescent="0.25">
      <c r="A390" s="4" t="s">
        <v>27</v>
      </c>
      <c r="B390" s="4" t="s">
        <v>36</v>
      </c>
      <c r="C390" s="4" t="s">
        <v>23</v>
      </c>
      <c r="D390" s="4" t="s">
        <v>40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44562</v>
      </c>
      <c r="J390" s="6">
        <v>0</v>
      </c>
      <c r="K390" s="6">
        <v>0</v>
      </c>
      <c r="L390" s="6">
        <v>14.444000000000001</v>
      </c>
      <c r="M390" s="6">
        <v>14.444000000000001</v>
      </c>
      <c r="N390" s="6">
        <v>14.444000000000001</v>
      </c>
      <c r="O390" s="6">
        <v>14.444000000000001</v>
      </c>
      <c r="P390" s="6">
        <v>75</v>
      </c>
      <c r="Q390" s="4" t="s">
        <v>26</v>
      </c>
      <c r="R390" s="4">
        <v>0</v>
      </c>
      <c r="S390" s="6">
        <v>0</v>
      </c>
      <c r="T390" s="6">
        <v>65</v>
      </c>
      <c r="U390" s="6">
        <v>25</v>
      </c>
      <c r="V390" s="6">
        <f>IF(ISERROR(VLOOKUP($S$390,'TAR FIN'!$A$1:$O$88,15,0)),0,VLOOKUP($S$390,'TAR FIN'!$A$1:$O$88,15,0))</f>
        <v>0</v>
      </c>
      <c r="W390" s="6">
        <f>IF(ISERROR(VLOOKUP($T$390,'TAR FIN'!$A$1:$O$88,15,0)),0,VLOOKUP($T$390,'TAR FIN'!$A$1:$O$88,15,0))</f>
        <v>269.91000000000003</v>
      </c>
      <c r="X390" s="6">
        <f>IF(ISERROR(VLOOKUP($U$390,'TAR FIN'!$A$1:$O$88,15,0)),0,VLOOKUP($U$390,'TAR FIN'!$A$1:$O$88,15,0))</f>
        <v>288.89999999999998</v>
      </c>
      <c r="Y390" s="6"/>
      <c r="Z390" s="6">
        <f ca="1">('TUSD BE'!$AM$48+'TUSD BF'!$AM$48+'TUSD CVA'!$AM$48)*1</f>
        <v>350.41122835255294</v>
      </c>
      <c r="AA390" s="6">
        <f>('TE BE'!$AB$39+'TE BF'!$AB$39+'TE CVA'!$AB$39)*1</f>
        <v>207.63042742196092</v>
      </c>
      <c r="AB390" s="6">
        <f>$K$390*$V$390</f>
        <v>0</v>
      </c>
      <c r="AC390" s="6">
        <f>$M$390*$W$390</f>
        <v>3898.5800400000007</v>
      </c>
      <c r="AD390" s="6">
        <f>$O$390*$X$390</f>
        <v>4172.8715999999995</v>
      </c>
      <c r="AE390" s="6">
        <f>$K$390*$Y$390</f>
        <v>0</v>
      </c>
      <c r="AF390" s="6">
        <f ca="1">$M$390*$Z$390</f>
        <v>5061.3397823242749</v>
      </c>
      <c r="AG390" s="6">
        <f>$O$390*$AA$390</f>
        <v>2999.0138936828039</v>
      </c>
    </row>
    <row r="391" spans="1:33" ht="11.25" customHeight="1" x14ac:dyDescent="0.25">
      <c r="A391" s="4" t="s">
        <v>21</v>
      </c>
      <c r="B391" s="4" t="s">
        <v>36</v>
      </c>
      <c r="C391" s="4" t="s">
        <v>23</v>
      </c>
      <c r="D391" s="4" t="s">
        <v>40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44593</v>
      </c>
      <c r="J391" s="6">
        <v>0</v>
      </c>
      <c r="K391" s="6">
        <v>0</v>
      </c>
      <c r="L391" s="6">
        <v>345.58699999999999</v>
      </c>
      <c r="M391" s="6">
        <v>345.58699999999999</v>
      </c>
      <c r="N391" s="6">
        <v>345.58699999999999</v>
      </c>
      <c r="O391" s="6">
        <v>345.58699999999999</v>
      </c>
      <c r="P391" s="6">
        <v>720</v>
      </c>
      <c r="Q391" s="4" t="s">
        <v>26</v>
      </c>
      <c r="R391" s="4">
        <v>0</v>
      </c>
      <c r="S391" s="6">
        <v>0</v>
      </c>
      <c r="T391" s="6">
        <v>65</v>
      </c>
      <c r="U391" s="6">
        <v>25</v>
      </c>
      <c r="V391" s="6">
        <f>IF(ISERROR(VLOOKUP($S$391,'TAR FIN'!$A$1:$O$88,15,0)),0,VLOOKUP($S$391,'TAR FIN'!$A$1:$O$88,15,0))</f>
        <v>0</v>
      </c>
      <c r="W391" s="6">
        <f>IF(ISERROR(VLOOKUP($T$391,'TAR FIN'!$A$1:$O$88,15,0)),0,VLOOKUP($T$391,'TAR FIN'!$A$1:$O$88,15,0))</f>
        <v>269.91000000000003</v>
      </c>
      <c r="X391" s="6">
        <f>IF(ISERROR(VLOOKUP($U$391,'TAR FIN'!$A$1:$O$88,15,0)),0,VLOOKUP($U$391,'TAR FIN'!$A$1:$O$88,15,0))</f>
        <v>288.89999999999998</v>
      </c>
      <c r="Y391" s="6"/>
      <c r="Z391" s="6">
        <f ca="1">('TUSD BE'!$AM$48+'TUSD BF'!$AM$48+'TUSD CVA'!$AM$48)*1</f>
        <v>350.41122835255294</v>
      </c>
      <c r="AA391" s="6">
        <f>('TE BE'!$AB$39+'TE BF'!$AB$39+'TE CVA'!$AB$39)*1</f>
        <v>207.63042742196092</v>
      </c>
      <c r="AB391" s="6">
        <f>$K$391*$V$391</f>
        <v>0</v>
      </c>
      <c r="AC391" s="6">
        <f>$M$391*$W$391</f>
        <v>93277.387170000002</v>
      </c>
      <c r="AD391" s="6">
        <f>$O$391*$X$391</f>
        <v>99840.084299999988</v>
      </c>
      <c r="AE391" s="6">
        <f>$K$391*$Y$391</f>
        <v>0</v>
      </c>
      <c r="AF391" s="6">
        <f ca="1">$M$391*$Z$391</f>
        <v>121097.56517267371</v>
      </c>
      <c r="AG391" s="6">
        <f>$O$391*$AA$391</f>
        <v>71754.376521473212</v>
      </c>
    </row>
    <row r="392" spans="1:33" ht="11.25" customHeight="1" x14ac:dyDescent="0.25">
      <c r="A392" s="4" t="s">
        <v>27</v>
      </c>
      <c r="B392" s="4" t="s">
        <v>36</v>
      </c>
      <c r="C392" s="4" t="s">
        <v>23</v>
      </c>
      <c r="D392" s="4" t="s">
        <v>40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44593</v>
      </c>
      <c r="J392" s="6">
        <v>0</v>
      </c>
      <c r="K392" s="6">
        <v>0</v>
      </c>
      <c r="L392" s="6">
        <v>17.829000000000001</v>
      </c>
      <c r="M392" s="6">
        <v>17.829000000000001</v>
      </c>
      <c r="N392" s="6">
        <v>17.829000000000001</v>
      </c>
      <c r="O392" s="6">
        <v>17.829000000000001</v>
      </c>
      <c r="P392" s="6">
        <v>76</v>
      </c>
      <c r="Q392" s="4" t="s">
        <v>26</v>
      </c>
      <c r="R392" s="4">
        <v>0</v>
      </c>
      <c r="S392" s="6">
        <v>0</v>
      </c>
      <c r="T392" s="6">
        <v>65</v>
      </c>
      <c r="U392" s="6">
        <v>25</v>
      </c>
      <c r="V392" s="6">
        <f>IF(ISERROR(VLOOKUP($S$392,'TAR FIN'!$A$1:$O$88,15,0)),0,VLOOKUP($S$392,'TAR FIN'!$A$1:$O$88,15,0))</f>
        <v>0</v>
      </c>
      <c r="W392" s="6">
        <f>IF(ISERROR(VLOOKUP($T$392,'TAR FIN'!$A$1:$O$88,15,0)),0,VLOOKUP($T$392,'TAR FIN'!$A$1:$O$88,15,0))</f>
        <v>269.91000000000003</v>
      </c>
      <c r="X392" s="6">
        <f>IF(ISERROR(VLOOKUP($U$392,'TAR FIN'!$A$1:$O$88,15,0)),0,VLOOKUP($U$392,'TAR FIN'!$A$1:$O$88,15,0))</f>
        <v>288.89999999999998</v>
      </c>
      <c r="Y392" s="6"/>
      <c r="Z392" s="6">
        <f ca="1">('TUSD BE'!$AM$48+'TUSD BF'!$AM$48+'TUSD CVA'!$AM$48)*1</f>
        <v>350.41122835255294</v>
      </c>
      <c r="AA392" s="6">
        <f>('TE BE'!$AB$39+'TE BF'!$AB$39+'TE CVA'!$AB$39)*1</f>
        <v>207.63042742196092</v>
      </c>
      <c r="AB392" s="6">
        <f>$K$392*$V$392</f>
        <v>0</v>
      </c>
      <c r="AC392" s="6">
        <f>$M$392*$W$392</f>
        <v>4812.2253900000005</v>
      </c>
      <c r="AD392" s="6">
        <f>$O$392*$X$392</f>
        <v>5150.7981</v>
      </c>
      <c r="AE392" s="6">
        <f>$K$392*$Y$392</f>
        <v>0</v>
      </c>
      <c r="AF392" s="6">
        <f ca="1">$M$392*$Z$392</f>
        <v>6247.4817902976665</v>
      </c>
      <c r="AG392" s="6">
        <f>$O$392*$AA$392</f>
        <v>3701.8428905061414</v>
      </c>
    </row>
    <row r="393" spans="1:33" ht="11.25" customHeight="1" x14ac:dyDescent="0.25">
      <c r="A393" s="4" t="s">
        <v>21</v>
      </c>
      <c r="B393" s="4" t="s">
        <v>36</v>
      </c>
      <c r="C393" s="4" t="s">
        <v>23</v>
      </c>
      <c r="D393" s="4" t="s">
        <v>40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44621</v>
      </c>
      <c r="J393" s="6">
        <v>0</v>
      </c>
      <c r="K393" s="6">
        <v>0</v>
      </c>
      <c r="L393" s="6">
        <v>361.27199999999999</v>
      </c>
      <c r="M393" s="6">
        <v>361.27199999999999</v>
      </c>
      <c r="N393" s="6">
        <v>361.27199999999999</v>
      </c>
      <c r="O393" s="6">
        <v>361.27199999999999</v>
      </c>
      <c r="P393" s="6">
        <v>720</v>
      </c>
      <c r="Q393" s="4" t="s">
        <v>26</v>
      </c>
      <c r="R393" s="4">
        <v>0</v>
      </c>
      <c r="S393" s="6">
        <v>0</v>
      </c>
      <c r="T393" s="6">
        <v>65</v>
      </c>
      <c r="U393" s="6">
        <v>25</v>
      </c>
      <c r="V393" s="6">
        <f>IF(ISERROR(VLOOKUP($S$393,'TAR FIN'!$A$1:$O$88,15,0)),0,VLOOKUP($S$393,'TAR FIN'!$A$1:$O$88,15,0))</f>
        <v>0</v>
      </c>
      <c r="W393" s="6">
        <f>IF(ISERROR(VLOOKUP($T$393,'TAR FIN'!$A$1:$O$88,15,0)),0,VLOOKUP($T$393,'TAR FIN'!$A$1:$O$88,15,0))</f>
        <v>269.91000000000003</v>
      </c>
      <c r="X393" s="6">
        <f>IF(ISERROR(VLOOKUP($U$393,'TAR FIN'!$A$1:$O$88,15,0)),0,VLOOKUP($U$393,'TAR FIN'!$A$1:$O$88,15,0))</f>
        <v>288.89999999999998</v>
      </c>
      <c r="Y393" s="6"/>
      <c r="Z393" s="6">
        <f ca="1">('TUSD BE'!$AM$48+'TUSD BF'!$AM$48+'TUSD CVA'!$AM$48)*1</f>
        <v>350.41122835255294</v>
      </c>
      <c r="AA393" s="6">
        <f>('TE BE'!$AB$39+'TE BF'!$AB$39+'TE CVA'!$AB$39)*1</f>
        <v>207.63042742196092</v>
      </c>
      <c r="AB393" s="6">
        <f>$K$393*$V$393</f>
        <v>0</v>
      </c>
      <c r="AC393" s="6">
        <f>$M$393*$W$393</f>
        <v>97510.925520000004</v>
      </c>
      <c r="AD393" s="6">
        <f>$O$393*$X$393</f>
        <v>104371.48079999999</v>
      </c>
      <c r="AE393" s="6">
        <f>$K$393*$Y$393</f>
        <v>0</v>
      </c>
      <c r="AF393" s="6">
        <f ca="1">$M$393*$Z$393</f>
        <v>126593.7652893835</v>
      </c>
      <c r="AG393" s="6">
        <f>$O$393*$AA$393</f>
        <v>75011.059775586662</v>
      </c>
    </row>
    <row r="394" spans="1:33" ht="11.25" customHeight="1" x14ac:dyDescent="0.25">
      <c r="A394" s="4" t="s">
        <v>27</v>
      </c>
      <c r="B394" s="4" t="s">
        <v>36</v>
      </c>
      <c r="C394" s="4" t="s">
        <v>23</v>
      </c>
      <c r="D394" s="4" t="s">
        <v>40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44621</v>
      </c>
      <c r="J394" s="6">
        <v>0</v>
      </c>
      <c r="K394" s="6">
        <v>0</v>
      </c>
      <c r="L394" s="6">
        <v>28.901</v>
      </c>
      <c r="M394" s="6">
        <v>28.901</v>
      </c>
      <c r="N394" s="6">
        <v>28.901</v>
      </c>
      <c r="O394" s="6">
        <v>28.901</v>
      </c>
      <c r="P394" s="6">
        <v>82</v>
      </c>
      <c r="Q394" s="4" t="s">
        <v>26</v>
      </c>
      <c r="R394" s="4">
        <v>0</v>
      </c>
      <c r="S394" s="6">
        <v>0</v>
      </c>
      <c r="T394" s="6">
        <v>65</v>
      </c>
      <c r="U394" s="6">
        <v>25</v>
      </c>
      <c r="V394" s="6">
        <f>IF(ISERROR(VLOOKUP($S$394,'TAR FIN'!$A$1:$O$88,15,0)),0,VLOOKUP($S$394,'TAR FIN'!$A$1:$O$88,15,0))</f>
        <v>0</v>
      </c>
      <c r="W394" s="6">
        <f>IF(ISERROR(VLOOKUP($T$394,'TAR FIN'!$A$1:$O$88,15,0)),0,VLOOKUP($T$394,'TAR FIN'!$A$1:$O$88,15,0))</f>
        <v>269.91000000000003</v>
      </c>
      <c r="X394" s="6">
        <f>IF(ISERROR(VLOOKUP($U$394,'TAR FIN'!$A$1:$O$88,15,0)),0,VLOOKUP($U$394,'TAR FIN'!$A$1:$O$88,15,0))</f>
        <v>288.89999999999998</v>
      </c>
      <c r="Y394" s="6"/>
      <c r="Z394" s="6">
        <f ca="1">('TUSD BE'!$AM$48+'TUSD BF'!$AM$48+'TUSD CVA'!$AM$48)*1</f>
        <v>350.41122835255294</v>
      </c>
      <c r="AA394" s="6">
        <f>('TE BE'!$AB$39+'TE BF'!$AB$39+'TE CVA'!$AB$39)*1</f>
        <v>207.63042742196092</v>
      </c>
      <c r="AB394" s="6">
        <f>$K$394*$V$394</f>
        <v>0</v>
      </c>
      <c r="AC394" s="6">
        <f>$M$394*$W$394</f>
        <v>7800.6689100000003</v>
      </c>
      <c r="AD394" s="6">
        <f>$O$394*$X$394</f>
        <v>8349.4988999999987</v>
      </c>
      <c r="AE394" s="6">
        <f>$K$394*$Y$394</f>
        <v>0</v>
      </c>
      <c r="AF394" s="6">
        <f ca="1">$M$394*$Z$394</f>
        <v>10127.234910617133</v>
      </c>
      <c r="AG394" s="6">
        <f>$O$394*$AA$394</f>
        <v>6000.7269829220922</v>
      </c>
    </row>
    <row r="395" spans="1:33" ht="11.25" customHeight="1" x14ac:dyDescent="0.25">
      <c r="A395" s="4" t="s">
        <v>21</v>
      </c>
      <c r="B395" s="4" t="s">
        <v>36</v>
      </c>
      <c r="C395" s="4" t="s">
        <v>23</v>
      </c>
      <c r="D395" s="4" t="s">
        <v>40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44652</v>
      </c>
      <c r="J395" s="6">
        <v>0</v>
      </c>
      <c r="K395" s="6">
        <v>0</v>
      </c>
      <c r="L395" s="6">
        <v>283.11</v>
      </c>
      <c r="M395" s="6">
        <v>283.11</v>
      </c>
      <c r="N395" s="6">
        <v>283.11</v>
      </c>
      <c r="O395" s="6">
        <v>283.11</v>
      </c>
      <c r="P395" s="6">
        <v>726</v>
      </c>
      <c r="Q395" s="4" t="s">
        <v>26</v>
      </c>
      <c r="R395" s="4">
        <v>0</v>
      </c>
      <c r="S395" s="6">
        <v>0</v>
      </c>
      <c r="T395" s="6">
        <v>65</v>
      </c>
      <c r="U395" s="6">
        <v>25</v>
      </c>
      <c r="V395" s="6">
        <f>IF(ISERROR(VLOOKUP($S$395,'TAR FIN'!$A$1:$O$88,15,0)),0,VLOOKUP($S$395,'TAR FIN'!$A$1:$O$88,15,0))</f>
        <v>0</v>
      </c>
      <c r="W395" s="6">
        <f>IF(ISERROR(VLOOKUP($T$395,'TAR FIN'!$A$1:$O$88,15,0)),0,VLOOKUP($T$395,'TAR FIN'!$A$1:$O$88,15,0))</f>
        <v>269.91000000000003</v>
      </c>
      <c r="X395" s="6">
        <f>IF(ISERROR(VLOOKUP($U$395,'TAR FIN'!$A$1:$O$88,15,0)),0,VLOOKUP($U$395,'TAR FIN'!$A$1:$O$88,15,0))</f>
        <v>288.89999999999998</v>
      </c>
      <c r="Y395" s="6"/>
      <c r="Z395" s="6">
        <f ca="1">('TUSD BE'!$AM$48+'TUSD BF'!$AM$48+'TUSD CVA'!$AM$48)*1</f>
        <v>350.41122835255294</v>
      </c>
      <c r="AA395" s="6">
        <f>('TE BE'!$AB$39+'TE BF'!$AB$39+'TE CVA'!$AB$39)*1</f>
        <v>207.63042742196092</v>
      </c>
      <c r="AB395" s="6">
        <f>$K$395*$V$395</f>
        <v>0</v>
      </c>
      <c r="AC395" s="6">
        <f>$M$395*$W$395</f>
        <v>76414.220100000006</v>
      </c>
      <c r="AD395" s="6">
        <f>$O$395*$X$395</f>
        <v>81790.478999999992</v>
      </c>
      <c r="AE395" s="6">
        <f>$K$395*$Y$395</f>
        <v>0</v>
      </c>
      <c r="AF395" s="6">
        <f ca="1">$M$395*$Z$395</f>
        <v>99204.922858891267</v>
      </c>
      <c r="AG395" s="6">
        <f>$O$395*$AA$395</f>
        <v>58782.250307431357</v>
      </c>
    </row>
    <row r="396" spans="1:33" ht="11.25" customHeight="1" x14ac:dyDescent="0.25">
      <c r="A396" s="4" t="s">
        <v>27</v>
      </c>
      <c r="B396" s="4" t="s">
        <v>36</v>
      </c>
      <c r="C396" s="4" t="s">
        <v>23</v>
      </c>
      <c r="D396" s="4" t="s">
        <v>40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44652</v>
      </c>
      <c r="J396" s="6">
        <v>0</v>
      </c>
      <c r="K396" s="6">
        <v>0</v>
      </c>
      <c r="L396" s="6">
        <v>22.95</v>
      </c>
      <c r="M396" s="6">
        <v>22.95</v>
      </c>
      <c r="N396" s="6">
        <v>22.95</v>
      </c>
      <c r="O396" s="6">
        <v>22.95</v>
      </c>
      <c r="P396" s="6">
        <v>83</v>
      </c>
      <c r="Q396" s="4" t="s">
        <v>26</v>
      </c>
      <c r="R396" s="4">
        <v>0</v>
      </c>
      <c r="S396" s="6">
        <v>0</v>
      </c>
      <c r="T396" s="6">
        <v>65</v>
      </c>
      <c r="U396" s="6">
        <v>25</v>
      </c>
      <c r="V396" s="6">
        <f>IF(ISERROR(VLOOKUP($S$396,'TAR FIN'!$A$1:$O$88,15,0)),0,VLOOKUP($S$396,'TAR FIN'!$A$1:$O$88,15,0))</f>
        <v>0</v>
      </c>
      <c r="W396" s="6">
        <f>IF(ISERROR(VLOOKUP($T$396,'TAR FIN'!$A$1:$O$88,15,0)),0,VLOOKUP($T$396,'TAR FIN'!$A$1:$O$88,15,0))</f>
        <v>269.91000000000003</v>
      </c>
      <c r="X396" s="6">
        <f>IF(ISERROR(VLOOKUP($U$396,'TAR FIN'!$A$1:$O$88,15,0)),0,VLOOKUP($U$396,'TAR FIN'!$A$1:$O$88,15,0))</f>
        <v>288.89999999999998</v>
      </c>
      <c r="Y396" s="6"/>
      <c r="Z396" s="6">
        <f ca="1">('TUSD BE'!$AM$48+'TUSD BF'!$AM$48+'TUSD CVA'!$AM$48)*1</f>
        <v>350.41122835255294</v>
      </c>
      <c r="AA396" s="6">
        <f>('TE BE'!$AB$39+'TE BF'!$AB$39+'TE CVA'!$AB$39)*1</f>
        <v>207.63042742196092</v>
      </c>
      <c r="AB396" s="6">
        <f>$K$396*$V$396</f>
        <v>0</v>
      </c>
      <c r="AC396" s="6">
        <f>$M$396*$W$396</f>
        <v>6194.4345000000003</v>
      </c>
      <c r="AD396" s="6">
        <f>$O$396*$X$396</f>
        <v>6630.2549999999992</v>
      </c>
      <c r="AE396" s="6">
        <f>$K$396*$Y$396</f>
        <v>0</v>
      </c>
      <c r="AF396" s="6">
        <f ca="1">$M$396*$Z$396</f>
        <v>8041.9376906910893</v>
      </c>
      <c r="AG396" s="6">
        <f>$O$396*$AA$396</f>
        <v>4765.1183093340032</v>
      </c>
    </row>
    <row r="397" spans="1:33" ht="11.25" customHeight="1" x14ac:dyDescent="0.25">
      <c r="A397" s="4" t="s">
        <v>21</v>
      </c>
      <c r="B397" s="4" t="s">
        <v>36</v>
      </c>
      <c r="C397" s="4" t="s">
        <v>23</v>
      </c>
      <c r="D397" s="4" t="s">
        <v>40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44682</v>
      </c>
      <c r="J397" s="6">
        <v>0</v>
      </c>
      <c r="K397" s="6">
        <v>0</v>
      </c>
      <c r="L397" s="6">
        <v>287.95999999999998</v>
      </c>
      <c r="M397" s="6">
        <v>287.95999999999998</v>
      </c>
      <c r="N397" s="6">
        <v>287.95999999999998</v>
      </c>
      <c r="O397" s="6">
        <v>287.95999999999998</v>
      </c>
      <c r="P397" s="6">
        <v>728</v>
      </c>
      <c r="Q397" s="4" t="s">
        <v>26</v>
      </c>
      <c r="R397" s="4">
        <v>0</v>
      </c>
      <c r="S397" s="6">
        <v>0</v>
      </c>
      <c r="T397" s="6">
        <v>65</v>
      </c>
      <c r="U397" s="6">
        <v>25</v>
      </c>
      <c r="V397" s="6">
        <f>IF(ISERROR(VLOOKUP($S$397,'TAR FIN'!$A$1:$O$88,15,0)),0,VLOOKUP($S$397,'TAR FIN'!$A$1:$O$88,15,0))</f>
        <v>0</v>
      </c>
      <c r="W397" s="6">
        <f>IF(ISERROR(VLOOKUP($T$397,'TAR FIN'!$A$1:$O$88,15,0)),0,VLOOKUP($T$397,'TAR FIN'!$A$1:$O$88,15,0))</f>
        <v>269.91000000000003</v>
      </c>
      <c r="X397" s="6">
        <f>IF(ISERROR(VLOOKUP($U$397,'TAR FIN'!$A$1:$O$88,15,0)),0,VLOOKUP($U$397,'TAR FIN'!$A$1:$O$88,15,0))</f>
        <v>288.89999999999998</v>
      </c>
      <c r="Y397" s="6"/>
      <c r="Z397" s="6">
        <f ca="1">('TUSD BE'!$AM$48+'TUSD BF'!$AM$48+'TUSD CVA'!$AM$48)*1</f>
        <v>350.41122835255294</v>
      </c>
      <c r="AA397" s="6">
        <f>('TE BE'!$AB$39+'TE BF'!$AB$39+'TE CVA'!$AB$39)*1</f>
        <v>207.63042742196092</v>
      </c>
      <c r="AB397" s="6">
        <f>$K$397*$V$397</f>
        <v>0</v>
      </c>
      <c r="AC397" s="6">
        <f>$M$397*$W$397</f>
        <v>77723.283599999995</v>
      </c>
      <c r="AD397" s="6">
        <f>$O$397*$X$397</f>
        <v>83191.643999999986</v>
      </c>
      <c r="AE397" s="6">
        <f>$K$397*$Y$397</f>
        <v>0</v>
      </c>
      <c r="AF397" s="6">
        <f ca="1">$M$397*$Z$397</f>
        <v>100904.41731640113</v>
      </c>
      <c r="AG397" s="6">
        <f>$O$397*$AA$397</f>
        <v>59789.25788042786</v>
      </c>
    </row>
    <row r="398" spans="1:33" ht="11.25" customHeight="1" x14ac:dyDescent="0.25">
      <c r="A398" s="4" t="s">
        <v>54</v>
      </c>
      <c r="B398" s="4" t="s">
        <v>36</v>
      </c>
      <c r="C398" s="4" t="s">
        <v>23</v>
      </c>
      <c r="D398" s="4" t="s">
        <v>40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44682</v>
      </c>
      <c r="J398" s="6">
        <v>0</v>
      </c>
      <c r="K398" s="6">
        <v>0</v>
      </c>
      <c r="L398" s="6">
        <v>-0.09</v>
      </c>
      <c r="M398" s="6">
        <v>-0.09</v>
      </c>
      <c r="N398" s="6">
        <v>-0.09</v>
      </c>
      <c r="O398" s="6">
        <v>-0.09</v>
      </c>
      <c r="P398" s="6">
        <v>0</v>
      </c>
      <c r="Q398" s="4" t="s">
        <v>26</v>
      </c>
      <c r="R398" s="4">
        <v>0</v>
      </c>
      <c r="S398" s="6">
        <v>0</v>
      </c>
      <c r="T398" s="6">
        <v>65</v>
      </c>
      <c r="U398" s="6">
        <v>25</v>
      </c>
      <c r="V398" s="6">
        <f>IF(ISERROR(VLOOKUP($S$398,'TAR FIN'!$A$1:$O$88,15,0)),0,VLOOKUP($S$398,'TAR FIN'!$A$1:$O$88,15,0))</f>
        <v>0</v>
      </c>
      <c r="W398" s="6">
        <f>IF(ISERROR(VLOOKUP($T$398,'TAR FIN'!$A$1:$O$88,15,0)),0,VLOOKUP($T$398,'TAR FIN'!$A$1:$O$88,15,0))</f>
        <v>269.91000000000003</v>
      </c>
      <c r="X398" s="6">
        <f>IF(ISERROR(VLOOKUP($U$398,'TAR FIN'!$A$1:$O$88,15,0)),0,VLOOKUP($U$398,'TAR FIN'!$A$1:$O$88,15,0))</f>
        <v>288.89999999999998</v>
      </c>
      <c r="Y398" s="6"/>
      <c r="Z398" s="6">
        <f ca="1">('TUSD BE'!$AM$48+'TUSD BF'!$AM$48+'TUSD CVA'!$AM$48)*1</f>
        <v>350.41122835255294</v>
      </c>
      <c r="AA398" s="6">
        <f>('TE BE'!$AB$39+'TE BF'!$AB$39+'TE CVA'!$AB$39)*1</f>
        <v>207.63042742196092</v>
      </c>
      <c r="AB398" s="6">
        <f>$K$398*$V$398</f>
        <v>0</v>
      </c>
      <c r="AC398" s="6">
        <f>$M$398*$W$398</f>
        <v>-24.291900000000002</v>
      </c>
      <c r="AD398" s="6">
        <f>$O$398*$X$398</f>
        <v>-26.000999999999998</v>
      </c>
      <c r="AE398" s="6">
        <f>$K$398*$Y$398</f>
        <v>0</v>
      </c>
      <c r="AF398" s="6">
        <f ca="1">$M$398*$Z$398</f>
        <v>-31.537010551729765</v>
      </c>
      <c r="AG398" s="6">
        <f>$O$398*$AA$398</f>
        <v>-18.686738467976483</v>
      </c>
    </row>
    <row r="399" spans="1:33" ht="11.25" customHeight="1" x14ac:dyDescent="0.25">
      <c r="A399" s="4" t="s">
        <v>27</v>
      </c>
      <c r="B399" s="4" t="s">
        <v>36</v>
      </c>
      <c r="C399" s="4" t="s">
        <v>23</v>
      </c>
      <c r="D399" s="4" t="s">
        <v>40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44682</v>
      </c>
      <c r="J399" s="6">
        <v>0</v>
      </c>
      <c r="K399" s="6">
        <v>0</v>
      </c>
      <c r="L399" s="6">
        <v>24.727</v>
      </c>
      <c r="M399" s="6">
        <v>24.727</v>
      </c>
      <c r="N399" s="6">
        <v>24.727</v>
      </c>
      <c r="O399" s="6">
        <v>24.727</v>
      </c>
      <c r="P399" s="6">
        <v>81</v>
      </c>
      <c r="Q399" s="4" t="s">
        <v>26</v>
      </c>
      <c r="R399" s="4">
        <v>0</v>
      </c>
      <c r="S399" s="6">
        <v>0</v>
      </c>
      <c r="T399" s="6">
        <v>65</v>
      </c>
      <c r="U399" s="6">
        <v>25</v>
      </c>
      <c r="V399" s="6">
        <f>IF(ISERROR(VLOOKUP($S$399,'TAR FIN'!$A$1:$O$88,15,0)),0,VLOOKUP($S$399,'TAR FIN'!$A$1:$O$88,15,0))</f>
        <v>0</v>
      </c>
      <c r="W399" s="6">
        <f>IF(ISERROR(VLOOKUP($T$399,'TAR FIN'!$A$1:$O$88,15,0)),0,VLOOKUP($T$399,'TAR FIN'!$A$1:$O$88,15,0))</f>
        <v>269.91000000000003</v>
      </c>
      <c r="X399" s="6">
        <f>IF(ISERROR(VLOOKUP($U$399,'TAR FIN'!$A$1:$O$88,15,0)),0,VLOOKUP($U$399,'TAR FIN'!$A$1:$O$88,15,0))</f>
        <v>288.89999999999998</v>
      </c>
      <c r="Y399" s="6"/>
      <c r="Z399" s="6">
        <f ca="1">('TUSD BE'!$AM$48+'TUSD BF'!$AM$48+'TUSD CVA'!$AM$48)*1</f>
        <v>350.41122835255294</v>
      </c>
      <c r="AA399" s="6">
        <f>('TE BE'!$AB$39+'TE BF'!$AB$39+'TE CVA'!$AB$39)*1</f>
        <v>207.63042742196092</v>
      </c>
      <c r="AB399" s="6">
        <f>$K$399*$V$399</f>
        <v>0</v>
      </c>
      <c r="AC399" s="6">
        <f>$M$399*$W$399</f>
        <v>6674.0645700000005</v>
      </c>
      <c r="AD399" s="6">
        <f>$O$399*$X$399</f>
        <v>7143.6302999999998</v>
      </c>
      <c r="AE399" s="6">
        <f>$K$399*$Y$399</f>
        <v>0</v>
      </c>
      <c r="AF399" s="6">
        <f ca="1">$M$399*$Z$399</f>
        <v>8664.6184434735769</v>
      </c>
      <c r="AG399" s="6">
        <f>$O$399*$AA$399</f>
        <v>5134.077578862828</v>
      </c>
    </row>
    <row r="400" spans="1:33" ht="11.25" customHeight="1" x14ac:dyDescent="0.25">
      <c r="A400" s="4" t="s">
        <v>21</v>
      </c>
      <c r="B400" s="4" t="s">
        <v>36</v>
      </c>
      <c r="C400" s="4" t="s">
        <v>23</v>
      </c>
      <c r="D400" s="4" t="s">
        <v>40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44713</v>
      </c>
      <c r="J400" s="6">
        <v>0</v>
      </c>
      <c r="K400" s="6">
        <v>0</v>
      </c>
      <c r="L400" s="6">
        <v>268.26799999999997</v>
      </c>
      <c r="M400" s="6">
        <v>268.26799999999997</v>
      </c>
      <c r="N400" s="6">
        <v>268.26799999999997</v>
      </c>
      <c r="O400" s="6">
        <v>268.26799999999997</v>
      </c>
      <c r="P400" s="6">
        <v>732</v>
      </c>
      <c r="Q400" s="4" t="s">
        <v>26</v>
      </c>
      <c r="R400" s="4">
        <v>0</v>
      </c>
      <c r="S400" s="6">
        <v>0</v>
      </c>
      <c r="T400" s="6">
        <v>65</v>
      </c>
      <c r="U400" s="6">
        <v>25</v>
      </c>
      <c r="V400" s="6">
        <f>IF(ISERROR(VLOOKUP($S$400,'TAR FIN'!$A$1:$O$88,15,0)),0,VLOOKUP($S$400,'TAR FIN'!$A$1:$O$88,15,0))</f>
        <v>0</v>
      </c>
      <c r="W400" s="6">
        <f>IF(ISERROR(VLOOKUP($T$400,'TAR FIN'!$A$1:$O$88,15,0)),0,VLOOKUP($T$400,'TAR FIN'!$A$1:$O$88,15,0))</f>
        <v>269.91000000000003</v>
      </c>
      <c r="X400" s="6">
        <f>IF(ISERROR(VLOOKUP($U$400,'TAR FIN'!$A$1:$O$88,15,0)),0,VLOOKUP($U$400,'TAR FIN'!$A$1:$O$88,15,0))</f>
        <v>288.89999999999998</v>
      </c>
      <c r="Y400" s="6"/>
      <c r="Z400" s="6">
        <f ca="1">('TUSD BE'!$AM$48+'TUSD BF'!$AM$48+'TUSD CVA'!$AM$48)*1</f>
        <v>350.41122835255294</v>
      </c>
      <c r="AA400" s="6">
        <f>('TE BE'!$AB$39+'TE BF'!$AB$39+'TE CVA'!$AB$39)*1</f>
        <v>207.63042742196092</v>
      </c>
      <c r="AB400" s="6">
        <f>$K$400*$V$400</f>
        <v>0</v>
      </c>
      <c r="AC400" s="6">
        <f>$M$400*$W$400</f>
        <v>72408.215880000003</v>
      </c>
      <c r="AD400" s="6">
        <f>$O$400*$X$400</f>
        <v>77502.62519999998</v>
      </c>
      <c r="AE400" s="6">
        <f>$K$400*$Y$400</f>
        <v>0</v>
      </c>
      <c r="AF400" s="6">
        <f ca="1">$M$400*$Z$400</f>
        <v>94004.119407682665</v>
      </c>
      <c r="AG400" s="6">
        <f>$O$400*$AA$400</f>
        <v>55700.599503634607</v>
      </c>
    </row>
    <row r="401" spans="1:33" ht="11.25" customHeight="1" x14ac:dyDescent="0.25">
      <c r="A401" s="4" t="s">
        <v>27</v>
      </c>
      <c r="B401" s="4" t="s">
        <v>36</v>
      </c>
      <c r="C401" s="4" t="s">
        <v>23</v>
      </c>
      <c r="D401" s="4" t="s">
        <v>40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44713</v>
      </c>
      <c r="J401" s="6">
        <v>0</v>
      </c>
      <c r="K401" s="6">
        <v>0</v>
      </c>
      <c r="L401" s="6">
        <v>31.753</v>
      </c>
      <c r="M401" s="6">
        <v>31.753</v>
      </c>
      <c r="N401" s="6">
        <v>31.753</v>
      </c>
      <c r="O401" s="6">
        <v>31.753</v>
      </c>
      <c r="P401" s="6">
        <v>80</v>
      </c>
      <c r="Q401" s="4" t="s">
        <v>26</v>
      </c>
      <c r="R401" s="4">
        <v>0</v>
      </c>
      <c r="S401" s="6">
        <v>0</v>
      </c>
      <c r="T401" s="6">
        <v>65</v>
      </c>
      <c r="U401" s="6">
        <v>25</v>
      </c>
      <c r="V401" s="6">
        <f>IF(ISERROR(VLOOKUP($S$401,'TAR FIN'!$A$1:$O$88,15,0)),0,VLOOKUP($S$401,'TAR FIN'!$A$1:$O$88,15,0))</f>
        <v>0</v>
      </c>
      <c r="W401" s="6">
        <f>IF(ISERROR(VLOOKUP($T$401,'TAR FIN'!$A$1:$O$88,15,0)),0,VLOOKUP($T$401,'TAR FIN'!$A$1:$O$88,15,0))</f>
        <v>269.91000000000003</v>
      </c>
      <c r="X401" s="6">
        <f>IF(ISERROR(VLOOKUP($U$401,'TAR FIN'!$A$1:$O$88,15,0)),0,VLOOKUP($U$401,'TAR FIN'!$A$1:$O$88,15,0))</f>
        <v>288.89999999999998</v>
      </c>
      <c r="Y401" s="6"/>
      <c r="Z401" s="6">
        <f ca="1">('TUSD BE'!$AM$48+'TUSD BF'!$AM$48+'TUSD CVA'!$AM$48)*1</f>
        <v>350.41122835255294</v>
      </c>
      <c r="AA401" s="6">
        <f>('TE BE'!$AB$39+'TE BF'!$AB$39+'TE CVA'!$AB$39)*1</f>
        <v>207.63042742196092</v>
      </c>
      <c r="AB401" s="6">
        <f>$K$401*$V$401</f>
        <v>0</v>
      </c>
      <c r="AC401" s="6">
        <f>$M$401*$W$401</f>
        <v>8570.4522300000008</v>
      </c>
      <c r="AD401" s="6">
        <f>$O$401*$X$401</f>
        <v>9173.4416999999994</v>
      </c>
      <c r="AE401" s="6">
        <f>$K$401*$Y$401</f>
        <v>0</v>
      </c>
      <c r="AF401" s="6">
        <f ca="1">$M$401*$Z$401</f>
        <v>11126.607733878613</v>
      </c>
      <c r="AG401" s="6">
        <f>$O$401*$AA$401</f>
        <v>6592.8889619295251</v>
      </c>
    </row>
    <row r="402" spans="1:33" ht="11.25" customHeight="1" x14ac:dyDescent="0.25">
      <c r="A402" s="4" t="s">
        <v>55</v>
      </c>
      <c r="B402" s="4" t="s">
        <v>36</v>
      </c>
      <c r="C402" s="4" t="s">
        <v>23</v>
      </c>
      <c r="D402" s="4" t="s">
        <v>40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44743</v>
      </c>
      <c r="J402" s="6">
        <v>0</v>
      </c>
      <c r="K402" s="6">
        <v>0</v>
      </c>
      <c r="L402" s="6">
        <v>268.26799999999997</v>
      </c>
      <c r="M402" s="6">
        <v>268.26799999999997</v>
      </c>
      <c r="N402" s="6">
        <v>268.26799999999997</v>
      </c>
      <c r="O402" s="6">
        <v>268.26799999999997</v>
      </c>
      <c r="P402" s="6">
        <v>732</v>
      </c>
      <c r="Q402" s="4" t="s">
        <v>26</v>
      </c>
      <c r="R402" s="4">
        <v>0</v>
      </c>
      <c r="S402" s="6">
        <v>0</v>
      </c>
      <c r="T402" s="6">
        <v>65</v>
      </c>
      <c r="U402" s="6">
        <v>25</v>
      </c>
      <c r="V402" s="6">
        <f>IF(ISERROR(VLOOKUP($S$402,'TAR FIN'!$A$1:$O$88,15,0)),0,VLOOKUP($S$402,'TAR FIN'!$A$1:$O$88,15,0))</f>
        <v>0</v>
      </c>
      <c r="W402" s="6">
        <f>IF(ISERROR(VLOOKUP($T$402,'TAR FIN'!$A$1:$O$88,15,0)),0,VLOOKUP($T$402,'TAR FIN'!$A$1:$O$88,15,0))</f>
        <v>269.91000000000003</v>
      </c>
      <c r="X402" s="6">
        <f>IF(ISERROR(VLOOKUP($U$402,'TAR FIN'!$A$1:$O$88,15,0)),0,VLOOKUP($U$402,'TAR FIN'!$A$1:$O$88,15,0))</f>
        <v>288.89999999999998</v>
      </c>
      <c r="Y402" s="6"/>
      <c r="Z402" s="6">
        <f ca="1">('TUSD BE'!$AM$48+'TUSD BF'!$AM$48+'TUSD CVA'!$AM$48)*1</f>
        <v>350.41122835255294</v>
      </c>
      <c r="AA402" s="6">
        <f>('TE BE'!$AB$39+'TE BF'!$AB$39+'TE CVA'!$AB$39)*1</f>
        <v>207.63042742196092</v>
      </c>
      <c r="AB402" s="6">
        <f>$K$402*$V$402</f>
        <v>0</v>
      </c>
      <c r="AC402" s="6">
        <f>$M$402*$W$402</f>
        <v>72408.215880000003</v>
      </c>
      <c r="AD402" s="6">
        <f>$O$402*$X$402</f>
        <v>77502.62519999998</v>
      </c>
      <c r="AE402" s="6">
        <f>$K$402*$Y$402</f>
        <v>0</v>
      </c>
      <c r="AF402" s="6">
        <f ca="1">$M$402*$Z$402</f>
        <v>94004.119407682665</v>
      </c>
      <c r="AG402" s="6">
        <f>$O$402*$AA$402</f>
        <v>55700.599503634607</v>
      </c>
    </row>
    <row r="403" spans="1:33" ht="11.25" customHeight="1" x14ac:dyDescent="0.25">
      <c r="A403" s="4" t="s">
        <v>55</v>
      </c>
      <c r="B403" s="4" t="s">
        <v>36</v>
      </c>
      <c r="C403" s="4" t="s">
        <v>23</v>
      </c>
      <c r="D403" s="4" t="s">
        <v>40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44743</v>
      </c>
      <c r="J403" s="6">
        <v>0</v>
      </c>
      <c r="K403" s="6">
        <v>0</v>
      </c>
      <c r="L403" s="6">
        <v>31.753</v>
      </c>
      <c r="M403" s="6">
        <v>31.753</v>
      </c>
      <c r="N403" s="6">
        <v>31.753</v>
      </c>
      <c r="O403" s="6">
        <v>31.753</v>
      </c>
      <c r="P403" s="6">
        <v>80</v>
      </c>
      <c r="Q403" s="4" t="s">
        <v>26</v>
      </c>
      <c r="R403" s="4">
        <v>0</v>
      </c>
      <c r="S403" s="6">
        <v>0</v>
      </c>
      <c r="T403" s="6">
        <v>65</v>
      </c>
      <c r="U403" s="6">
        <v>25</v>
      </c>
      <c r="V403" s="6">
        <f>IF(ISERROR(VLOOKUP($S$403,'TAR FIN'!$A$1:$O$88,15,0)),0,VLOOKUP($S$403,'TAR FIN'!$A$1:$O$88,15,0))</f>
        <v>0</v>
      </c>
      <c r="W403" s="6">
        <f>IF(ISERROR(VLOOKUP($T$403,'TAR FIN'!$A$1:$O$88,15,0)),0,VLOOKUP($T$403,'TAR FIN'!$A$1:$O$88,15,0))</f>
        <v>269.91000000000003</v>
      </c>
      <c r="X403" s="6">
        <f>IF(ISERROR(VLOOKUP($U$403,'TAR FIN'!$A$1:$O$88,15,0)),0,VLOOKUP($U$403,'TAR FIN'!$A$1:$O$88,15,0))</f>
        <v>288.89999999999998</v>
      </c>
      <c r="Y403" s="6"/>
      <c r="Z403" s="6">
        <f ca="1">('TUSD BE'!$AM$48+'TUSD BF'!$AM$48+'TUSD CVA'!$AM$48)*1</f>
        <v>350.41122835255294</v>
      </c>
      <c r="AA403" s="6">
        <f>('TE BE'!$AB$39+'TE BF'!$AB$39+'TE CVA'!$AB$39)*1</f>
        <v>207.63042742196092</v>
      </c>
      <c r="AB403" s="6">
        <f>$K$403*$V$403</f>
        <v>0</v>
      </c>
      <c r="AC403" s="6">
        <f>$M$403*$W$403</f>
        <v>8570.4522300000008</v>
      </c>
      <c r="AD403" s="6">
        <f>$O$403*$X$403</f>
        <v>9173.4416999999994</v>
      </c>
      <c r="AE403" s="6">
        <f>$K$403*$Y$403</f>
        <v>0</v>
      </c>
      <c r="AF403" s="6">
        <f ca="1">$M$403*$Z$403</f>
        <v>11126.607733878613</v>
      </c>
      <c r="AG403" s="6">
        <f>$O$403*$AA$403</f>
        <v>6592.8889619295251</v>
      </c>
    </row>
    <row r="404" spans="1:33" ht="11.25" customHeight="1" x14ac:dyDescent="0.25">
      <c r="A404" s="4" t="s">
        <v>21</v>
      </c>
      <c r="B404" s="4" t="s">
        <v>36</v>
      </c>
      <c r="C404" s="4" t="s">
        <v>23</v>
      </c>
      <c r="D404" s="4" t="s">
        <v>49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44409</v>
      </c>
      <c r="J404" s="6">
        <v>0</v>
      </c>
      <c r="K404" s="6">
        <v>0</v>
      </c>
      <c r="L404" s="6">
        <v>6.327</v>
      </c>
      <c r="M404" s="6">
        <v>6.327</v>
      </c>
      <c r="N404" s="6">
        <v>6.327</v>
      </c>
      <c r="O404" s="6">
        <v>6.327</v>
      </c>
      <c r="P404" s="6">
        <v>3</v>
      </c>
      <c r="Q404" s="4" t="s">
        <v>26</v>
      </c>
      <c r="R404" s="4">
        <v>0</v>
      </c>
      <c r="S404" s="6">
        <v>0</v>
      </c>
      <c r="T404" s="6">
        <v>65</v>
      </c>
      <c r="U404" s="6">
        <v>25</v>
      </c>
      <c r="V404" s="6">
        <f>IF(ISERROR(VLOOKUP($S$404,'TAR FIN'!$A$1:$O$88,15,0)),0,VLOOKUP($S$404,'TAR FIN'!$A$1:$O$88,15,0))</f>
        <v>0</v>
      </c>
      <c r="W404" s="6">
        <f>IF(ISERROR(VLOOKUP($T$404,'TAR FIN'!$A$1:$O$88,15,0)),0,VLOOKUP($T$404,'TAR FIN'!$A$1:$O$88,15,0))</f>
        <v>269.91000000000003</v>
      </c>
      <c r="X404" s="6">
        <f>IF(ISERROR(VLOOKUP($U$404,'TAR FIN'!$A$1:$O$88,15,0)),0,VLOOKUP($U$404,'TAR FIN'!$A$1:$O$88,15,0))</f>
        <v>288.89999999999998</v>
      </c>
      <c r="Y404" s="6"/>
      <c r="Z404" s="6">
        <f ca="1">('TUSD BE'!$AM$48+'TUSD BF'!$AM$48+'TUSD CVA'!$AM$48)*1</f>
        <v>350.41122835255294</v>
      </c>
      <c r="AA404" s="6">
        <f>('TE BE'!$AB$39+'TE BF'!$AB$39+'TE CVA'!$AB$39)*1</f>
        <v>207.63042742196092</v>
      </c>
      <c r="AB404" s="6">
        <f>$K$404*$V$404</f>
        <v>0</v>
      </c>
      <c r="AC404" s="6">
        <f>$M$404*$W$404</f>
        <v>1707.7205700000002</v>
      </c>
      <c r="AD404" s="6">
        <f>$O$404*$X$404</f>
        <v>1827.8702999999998</v>
      </c>
      <c r="AE404" s="6">
        <f>$K$404*$Y$404</f>
        <v>0</v>
      </c>
      <c r="AF404" s="6">
        <f ca="1">$M$404*$Z$404</f>
        <v>2217.0518417866024</v>
      </c>
      <c r="AG404" s="6">
        <f>$O$404*$AA$404</f>
        <v>1313.6777142987467</v>
      </c>
    </row>
    <row r="405" spans="1:33" ht="11.25" customHeight="1" x14ac:dyDescent="0.25">
      <c r="A405" s="4" t="s">
        <v>21</v>
      </c>
      <c r="B405" s="4" t="s">
        <v>36</v>
      </c>
      <c r="C405" s="4" t="s">
        <v>23</v>
      </c>
      <c r="D405" s="4" t="s">
        <v>49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44440</v>
      </c>
      <c r="J405" s="6">
        <v>0</v>
      </c>
      <c r="K405" s="6">
        <v>0</v>
      </c>
      <c r="L405" s="6">
        <v>6.0439999999999996</v>
      </c>
      <c r="M405" s="6">
        <v>6.0439999999999996</v>
      </c>
      <c r="N405" s="6">
        <v>6.0439999999999996</v>
      </c>
      <c r="O405" s="6">
        <v>6.0439999999999996</v>
      </c>
      <c r="P405" s="6">
        <v>3</v>
      </c>
      <c r="Q405" s="4" t="s">
        <v>26</v>
      </c>
      <c r="R405" s="4">
        <v>0</v>
      </c>
      <c r="S405" s="6">
        <v>0</v>
      </c>
      <c r="T405" s="6">
        <v>65</v>
      </c>
      <c r="U405" s="6">
        <v>25</v>
      </c>
      <c r="V405" s="6">
        <f>IF(ISERROR(VLOOKUP($S$405,'TAR FIN'!$A$1:$O$88,15,0)),0,VLOOKUP($S$405,'TAR FIN'!$A$1:$O$88,15,0))</f>
        <v>0</v>
      </c>
      <c r="W405" s="6">
        <f>IF(ISERROR(VLOOKUP($T$405,'TAR FIN'!$A$1:$O$88,15,0)),0,VLOOKUP($T$405,'TAR FIN'!$A$1:$O$88,15,0))</f>
        <v>269.91000000000003</v>
      </c>
      <c r="X405" s="6">
        <f>IF(ISERROR(VLOOKUP($U$405,'TAR FIN'!$A$1:$O$88,15,0)),0,VLOOKUP($U$405,'TAR FIN'!$A$1:$O$88,15,0))</f>
        <v>288.89999999999998</v>
      </c>
      <c r="Y405" s="6"/>
      <c r="Z405" s="6">
        <f ca="1">('TUSD BE'!$AM$48+'TUSD BF'!$AM$48+'TUSD CVA'!$AM$48)*1</f>
        <v>350.41122835255294</v>
      </c>
      <c r="AA405" s="6">
        <f>('TE BE'!$AB$39+'TE BF'!$AB$39+'TE CVA'!$AB$39)*1</f>
        <v>207.63042742196092</v>
      </c>
      <c r="AB405" s="6">
        <f>$K$405*$V$405</f>
        <v>0</v>
      </c>
      <c r="AC405" s="6">
        <f>$M$405*$W$405</f>
        <v>1631.3360400000001</v>
      </c>
      <c r="AD405" s="6">
        <f>$O$405*$X$405</f>
        <v>1746.1115999999997</v>
      </c>
      <c r="AE405" s="6">
        <f>$K$405*$Y$405</f>
        <v>0</v>
      </c>
      <c r="AF405" s="6">
        <f ca="1">$M$405*$Z$405</f>
        <v>2117.88546416283</v>
      </c>
      <c r="AG405" s="6">
        <f>$O$405*$AA$405</f>
        <v>1254.9183033383317</v>
      </c>
    </row>
    <row r="406" spans="1:33" ht="11.25" customHeight="1" x14ac:dyDescent="0.25">
      <c r="A406" s="4" t="s">
        <v>21</v>
      </c>
      <c r="B406" s="4" t="s">
        <v>36</v>
      </c>
      <c r="C406" s="4" t="s">
        <v>23</v>
      </c>
      <c r="D406" s="4" t="s">
        <v>49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44470</v>
      </c>
      <c r="J406" s="6">
        <v>0</v>
      </c>
      <c r="K406" s="6">
        <v>0</v>
      </c>
      <c r="L406" s="6">
        <v>6.4960000000000004</v>
      </c>
      <c r="M406" s="6">
        <v>6.4960000000000004</v>
      </c>
      <c r="N406" s="6">
        <v>6.4960000000000004</v>
      </c>
      <c r="O406" s="6">
        <v>6.4960000000000004</v>
      </c>
      <c r="P406" s="6">
        <v>3</v>
      </c>
      <c r="Q406" s="4" t="s">
        <v>26</v>
      </c>
      <c r="R406" s="4">
        <v>0</v>
      </c>
      <c r="S406" s="6">
        <v>0</v>
      </c>
      <c r="T406" s="6">
        <v>65</v>
      </c>
      <c r="U406" s="6">
        <v>25</v>
      </c>
      <c r="V406" s="6">
        <f>IF(ISERROR(VLOOKUP($S$406,'TAR FIN'!$A$1:$O$88,15,0)),0,VLOOKUP($S$406,'TAR FIN'!$A$1:$O$88,15,0))</f>
        <v>0</v>
      </c>
      <c r="W406" s="6">
        <f>IF(ISERROR(VLOOKUP($T$406,'TAR FIN'!$A$1:$O$88,15,0)),0,VLOOKUP($T$406,'TAR FIN'!$A$1:$O$88,15,0))</f>
        <v>269.91000000000003</v>
      </c>
      <c r="X406" s="6">
        <f>IF(ISERROR(VLOOKUP($U$406,'TAR FIN'!$A$1:$O$88,15,0)),0,VLOOKUP($U$406,'TAR FIN'!$A$1:$O$88,15,0))</f>
        <v>288.89999999999998</v>
      </c>
      <c r="Y406" s="6"/>
      <c r="Z406" s="6">
        <f ca="1">('TUSD BE'!$AM$48+'TUSD BF'!$AM$48+'TUSD CVA'!$AM$48)*1</f>
        <v>350.41122835255294</v>
      </c>
      <c r="AA406" s="6">
        <f>('TE BE'!$AB$39+'TE BF'!$AB$39+'TE CVA'!$AB$39)*1</f>
        <v>207.63042742196092</v>
      </c>
      <c r="AB406" s="6">
        <f>$K$406*$V$406</f>
        <v>0</v>
      </c>
      <c r="AC406" s="6">
        <f>$M$406*$W$406</f>
        <v>1753.3353600000003</v>
      </c>
      <c r="AD406" s="6">
        <f>$O$406*$X$406</f>
        <v>1876.6944000000001</v>
      </c>
      <c r="AE406" s="6">
        <f>$K$406*$Y$406</f>
        <v>0</v>
      </c>
      <c r="AF406" s="6">
        <f ca="1">$M$406*$Z$406</f>
        <v>2276.2713393781842</v>
      </c>
      <c r="AG406" s="6">
        <f>$O$406*$AA$406</f>
        <v>1348.7672565330581</v>
      </c>
    </row>
    <row r="407" spans="1:33" ht="11.25" customHeight="1" x14ac:dyDescent="0.25">
      <c r="A407" s="4" t="s">
        <v>21</v>
      </c>
      <c r="B407" s="4" t="s">
        <v>36</v>
      </c>
      <c r="C407" s="4" t="s">
        <v>23</v>
      </c>
      <c r="D407" s="4" t="s">
        <v>49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44501</v>
      </c>
      <c r="J407" s="6">
        <v>0</v>
      </c>
      <c r="K407" s="6">
        <v>0</v>
      </c>
      <c r="L407" s="6">
        <v>5.3410000000000002</v>
      </c>
      <c r="M407" s="6">
        <v>5.3410000000000002</v>
      </c>
      <c r="N407" s="6">
        <v>5.3410000000000002</v>
      </c>
      <c r="O407" s="6">
        <v>5.3410000000000002</v>
      </c>
      <c r="P407" s="6">
        <v>3</v>
      </c>
      <c r="Q407" s="4" t="s">
        <v>26</v>
      </c>
      <c r="R407" s="4">
        <v>0</v>
      </c>
      <c r="S407" s="6">
        <v>0</v>
      </c>
      <c r="T407" s="6">
        <v>65</v>
      </c>
      <c r="U407" s="6">
        <v>25</v>
      </c>
      <c r="V407" s="6">
        <f>IF(ISERROR(VLOOKUP($S$407,'TAR FIN'!$A$1:$O$88,15,0)),0,VLOOKUP($S$407,'TAR FIN'!$A$1:$O$88,15,0))</f>
        <v>0</v>
      </c>
      <c r="W407" s="6">
        <f>IF(ISERROR(VLOOKUP($T$407,'TAR FIN'!$A$1:$O$88,15,0)),0,VLOOKUP($T$407,'TAR FIN'!$A$1:$O$88,15,0))</f>
        <v>269.91000000000003</v>
      </c>
      <c r="X407" s="6">
        <f>IF(ISERROR(VLOOKUP($U$407,'TAR FIN'!$A$1:$O$88,15,0)),0,VLOOKUP($U$407,'TAR FIN'!$A$1:$O$88,15,0))</f>
        <v>288.89999999999998</v>
      </c>
      <c r="Y407" s="6"/>
      <c r="Z407" s="6">
        <f ca="1">('TUSD BE'!$AM$48+'TUSD BF'!$AM$48+'TUSD CVA'!$AM$48)*1</f>
        <v>350.41122835255294</v>
      </c>
      <c r="AA407" s="6">
        <f>('TE BE'!$AB$39+'TE BF'!$AB$39+'TE CVA'!$AB$39)*1</f>
        <v>207.63042742196092</v>
      </c>
      <c r="AB407" s="6">
        <f>$K$407*$V$407</f>
        <v>0</v>
      </c>
      <c r="AC407" s="6">
        <f>$M$407*$W$407</f>
        <v>1441.5893100000003</v>
      </c>
      <c r="AD407" s="6">
        <f>$O$407*$X$407</f>
        <v>1543.0148999999999</v>
      </c>
      <c r="AE407" s="6">
        <f>$K$407*$Y$407</f>
        <v>0</v>
      </c>
      <c r="AF407" s="6">
        <f ca="1">$M$407*$Z$407</f>
        <v>1871.5463706309854</v>
      </c>
      <c r="AG407" s="6">
        <f>$O$407*$AA$407</f>
        <v>1108.9541128606934</v>
      </c>
    </row>
    <row r="408" spans="1:33" ht="11.25" customHeight="1" x14ac:dyDescent="0.25">
      <c r="A408" s="4" t="s">
        <v>21</v>
      </c>
      <c r="B408" s="4" t="s">
        <v>36</v>
      </c>
      <c r="C408" s="4" t="s">
        <v>23</v>
      </c>
      <c r="D408" s="4" t="s">
        <v>49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44531</v>
      </c>
      <c r="J408" s="6">
        <v>0</v>
      </c>
      <c r="K408" s="6">
        <v>0</v>
      </c>
      <c r="L408" s="6">
        <v>5.7690000000000001</v>
      </c>
      <c r="M408" s="6">
        <v>5.7690000000000001</v>
      </c>
      <c r="N408" s="6">
        <v>5.7690000000000001</v>
      </c>
      <c r="O408" s="6">
        <v>5.7690000000000001</v>
      </c>
      <c r="P408" s="6">
        <v>3</v>
      </c>
      <c r="Q408" s="4" t="s">
        <v>26</v>
      </c>
      <c r="R408" s="4">
        <v>0</v>
      </c>
      <c r="S408" s="6">
        <v>0</v>
      </c>
      <c r="T408" s="6">
        <v>65</v>
      </c>
      <c r="U408" s="6">
        <v>25</v>
      </c>
      <c r="V408" s="6">
        <f>IF(ISERROR(VLOOKUP($S$408,'TAR FIN'!$A$1:$O$88,15,0)),0,VLOOKUP($S$408,'TAR FIN'!$A$1:$O$88,15,0))</f>
        <v>0</v>
      </c>
      <c r="W408" s="6">
        <f>IF(ISERROR(VLOOKUP($T$408,'TAR FIN'!$A$1:$O$88,15,0)),0,VLOOKUP($T$408,'TAR FIN'!$A$1:$O$88,15,0))</f>
        <v>269.91000000000003</v>
      </c>
      <c r="X408" s="6">
        <f>IF(ISERROR(VLOOKUP($U$408,'TAR FIN'!$A$1:$O$88,15,0)),0,VLOOKUP($U$408,'TAR FIN'!$A$1:$O$88,15,0))</f>
        <v>288.89999999999998</v>
      </c>
      <c r="Y408" s="6"/>
      <c r="Z408" s="6">
        <f ca="1">('TUSD BE'!$AM$48+'TUSD BF'!$AM$48+'TUSD CVA'!$AM$48)*1</f>
        <v>350.41122835255294</v>
      </c>
      <c r="AA408" s="6">
        <f>('TE BE'!$AB$39+'TE BF'!$AB$39+'TE CVA'!$AB$39)*1</f>
        <v>207.63042742196092</v>
      </c>
      <c r="AB408" s="6">
        <f>$K$408*$V$408</f>
        <v>0</v>
      </c>
      <c r="AC408" s="6">
        <f>$M$408*$W$408</f>
        <v>1557.1107900000002</v>
      </c>
      <c r="AD408" s="6">
        <f>$O$408*$X$408</f>
        <v>1666.6641</v>
      </c>
      <c r="AE408" s="6">
        <f>$K$408*$Y$408</f>
        <v>0</v>
      </c>
      <c r="AF408" s="6">
        <f ca="1">$M$408*$Z$408</f>
        <v>2021.522376365878</v>
      </c>
      <c r="AG408" s="6">
        <f>$O$408*$AA$408</f>
        <v>1197.8199357972926</v>
      </c>
    </row>
    <row r="409" spans="1:33" ht="11.25" customHeight="1" x14ac:dyDescent="0.25">
      <c r="A409" s="4" t="s">
        <v>21</v>
      </c>
      <c r="B409" s="4" t="s">
        <v>36</v>
      </c>
      <c r="C409" s="4" t="s">
        <v>23</v>
      </c>
      <c r="D409" s="4" t="s">
        <v>49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44562</v>
      </c>
      <c r="J409" s="6">
        <v>0</v>
      </c>
      <c r="K409" s="6">
        <v>0</v>
      </c>
      <c r="L409" s="6">
        <v>6.2809999999999997</v>
      </c>
      <c r="M409" s="6">
        <v>6.2809999999999997</v>
      </c>
      <c r="N409" s="6">
        <v>6.2809999999999997</v>
      </c>
      <c r="O409" s="6">
        <v>6.2809999999999997</v>
      </c>
      <c r="P409" s="6">
        <v>3</v>
      </c>
      <c r="Q409" s="4" t="s">
        <v>26</v>
      </c>
      <c r="R409" s="4">
        <v>0</v>
      </c>
      <c r="S409" s="6">
        <v>0</v>
      </c>
      <c r="T409" s="6">
        <v>65</v>
      </c>
      <c r="U409" s="6">
        <v>25</v>
      </c>
      <c r="V409" s="6">
        <f>IF(ISERROR(VLOOKUP($S$409,'TAR FIN'!$A$1:$O$88,15,0)),0,VLOOKUP($S$409,'TAR FIN'!$A$1:$O$88,15,0))</f>
        <v>0</v>
      </c>
      <c r="W409" s="6">
        <f>IF(ISERROR(VLOOKUP($T$409,'TAR FIN'!$A$1:$O$88,15,0)),0,VLOOKUP($T$409,'TAR FIN'!$A$1:$O$88,15,0))</f>
        <v>269.91000000000003</v>
      </c>
      <c r="X409" s="6">
        <f>IF(ISERROR(VLOOKUP($U$409,'TAR FIN'!$A$1:$O$88,15,0)),0,VLOOKUP($U$409,'TAR FIN'!$A$1:$O$88,15,0))</f>
        <v>288.89999999999998</v>
      </c>
      <c r="Y409" s="6"/>
      <c r="Z409" s="6">
        <f ca="1">('TUSD BE'!$AM$48+'TUSD BF'!$AM$48+'TUSD CVA'!$AM$48)*1</f>
        <v>350.41122835255294</v>
      </c>
      <c r="AA409" s="6">
        <f>('TE BE'!$AB$39+'TE BF'!$AB$39+'TE CVA'!$AB$39)*1</f>
        <v>207.63042742196092</v>
      </c>
      <c r="AB409" s="6">
        <f>$K$409*$V$409</f>
        <v>0</v>
      </c>
      <c r="AC409" s="6">
        <f>$M$409*$W$409</f>
        <v>1695.3047100000001</v>
      </c>
      <c r="AD409" s="6">
        <f>$O$409*$X$409</f>
        <v>1814.5808999999997</v>
      </c>
      <c r="AE409" s="6">
        <f>$K$409*$Y$409</f>
        <v>0</v>
      </c>
      <c r="AF409" s="6">
        <f ca="1">$M$409*$Z$409</f>
        <v>2200.932925282385</v>
      </c>
      <c r="AG409" s="6">
        <f>$O$409*$AA$409</f>
        <v>1304.1267146373364</v>
      </c>
    </row>
    <row r="410" spans="1:33" ht="11.25" customHeight="1" x14ac:dyDescent="0.25">
      <c r="A410" s="4" t="s">
        <v>21</v>
      </c>
      <c r="B410" s="4" t="s">
        <v>36</v>
      </c>
      <c r="C410" s="4" t="s">
        <v>23</v>
      </c>
      <c r="D410" s="4" t="s">
        <v>49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44593</v>
      </c>
      <c r="J410" s="6">
        <v>0</v>
      </c>
      <c r="K410" s="6">
        <v>0</v>
      </c>
      <c r="L410" s="6">
        <v>6.3</v>
      </c>
      <c r="M410" s="6">
        <v>6.3</v>
      </c>
      <c r="N410" s="6">
        <v>6.3</v>
      </c>
      <c r="O410" s="6">
        <v>6.3</v>
      </c>
      <c r="P410" s="6">
        <v>3</v>
      </c>
      <c r="Q410" s="4" t="s">
        <v>26</v>
      </c>
      <c r="R410" s="4">
        <v>0</v>
      </c>
      <c r="S410" s="6">
        <v>0</v>
      </c>
      <c r="T410" s="6">
        <v>65</v>
      </c>
      <c r="U410" s="6">
        <v>25</v>
      </c>
      <c r="V410" s="6">
        <f>IF(ISERROR(VLOOKUP($S$410,'TAR FIN'!$A$1:$O$88,15,0)),0,VLOOKUP($S$410,'TAR FIN'!$A$1:$O$88,15,0))</f>
        <v>0</v>
      </c>
      <c r="W410" s="6">
        <f>IF(ISERROR(VLOOKUP($T$410,'TAR FIN'!$A$1:$O$88,15,0)),0,VLOOKUP($T$410,'TAR FIN'!$A$1:$O$88,15,0))</f>
        <v>269.91000000000003</v>
      </c>
      <c r="X410" s="6">
        <f>IF(ISERROR(VLOOKUP($U$410,'TAR FIN'!$A$1:$O$88,15,0)),0,VLOOKUP($U$410,'TAR FIN'!$A$1:$O$88,15,0))</f>
        <v>288.89999999999998</v>
      </c>
      <c r="Y410" s="6"/>
      <c r="Z410" s="6">
        <f ca="1">('TUSD BE'!$AM$48+'TUSD BF'!$AM$48+'TUSD CVA'!$AM$48)*1</f>
        <v>350.41122835255294</v>
      </c>
      <c r="AA410" s="6">
        <f>('TE BE'!$AB$39+'TE BF'!$AB$39+'TE CVA'!$AB$39)*1</f>
        <v>207.63042742196092</v>
      </c>
      <c r="AB410" s="6">
        <f>$K$410*$V$410</f>
        <v>0</v>
      </c>
      <c r="AC410" s="6">
        <f>$M$410*$W$410</f>
        <v>1700.4330000000002</v>
      </c>
      <c r="AD410" s="6">
        <f>$O$410*$X$410</f>
        <v>1820.0699999999997</v>
      </c>
      <c r="AE410" s="6">
        <f>$K$410*$Y$410</f>
        <v>0</v>
      </c>
      <c r="AF410" s="6">
        <f ca="1">$M$410*$Z$410</f>
        <v>2207.5907386210833</v>
      </c>
      <c r="AG410" s="6">
        <f>$O$410*$AA$410</f>
        <v>1308.0716927583537</v>
      </c>
    </row>
    <row r="411" spans="1:33" ht="11.25" customHeight="1" x14ac:dyDescent="0.25">
      <c r="A411" s="4" t="s">
        <v>21</v>
      </c>
      <c r="B411" s="4" t="s">
        <v>36</v>
      </c>
      <c r="C411" s="4" t="s">
        <v>23</v>
      </c>
      <c r="D411" s="4" t="s">
        <v>49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44621</v>
      </c>
      <c r="J411" s="6">
        <v>0</v>
      </c>
      <c r="K411" s="6">
        <v>0</v>
      </c>
      <c r="L411" s="6">
        <v>5.9020000000000001</v>
      </c>
      <c r="M411" s="6">
        <v>5.9020000000000001</v>
      </c>
      <c r="N411" s="6">
        <v>5.9020000000000001</v>
      </c>
      <c r="O411" s="6">
        <v>5.9020000000000001</v>
      </c>
      <c r="P411" s="6">
        <v>4</v>
      </c>
      <c r="Q411" s="4" t="s">
        <v>26</v>
      </c>
      <c r="R411" s="4">
        <v>0</v>
      </c>
      <c r="S411" s="6">
        <v>0</v>
      </c>
      <c r="T411" s="6">
        <v>65</v>
      </c>
      <c r="U411" s="6">
        <v>25</v>
      </c>
      <c r="V411" s="6">
        <f>IF(ISERROR(VLOOKUP($S$411,'TAR FIN'!$A$1:$O$88,15,0)),0,VLOOKUP($S$411,'TAR FIN'!$A$1:$O$88,15,0))</f>
        <v>0</v>
      </c>
      <c r="W411" s="6">
        <f>IF(ISERROR(VLOOKUP($T$411,'TAR FIN'!$A$1:$O$88,15,0)),0,VLOOKUP($T$411,'TAR FIN'!$A$1:$O$88,15,0))</f>
        <v>269.91000000000003</v>
      </c>
      <c r="X411" s="6">
        <f>IF(ISERROR(VLOOKUP($U$411,'TAR FIN'!$A$1:$O$88,15,0)),0,VLOOKUP($U$411,'TAR FIN'!$A$1:$O$88,15,0))</f>
        <v>288.89999999999998</v>
      </c>
      <c r="Y411" s="6"/>
      <c r="Z411" s="6">
        <f ca="1">('TUSD BE'!$AM$48+'TUSD BF'!$AM$48+'TUSD CVA'!$AM$48)*1</f>
        <v>350.41122835255294</v>
      </c>
      <c r="AA411" s="6">
        <f>('TE BE'!$AB$39+'TE BF'!$AB$39+'TE CVA'!$AB$39)*1</f>
        <v>207.63042742196092</v>
      </c>
      <c r="AB411" s="6">
        <f>$K$411*$V$411</f>
        <v>0</v>
      </c>
      <c r="AC411" s="6">
        <f>$M$411*$W$411</f>
        <v>1593.0088200000002</v>
      </c>
      <c r="AD411" s="6">
        <f>$O$411*$X$411</f>
        <v>1705.0878</v>
      </c>
      <c r="AE411" s="6">
        <f>$K$411*$Y$411</f>
        <v>0</v>
      </c>
      <c r="AF411" s="6">
        <f ca="1">$M$411*$Z$411</f>
        <v>2068.1270697367677</v>
      </c>
      <c r="AG411" s="6">
        <f>$O$411*$AA$411</f>
        <v>1225.4347826444134</v>
      </c>
    </row>
    <row r="412" spans="1:33" ht="11.25" customHeight="1" x14ac:dyDescent="0.25">
      <c r="A412" s="4" t="s">
        <v>21</v>
      </c>
      <c r="B412" s="4" t="s">
        <v>36</v>
      </c>
      <c r="C412" s="4" t="s">
        <v>23</v>
      </c>
      <c r="D412" s="4" t="s">
        <v>49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0</v>
      </c>
      <c r="K412" s="6">
        <v>0</v>
      </c>
      <c r="L412" s="6">
        <v>5.4180000000000001</v>
      </c>
      <c r="M412" s="6">
        <v>5.4180000000000001</v>
      </c>
      <c r="N412" s="6">
        <v>5.4180000000000001</v>
      </c>
      <c r="O412" s="6">
        <v>5.4180000000000001</v>
      </c>
      <c r="P412" s="6">
        <v>5</v>
      </c>
      <c r="Q412" s="4" t="s">
        <v>26</v>
      </c>
      <c r="R412" s="4">
        <v>0</v>
      </c>
      <c r="S412" s="6">
        <v>0</v>
      </c>
      <c r="T412" s="6">
        <v>65</v>
      </c>
      <c r="U412" s="6">
        <v>25</v>
      </c>
      <c r="V412" s="6">
        <f>IF(ISERROR(VLOOKUP($S$412,'TAR FIN'!$A$1:$O$88,15,0)),0,VLOOKUP($S$412,'TAR FIN'!$A$1:$O$88,15,0))</f>
        <v>0</v>
      </c>
      <c r="W412" s="6">
        <f>IF(ISERROR(VLOOKUP($T$412,'TAR FIN'!$A$1:$O$88,15,0)),0,VLOOKUP($T$412,'TAR FIN'!$A$1:$O$88,15,0))</f>
        <v>269.91000000000003</v>
      </c>
      <c r="X412" s="6">
        <f>IF(ISERROR(VLOOKUP($U$412,'TAR FIN'!$A$1:$O$88,15,0)),0,VLOOKUP($U$412,'TAR FIN'!$A$1:$O$88,15,0))</f>
        <v>288.89999999999998</v>
      </c>
      <c r="Y412" s="6"/>
      <c r="Z412" s="6">
        <f ca="1">('TUSD BE'!$AM$48+'TUSD BF'!$AM$48+'TUSD CVA'!$AM$48)*1</f>
        <v>350.41122835255294</v>
      </c>
      <c r="AA412" s="6">
        <f>('TE BE'!$AB$39+'TE BF'!$AB$39+'TE CVA'!$AB$39)*1</f>
        <v>207.63042742196092</v>
      </c>
      <c r="AB412" s="6">
        <f>$K$412*$V$412</f>
        <v>0</v>
      </c>
      <c r="AC412" s="6">
        <f>$M$412*$W$412</f>
        <v>1462.3723800000002</v>
      </c>
      <c r="AD412" s="6">
        <f>$O$412*$X$412</f>
        <v>1565.2601999999999</v>
      </c>
      <c r="AE412" s="6">
        <f>$K$412*$Y$412</f>
        <v>0</v>
      </c>
      <c r="AF412" s="6">
        <f ca="1">$M$412*$Z$412</f>
        <v>1898.5280352141319</v>
      </c>
      <c r="AG412" s="6">
        <f>$O$412*$AA$412</f>
        <v>1124.9416557721843</v>
      </c>
    </row>
    <row r="413" spans="1:33" ht="11.25" customHeight="1" x14ac:dyDescent="0.25">
      <c r="A413" s="4" t="s">
        <v>21</v>
      </c>
      <c r="B413" s="4" t="s">
        <v>36</v>
      </c>
      <c r="C413" s="4" t="s">
        <v>23</v>
      </c>
      <c r="D413" s="4" t="s">
        <v>49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44682</v>
      </c>
      <c r="J413" s="6">
        <v>0</v>
      </c>
      <c r="K413" s="6">
        <v>0</v>
      </c>
      <c r="L413" s="6">
        <v>5.0190000000000001</v>
      </c>
      <c r="M413" s="6">
        <v>5.0190000000000001</v>
      </c>
      <c r="N413" s="6">
        <v>5.0190000000000001</v>
      </c>
      <c r="O413" s="6">
        <v>5.0190000000000001</v>
      </c>
      <c r="P413" s="6">
        <v>5</v>
      </c>
      <c r="Q413" s="4" t="s">
        <v>26</v>
      </c>
      <c r="R413" s="4">
        <v>0</v>
      </c>
      <c r="S413" s="6">
        <v>0</v>
      </c>
      <c r="T413" s="6">
        <v>65</v>
      </c>
      <c r="U413" s="6">
        <v>25</v>
      </c>
      <c r="V413" s="6">
        <f>IF(ISERROR(VLOOKUP($S$413,'TAR FIN'!$A$1:$O$88,15,0)),0,VLOOKUP($S$413,'TAR FIN'!$A$1:$O$88,15,0))</f>
        <v>0</v>
      </c>
      <c r="W413" s="6">
        <f>IF(ISERROR(VLOOKUP($T$413,'TAR FIN'!$A$1:$O$88,15,0)),0,VLOOKUP($T$413,'TAR FIN'!$A$1:$O$88,15,0))</f>
        <v>269.91000000000003</v>
      </c>
      <c r="X413" s="6">
        <f>IF(ISERROR(VLOOKUP($U$413,'TAR FIN'!$A$1:$O$88,15,0)),0,VLOOKUP($U$413,'TAR FIN'!$A$1:$O$88,15,0))</f>
        <v>288.89999999999998</v>
      </c>
      <c r="Y413" s="6"/>
      <c r="Z413" s="6">
        <f ca="1">('TUSD BE'!$AM$48+'TUSD BF'!$AM$48+'TUSD CVA'!$AM$48)*1</f>
        <v>350.41122835255294</v>
      </c>
      <c r="AA413" s="6">
        <f>('TE BE'!$AB$39+'TE BF'!$AB$39+'TE CVA'!$AB$39)*1</f>
        <v>207.63042742196092</v>
      </c>
      <c r="AB413" s="6">
        <f>$K$413*$V$413</f>
        <v>0</v>
      </c>
      <c r="AC413" s="6">
        <f>$M$413*$W$413</f>
        <v>1354.6782900000001</v>
      </c>
      <c r="AD413" s="6">
        <f>$O$413*$X$413</f>
        <v>1449.9891</v>
      </c>
      <c r="AE413" s="6">
        <f>$K$413*$Y$413</f>
        <v>0</v>
      </c>
      <c r="AF413" s="6">
        <f ca="1">$M$413*$Z$413</f>
        <v>1758.7139551014632</v>
      </c>
      <c r="AG413" s="6">
        <f>$O$413*$AA$413</f>
        <v>1042.0971152308218</v>
      </c>
    </row>
    <row r="414" spans="1:33" ht="11.25" customHeight="1" x14ac:dyDescent="0.25">
      <c r="A414" s="4" t="s">
        <v>21</v>
      </c>
      <c r="B414" s="4" t="s">
        <v>36</v>
      </c>
      <c r="C414" s="4" t="s">
        <v>23</v>
      </c>
      <c r="D414" s="4" t="s">
        <v>49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44713</v>
      </c>
      <c r="J414" s="6">
        <v>0</v>
      </c>
      <c r="K414" s="6">
        <v>0</v>
      </c>
      <c r="L414" s="6">
        <v>2.41</v>
      </c>
      <c r="M414" s="6">
        <v>2.41</v>
      </c>
      <c r="N414" s="6">
        <v>2.41</v>
      </c>
      <c r="O414" s="6">
        <v>2.41</v>
      </c>
      <c r="P414" s="6">
        <v>5</v>
      </c>
      <c r="Q414" s="4" t="s">
        <v>26</v>
      </c>
      <c r="R414" s="4">
        <v>0</v>
      </c>
      <c r="S414" s="6">
        <v>0</v>
      </c>
      <c r="T414" s="6">
        <v>65</v>
      </c>
      <c r="U414" s="6">
        <v>25</v>
      </c>
      <c r="V414" s="6">
        <f>IF(ISERROR(VLOOKUP($S$414,'TAR FIN'!$A$1:$O$88,15,0)),0,VLOOKUP($S$414,'TAR FIN'!$A$1:$O$88,15,0))</f>
        <v>0</v>
      </c>
      <c r="W414" s="6">
        <f>IF(ISERROR(VLOOKUP($T$414,'TAR FIN'!$A$1:$O$88,15,0)),0,VLOOKUP($T$414,'TAR FIN'!$A$1:$O$88,15,0))</f>
        <v>269.91000000000003</v>
      </c>
      <c r="X414" s="6">
        <f>IF(ISERROR(VLOOKUP($U$414,'TAR FIN'!$A$1:$O$88,15,0)),0,VLOOKUP($U$414,'TAR FIN'!$A$1:$O$88,15,0))</f>
        <v>288.89999999999998</v>
      </c>
      <c r="Y414" s="6"/>
      <c r="Z414" s="6">
        <f ca="1">('TUSD BE'!$AM$48+'TUSD BF'!$AM$48+'TUSD CVA'!$AM$48)*1</f>
        <v>350.41122835255294</v>
      </c>
      <c r="AA414" s="6">
        <f>('TE BE'!$AB$39+'TE BF'!$AB$39+'TE CVA'!$AB$39)*1</f>
        <v>207.63042742196092</v>
      </c>
      <c r="AB414" s="6">
        <f>$K$414*$V$414</f>
        <v>0</v>
      </c>
      <c r="AC414" s="6">
        <f>$M$414*$W$414</f>
        <v>650.48310000000015</v>
      </c>
      <c r="AD414" s="6">
        <f>$O$414*$X$414</f>
        <v>696.24900000000002</v>
      </c>
      <c r="AE414" s="6">
        <f>$K$414*$Y$414</f>
        <v>0</v>
      </c>
      <c r="AF414" s="6">
        <f ca="1">$M$414*$Z$414</f>
        <v>844.49106032965267</v>
      </c>
      <c r="AG414" s="6">
        <f>$O$414*$AA$414</f>
        <v>500.38933008692584</v>
      </c>
    </row>
    <row r="415" spans="1:33" ht="11.25" customHeight="1" x14ac:dyDescent="0.25">
      <c r="A415" s="4" t="s">
        <v>55</v>
      </c>
      <c r="B415" s="4" t="s">
        <v>36</v>
      </c>
      <c r="C415" s="4" t="s">
        <v>23</v>
      </c>
      <c r="D415" s="4" t="s">
        <v>49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44743</v>
      </c>
      <c r="J415" s="6">
        <v>0</v>
      </c>
      <c r="K415" s="6">
        <v>0</v>
      </c>
      <c r="L415" s="6">
        <v>2.41</v>
      </c>
      <c r="M415" s="6">
        <v>2.41</v>
      </c>
      <c r="N415" s="6">
        <v>2.41</v>
      </c>
      <c r="O415" s="6">
        <v>2.41</v>
      </c>
      <c r="P415" s="6">
        <v>5</v>
      </c>
      <c r="Q415" s="4" t="s">
        <v>26</v>
      </c>
      <c r="R415" s="4">
        <v>0</v>
      </c>
      <c r="S415" s="6">
        <v>0</v>
      </c>
      <c r="T415" s="6">
        <v>65</v>
      </c>
      <c r="U415" s="6">
        <v>25</v>
      </c>
      <c r="V415" s="6">
        <f>IF(ISERROR(VLOOKUP($S$415,'TAR FIN'!$A$1:$O$88,15,0)),0,VLOOKUP($S$415,'TAR FIN'!$A$1:$O$88,15,0))</f>
        <v>0</v>
      </c>
      <c r="W415" s="6">
        <f>IF(ISERROR(VLOOKUP($T$415,'TAR FIN'!$A$1:$O$88,15,0)),0,VLOOKUP($T$415,'TAR FIN'!$A$1:$O$88,15,0))</f>
        <v>269.91000000000003</v>
      </c>
      <c r="X415" s="6">
        <f>IF(ISERROR(VLOOKUP($U$415,'TAR FIN'!$A$1:$O$88,15,0)),0,VLOOKUP($U$415,'TAR FIN'!$A$1:$O$88,15,0))</f>
        <v>288.89999999999998</v>
      </c>
      <c r="Y415" s="6"/>
      <c r="Z415" s="6">
        <f ca="1">('TUSD BE'!$AM$48+'TUSD BF'!$AM$48+'TUSD CVA'!$AM$48)*1</f>
        <v>350.41122835255294</v>
      </c>
      <c r="AA415" s="6">
        <f>('TE BE'!$AB$39+'TE BF'!$AB$39+'TE CVA'!$AB$39)*1</f>
        <v>207.63042742196092</v>
      </c>
      <c r="AB415" s="6">
        <f>$K$415*$V$415</f>
        <v>0</v>
      </c>
      <c r="AC415" s="6">
        <f>$M$415*$W$415</f>
        <v>650.48310000000015</v>
      </c>
      <c r="AD415" s="6">
        <f>$O$415*$X$415</f>
        <v>696.24900000000002</v>
      </c>
      <c r="AE415" s="6">
        <f>$K$415*$Y$415</f>
        <v>0</v>
      </c>
      <c r="AF415" s="6">
        <f ca="1">$M$415*$Z$415</f>
        <v>844.49106032965267</v>
      </c>
      <c r="AG415" s="6">
        <f>$O$415*$AA$415</f>
        <v>500.38933008692584</v>
      </c>
    </row>
    <row r="416" spans="1:33" ht="11.25" customHeight="1" x14ac:dyDescent="0.25">
      <c r="A416" s="4" t="s">
        <v>21</v>
      </c>
      <c r="B416" s="4" t="s">
        <v>36</v>
      </c>
      <c r="C416" s="4" t="s">
        <v>23</v>
      </c>
      <c r="D416" s="4" t="s">
        <v>37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84.075999999999993</v>
      </c>
      <c r="M416" s="6">
        <v>84.075999999999993</v>
      </c>
      <c r="N416" s="6">
        <v>84.075999999999993</v>
      </c>
      <c r="O416" s="6">
        <v>84.075999999999993</v>
      </c>
      <c r="P416" s="6">
        <v>178</v>
      </c>
      <c r="Q416" s="4" t="s">
        <v>26</v>
      </c>
      <c r="R416" s="4">
        <v>0</v>
      </c>
      <c r="S416" s="6">
        <v>0</v>
      </c>
      <c r="T416" s="6">
        <v>65</v>
      </c>
      <c r="U416" s="6">
        <v>25</v>
      </c>
      <c r="V416" s="6">
        <f>IF(ISERROR(VLOOKUP($S$416,'TAR FIN'!$A$1:$O$88,15,0)),0,VLOOKUP($S$416,'TAR FIN'!$A$1:$O$88,15,0))</f>
        <v>0</v>
      </c>
      <c r="W416" s="6">
        <f>IF(ISERROR(VLOOKUP($T$416,'TAR FIN'!$A$1:$O$88,15,0)),0,VLOOKUP($T$416,'TAR FIN'!$A$1:$O$88,15,0))</f>
        <v>269.91000000000003</v>
      </c>
      <c r="X416" s="6">
        <f>IF(ISERROR(VLOOKUP($U$416,'TAR FIN'!$A$1:$O$88,15,0)),0,VLOOKUP($U$416,'TAR FIN'!$A$1:$O$88,15,0))</f>
        <v>288.89999999999998</v>
      </c>
      <c r="Y416" s="6"/>
      <c r="Z416" s="6">
        <f ca="1">('TUSD BE'!$AM$48+'TUSD BF'!$AM$48+'TUSD CVA'!$AM$48)*1</f>
        <v>350.41122835255294</v>
      </c>
      <c r="AA416" s="6">
        <f>('TE BE'!$AB$39+'TE BF'!$AB$39+'TE CVA'!$AB$39)*1</f>
        <v>207.63042742196092</v>
      </c>
      <c r="AB416" s="6">
        <f>$K$416*$V$416</f>
        <v>0</v>
      </c>
      <c r="AC416" s="6">
        <f>$M$416*$W$416</f>
        <v>22692.953160000001</v>
      </c>
      <c r="AD416" s="6">
        <f>$O$416*$X$416</f>
        <v>24289.556399999998</v>
      </c>
      <c r="AE416" s="6">
        <f>$K$416*$Y$416</f>
        <v>0</v>
      </c>
      <c r="AF416" s="6">
        <f ca="1">$M$416*$Z$416</f>
        <v>29461.174434969238</v>
      </c>
      <c r="AG416" s="6">
        <f>$O$416*$AA$416</f>
        <v>17456.735815928783</v>
      </c>
    </row>
    <row r="417" spans="1:33" ht="11.25" customHeight="1" x14ac:dyDescent="0.25">
      <c r="A417" s="4" t="s">
        <v>27</v>
      </c>
      <c r="B417" s="4" t="s">
        <v>36</v>
      </c>
      <c r="C417" s="4" t="s">
        <v>23</v>
      </c>
      <c r="D417" s="4" t="s">
        <v>37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44409</v>
      </c>
      <c r="J417" s="6">
        <v>0</v>
      </c>
      <c r="K417" s="6">
        <v>0</v>
      </c>
      <c r="L417" s="6">
        <v>1.48</v>
      </c>
      <c r="M417" s="6">
        <v>1.48</v>
      </c>
      <c r="N417" s="6">
        <v>1.48</v>
      </c>
      <c r="O417" s="6">
        <v>1.48</v>
      </c>
      <c r="P417" s="6">
        <v>5</v>
      </c>
      <c r="Q417" s="4" t="s">
        <v>26</v>
      </c>
      <c r="R417" s="4">
        <v>0</v>
      </c>
      <c r="S417" s="6">
        <v>0</v>
      </c>
      <c r="T417" s="6">
        <v>65</v>
      </c>
      <c r="U417" s="6">
        <v>25</v>
      </c>
      <c r="V417" s="6">
        <f>IF(ISERROR(VLOOKUP($S$417,'TAR FIN'!$A$1:$O$88,15,0)),0,VLOOKUP($S$417,'TAR FIN'!$A$1:$O$88,15,0))</f>
        <v>0</v>
      </c>
      <c r="W417" s="6">
        <f>IF(ISERROR(VLOOKUP($T$417,'TAR FIN'!$A$1:$O$88,15,0)),0,VLOOKUP($T$417,'TAR FIN'!$A$1:$O$88,15,0))</f>
        <v>269.91000000000003</v>
      </c>
      <c r="X417" s="6">
        <f>IF(ISERROR(VLOOKUP($U$417,'TAR FIN'!$A$1:$O$88,15,0)),0,VLOOKUP($U$417,'TAR FIN'!$A$1:$O$88,15,0))</f>
        <v>288.89999999999998</v>
      </c>
      <c r="Y417" s="6"/>
      <c r="Z417" s="6">
        <f ca="1">('TUSD BE'!$AM$48+'TUSD BF'!$AM$48+'TUSD CVA'!$AM$48)*1</f>
        <v>350.41122835255294</v>
      </c>
      <c r="AA417" s="6">
        <f>('TE BE'!$AB$39+'TE BF'!$AB$39+'TE CVA'!$AB$39)*1</f>
        <v>207.63042742196092</v>
      </c>
      <c r="AB417" s="6">
        <f>$K$417*$V$417</f>
        <v>0</v>
      </c>
      <c r="AC417" s="6">
        <f>$M$417*$W$417</f>
        <v>399.46680000000003</v>
      </c>
      <c r="AD417" s="6">
        <f>$O$417*$X$417</f>
        <v>427.57199999999995</v>
      </c>
      <c r="AE417" s="6">
        <f>$K$417*$Y$417</f>
        <v>0</v>
      </c>
      <c r="AF417" s="6">
        <f ca="1">$M$417*$Z$417</f>
        <v>518.60861796177835</v>
      </c>
      <c r="AG417" s="6">
        <f>$O$417*$AA$417</f>
        <v>307.29303258450216</v>
      </c>
    </row>
    <row r="418" spans="1:33" ht="11.25" customHeight="1" x14ac:dyDescent="0.25">
      <c r="A418" s="4" t="s">
        <v>21</v>
      </c>
      <c r="B418" s="4" t="s">
        <v>36</v>
      </c>
      <c r="C418" s="4" t="s">
        <v>23</v>
      </c>
      <c r="D418" s="4" t="s">
        <v>37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91.444999999999993</v>
      </c>
      <c r="M418" s="6">
        <v>91.444999999999993</v>
      </c>
      <c r="N418" s="6">
        <v>91.444999999999993</v>
      </c>
      <c r="O418" s="6">
        <v>91.444999999999993</v>
      </c>
      <c r="P418" s="6">
        <v>191</v>
      </c>
      <c r="Q418" s="4" t="s">
        <v>26</v>
      </c>
      <c r="R418" s="4">
        <v>0</v>
      </c>
      <c r="S418" s="6">
        <v>0</v>
      </c>
      <c r="T418" s="6">
        <v>65</v>
      </c>
      <c r="U418" s="6">
        <v>25</v>
      </c>
      <c r="V418" s="6">
        <f>IF(ISERROR(VLOOKUP($S$418,'TAR FIN'!$A$1:$O$88,15,0)),0,VLOOKUP($S$418,'TAR FIN'!$A$1:$O$88,15,0))</f>
        <v>0</v>
      </c>
      <c r="W418" s="6">
        <f>IF(ISERROR(VLOOKUP($T$418,'TAR FIN'!$A$1:$O$88,15,0)),0,VLOOKUP($T$418,'TAR FIN'!$A$1:$O$88,15,0))</f>
        <v>269.91000000000003</v>
      </c>
      <c r="X418" s="6">
        <f>IF(ISERROR(VLOOKUP($U$418,'TAR FIN'!$A$1:$O$88,15,0)),0,VLOOKUP($U$418,'TAR FIN'!$A$1:$O$88,15,0))</f>
        <v>288.89999999999998</v>
      </c>
      <c r="Y418" s="6"/>
      <c r="Z418" s="6">
        <f ca="1">('TUSD BE'!$AM$48+'TUSD BF'!$AM$48+'TUSD CVA'!$AM$48)*1</f>
        <v>350.41122835255294</v>
      </c>
      <c r="AA418" s="6">
        <f>('TE BE'!$AB$39+'TE BF'!$AB$39+'TE CVA'!$AB$39)*1</f>
        <v>207.63042742196092</v>
      </c>
      <c r="AB418" s="6">
        <f>$K$418*$V$418</f>
        <v>0</v>
      </c>
      <c r="AC418" s="6">
        <f>$M$418*$W$418</f>
        <v>24681.91995</v>
      </c>
      <c r="AD418" s="6">
        <f>$O$418*$X$418</f>
        <v>26418.460499999997</v>
      </c>
      <c r="AE418" s="6">
        <f>$K$418*$Y$418</f>
        <v>0</v>
      </c>
      <c r="AF418" s="6">
        <f ca="1">$M$418*$Z$418</f>
        <v>32043.354776699201</v>
      </c>
      <c r="AG418" s="6">
        <f>$O$418*$AA$418</f>
        <v>18986.764435601213</v>
      </c>
    </row>
    <row r="419" spans="1:33" ht="11.25" customHeight="1" x14ac:dyDescent="0.25">
      <c r="A419" s="4" t="s">
        <v>27</v>
      </c>
      <c r="B419" s="4" t="s">
        <v>36</v>
      </c>
      <c r="C419" s="4" t="s">
        <v>23</v>
      </c>
      <c r="D419" s="4" t="s">
        <v>37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44440</v>
      </c>
      <c r="J419" s="6">
        <v>0</v>
      </c>
      <c r="K419" s="6">
        <v>0</v>
      </c>
      <c r="L419" s="6">
        <v>0.55900000000000005</v>
      </c>
      <c r="M419" s="6">
        <v>0.55900000000000005</v>
      </c>
      <c r="N419" s="6">
        <v>0.55900000000000005</v>
      </c>
      <c r="O419" s="6">
        <v>0.55900000000000005</v>
      </c>
      <c r="P419" s="6">
        <v>5</v>
      </c>
      <c r="Q419" s="4" t="s">
        <v>26</v>
      </c>
      <c r="R419" s="4">
        <v>0</v>
      </c>
      <c r="S419" s="6">
        <v>0</v>
      </c>
      <c r="T419" s="6">
        <v>65</v>
      </c>
      <c r="U419" s="6">
        <v>25</v>
      </c>
      <c r="V419" s="6">
        <f>IF(ISERROR(VLOOKUP($S$419,'TAR FIN'!$A$1:$O$88,15,0)),0,VLOOKUP($S$419,'TAR FIN'!$A$1:$O$88,15,0))</f>
        <v>0</v>
      </c>
      <c r="W419" s="6">
        <f>IF(ISERROR(VLOOKUP($T$419,'TAR FIN'!$A$1:$O$88,15,0)),0,VLOOKUP($T$419,'TAR FIN'!$A$1:$O$88,15,0))</f>
        <v>269.91000000000003</v>
      </c>
      <c r="X419" s="6">
        <f>IF(ISERROR(VLOOKUP($U$419,'TAR FIN'!$A$1:$O$88,15,0)),0,VLOOKUP($U$419,'TAR FIN'!$A$1:$O$88,15,0))</f>
        <v>288.89999999999998</v>
      </c>
      <c r="Y419" s="6"/>
      <c r="Z419" s="6">
        <f ca="1">('TUSD BE'!$AM$48+'TUSD BF'!$AM$48+'TUSD CVA'!$AM$48)*1</f>
        <v>350.41122835255294</v>
      </c>
      <c r="AA419" s="6">
        <f>('TE BE'!$AB$39+'TE BF'!$AB$39+'TE CVA'!$AB$39)*1</f>
        <v>207.63042742196092</v>
      </c>
      <c r="AB419" s="6">
        <f>$K$419*$V$419</f>
        <v>0</v>
      </c>
      <c r="AC419" s="6">
        <f>$M$419*$W$419</f>
        <v>150.87969000000004</v>
      </c>
      <c r="AD419" s="6">
        <f>$O$419*$X$419</f>
        <v>161.49510000000001</v>
      </c>
      <c r="AE419" s="6">
        <f>$K$419*$Y$419</f>
        <v>0</v>
      </c>
      <c r="AF419" s="6">
        <f ca="1">$M$419*$Z$419</f>
        <v>195.87987664907712</v>
      </c>
      <c r="AG419" s="6">
        <f>$O$419*$AA$419</f>
        <v>116.06540892887617</v>
      </c>
    </row>
    <row r="420" spans="1:33" ht="11.25" customHeight="1" x14ac:dyDescent="0.25">
      <c r="A420" s="4" t="s">
        <v>21</v>
      </c>
      <c r="B420" s="4" t="s">
        <v>36</v>
      </c>
      <c r="C420" s="4" t="s">
        <v>23</v>
      </c>
      <c r="D420" s="4" t="s">
        <v>37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44470</v>
      </c>
      <c r="J420" s="6">
        <v>0</v>
      </c>
      <c r="K420" s="6">
        <v>0</v>
      </c>
      <c r="L420" s="6">
        <v>87.825999999999993</v>
      </c>
      <c r="M420" s="6">
        <v>87.825999999999993</v>
      </c>
      <c r="N420" s="6">
        <v>87.825999999999993</v>
      </c>
      <c r="O420" s="6">
        <v>87.825999999999993</v>
      </c>
      <c r="P420" s="6">
        <v>204</v>
      </c>
      <c r="Q420" s="4" t="s">
        <v>26</v>
      </c>
      <c r="R420" s="4">
        <v>0</v>
      </c>
      <c r="S420" s="6">
        <v>0</v>
      </c>
      <c r="T420" s="6">
        <v>65</v>
      </c>
      <c r="U420" s="6">
        <v>25</v>
      </c>
      <c r="V420" s="6">
        <f>IF(ISERROR(VLOOKUP($S$420,'TAR FIN'!$A$1:$O$88,15,0)),0,VLOOKUP($S$420,'TAR FIN'!$A$1:$O$88,15,0))</f>
        <v>0</v>
      </c>
      <c r="W420" s="6">
        <f>IF(ISERROR(VLOOKUP($T$420,'TAR FIN'!$A$1:$O$88,15,0)),0,VLOOKUP($T$420,'TAR FIN'!$A$1:$O$88,15,0))</f>
        <v>269.91000000000003</v>
      </c>
      <c r="X420" s="6">
        <f>IF(ISERROR(VLOOKUP($U$420,'TAR FIN'!$A$1:$O$88,15,0)),0,VLOOKUP($U$420,'TAR FIN'!$A$1:$O$88,15,0))</f>
        <v>288.89999999999998</v>
      </c>
      <c r="Y420" s="6"/>
      <c r="Z420" s="6">
        <f ca="1">('TUSD BE'!$AM$48+'TUSD BF'!$AM$48+'TUSD CVA'!$AM$48)*1</f>
        <v>350.41122835255294</v>
      </c>
      <c r="AA420" s="6">
        <f>('TE BE'!$AB$39+'TE BF'!$AB$39+'TE CVA'!$AB$39)*1</f>
        <v>207.63042742196092</v>
      </c>
      <c r="AB420" s="6">
        <f>$K$420*$V$420</f>
        <v>0</v>
      </c>
      <c r="AC420" s="6">
        <f>$M$420*$W$420</f>
        <v>23705.115659999999</v>
      </c>
      <c r="AD420" s="6">
        <f>$O$420*$X$420</f>
        <v>25372.931399999998</v>
      </c>
      <c r="AE420" s="6">
        <f>$K$420*$Y$420</f>
        <v>0</v>
      </c>
      <c r="AF420" s="6">
        <f ca="1">$M$420*$Z$420</f>
        <v>30775.216541291313</v>
      </c>
      <c r="AG420" s="6">
        <f>$O$420*$AA$420</f>
        <v>18235.349918761138</v>
      </c>
    </row>
    <row r="421" spans="1:33" ht="11.25" customHeight="1" x14ac:dyDescent="0.25">
      <c r="A421" s="4" t="s">
        <v>27</v>
      </c>
      <c r="B421" s="4" t="s">
        <v>36</v>
      </c>
      <c r="C421" s="4" t="s">
        <v>23</v>
      </c>
      <c r="D421" s="4" t="s">
        <v>37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44470</v>
      </c>
      <c r="J421" s="6">
        <v>0</v>
      </c>
      <c r="K421" s="6">
        <v>0</v>
      </c>
      <c r="L421" s="6">
        <v>0.92300000000000004</v>
      </c>
      <c r="M421" s="6">
        <v>0.92300000000000004</v>
      </c>
      <c r="N421" s="6">
        <v>0.92300000000000004</v>
      </c>
      <c r="O421" s="6">
        <v>0.92300000000000004</v>
      </c>
      <c r="P421" s="6">
        <v>6</v>
      </c>
      <c r="Q421" s="4" t="s">
        <v>26</v>
      </c>
      <c r="R421" s="4">
        <v>0</v>
      </c>
      <c r="S421" s="6">
        <v>0</v>
      </c>
      <c r="T421" s="6">
        <v>65</v>
      </c>
      <c r="U421" s="6">
        <v>25</v>
      </c>
      <c r="V421" s="6">
        <f>IF(ISERROR(VLOOKUP($S$421,'TAR FIN'!$A$1:$O$88,15,0)),0,VLOOKUP($S$421,'TAR FIN'!$A$1:$O$88,15,0))</f>
        <v>0</v>
      </c>
      <c r="W421" s="6">
        <f>IF(ISERROR(VLOOKUP($T$421,'TAR FIN'!$A$1:$O$88,15,0)),0,VLOOKUP($T$421,'TAR FIN'!$A$1:$O$88,15,0))</f>
        <v>269.91000000000003</v>
      </c>
      <c r="X421" s="6">
        <f>IF(ISERROR(VLOOKUP($U$421,'TAR FIN'!$A$1:$O$88,15,0)),0,VLOOKUP($U$421,'TAR FIN'!$A$1:$O$88,15,0))</f>
        <v>288.89999999999998</v>
      </c>
      <c r="Y421" s="6"/>
      <c r="Z421" s="6">
        <f ca="1">('TUSD BE'!$AM$48+'TUSD BF'!$AM$48+'TUSD CVA'!$AM$48)*1</f>
        <v>350.41122835255294</v>
      </c>
      <c r="AA421" s="6">
        <f>('TE BE'!$AB$39+'TE BF'!$AB$39+'TE CVA'!$AB$39)*1</f>
        <v>207.63042742196092</v>
      </c>
      <c r="AB421" s="6">
        <f>$K$421*$V$421</f>
        <v>0</v>
      </c>
      <c r="AC421" s="6">
        <f>$M$421*$W$421</f>
        <v>249.12693000000004</v>
      </c>
      <c r="AD421" s="6">
        <f>$O$421*$X$421</f>
        <v>266.65469999999999</v>
      </c>
      <c r="AE421" s="6">
        <f>$K$421*$Y$421</f>
        <v>0</v>
      </c>
      <c r="AF421" s="6">
        <f ca="1">$M$421*$Z$421</f>
        <v>323.4295637694064</v>
      </c>
      <c r="AG421" s="6">
        <f>$O$421*$AA$421</f>
        <v>191.64288451046994</v>
      </c>
    </row>
    <row r="422" spans="1:33" ht="11.25" customHeight="1" x14ac:dyDescent="0.25">
      <c r="A422" s="4" t="s">
        <v>21</v>
      </c>
      <c r="B422" s="4" t="s">
        <v>36</v>
      </c>
      <c r="C422" s="4" t="s">
        <v>23</v>
      </c>
      <c r="D422" s="4" t="s">
        <v>37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44501</v>
      </c>
      <c r="J422" s="6">
        <v>0</v>
      </c>
      <c r="K422" s="6">
        <v>0</v>
      </c>
      <c r="L422" s="6">
        <v>90.174999999999997</v>
      </c>
      <c r="M422" s="6">
        <v>90.174999999999997</v>
      </c>
      <c r="N422" s="6">
        <v>90.174999999999997</v>
      </c>
      <c r="O422" s="6">
        <v>90.174999999999997</v>
      </c>
      <c r="P422" s="6">
        <v>209</v>
      </c>
      <c r="Q422" s="4" t="s">
        <v>26</v>
      </c>
      <c r="R422" s="4">
        <v>0</v>
      </c>
      <c r="S422" s="6">
        <v>0</v>
      </c>
      <c r="T422" s="6">
        <v>65</v>
      </c>
      <c r="U422" s="6">
        <v>25</v>
      </c>
      <c r="V422" s="6">
        <f>IF(ISERROR(VLOOKUP($S$422,'TAR FIN'!$A$1:$O$88,15,0)),0,VLOOKUP($S$422,'TAR FIN'!$A$1:$O$88,15,0))</f>
        <v>0</v>
      </c>
      <c r="W422" s="6">
        <f>IF(ISERROR(VLOOKUP($T$422,'TAR FIN'!$A$1:$O$88,15,0)),0,VLOOKUP($T$422,'TAR FIN'!$A$1:$O$88,15,0))</f>
        <v>269.91000000000003</v>
      </c>
      <c r="X422" s="6">
        <f>IF(ISERROR(VLOOKUP($U$422,'TAR FIN'!$A$1:$O$88,15,0)),0,VLOOKUP($U$422,'TAR FIN'!$A$1:$O$88,15,0))</f>
        <v>288.89999999999998</v>
      </c>
      <c r="Y422" s="6"/>
      <c r="Z422" s="6">
        <f ca="1">('TUSD BE'!$AM$48+'TUSD BF'!$AM$48+'TUSD CVA'!$AM$48)*1</f>
        <v>350.41122835255294</v>
      </c>
      <c r="AA422" s="6">
        <f>('TE BE'!$AB$39+'TE BF'!$AB$39+'TE CVA'!$AB$39)*1</f>
        <v>207.63042742196092</v>
      </c>
      <c r="AB422" s="6">
        <f>$K$422*$V$422</f>
        <v>0</v>
      </c>
      <c r="AC422" s="6">
        <f>$M$422*$W$422</f>
        <v>24339.134250000003</v>
      </c>
      <c r="AD422" s="6">
        <f>$O$422*$X$422</f>
        <v>26051.557499999995</v>
      </c>
      <c r="AE422" s="6">
        <f>$K$422*$Y$422</f>
        <v>0</v>
      </c>
      <c r="AF422" s="6">
        <f ca="1">$M$422*$Z$422</f>
        <v>31598.332516691462</v>
      </c>
      <c r="AG422" s="6">
        <f>$O$422*$AA$422</f>
        <v>18723.073792775325</v>
      </c>
    </row>
    <row r="423" spans="1:33" ht="11.25" customHeight="1" x14ac:dyDescent="0.25">
      <c r="A423" s="4" t="s">
        <v>27</v>
      </c>
      <c r="B423" s="4" t="s">
        <v>36</v>
      </c>
      <c r="C423" s="4" t="s">
        <v>23</v>
      </c>
      <c r="D423" s="4" t="s">
        <v>37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44501</v>
      </c>
      <c r="J423" s="6">
        <v>0</v>
      </c>
      <c r="K423" s="6">
        <v>0</v>
      </c>
      <c r="L423" s="6">
        <v>0.64300000000000002</v>
      </c>
      <c r="M423" s="6">
        <v>0.64300000000000002</v>
      </c>
      <c r="N423" s="6">
        <v>0.64300000000000002</v>
      </c>
      <c r="O423" s="6">
        <v>0.64300000000000002</v>
      </c>
      <c r="P423" s="6">
        <v>6</v>
      </c>
      <c r="Q423" s="4" t="s">
        <v>26</v>
      </c>
      <c r="R423" s="4">
        <v>0</v>
      </c>
      <c r="S423" s="6">
        <v>0</v>
      </c>
      <c r="T423" s="6">
        <v>65</v>
      </c>
      <c r="U423" s="6">
        <v>25</v>
      </c>
      <c r="V423" s="6">
        <f>IF(ISERROR(VLOOKUP($S$423,'TAR FIN'!$A$1:$O$88,15,0)),0,VLOOKUP($S$423,'TAR FIN'!$A$1:$O$88,15,0))</f>
        <v>0</v>
      </c>
      <c r="W423" s="6">
        <f>IF(ISERROR(VLOOKUP($T$423,'TAR FIN'!$A$1:$O$88,15,0)),0,VLOOKUP($T$423,'TAR FIN'!$A$1:$O$88,15,0))</f>
        <v>269.91000000000003</v>
      </c>
      <c r="X423" s="6">
        <f>IF(ISERROR(VLOOKUP($U$423,'TAR FIN'!$A$1:$O$88,15,0)),0,VLOOKUP($U$423,'TAR FIN'!$A$1:$O$88,15,0))</f>
        <v>288.89999999999998</v>
      </c>
      <c r="Y423" s="6"/>
      <c r="Z423" s="6">
        <f ca="1">('TUSD BE'!$AM$48+'TUSD BF'!$AM$48+'TUSD CVA'!$AM$48)*1</f>
        <v>350.41122835255294</v>
      </c>
      <c r="AA423" s="6">
        <f>('TE BE'!$AB$39+'TE BF'!$AB$39+'TE CVA'!$AB$39)*1</f>
        <v>207.63042742196092</v>
      </c>
      <c r="AB423" s="6">
        <f>$K$423*$V$423</f>
        <v>0</v>
      </c>
      <c r="AC423" s="6">
        <f>$M$423*$W$423</f>
        <v>173.55213000000003</v>
      </c>
      <c r="AD423" s="6">
        <f>$O$423*$X$423</f>
        <v>185.7627</v>
      </c>
      <c r="AE423" s="6">
        <f>$K$423*$Y$423</f>
        <v>0</v>
      </c>
      <c r="AF423" s="6">
        <f ca="1">$M$423*$Z$423</f>
        <v>225.31441983069155</v>
      </c>
      <c r="AG423" s="6">
        <f>$O$423*$AA$423</f>
        <v>133.50636483232088</v>
      </c>
    </row>
    <row r="424" spans="1:33" ht="11.25" customHeight="1" x14ac:dyDescent="0.25">
      <c r="A424" s="4" t="s">
        <v>21</v>
      </c>
      <c r="B424" s="4" t="s">
        <v>36</v>
      </c>
      <c r="C424" s="4" t="s">
        <v>23</v>
      </c>
      <c r="D424" s="4" t="s">
        <v>37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98.649000000000001</v>
      </c>
      <c r="M424" s="6">
        <v>98.649000000000001</v>
      </c>
      <c r="N424" s="6">
        <v>98.649000000000001</v>
      </c>
      <c r="O424" s="6">
        <v>98.649000000000001</v>
      </c>
      <c r="P424" s="6">
        <v>209</v>
      </c>
      <c r="Q424" s="4" t="s">
        <v>26</v>
      </c>
      <c r="R424" s="4">
        <v>0</v>
      </c>
      <c r="S424" s="6">
        <v>0</v>
      </c>
      <c r="T424" s="6">
        <v>65</v>
      </c>
      <c r="U424" s="6">
        <v>25</v>
      </c>
      <c r="V424" s="6">
        <f>IF(ISERROR(VLOOKUP($S$424,'TAR FIN'!$A$1:$O$88,15,0)),0,VLOOKUP($S$424,'TAR FIN'!$A$1:$O$88,15,0))</f>
        <v>0</v>
      </c>
      <c r="W424" s="6">
        <f>IF(ISERROR(VLOOKUP($T$424,'TAR FIN'!$A$1:$O$88,15,0)),0,VLOOKUP($T$424,'TAR FIN'!$A$1:$O$88,15,0))</f>
        <v>269.91000000000003</v>
      </c>
      <c r="X424" s="6">
        <f>IF(ISERROR(VLOOKUP($U$424,'TAR FIN'!$A$1:$O$88,15,0)),0,VLOOKUP($U$424,'TAR FIN'!$A$1:$O$88,15,0))</f>
        <v>288.89999999999998</v>
      </c>
      <c r="Y424" s="6"/>
      <c r="Z424" s="6">
        <f ca="1">('TUSD BE'!$AM$48+'TUSD BF'!$AM$48+'TUSD CVA'!$AM$48)*1</f>
        <v>350.41122835255294</v>
      </c>
      <c r="AA424" s="6">
        <f>('TE BE'!$AB$39+'TE BF'!$AB$39+'TE CVA'!$AB$39)*1</f>
        <v>207.63042742196092</v>
      </c>
      <c r="AB424" s="6">
        <f>$K$424*$V$424</f>
        <v>0</v>
      </c>
      <c r="AC424" s="6">
        <f>$M$424*$W$424</f>
        <v>26626.351590000002</v>
      </c>
      <c r="AD424" s="6">
        <f>$O$424*$X$424</f>
        <v>28499.696099999997</v>
      </c>
      <c r="AE424" s="6">
        <f>$K$424*$Y$424</f>
        <v>0</v>
      </c>
      <c r="AF424" s="6">
        <f ca="1">$M$424*$Z$424</f>
        <v>34567.717265750995</v>
      </c>
      <c r="AG424" s="6">
        <f>$O$424*$AA$424</f>
        <v>20482.534034749024</v>
      </c>
    </row>
    <row r="425" spans="1:33" ht="11.25" customHeight="1" x14ac:dyDescent="0.25">
      <c r="A425" s="4" t="s">
        <v>27</v>
      </c>
      <c r="B425" s="4" t="s">
        <v>36</v>
      </c>
      <c r="C425" s="4" t="s">
        <v>23</v>
      </c>
      <c r="D425" s="4" t="s">
        <v>37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44531</v>
      </c>
      <c r="J425" s="6">
        <v>0</v>
      </c>
      <c r="K425" s="6">
        <v>0</v>
      </c>
      <c r="L425" s="6">
        <v>1.7350000000000001</v>
      </c>
      <c r="M425" s="6">
        <v>1.7350000000000001</v>
      </c>
      <c r="N425" s="6">
        <v>1.7350000000000001</v>
      </c>
      <c r="O425" s="6">
        <v>1.7350000000000001</v>
      </c>
      <c r="P425" s="6">
        <v>7</v>
      </c>
      <c r="Q425" s="4" t="s">
        <v>26</v>
      </c>
      <c r="R425" s="4">
        <v>0</v>
      </c>
      <c r="S425" s="6">
        <v>0</v>
      </c>
      <c r="T425" s="6">
        <v>65</v>
      </c>
      <c r="U425" s="6">
        <v>25</v>
      </c>
      <c r="V425" s="6">
        <f>IF(ISERROR(VLOOKUP($S$425,'TAR FIN'!$A$1:$O$88,15,0)),0,VLOOKUP($S$425,'TAR FIN'!$A$1:$O$88,15,0))</f>
        <v>0</v>
      </c>
      <c r="W425" s="6">
        <f>IF(ISERROR(VLOOKUP($T$425,'TAR FIN'!$A$1:$O$88,15,0)),0,VLOOKUP($T$425,'TAR FIN'!$A$1:$O$88,15,0))</f>
        <v>269.91000000000003</v>
      </c>
      <c r="X425" s="6">
        <f>IF(ISERROR(VLOOKUP($U$425,'TAR FIN'!$A$1:$O$88,15,0)),0,VLOOKUP($U$425,'TAR FIN'!$A$1:$O$88,15,0))</f>
        <v>288.89999999999998</v>
      </c>
      <c r="Y425" s="6"/>
      <c r="Z425" s="6">
        <f ca="1">('TUSD BE'!$AM$48+'TUSD BF'!$AM$48+'TUSD CVA'!$AM$48)*1</f>
        <v>350.41122835255294</v>
      </c>
      <c r="AA425" s="6">
        <f>('TE BE'!$AB$39+'TE BF'!$AB$39+'TE CVA'!$AB$39)*1</f>
        <v>207.63042742196092</v>
      </c>
      <c r="AB425" s="6">
        <f>$K$425*$V$425</f>
        <v>0</v>
      </c>
      <c r="AC425" s="6">
        <f>$M$425*$W$425</f>
        <v>468.29385000000008</v>
      </c>
      <c r="AD425" s="6">
        <f>$O$425*$X$425</f>
        <v>501.24149999999997</v>
      </c>
      <c r="AE425" s="6">
        <f>$K$425*$Y$425</f>
        <v>0</v>
      </c>
      <c r="AF425" s="6">
        <f ca="1">$M$425*$Z$425</f>
        <v>607.96348119167942</v>
      </c>
      <c r="AG425" s="6">
        <f>$O$425*$AA$425</f>
        <v>360.23879157710223</v>
      </c>
    </row>
    <row r="426" spans="1:33" ht="11.25" customHeight="1" x14ac:dyDescent="0.25">
      <c r="A426" s="4" t="s">
        <v>21</v>
      </c>
      <c r="B426" s="4" t="s">
        <v>36</v>
      </c>
      <c r="C426" s="4" t="s">
        <v>23</v>
      </c>
      <c r="D426" s="4" t="s">
        <v>37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92.94</v>
      </c>
      <c r="M426" s="6">
        <v>92.94</v>
      </c>
      <c r="N426" s="6">
        <v>92.94</v>
      </c>
      <c r="O426" s="6">
        <v>92.94</v>
      </c>
      <c r="P426" s="6">
        <v>213</v>
      </c>
      <c r="Q426" s="4" t="s">
        <v>26</v>
      </c>
      <c r="R426" s="4">
        <v>0</v>
      </c>
      <c r="S426" s="6">
        <v>0</v>
      </c>
      <c r="T426" s="6">
        <v>65</v>
      </c>
      <c r="U426" s="6">
        <v>25</v>
      </c>
      <c r="V426" s="6">
        <f>IF(ISERROR(VLOOKUP($S$426,'TAR FIN'!$A$1:$O$88,15,0)),0,VLOOKUP($S$426,'TAR FIN'!$A$1:$O$88,15,0))</f>
        <v>0</v>
      </c>
      <c r="W426" s="6">
        <f>IF(ISERROR(VLOOKUP($T$426,'TAR FIN'!$A$1:$O$88,15,0)),0,VLOOKUP($T$426,'TAR FIN'!$A$1:$O$88,15,0))</f>
        <v>269.91000000000003</v>
      </c>
      <c r="X426" s="6">
        <f>IF(ISERROR(VLOOKUP($U$426,'TAR FIN'!$A$1:$O$88,15,0)),0,VLOOKUP($U$426,'TAR FIN'!$A$1:$O$88,15,0))</f>
        <v>288.89999999999998</v>
      </c>
      <c r="Y426" s="6"/>
      <c r="Z426" s="6">
        <f ca="1">('TUSD BE'!$AM$48+'TUSD BF'!$AM$48+'TUSD CVA'!$AM$48)*1</f>
        <v>350.41122835255294</v>
      </c>
      <c r="AA426" s="6">
        <f>('TE BE'!$AB$39+'TE BF'!$AB$39+'TE CVA'!$AB$39)*1</f>
        <v>207.63042742196092</v>
      </c>
      <c r="AB426" s="6">
        <f>$K$426*$V$426</f>
        <v>0</v>
      </c>
      <c r="AC426" s="6">
        <f>$M$426*$W$426</f>
        <v>25085.435400000002</v>
      </c>
      <c r="AD426" s="6">
        <f>$O$426*$X$426</f>
        <v>26850.365999999998</v>
      </c>
      <c r="AE426" s="6">
        <f>$K$426*$Y$426</f>
        <v>0</v>
      </c>
      <c r="AF426" s="6">
        <f ca="1">$M$426*$Z$426</f>
        <v>32567.21956308627</v>
      </c>
      <c r="AG426" s="6">
        <f>$O$426*$AA$426</f>
        <v>19297.171924597049</v>
      </c>
    </row>
    <row r="427" spans="1:33" ht="11.25" customHeight="1" x14ac:dyDescent="0.25">
      <c r="A427" s="4" t="s">
        <v>27</v>
      </c>
      <c r="B427" s="4" t="s">
        <v>36</v>
      </c>
      <c r="C427" s="4" t="s">
        <v>23</v>
      </c>
      <c r="D427" s="4" t="s">
        <v>37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">
        <v>0</v>
      </c>
      <c r="L427" s="6">
        <v>0.7</v>
      </c>
      <c r="M427" s="6">
        <v>0.7</v>
      </c>
      <c r="N427" s="6">
        <v>0.7</v>
      </c>
      <c r="O427" s="6">
        <v>0.7</v>
      </c>
      <c r="P427" s="6">
        <v>7</v>
      </c>
      <c r="Q427" s="4" t="s">
        <v>26</v>
      </c>
      <c r="R427" s="4">
        <v>0</v>
      </c>
      <c r="S427" s="6">
        <v>0</v>
      </c>
      <c r="T427" s="6">
        <v>65</v>
      </c>
      <c r="U427" s="6">
        <v>25</v>
      </c>
      <c r="V427" s="6">
        <f>IF(ISERROR(VLOOKUP($S$427,'TAR FIN'!$A$1:$O$88,15,0)),0,VLOOKUP($S$427,'TAR FIN'!$A$1:$O$88,15,0))</f>
        <v>0</v>
      </c>
      <c r="W427" s="6">
        <f>IF(ISERROR(VLOOKUP($T$427,'TAR FIN'!$A$1:$O$88,15,0)),0,VLOOKUP($T$427,'TAR FIN'!$A$1:$O$88,15,0))</f>
        <v>269.91000000000003</v>
      </c>
      <c r="X427" s="6">
        <f>IF(ISERROR(VLOOKUP($U$427,'TAR FIN'!$A$1:$O$88,15,0)),0,VLOOKUP($U$427,'TAR FIN'!$A$1:$O$88,15,0))</f>
        <v>288.89999999999998</v>
      </c>
      <c r="Y427" s="6"/>
      <c r="Z427" s="6">
        <f ca="1">('TUSD BE'!$AM$48+'TUSD BF'!$AM$48+'TUSD CVA'!$AM$48)*1</f>
        <v>350.41122835255294</v>
      </c>
      <c r="AA427" s="6">
        <f>('TE BE'!$AB$39+'TE BF'!$AB$39+'TE CVA'!$AB$39)*1</f>
        <v>207.63042742196092</v>
      </c>
      <c r="AB427" s="6">
        <f>$K$427*$V$427</f>
        <v>0</v>
      </c>
      <c r="AC427" s="6">
        <f>$M$427*$W$427</f>
        <v>188.93700000000001</v>
      </c>
      <c r="AD427" s="6">
        <f>$O$427*$X$427</f>
        <v>202.22999999999996</v>
      </c>
      <c r="AE427" s="6">
        <f>$K$427*$Y$427</f>
        <v>0</v>
      </c>
      <c r="AF427" s="6">
        <f ca="1">$M$427*$Z$427</f>
        <v>245.28785984678703</v>
      </c>
      <c r="AG427" s="6">
        <f>$O$427*$AA$427</f>
        <v>145.34129919537264</v>
      </c>
    </row>
    <row r="428" spans="1:33" ht="11.25" customHeight="1" x14ac:dyDescent="0.25">
      <c r="A428" s="4" t="s">
        <v>21</v>
      </c>
      <c r="B428" s="4" t="s">
        <v>36</v>
      </c>
      <c r="C428" s="4" t="s">
        <v>23</v>
      </c>
      <c r="D428" s="4" t="s">
        <v>37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">
        <v>0</v>
      </c>
      <c r="L428" s="6">
        <v>99.83</v>
      </c>
      <c r="M428" s="6">
        <v>99.83</v>
      </c>
      <c r="N428" s="6">
        <v>99.83</v>
      </c>
      <c r="O428" s="6">
        <v>99.83</v>
      </c>
      <c r="P428" s="6">
        <v>216</v>
      </c>
      <c r="Q428" s="4" t="s">
        <v>26</v>
      </c>
      <c r="R428" s="4">
        <v>0</v>
      </c>
      <c r="S428" s="6">
        <v>0</v>
      </c>
      <c r="T428" s="6">
        <v>65</v>
      </c>
      <c r="U428" s="6">
        <v>25</v>
      </c>
      <c r="V428" s="6">
        <f>IF(ISERROR(VLOOKUP($S$428,'TAR FIN'!$A$1:$O$88,15,0)),0,VLOOKUP($S$428,'TAR FIN'!$A$1:$O$88,15,0))</f>
        <v>0</v>
      </c>
      <c r="W428" s="6">
        <f>IF(ISERROR(VLOOKUP($T$428,'TAR FIN'!$A$1:$O$88,15,0)),0,VLOOKUP($T$428,'TAR FIN'!$A$1:$O$88,15,0))</f>
        <v>269.91000000000003</v>
      </c>
      <c r="X428" s="6">
        <f>IF(ISERROR(VLOOKUP($U$428,'TAR FIN'!$A$1:$O$88,15,0)),0,VLOOKUP($U$428,'TAR FIN'!$A$1:$O$88,15,0))</f>
        <v>288.89999999999998</v>
      </c>
      <c r="Y428" s="6"/>
      <c r="Z428" s="6">
        <f ca="1">('TUSD BE'!$AM$48+'TUSD BF'!$AM$48+'TUSD CVA'!$AM$48)*1</f>
        <v>350.41122835255294</v>
      </c>
      <c r="AA428" s="6">
        <f>('TE BE'!$AB$39+'TE BF'!$AB$39+'TE CVA'!$AB$39)*1</f>
        <v>207.63042742196092</v>
      </c>
      <c r="AB428" s="6">
        <f>$K$428*$V$428</f>
        <v>0</v>
      </c>
      <c r="AC428" s="6">
        <f>$M$428*$W$428</f>
        <v>26945.115300000001</v>
      </c>
      <c r="AD428" s="6">
        <f>$O$428*$X$428</f>
        <v>28840.886999999999</v>
      </c>
      <c r="AE428" s="6">
        <f>$K$428*$Y$428</f>
        <v>0</v>
      </c>
      <c r="AF428" s="6">
        <f ca="1">$M$428*$Z$428</f>
        <v>34981.552926435361</v>
      </c>
      <c r="AG428" s="6">
        <f>$O$428*$AA$428</f>
        <v>20727.74556953436</v>
      </c>
    </row>
    <row r="429" spans="1:33" ht="11.25" customHeight="1" x14ac:dyDescent="0.25">
      <c r="A429" s="4" t="s">
        <v>27</v>
      </c>
      <c r="B429" s="4" t="s">
        <v>36</v>
      </c>
      <c r="C429" s="4" t="s">
        <v>23</v>
      </c>
      <c r="D429" s="4" t="s">
        <v>37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44593</v>
      </c>
      <c r="J429" s="6">
        <v>0</v>
      </c>
      <c r="K429" s="6">
        <v>0</v>
      </c>
      <c r="L429" s="6">
        <v>1.284</v>
      </c>
      <c r="M429" s="6">
        <v>1.284</v>
      </c>
      <c r="N429" s="6">
        <v>1.284</v>
      </c>
      <c r="O429" s="6">
        <v>1.284</v>
      </c>
      <c r="P429" s="6">
        <v>8</v>
      </c>
      <c r="Q429" s="4" t="s">
        <v>26</v>
      </c>
      <c r="R429" s="4">
        <v>0</v>
      </c>
      <c r="S429" s="6">
        <v>0</v>
      </c>
      <c r="T429" s="6">
        <v>65</v>
      </c>
      <c r="U429" s="6">
        <v>25</v>
      </c>
      <c r="V429" s="6">
        <f>IF(ISERROR(VLOOKUP($S$429,'TAR FIN'!$A$1:$O$88,15,0)),0,VLOOKUP($S$429,'TAR FIN'!$A$1:$O$88,15,0))</f>
        <v>0</v>
      </c>
      <c r="W429" s="6">
        <f>IF(ISERROR(VLOOKUP($T$429,'TAR FIN'!$A$1:$O$88,15,0)),0,VLOOKUP($T$429,'TAR FIN'!$A$1:$O$88,15,0))</f>
        <v>269.91000000000003</v>
      </c>
      <c r="X429" s="6">
        <f>IF(ISERROR(VLOOKUP($U$429,'TAR FIN'!$A$1:$O$88,15,0)),0,VLOOKUP($U$429,'TAR FIN'!$A$1:$O$88,15,0))</f>
        <v>288.89999999999998</v>
      </c>
      <c r="Y429" s="6"/>
      <c r="Z429" s="6">
        <f ca="1">('TUSD BE'!$AM$48+'TUSD BF'!$AM$48+'TUSD CVA'!$AM$48)*1</f>
        <v>350.41122835255294</v>
      </c>
      <c r="AA429" s="6">
        <f>('TE BE'!$AB$39+'TE BF'!$AB$39+'TE CVA'!$AB$39)*1</f>
        <v>207.63042742196092</v>
      </c>
      <c r="AB429" s="6">
        <f>$K$429*$V$429</f>
        <v>0</v>
      </c>
      <c r="AC429" s="6">
        <f>$M$429*$W$429</f>
        <v>346.56444000000005</v>
      </c>
      <c r="AD429" s="6">
        <f>$O$429*$X$429</f>
        <v>370.94759999999997</v>
      </c>
      <c r="AE429" s="6">
        <f>$K$429*$Y$429</f>
        <v>0</v>
      </c>
      <c r="AF429" s="6">
        <f ca="1">$M$429*$Z$429</f>
        <v>449.92801720467799</v>
      </c>
      <c r="AG429" s="6">
        <f>$O$429*$AA$429</f>
        <v>266.59746880979782</v>
      </c>
    </row>
    <row r="430" spans="1:33" ht="11.25" customHeight="1" x14ac:dyDescent="0.25">
      <c r="A430" s="4" t="s">
        <v>21</v>
      </c>
      <c r="B430" s="4" t="s">
        <v>36</v>
      </c>
      <c r="C430" s="4" t="s">
        <v>23</v>
      </c>
      <c r="D430" s="4" t="s">
        <v>37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44621</v>
      </c>
      <c r="J430" s="6">
        <v>0</v>
      </c>
      <c r="K430" s="6">
        <v>0</v>
      </c>
      <c r="L430" s="6">
        <v>92.855000000000004</v>
      </c>
      <c r="M430" s="6">
        <v>92.855000000000004</v>
      </c>
      <c r="N430" s="6">
        <v>92.855000000000004</v>
      </c>
      <c r="O430" s="6">
        <v>92.855000000000004</v>
      </c>
      <c r="P430" s="6">
        <v>219</v>
      </c>
      <c r="Q430" s="4" t="s">
        <v>26</v>
      </c>
      <c r="R430" s="4">
        <v>0</v>
      </c>
      <c r="S430" s="6">
        <v>0</v>
      </c>
      <c r="T430" s="6">
        <v>65</v>
      </c>
      <c r="U430" s="6">
        <v>25</v>
      </c>
      <c r="V430" s="6">
        <f>IF(ISERROR(VLOOKUP($S$430,'TAR FIN'!$A$1:$O$88,15,0)),0,VLOOKUP($S$430,'TAR FIN'!$A$1:$O$88,15,0))</f>
        <v>0</v>
      </c>
      <c r="W430" s="6">
        <f>IF(ISERROR(VLOOKUP($T$430,'TAR FIN'!$A$1:$O$88,15,0)),0,VLOOKUP($T$430,'TAR FIN'!$A$1:$O$88,15,0))</f>
        <v>269.91000000000003</v>
      </c>
      <c r="X430" s="6">
        <f>IF(ISERROR(VLOOKUP($U$430,'TAR FIN'!$A$1:$O$88,15,0)),0,VLOOKUP($U$430,'TAR FIN'!$A$1:$O$88,15,0))</f>
        <v>288.89999999999998</v>
      </c>
      <c r="Y430" s="6"/>
      <c r="Z430" s="6">
        <f ca="1">('TUSD BE'!$AM$48+'TUSD BF'!$AM$48+'TUSD CVA'!$AM$48)*1</f>
        <v>350.41122835255294</v>
      </c>
      <c r="AA430" s="6">
        <f>('TE BE'!$AB$39+'TE BF'!$AB$39+'TE CVA'!$AB$39)*1</f>
        <v>207.63042742196092</v>
      </c>
      <c r="AB430" s="6">
        <f>$K$430*$V$430</f>
        <v>0</v>
      </c>
      <c r="AC430" s="6">
        <f>$M$430*$W$430</f>
        <v>25062.493050000005</v>
      </c>
      <c r="AD430" s="6">
        <f>$O$430*$X$430</f>
        <v>26825.809499999999</v>
      </c>
      <c r="AE430" s="6">
        <f>$K$430*$Y$430</f>
        <v>0</v>
      </c>
      <c r="AF430" s="6">
        <f ca="1">$M$430*$Z$430</f>
        <v>32537.434608676303</v>
      </c>
      <c r="AG430" s="6">
        <f>$O$430*$AA$430</f>
        <v>19279.523338266183</v>
      </c>
    </row>
    <row r="431" spans="1:33" ht="11.25" customHeight="1" x14ac:dyDescent="0.25">
      <c r="A431" s="4" t="s">
        <v>27</v>
      </c>
      <c r="B431" s="4" t="s">
        <v>36</v>
      </c>
      <c r="C431" s="4" t="s">
        <v>23</v>
      </c>
      <c r="D431" s="4" t="s">
        <v>37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44621</v>
      </c>
      <c r="J431" s="6">
        <v>0</v>
      </c>
      <c r="K431" s="6">
        <v>0</v>
      </c>
      <c r="L431" s="6">
        <v>6.6959999999999997</v>
      </c>
      <c r="M431" s="6">
        <v>6.6959999999999997</v>
      </c>
      <c r="N431" s="6">
        <v>6.6959999999999997</v>
      </c>
      <c r="O431" s="6">
        <v>6.6959999999999997</v>
      </c>
      <c r="P431" s="6">
        <v>10</v>
      </c>
      <c r="Q431" s="4" t="s">
        <v>26</v>
      </c>
      <c r="R431" s="4">
        <v>0</v>
      </c>
      <c r="S431" s="6">
        <v>0</v>
      </c>
      <c r="T431" s="6">
        <v>65</v>
      </c>
      <c r="U431" s="6">
        <v>25</v>
      </c>
      <c r="V431" s="6">
        <f>IF(ISERROR(VLOOKUP($S$431,'TAR FIN'!$A$1:$O$88,15,0)),0,VLOOKUP($S$431,'TAR FIN'!$A$1:$O$88,15,0))</f>
        <v>0</v>
      </c>
      <c r="W431" s="6">
        <f>IF(ISERROR(VLOOKUP($T$431,'TAR FIN'!$A$1:$O$88,15,0)),0,VLOOKUP($T$431,'TAR FIN'!$A$1:$O$88,15,0))</f>
        <v>269.91000000000003</v>
      </c>
      <c r="X431" s="6">
        <f>IF(ISERROR(VLOOKUP($U$431,'TAR FIN'!$A$1:$O$88,15,0)),0,VLOOKUP($U$431,'TAR FIN'!$A$1:$O$88,15,0))</f>
        <v>288.89999999999998</v>
      </c>
      <c r="Y431" s="6"/>
      <c r="Z431" s="6">
        <f ca="1">('TUSD BE'!$AM$48+'TUSD BF'!$AM$48+'TUSD CVA'!$AM$48)*1</f>
        <v>350.41122835255294</v>
      </c>
      <c r="AA431" s="6">
        <f>('TE BE'!$AB$39+'TE BF'!$AB$39+'TE CVA'!$AB$39)*1</f>
        <v>207.63042742196092</v>
      </c>
      <c r="AB431" s="6">
        <f>$K$431*$V$431</f>
        <v>0</v>
      </c>
      <c r="AC431" s="6">
        <f>$M$431*$W$431</f>
        <v>1807.31736</v>
      </c>
      <c r="AD431" s="6">
        <f>$O$431*$X$431</f>
        <v>1934.4743999999998</v>
      </c>
      <c r="AE431" s="6">
        <f>$K$431*$Y$431</f>
        <v>0</v>
      </c>
      <c r="AF431" s="6">
        <f ca="1">$M$431*$Z$431</f>
        <v>2346.3535850486942</v>
      </c>
      <c r="AG431" s="6">
        <f>$O$431*$AA$431</f>
        <v>1390.2933420174502</v>
      </c>
    </row>
    <row r="432" spans="1:33" ht="11.25" customHeight="1" x14ac:dyDescent="0.25">
      <c r="A432" s="4" t="s">
        <v>21</v>
      </c>
      <c r="B432" s="4" t="s">
        <v>36</v>
      </c>
      <c r="C432" s="4" t="s">
        <v>23</v>
      </c>
      <c r="D432" s="4" t="s">
        <v>37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44652</v>
      </c>
      <c r="J432" s="6">
        <v>0</v>
      </c>
      <c r="K432" s="6">
        <v>0</v>
      </c>
      <c r="L432" s="6">
        <v>79.927000000000007</v>
      </c>
      <c r="M432" s="6">
        <v>79.927000000000007</v>
      </c>
      <c r="N432" s="6">
        <v>79.927000000000007</v>
      </c>
      <c r="O432" s="6">
        <v>79.927000000000007</v>
      </c>
      <c r="P432" s="6">
        <v>221</v>
      </c>
      <c r="Q432" s="4" t="s">
        <v>26</v>
      </c>
      <c r="R432" s="4">
        <v>0</v>
      </c>
      <c r="S432" s="6">
        <v>0</v>
      </c>
      <c r="T432" s="6">
        <v>65</v>
      </c>
      <c r="U432" s="6">
        <v>25</v>
      </c>
      <c r="V432" s="6">
        <f>IF(ISERROR(VLOOKUP($S$432,'TAR FIN'!$A$1:$O$88,15,0)),0,VLOOKUP($S$432,'TAR FIN'!$A$1:$O$88,15,0))</f>
        <v>0</v>
      </c>
      <c r="W432" s="6">
        <f>IF(ISERROR(VLOOKUP($T$432,'TAR FIN'!$A$1:$O$88,15,0)),0,VLOOKUP($T$432,'TAR FIN'!$A$1:$O$88,15,0))</f>
        <v>269.91000000000003</v>
      </c>
      <c r="X432" s="6">
        <f>IF(ISERROR(VLOOKUP($U$432,'TAR FIN'!$A$1:$O$88,15,0)),0,VLOOKUP($U$432,'TAR FIN'!$A$1:$O$88,15,0))</f>
        <v>288.89999999999998</v>
      </c>
      <c r="Y432" s="6"/>
      <c r="Z432" s="6">
        <f ca="1">('TUSD BE'!$AM$48+'TUSD BF'!$AM$48+'TUSD CVA'!$AM$48)*1</f>
        <v>350.41122835255294</v>
      </c>
      <c r="AA432" s="6">
        <f>('TE BE'!$AB$39+'TE BF'!$AB$39+'TE CVA'!$AB$39)*1</f>
        <v>207.63042742196092</v>
      </c>
      <c r="AB432" s="6">
        <f>$K$432*$V$432</f>
        <v>0</v>
      </c>
      <c r="AC432" s="6">
        <f>$M$432*$W$432</f>
        <v>21573.096570000005</v>
      </c>
      <c r="AD432" s="6">
        <f>$O$432*$X$432</f>
        <v>23090.9103</v>
      </c>
      <c r="AE432" s="6">
        <f>$K$432*$Y$432</f>
        <v>0</v>
      </c>
      <c r="AF432" s="6">
        <f ca="1">$M$432*$Z$432</f>
        <v>28007.318248534502</v>
      </c>
      <c r="AG432" s="6">
        <f>$O$432*$AA$432</f>
        <v>16595.27717255507</v>
      </c>
    </row>
    <row r="433" spans="1:33" ht="11.25" customHeight="1" x14ac:dyDescent="0.25">
      <c r="A433" s="4" t="s">
        <v>27</v>
      </c>
      <c r="B433" s="4" t="s">
        <v>36</v>
      </c>
      <c r="C433" s="4" t="s">
        <v>23</v>
      </c>
      <c r="D433" s="4" t="s">
        <v>37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44652</v>
      </c>
      <c r="J433" s="6">
        <v>0</v>
      </c>
      <c r="K433" s="6">
        <v>0</v>
      </c>
      <c r="L433" s="6">
        <v>8.5050000000000008</v>
      </c>
      <c r="M433" s="6">
        <v>8.5050000000000008</v>
      </c>
      <c r="N433" s="6">
        <v>8.5050000000000008</v>
      </c>
      <c r="O433" s="6">
        <v>8.5050000000000008</v>
      </c>
      <c r="P433" s="6">
        <v>11</v>
      </c>
      <c r="Q433" s="4" t="s">
        <v>26</v>
      </c>
      <c r="R433" s="4">
        <v>0</v>
      </c>
      <c r="S433" s="6">
        <v>0</v>
      </c>
      <c r="T433" s="6">
        <v>65</v>
      </c>
      <c r="U433" s="6">
        <v>25</v>
      </c>
      <c r="V433" s="6">
        <f>IF(ISERROR(VLOOKUP($S$433,'TAR FIN'!$A$1:$O$88,15,0)),0,VLOOKUP($S$433,'TAR FIN'!$A$1:$O$88,15,0))</f>
        <v>0</v>
      </c>
      <c r="W433" s="6">
        <f>IF(ISERROR(VLOOKUP($T$433,'TAR FIN'!$A$1:$O$88,15,0)),0,VLOOKUP($T$433,'TAR FIN'!$A$1:$O$88,15,0))</f>
        <v>269.91000000000003</v>
      </c>
      <c r="X433" s="6">
        <f>IF(ISERROR(VLOOKUP($U$433,'TAR FIN'!$A$1:$O$88,15,0)),0,VLOOKUP($U$433,'TAR FIN'!$A$1:$O$88,15,0))</f>
        <v>288.89999999999998</v>
      </c>
      <c r="Y433" s="6"/>
      <c r="Z433" s="6">
        <f ca="1">('TUSD BE'!$AM$48+'TUSD BF'!$AM$48+'TUSD CVA'!$AM$48)*1</f>
        <v>350.41122835255294</v>
      </c>
      <c r="AA433" s="6">
        <f>('TE BE'!$AB$39+'TE BF'!$AB$39+'TE CVA'!$AB$39)*1</f>
        <v>207.63042742196092</v>
      </c>
      <c r="AB433" s="6">
        <f>$K$433*$V$433</f>
        <v>0</v>
      </c>
      <c r="AC433" s="6">
        <f>$M$433*$W$433</f>
        <v>2295.5845500000005</v>
      </c>
      <c r="AD433" s="6">
        <f>$O$433*$X$433</f>
        <v>2457.0945000000002</v>
      </c>
      <c r="AE433" s="6">
        <f>$K$433*$Y$433</f>
        <v>0</v>
      </c>
      <c r="AF433" s="6">
        <f ca="1">$M$433*$Z$433</f>
        <v>2980.2474971384631</v>
      </c>
      <c r="AG433" s="6">
        <f>$O$433*$AA$433</f>
        <v>1765.8967852237777</v>
      </c>
    </row>
    <row r="434" spans="1:33" ht="11.25" customHeight="1" x14ac:dyDescent="0.25">
      <c r="A434" s="4" t="s">
        <v>21</v>
      </c>
      <c r="B434" s="4" t="s">
        <v>36</v>
      </c>
      <c r="C434" s="4" t="s">
        <v>23</v>
      </c>
      <c r="D434" s="4" t="s">
        <v>37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44682</v>
      </c>
      <c r="J434" s="6">
        <v>0</v>
      </c>
      <c r="K434" s="6">
        <v>0</v>
      </c>
      <c r="L434" s="6">
        <v>83.653999999999996</v>
      </c>
      <c r="M434" s="6">
        <v>83.653999999999996</v>
      </c>
      <c r="N434" s="6">
        <v>83.653999999999996</v>
      </c>
      <c r="O434" s="6">
        <v>83.653999999999996</v>
      </c>
      <c r="P434" s="6">
        <v>222</v>
      </c>
      <c r="Q434" s="4" t="s">
        <v>26</v>
      </c>
      <c r="R434" s="4">
        <v>0</v>
      </c>
      <c r="S434" s="6">
        <v>0</v>
      </c>
      <c r="T434" s="6">
        <v>65</v>
      </c>
      <c r="U434" s="6">
        <v>25</v>
      </c>
      <c r="V434" s="6">
        <f>IF(ISERROR(VLOOKUP($S$434,'TAR FIN'!$A$1:$O$88,15,0)),0,VLOOKUP($S$434,'TAR FIN'!$A$1:$O$88,15,0))</f>
        <v>0</v>
      </c>
      <c r="W434" s="6">
        <f>IF(ISERROR(VLOOKUP($T$434,'TAR FIN'!$A$1:$O$88,15,0)),0,VLOOKUP($T$434,'TAR FIN'!$A$1:$O$88,15,0))</f>
        <v>269.91000000000003</v>
      </c>
      <c r="X434" s="6">
        <f>IF(ISERROR(VLOOKUP($U$434,'TAR FIN'!$A$1:$O$88,15,0)),0,VLOOKUP($U$434,'TAR FIN'!$A$1:$O$88,15,0))</f>
        <v>288.89999999999998</v>
      </c>
      <c r="Y434" s="6"/>
      <c r="Z434" s="6">
        <f ca="1">('TUSD BE'!$AM$48+'TUSD BF'!$AM$48+'TUSD CVA'!$AM$48)*1</f>
        <v>350.41122835255294</v>
      </c>
      <c r="AA434" s="6">
        <f>('TE BE'!$AB$39+'TE BF'!$AB$39+'TE CVA'!$AB$39)*1</f>
        <v>207.63042742196092</v>
      </c>
      <c r="AB434" s="6">
        <f>$K$434*$V$434</f>
        <v>0</v>
      </c>
      <c r="AC434" s="6">
        <f>$M$434*$W$434</f>
        <v>22579.05114</v>
      </c>
      <c r="AD434" s="6">
        <f>$O$434*$X$434</f>
        <v>24167.640599999999</v>
      </c>
      <c r="AE434" s="6">
        <f>$K$434*$Y$434</f>
        <v>0</v>
      </c>
      <c r="AF434" s="6">
        <f ca="1">$M$434*$Z$434</f>
        <v>29313.300896604462</v>
      </c>
      <c r="AG434" s="6">
        <f>$O$434*$AA$434</f>
        <v>17369.115775556718</v>
      </c>
    </row>
    <row r="435" spans="1:33" ht="11.25" customHeight="1" x14ac:dyDescent="0.25">
      <c r="A435" s="4" t="s">
        <v>27</v>
      </c>
      <c r="B435" s="4" t="s">
        <v>36</v>
      </c>
      <c r="C435" s="4" t="s">
        <v>23</v>
      </c>
      <c r="D435" s="4" t="s">
        <v>37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44682</v>
      </c>
      <c r="J435" s="6">
        <v>0</v>
      </c>
      <c r="K435" s="6">
        <v>0</v>
      </c>
      <c r="L435" s="6">
        <v>8.6859999999999999</v>
      </c>
      <c r="M435" s="6">
        <v>8.6859999999999999</v>
      </c>
      <c r="N435" s="6">
        <v>8.6859999999999999</v>
      </c>
      <c r="O435" s="6">
        <v>8.6859999999999999</v>
      </c>
      <c r="P435" s="6">
        <v>11</v>
      </c>
      <c r="Q435" s="4" t="s">
        <v>26</v>
      </c>
      <c r="R435" s="4">
        <v>0</v>
      </c>
      <c r="S435" s="6">
        <v>0</v>
      </c>
      <c r="T435" s="6">
        <v>65</v>
      </c>
      <c r="U435" s="6">
        <v>25</v>
      </c>
      <c r="V435" s="6">
        <f>IF(ISERROR(VLOOKUP($S$435,'TAR FIN'!$A$1:$O$88,15,0)),0,VLOOKUP($S$435,'TAR FIN'!$A$1:$O$88,15,0))</f>
        <v>0</v>
      </c>
      <c r="W435" s="6">
        <f>IF(ISERROR(VLOOKUP($T$435,'TAR FIN'!$A$1:$O$88,15,0)),0,VLOOKUP($T$435,'TAR FIN'!$A$1:$O$88,15,0))</f>
        <v>269.91000000000003</v>
      </c>
      <c r="X435" s="6">
        <f>IF(ISERROR(VLOOKUP($U$435,'TAR FIN'!$A$1:$O$88,15,0)),0,VLOOKUP($U$435,'TAR FIN'!$A$1:$O$88,15,0))</f>
        <v>288.89999999999998</v>
      </c>
      <c r="Y435" s="6"/>
      <c r="Z435" s="6">
        <f ca="1">('TUSD BE'!$AM$48+'TUSD BF'!$AM$48+'TUSD CVA'!$AM$48)*1</f>
        <v>350.41122835255294</v>
      </c>
      <c r="AA435" s="6">
        <f>('TE BE'!$AB$39+'TE BF'!$AB$39+'TE CVA'!$AB$39)*1</f>
        <v>207.63042742196092</v>
      </c>
      <c r="AB435" s="6">
        <f>$K$435*$V$435</f>
        <v>0</v>
      </c>
      <c r="AC435" s="6">
        <f>$M$435*$W$435</f>
        <v>2344.4382600000004</v>
      </c>
      <c r="AD435" s="6">
        <f>$O$435*$X$435</f>
        <v>2509.3853999999997</v>
      </c>
      <c r="AE435" s="6">
        <f>$K$435*$Y$435</f>
        <v>0</v>
      </c>
      <c r="AF435" s="6">
        <f ca="1">$M$435*$Z$435</f>
        <v>3043.6719294702748</v>
      </c>
      <c r="AG435" s="6">
        <f>$O$435*$AA$435</f>
        <v>1803.4778925871526</v>
      </c>
    </row>
    <row r="436" spans="1:33" ht="11.25" customHeight="1" x14ac:dyDescent="0.25">
      <c r="A436" s="4" t="s">
        <v>21</v>
      </c>
      <c r="B436" s="4" t="s">
        <v>36</v>
      </c>
      <c r="C436" s="4" t="s">
        <v>23</v>
      </c>
      <c r="D436" s="4" t="s">
        <v>37</v>
      </c>
      <c r="E436" s="4" t="s">
        <v>25</v>
      </c>
      <c r="F436" s="4" t="s">
        <v>25</v>
      </c>
      <c r="G436" s="4" t="s">
        <v>25</v>
      </c>
      <c r="H436" s="4" t="s">
        <v>25</v>
      </c>
      <c r="I436" s="5">
        <v>44713</v>
      </c>
      <c r="J436" s="6">
        <v>0</v>
      </c>
      <c r="K436" s="6">
        <v>0</v>
      </c>
      <c r="L436" s="6">
        <v>82.186999999999998</v>
      </c>
      <c r="M436" s="6">
        <v>82.186999999999998</v>
      </c>
      <c r="N436" s="6">
        <v>82.186999999999998</v>
      </c>
      <c r="O436" s="6">
        <v>82.186999999999998</v>
      </c>
      <c r="P436" s="6">
        <v>223</v>
      </c>
      <c r="Q436" s="4" t="s">
        <v>26</v>
      </c>
      <c r="R436" s="4">
        <v>0</v>
      </c>
      <c r="S436" s="6">
        <v>0</v>
      </c>
      <c r="T436" s="6">
        <v>65</v>
      </c>
      <c r="U436" s="6">
        <v>25</v>
      </c>
      <c r="V436" s="6">
        <f>IF(ISERROR(VLOOKUP($S$436,'TAR FIN'!$A$1:$O$88,15,0)),0,VLOOKUP($S$436,'TAR FIN'!$A$1:$O$88,15,0))</f>
        <v>0</v>
      </c>
      <c r="W436" s="6">
        <f>IF(ISERROR(VLOOKUP($T$436,'TAR FIN'!$A$1:$O$88,15,0)),0,VLOOKUP($T$436,'TAR FIN'!$A$1:$O$88,15,0))</f>
        <v>269.91000000000003</v>
      </c>
      <c r="X436" s="6">
        <f>IF(ISERROR(VLOOKUP($U$436,'TAR FIN'!$A$1:$O$88,15,0)),0,VLOOKUP($U$436,'TAR FIN'!$A$1:$O$88,15,0))</f>
        <v>288.89999999999998</v>
      </c>
      <c r="Y436" s="6"/>
      <c r="Z436" s="6">
        <f ca="1">('TUSD BE'!$AM$48+'TUSD BF'!$AM$48+'TUSD CVA'!$AM$48)*1</f>
        <v>350.41122835255294</v>
      </c>
      <c r="AA436" s="6">
        <f>('TE BE'!$AB$39+'TE BF'!$AB$39+'TE CVA'!$AB$39)*1</f>
        <v>207.63042742196092</v>
      </c>
      <c r="AB436" s="6">
        <f>$K$436*$V$436</f>
        <v>0</v>
      </c>
      <c r="AC436" s="6">
        <f>$M$436*$W$436</f>
        <v>22183.09317</v>
      </c>
      <c r="AD436" s="6">
        <f>$O$436*$X$436</f>
        <v>23743.824299999997</v>
      </c>
      <c r="AE436" s="6">
        <f>$K$436*$Y$436</f>
        <v>0</v>
      </c>
      <c r="AF436" s="6">
        <f ca="1">$M$436*$Z$436</f>
        <v>28799.247624611267</v>
      </c>
      <c r="AG436" s="6">
        <f>$O$436*$AA$436</f>
        <v>17064.521938528702</v>
      </c>
    </row>
    <row r="437" spans="1:33" ht="11.25" customHeight="1" x14ac:dyDescent="0.25">
      <c r="A437" s="4" t="s">
        <v>27</v>
      </c>
      <c r="B437" s="4" t="s">
        <v>36</v>
      </c>
      <c r="C437" s="4" t="s">
        <v>23</v>
      </c>
      <c r="D437" s="4" t="s">
        <v>37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44713</v>
      </c>
      <c r="J437" s="6">
        <v>0</v>
      </c>
      <c r="K437" s="6">
        <v>0</v>
      </c>
      <c r="L437" s="6">
        <v>10.351000000000001</v>
      </c>
      <c r="M437" s="6">
        <v>10.351000000000001</v>
      </c>
      <c r="N437" s="6">
        <v>10.351000000000001</v>
      </c>
      <c r="O437" s="6">
        <v>10.351000000000001</v>
      </c>
      <c r="P437" s="6">
        <v>11</v>
      </c>
      <c r="Q437" s="4" t="s">
        <v>26</v>
      </c>
      <c r="R437" s="4">
        <v>0</v>
      </c>
      <c r="S437" s="6">
        <v>0</v>
      </c>
      <c r="T437" s="6">
        <v>65</v>
      </c>
      <c r="U437" s="6">
        <v>25</v>
      </c>
      <c r="V437" s="6">
        <f>IF(ISERROR(VLOOKUP($S$437,'TAR FIN'!$A$1:$O$88,15,0)),0,VLOOKUP($S$437,'TAR FIN'!$A$1:$O$88,15,0))</f>
        <v>0</v>
      </c>
      <c r="W437" s="6">
        <f>IF(ISERROR(VLOOKUP($T$437,'TAR FIN'!$A$1:$O$88,15,0)),0,VLOOKUP($T$437,'TAR FIN'!$A$1:$O$88,15,0))</f>
        <v>269.91000000000003</v>
      </c>
      <c r="X437" s="6">
        <f>IF(ISERROR(VLOOKUP($U$437,'TAR FIN'!$A$1:$O$88,15,0)),0,VLOOKUP($U$437,'TAR FIN'!$A$1:$O$88,15,0))</f>
        <v>288.89999999999998</v>
      </c>
      <c r="Y437" s="6"/>
      <c r="Z437" s="6">
        <f ca="1">('TUSD BE'!$AM$48+'TUSD BF'!$AM$48+'TUSD CVA'!$AM$48)*1</f>
        <v>350.41122835255294</v>
      </c>
      <c r="AA437" s="6">
        <f>('TE BE'!$AB$39+'TE BF'!$AB$39+'TE CVA'!$AB$39)*1</f>
        <v>207.63042742196092</v>
      </c>
      <c r="AB437" s="6">
        <f>$K$437*$V$437</f>
        <v>0</v>
      </c>
      <c r="AC437" s="6">
        <f>$M$437*$W$437</f>
        <v>2793.8384100000003</v>
      </c>
      <c r="AD437" s="6">
        <f>$O$437*$X$437</f>
        <v>2990.4038999999998</v>
      </c>
      <c r="AE437" s="6">
        <f>$K$437*$Y$437</f>
        <v>0</v>
      </c>
      <c r="AF437" s="6">
        <f ca="1">$M$437*$Z$437</f>
        <v>3627.1066246772757</v>
      </c>
      <c r="AG437" s="6">
        <f>$O$437*$AA$437</f>
        <v>2149.1825542447177</v>
      </c>
    </row>
    <row r="438" spans="1:33" ht="11.25" customHeight="1" x14ac:dyDescent="0.25">
      <c r="A438" s="4" t="s">
        <v>55</v>
      </c>
      <c r="B438" s="4" t="s">
        <v>36</v>
      </c>
      <c r="C438" s="4" t="s">
        <v>23</v>
      </c>
      <c r="D438" s="4" t="s">
        <v>37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44743</v>
      </c>
      <c r="J438" s="6">
        <v>0</v>
      </c>
      <c r="K438" s="6">
        <v>0</v>
      </c>
      <c r="L438" s="6">
        <v>82.186999999999998</v>
      </c>
      <c r="M438" s="6">
        <v>82.186999999999998</v>
      </c>
      <c r="N438" s="6">
        <v>82.186999999999998</v>
      </c>
      <c r="O438" s="6">
        <v>82.186999999999998</v>
      </c>
      <c r="P438" s="6">
        <v>223</v>
      </c>
      <c r="Q438" s="4" t="s">
        <v>26</v>
      </c>
      <c r="R438" s="4">
        <v>0</v>
      </c>
      <c r="S438" s="6">
        <v>0</v>
      </c>
      <c r="T438" s="6">
        <v>65</v>
      </c>
      <c r="U438" s="6">
        <v>25</v>
      </c>
      <c r="V438" s="6">
        <f>IF(ISERROR(VLOOKUP($S$438,'TAR FIN'!$A$1:$O$88,15,0)),0,VLOOKUP($S$438,'TAR FIN'!$A$1:$O$88,15,0))</f>
        <v>0</v>
      </c>
      <c r="W438" s="6">
        <f>IF(ISERROR(VLOOKUP($T$438,'TAR FIN'!$A$1:$O$88,15,0)),0,VLOOKUP($T$438,'TAR FIN'!$A$1:$O$88,15,0))</f>
        <v>269.91000000000003</v>
      </c>
      <c r="X438" s="6">
        <f>IF(ISERROR(VLOOKUP($U$438,'TAR FIN'!$A$1:$O$88,15,0)),0,VLOOKUP($U$438,'TAR FIN'!$A$1:$O$88,15,0))</f>
        <v>288.89999999999998</v>
      </c>
      <c r="Y438" s="6"/>
      <c r="Z438" s="6">
        <f ca="1">('TUSD BE'!$AM$48+'TUSD BF'!$AM$48+'TUSD CVA'!$AM$48)*1</f>
        <v>350.41122835255294</v>
      </c>
      <c r="AA438" s="6">
        <f>('TE BE'!$AB$39+'TE BF'!$AB$39+'TE CVA'!$AB$39)*1</f>
        <v>207.63042742196092</v>
      </c>
      <c r="AB438" s="6">
        <f>$K$438*$V$438</f>
        <v>0</v>
      </c>
      <c r="AC438" s="6">
        <f>$M$438*$W$438</f>
        <v>22183.09317</v>
      </c>
      <c r="AD438" s="6">
        <f>$O$438*$X$438</f>
        <v>23743.824299999997</v>
      </c>
      <c r="AE438" s="6">
        <f>$K$438*$Y$438</f>
        <v>0</v>
      </c>
      <c r="AF438" s="6">
        <f ca="1">$M$438*$Z$438</f>
        <v>28799.247624611267</v>
      </c>
      <c r="AG438" s="6">
        <f>$O$438*$AA$438</f>
        <v>17064.521938528702</v>
      </c>
    </row>
    <row r="439" spans="1:33" ht="11.25" customHeight="1" x14ac:dyDescent="0.25">
      <c r="A439" s="4" t="s">
        <v>55</v>
      </c>
      <c r="B439" s="4" t="s">
        <v>36</v>
      </c>
      <c r="C439" s="4" t="s">
        <v>23</v>
      </c>
      <c r="D439" s="4" t="s">
        <v>37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44743</v>
      </c>
      <c r="J439" s="6">
        <v>0</v>
      </c>
      <c r="K439" s="6">
        <v>0</v>
      </c>
      <c r="L439" s="6">
        <v>10.351000000000001</v>
      </c>
      <c r="M439" s="6">
        <v>10.351000000000001</v>
      </c>
      <c r="N439" s="6">
        <v>10.351000000000001</v>
      </c>
      <c r="O439" s="6">
        <v>10.351000000000001</v>
      </c>
      <c r="P439" s="6">
        <v>11</v>
      </c>
      <c r="Q439" s="4" t="s">
        <v>26</v>
      </c>
      <c r="R439" s="4">
        <v>0</v>
      </c>
      <c r="S439" s="6">
        <v>0</v>
      </c>
      <c r="T439" s="6">
        <v>65</v>
      </c>
      <c r="U439" s="6">
        <v>25</v>
      </c>
      <c r="V439" s="6">
        <f>IF(ISERROR(VLOOKUP($S$439,'TAR FIN'!$A$1:$O$88,15,0)),0,VLOOKUP($S$439,'TAR FIN'!$A$1:$O$88,15,0))</f>
        <v>0</v>
      </c>
      <c r="W439" s="6">
        <f>IF(ISERROR(VLOOKUP($T$439,'TAR FIN'!$A$1:$O$88,15,0)),0,VLOOKUP($T$439,'TAR FIN'!$A$1:$O$88,15,0))</f>
        <v>269.91000000000003</v>
      </c>
      <c r="X439" s="6">
        <f>IF(ISERROR(VLOOKUP($U$439,'TAR FIN'!$A$1:$O$88,15,0)),0,VLOOKUP($U$439,'TAR FIN'!$A$1:$O$88,15,0))</f>
        <v>288.89999999999998</v>
      </c>
      <c r="Y439" s="6"/>
      <c r="Z439" s="6">
        <f ca="1">('TUSD BE'!$AM$48+'TUSD BF'!$AM$48+'TUSD CVA'!$AM$48)*1</f>
        <v>350.41122835255294</v>
      </c>
      <c r="AA439" s="6">
        <f>('TE BE'!$AB$39+'TE BF'!$AB$39+'TE CVA'!$AB$39)*1</f>
        <v>207.63042742196092</v>
      </c>
      <c r="AB439" s="6">
        <f>$K$439*$V$439</f>
        <v>0</v>
      </c>
      <c r="AC439" s="6">
        <f>$M$439*$W$439</f>
        <v>2793.8384100000003</v>
      </c>
      <c r="AD439" s="6">
        <f>$O$439*$X$439</f>
        <v>2990.4038999999998</v>
      </c>
      <c r="AE439" s="6">
        <f>$K$439*$Y$439</f>
        <v>0</v>
      </c>
      <c r="AF439" s="6">
        <f ca="1">$M$439*$Z$439</f>
        <v>3627.1066246772757</v>
      </c>
      <c r="AG439" s="6">
        <f>$O$439*$AA$439</f>
        <v>2149.1825542447177</v>
      </c>
    </row>
    <row r="440" spans="1:33" ht="11.25" customHeight="1" x14ac:dyDescent="0.25">
      <c r="A440" s="4" t="s">
        <v>21</v>
      </c>
      <c r="B440" s="4" t="s">
        <v>36</v>
      </c>
      <c r="C440" s="4" t="s">
        <v>23</v>
      </c>
      <c r="D440" s="4" t="s">
        <v>43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44409</v>
      </c>
      <c r="J440" s="6">
        <v>0</v>
      </c>
      <c r="K440" s="6">
        <v>0</v>
      </c>
      <c r="L440" s="6">
        <v>76.701999999999998</v>
      </c>
      <c r="M440" s="6">
        <v>76.701999999999998</v>
      </c>
      <c r="N440" s="6">
        <v>76.701999999999998</v>
      </c>
      <c r="O440" s="6">
        <v>76.701999999999998</v>
      </c>
      <c r="P440" s="6">
        <v>95</v>
      </c>
      <c r="Q440" s="4" t="s">
        <v>26</v>
      </c>
      <c r="R440" s="4">
        <v>0</v>
      </c>
      <c r="S440" s="6">
        <v>0</v>
      </c>
      <c r="T440" s="6">
        <v>65</v>
      </c>
      <c r="U440" s="6">
        <v>25</v>
      </c>
      <c r="V440" s="6">
        <f>IF(ISERROR(VLOOKUP($S$440,'TAR FIN'!$A$1:$O$88,15,0)),0,VLOOKUP($S$440,'TAR FIN'!$A$1:$O$88,15,0))</f>
        <v>0</v>
      </c>
      <c r="W440" s="6">
        <f>IF(ISERROR(VLOOKUP($T$440,'TAR FIN'!$A$1:$O$88,15,0)),0,VLOOKUP($T$440,'TAR FIN'!$A$1:$O$88,15,0))</f>
        <v>269.91000000000003</v>
      </c>
      <c r="X440" s="6">
        <f>IF(ISERROR(VLOOKUP($U$440,'TAR FIN'!$A$1:$O$88,15,0)),0,VLOOKUP($U$440,'TAR FIN'!$A$1:$O$88,15,0))</f>
        <v>288.89999999999998</v>
      </c>
      <c r="Y440" s="6"/>
      <c r="Z440" s="6">
        <f ca="1">('TUSD BE'!$AM$48+'TUSD BF'!$AM$48+'TUSD CVA'!$AM$48)*1</f>
        <v>350.41122835255294</v>
      </c>
      <c r="AA440" s="6">
        <f>('TE BE'!$AB$39+'TE BF'!$AB$39+'TE CVA'!$AB$39)*1</f>
        <v>207.63042742196092</v>
      </c>
      <c r="AB440" s="6">
        <f>$K$440*$V$440</f>
        <v>0</v>
      </c>
      <c r="AC440" s="6">
        <f>$M$440*$W$440</f>
        <v>20702.63682</v>
      </c>
      <c r="AD440" s="6">
        <f>$O$440*$X$440</f>
        <v>22159.207799999996</v>
      </c>
      <c r="AE440" s="6">
        <f>$K$440*$Y$440</f>
        <v>0</v>
      </c>
      <c r="AF440" s="6">
        <f ca="1">$M$440*$Z$440</f>
        <v>26877.242037097516</v>
      </c>
      <c r="AG440" s="6">
        <f>$O$440*$AA$440</f>
        <v>15925.669044119246</v>
      </c>
    </row>
    <row r="441" spans="1:33" ht="11.25" customHeight="1" x14ac:dyDescent="0.25">
      <c r="A441" s="4" t="s">
        <v>21</v>
      </c>
      <c r="B441" s="4" t="s">
        <v>36</v>
      </c>
      <c r="C441" s="4" t="s">
        <v>23</v>
      </c>
      <c r="D441" s="4" t="s">
        <v>43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44440</v>
      </c>
      <c r="J441" s="6">
        <v>0</v>
      </c>
      <c r="K441" s="6">
        <v>0</v>
      </c>
      <c r="L441" s="6">
        <v>76.453999999999994</v>
      </c>
      <c r="M441" s="6">
        <v>76.453999999999994</v>
      </c>
      <c r="N441" s="6">
        <v>76.453999999999994</v>
      </c>
      <c r="O441" s="6">
        <v>76.453999999999994</v>
      </c>
      <c r="P441" s="6">
        <v>95</v>
      </c>
      <c r="Q441" s="4" t="s">
        <v>26</v>
      </c>
      <c r="R441" s="4">
        <v>0</v>
      </c>
      <c r="S441" s="6">
        <v>0</v>
      </c>
      <c r="T441" s="6">
        <v>65</v>
      </c>
      <c r="U441" s="6">
        <v>25</v>
      </c>
      <c r="V441" s="6">
        <f>IF(ISERROR(VLOOKUP($S$441,'TAR FIN'!$A$1:$O$88,15,0)),0,VLOOKUP($S$441,'TAR FIN'!$A$1:$O$88,15,0))</f>
        <v>0</v>
      </c>
      <c r="W441" s="6">
        <f>IF(ISERROR(VLOOKUP($T$441,'TAR FIN'!$A$1:$O$88,15,0)),0,VLOOKUP($T$441,'TAR FIN'!$A$1:$O$88,15,0))</f>
        <v>269.91000000000003</v>
      </c>
      <c r="X441" s="6">
        <f>IF(ISERROR(VLOOKUP($U$441,'TAR FIN'!$A$1:$O$88,15,0)),0,VLOOKUP($U$441,'TAR FIN'!$A$1:$O$88,15,0))</f>
        <v>288.89999999999998</v>
      </c>
      <c r="Y441" s="6"/>
      <c r="Z441" s="6">
        <f ca="1">('TUSD BE'!$AM$48+'TUSD BF'!$AM$48+'TUSD CVA'!$AM$48)*1</f>
        <v>350.41122835255294</v>
      </c>
      <c r="AA441" s="6">
        <f>('TE BE'!$AB$39+'TE BF'!$AB$39+'TE CVA'!$AB$39)*1</f>
        <v>207.63042742196092</v>
      </c>
      <c r="AB441" s="6">
        <f>$K$441*$V$441</f>
        <v>0</v>
      </c>
      <c r="AC441" s="6">
        <f>$M$441*$W$441</f>
        <v>20635.699140000001</v>
      </c>
      <c r="AD441" s="6">
        <f>$O$441*$X$441</f>
        <v>22087.560599999997</v>
      </c>
      <c r="AE441" s="6">
        <f>$K$441*$Y$441</f>
        <v>0</v>
      </c>
      <c r="AF441" s="6">
        <f ca="1">$M$441*$Z$441</f>
        <v>26790.340052466079</v>
      </c>
      <c r="AG441" s="6">
        <f>$O$441*$AA$441</f>
        <v>15874.176698118599</v>
      </c>
    </row>
    <row r="442" spans="1:33" ht="11.25" customHeight="1" x14ac:dyDescent="0.25">
      <c r="A442" s="4" t="s">
        <v>21</v>
      </c>
      <c r="B442" s="4" t="s">
        <v>36</v>
      </c>
      <c r="C442" s="4" t="s">
        <v>23</v>
      </c>
      <c r="D442" s="4" t="s">
        <v>43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44470</v>
      </c>
      <c r="J442" s="6">
        <v>0</v>
      </c>
      <c r="K442" s="6">
        <v>0</v>
      </c>
      <c r="L442" s="6">
        <v>69.247</v>
      </c>
      <c r="M442" s="6">
        <v>69.247</v>
      </c>
      <c r="N442" s="6">
        <v>69.247</v>
      </c>
      <c r="O442" s="6">
        <v>69.247</v>
      </c>
      <c r="P442" s="6">
        <v>95</v>
      </c>
      <c r="Q442" s="4" t="s">
        <v>26</v>
      </c>
      <c r="R442" s="4">
        <v>0</v>
      </c>
      <c r="S442" s="6">
        <v>0</v>
      </c>
      <c r="T442" s="6">
        <v>65</v>
      </c>
      <c r="U442" s="6">
        <v>25</v>
      </c>
      <c r="V442" s="6">
        <f>IF(ISERROR(VLOOKUP($S$442,'TAR FIN'!$A$1:$O$88,15,0)),0,VLOOKUP($S$442,'TAR FIN'!$A$1:$O$88,15,0))</f>
        <v>0</v>
      </c>
      <c r="W442" s="6">
        <f>IF(ISERROR(VLOOKUP($T$442,'TAR FIN'!$A$1:$O$88,15,0)),0,VLOOKUP($T$442,'TAR FIN'!$A$1:$O$88,15,0))</f>
        <v>269.91000000000003</v>
      </c>
      <c r="X442" s="6">
        <f>IF(ISERROR(VLOOKUP($U$442,'TAR FIN'!$A$1:$O$88,15,0)),0,VLOOKUP($U$442,'TAR FIN'!$A$1:$O$88,15,0))</f>
        <v>288.89999999999998</v>
      </c>
      <c r="Y442" s="6"/>
      <c r="Z442" s="6">
        <f ca="1">('TUSD BE'!$AM$48+'TUSD BF'!$AM$48+'TUSD CVA'!$AM$48)*1</f>
        <v>350.41122835255294</v>
      </c>
      <c r="AA442" s="6">
        <f>('TE BE'!$AB$39+'TE BF'!$AB$39+'TE CVA'!$AB$39)*1</f>
        <v>207.63042742196092</v>
      </c>
      <c r="AB442" s="6">
        <f>$K$442*$V$442</f>
        <v>0</v>
      </c>
      <c r="AC442" s="6">
        <f>$M$442*$W$442</f>
        <v>18690.457770000001</v>
      </c>
      <c r="AD442" s="6">
        <f>$O$442*$X$442</f>
        <v>20005.458299999998</v>
      </c>
      <c r="AE442" s="6">
        <f>$K$442*$Y$442</f>
        <v>0</v>
      </c>
      <c r="AF442" s="6">
        <f ca="1">$M$442*$Z$442</f>
        <v>24264.926329729235</v>
      </c>
      <c r="AG442" s="6">
        <f>$O$442*$AA$442</f>
        <v>14377.784207688528</v>
      </c>
    </row>
    <row r="443" spans="1:33" ht="11.25" customHeight="1" x14ac:dyDescent="0.25">
      <c r="A443" s="4" t="s">
        <v>21</v>
      </c>
      <c r="B443" s="4" t="s">
        <v>36</v>
      </c>
      <c r="C443" s="4" t="s">
        <v>23</v>
      </c>
      <c r="D443" s="4" t="s">
        <v>43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44501</v>
      </c>
      <c r="J443" s="6">
        <v>0</v>
      </c>
      <c r="K443" s="6">
        <v>0</v>
      </c>
      <c r="L443" s="6">
        <v>90.073999999999998</v>
      </c>
      <c r="M443" s="6">
        <v>90.073999999999998</v>
      </c>
      <c r="N443" s="6">
        <v>90.073999999999998</v>
      </c>
      <c r="O443" s="6">
        <v>90.073999999999998</v>
      </c>
      <c r="P443" s="6">
        <v>96</v>
      </c>
      <c r="Q443" s="4" t="s">
        <v>26</v>
      </c>
      <c r="R443" s="4">
        <v>0</v>
      </c>
      <c r="S443" s="6">
        <v>0</v>
      </c>
      <c r="T443" s="6">
        <v>65</v>
      </c>
      <c r="U443" s="6">
        <v>25</v>
      </c>
      <c r="V443" s="6">
        <f>IF(ISERROR(VLOOKUP($S$443,'TAR FIN'!$A$1:$O$88,15,0)),0,VLOOKUP($S$443,'TAR FIN'!$A$1:$O$88,15,0))</f>
        <v>0</v>
      </c>
      <c r="W443" s="6">
        <f>IF(ISERROR(VLOOKUP($T$443,'TAR FIN'!$A$1:$O$88,15,0)),0,VLOOKUP($T$443,'TAR FIN'!$A$1:$O$88,15,0))</f>
        <v>269.91000000000003</v>
      </c>
      <c r="X443" s="6">
        <f>IF(ISERROR(VLOOKUP($U$443,'TAR FIN'!$A$1:$O$88,15,0)),0,VLOOKUP($U$443,'TAR FIN'!$A$1:$O$88,15,0))</f>
        <v>288.89999999999998</v>
      </c>
      <c r="Y443" s="6"/>
      <c r="Z443" s="6">
        <f ca="1">('TUSD BE'!$AM$48+'TUSD BF'!$AM$48+'TUSD CVA'!$AM$48)*1</f>
        <v>350.41122835255294</v>
      </c>
      <c r="AA443" s="6">
        <f>('TE BE'!$AB$39+'TE BF'!$AB$39+'TE CVA'!$AB$39)*1</f>
        <v>207.63042742196092</v>
      </c>
      <c r="AB443" s="6">
        <f>$K$443*$V$443</f>
        <v>0</v>
      </c>
      <c r="AC443" s="6">
        <f>$M$443*$W$443</f>
        <v>24311.873340000002</v>
      </c>
      <c r="AD443" s="6">
        <f>$O$443*$X$443</f>
        <v>26022.378599999996</v>
      </c>
      <c r="AE443" s="6">
        <f>$K$443*$Y$443</f>
        <v>0</v>
      </c>
      <c r="AF443" s="6">
        <f ca="1">$M$443*$Z$443</f>
        <v>31562.940982627853</v>
      </c>
      <c r="AG443" s="6">
        <f>$O$443*$AA$443</f>
        <v>18702.103119605708</v>
      </c>
    </row>
    <row r="444" spans="1:33" ht="11.25" customHeight="1" x14ac:dyDescent="0.25">
      <c r="A444" s="4" t="s">
        <v>21</v>
      </c>
      <c r="B444" s="4" t="s">
        <v>36</v>
      </c>
      <c r="C444" s="4" t="s">
        <v>23</v>
      </c>
      <c r="D444" s="4" t="s">
        <v>43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44531</v>
      </c>
      <c r="J444" s="6">
        <v>0</v>
      </c>
      <c r="K444" s="6">
        <v>0</v>
      </c>
      <c r="L444" s="6">
        <v>100.26300000000001</v>
      </c>
      <c r="M444" s="6">
        <v>100.26300000000001</v>
      </c>
      <c r="N444" s="6">
        <v>100.26300000000001</v>
      </c>
      <c r="O444" s="6">
        <v>100.26300000000001</v>
      </c>
      <c r="P444" s="6">
        <v>96</v>
      </c>
      <c r="Q444" s="4" t="s">
        <v>26</v>
      </c>
      <c r="R444" s="4">
        <v>0</v>
      </c>
      <c r="S444" s="6">
        <v>0</v>
      </c>
      <c r="T444" s="6">
        <v>65</v>
      </c>
      <c r="U444" s="6">
        <v>25</v>
      </c>
      <c r="V444" s="6">
        <f>IF(ISERROR(VLOOKUP($S$444,'TAR FIN'!$A$1:$O$88,15,0)),0,VLOOKUP($S$444,'TAR FIN'!$A$1:$O$88,15,0))</f>
        <v>0</v>
      </c>
      <c r="W444" s="6">
        <f>IF(ISERROR(VLOOKUP($T$444,'TAR FIN'!$A$1:$O$88,15,0)),0,VLOOKUP($T$444,'TAR FIN'!$A$1:$O$88,15,0))</f>
        <v>269.91000000000003</v>
      </c>
      <c r="X444" s="6">
        <f>IF(ISERROR(VLOOKUP($U$444,'TAR FIN'!$A$1:$O$88,15,0)),0,VLOOKUP($U$444,'TAR FIN'!$A$1:$O$88,15,0))</f>
        <v>288.89999999999998</v>
      </c>
      <c r="Y444" s="6"/>
      <c r="Z444" s="6">
        <f ca="1">('TUSD BE'!$AM$48+'TUSD BF'!$AM$48+'TUSD CVA'!$AM$48)*1</f>
        <v>350.41122835255294</v>
      </c>
      <c r="AA444" s="6">
        <f>('TE BE'!$AB$39+'TE BF'!$AB$39+'TE CVA'!$AB$39)*1</f>
        <v>207.63042742196092</v>
      </c>
      <c r="AB444" s="6">
        <f>$K$444*$V$444</f>
        <v>0</v>
      </c>
      <c r="AC444" s="6">
        <f>$M$444*$W$444</f>
        <v>27061.986330000003</v>
      </c>
      <c r="AD444" s="6">
        <f>$O$444*$X$444</f>
        <v>28965.9807</v>
      </c>
      <c r="AE444" s="6">
        <f>$K$444*$Y$444</f>
        <v>0</v>
      </c>
      <c r="AF444" s="6">
        <f ca="1">$M$444*$Z$444</f>
        <v>35133.280988312021</v>
      </c>
      <c r="AG444" s="6">
        <f>$O$444*$AA$444</f>
        <v>20817.64954460807</v>
      </c>
    </row>
    <row r="445" spans="1:33" ht="11.25" customHeight="1" x14ac:dyDescent="0.25">
      <c r="A445" s="4" t="s">
        <v>21</v>
      </c>
      <c r="B445" s="4" t="s">
        <v>36</v>
      </c>
      <c r="C445" s="4" t="s">
        <v>23</v>
      </c>
      <c r="D445" s="4" t="s">
        <v>43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44562</v>
      </c>
      <c r="J445" s="6">
        <v>0</v>
      </c>
      <c r="K445" s="6">
        <v>0</v>
      </c>
      <c r="L445" s="6">
        <v>87.025000000000006</v>
      </c>
      <c r="M445" s="6">
        <v>87.025000000000006</v>
      </c>
      <c r="N445" s="6">
        <v>87.025000000000006</v>
      </c>
      <c r="O445" s="6">
        <v>87.025000000000006</v>
      </c>
      <c r="P445" s="6">
        <v>96</v>
      </c>
      <c r="Q445" s="4" t="s">
        <v>26</v>
      </c>
      <c r="R445" s="4">
        <v>0</v>
      </c>
      <c r="S445" s="6">
        <v>0</v>
      </c>
      <c r="T445" s="6">
        <v>65</v>
      </c>
      <c r="U445" s="6">
        <v>25</v>
      </c>
      <c r="V445" s="6">
        <f>IF(ISERROR(VLOOKUP($S$445,'TAR FIN'!$A$1:$O$88,15,0)),0,VLOOKUP($S$445,'TAR FIN'!$A$1:$O$88,15,0))</f>
        <v>0</v>
      </c>
      <c r="W445" s="6">
        <f>IF(ISERROR(VLOOKUP($T$445,'TAR FIN'!$A$1:$O$88,15,0)),0,VLOOKUP($T$445,'TAR FIN'!$A$1:$O$88,15,0))</f>
        <v>269.91000000000003</v>
      </c>
      <c r="X445" s="6">
        <f>IF(ISERROR(VLOOKUP($U$445,'TAR FIN'!$A$1:$O$88,15,0)),0,VLOOKUP($U$445,'TAR FIN'!$A$1:$O$88,15,0))</f>
        <v>288.89999999999998</v>
      </c>
      <c r="Y445" s="6"/>
      <c r="Z445" s="6">
        <f ca="1">('TUSD BE'!$AM$48+'TUSD BF'!$AM$48+'TUSD CVA'!$AM$48)*1</f>
        <v>350.41122835255294</v>
      </c>
      <c r="AA445" s="6">
        <f>('TE BE'!$AB$39+'TE BF'!$AB$39+'TE CVA'!$AB$39)*1</f>
        <v>207.63042742196092</v>
      </c>
      <c r="AB445" s="6">
        <f>$K$445*$V$445</f>
        <v>0</v>
      </c>
      <c r="AC445" s="6">
        <f>$M$445*$W$445</f>
        <v>23488.917750000004</v>
      </c>
      <c r="AD445" s="6">
        <f>$O$445*$X$445</f>
        <v>25141.522499999999</v>
      </c>
      <c r="AE445" s="6">
        <f>$K$445*$Y$445</f>
        <v>0</v>
      </c>
      <c r="AF445" s="6">
        <f ca="1">$M$445*$Z$445</f>
        <v>30494.537147380921</v>
      </c>
      <c r="AG445" s="6">
        <f>$O$445*$AA$445</f>
        <v>18069.037946396151</v>
      </c>
    </row>
    <row r="446" spans="1:33" ht="11.25" customHeight="1" x14ac:dyDescent="0.25">
      <c r="A446" s="4" t="s">
        <v>21</v>
      </c>
      <c r="B446" s="4" t="s">
        <v>36</v>
      </c>
      <c r="C446" s="4" t="s">
        <v>23</v>
      </c>
      <c r="D446" s="4" t="s">
        <v>43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44593</v>
      </c>
      <c r="J446" s="6">
        <v>0</v>
      </c>
      <c r="K446" s="6">
        <v>0</v>
      </c>
      <c r="L446" s="6">
        <v>94.317999999999998</v>
      </c>
      <c r="M446" s="6">
        <v>94.317999999999998</v>
      </c>
      <c r="N446" s="6">
        <v>94.317999999999998</v>
      </c>
      <c r="O446" s="6">
        <v>94.317999999999998</v>
      </c>
      <c r="P446" s="6">
        <v>96</v>
      </c>
      <c r="Q446" s="4" t="s">
        <v>26</v>
      </c>
      <c r="R446" s="4">
        <v>0</v>
      </c>
      <c r="S446" s="6">
        <v>0</v>
      </c>
      <c r="T446" s="6">
        <v>65</v>
      </c>
      <c r="U446" s="6">
        <v>25</v>
      </c>
      <c r="V446" s="6">
        <f>IF(ISERROR(VLOOKUP($S$446,'TAR FIN'!$A$1:$O$88,15,0)),0,VLOOKUP($S$446,'TAR FIN'!$A$1:$O$88,15,0))</f>
        <v>0</v>
      </c>
      <c r="W446" s="6">
        <f>IF(ISERROR(VLOOKUP($T$446,'TAR FIN'!$A$1:$O$88,15,0)),0,VLOOKUP($T$446,'TAR FIN'!$A$1:$O$88,15,0))</f>
        <v>269.91000000000003</v>
      </c>
      <c r="X446" s="6">
        <f>IF(ISERROR(VLOOKUP($U$446,'TAR FIN'!$A$1:$O$88,15,0)),0,VLOOKUP($U$446,'TAR FIN'!$A$1:$O$88,15,0))</f>
        <v>288.89999999999998</v>
      </c>
      <c r="Y446" s="6"/>
      <c r="Z446" s="6">
        <f ca="1">('TUSD BE'!$AM$48+'TUSD BF'!$AM$48+'TUSD CVA'!$AM$48)*1</f>
        <v>350.41122835255294</v>
      </c>
      <c r="AA446" s="6">
        <f>('TE BE'!$AB$39+'TE BF'!$AB$39+'TE CVA'!$AB$39)*1</f>
        <v>207.63042742196092</v>
      </c>
      <c r="AB446" s="6">
        <f>$K$446*$V$446</f>
        <v>0</v>
      </c>
      <c r="AC446" s="6">
        <f>$M$446*$W$446</f>
        <v>25457.37138</v>
      </c>
      <c r="AD446" s="6">
        <f>$O$446*$X$446</f>
        <v>27248.470199999996</v>
      </c>
      <c r="AE446" s="6">
        <f>$K$446*$Y$446</f>
        <v>0</v>
      </c>
      <c r="AF446" s="6">
        <f ca="1">$M$446*$Z$446</f>
        <v>33050.086235756091</v>
      </c>
      <c r="AG446" s="6">
        <f>$O$446*$AA$446</f>
        <v>19583.28665358451</v>
      </c>
    </row>
    <row r="447" spans="1:33" ht="11.25" customHeight="1" x14ac:dyDescent="0.25">
      <c r="A447" s="4" t="s">
        <v>21</v>
      </c>
      <c r="B447" s="4" t="s">
        <v>36</v>
      </c>
      <c r="C447" s="4" t="s">
        <v>23</v>
      </c>
      <c r="D447" s="4" t="s">
        <v>43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44621</v>
      </c>
      <c r="J447" s="6">
        <v>0</v>
      </c>
      <c r="K447" s="6">
        <v>0</v>
      </c>
      <c r="L447" s="6">
        <v>102.974</v>
      </c>
      <c r="M447" s="6">
        <v>102.974</v>
      </c>
      <c r="N447" s="6">
        <v>102.974</v>
      </c>
      <c r="O447" s="6">
        <v>102.974</v>
      </c>
      <c r="P447" s="6">
        <v>96</v>
      </c>
      <c r="Q447" s="4" t="s">
        <v>26</v>
      </c>
      <c r="R447" s="4">
        <v>0</v>
      </c>
      <c r="S447" s="6">
        <v>0</v>
      </c>
      <c r="T447" s="6">
        <v>65</v>
      </c>
      <c r="U447" s="6">
        <v>25</v>
      </c>
      <c r="V447" s="6">
        <f>IF(ISERROR(VLOOKUP($S$447,'TAR FIN'!$A$1:$O$88,15,0)),0,VLOOKUP($S$447,'TAR FIN'!$A$1:$O$88,15,0))</f>
        <v>0</v>
      </c>
      <c r="W447" s="6">
        <f>IF(ISERROR(VLOOKUP($T$447,'TAR FIN'!$A$1:$O$88,15,0)),0,VLOOKUP($T$447,'TAR FIN'!$A$1:$O$88,15,0))</f>
        <v>269.91000000000003</v>
      </c>
      <c r="X447" s="6">
        <f>IF(ISERROR(VLOOKUP($U$447,'TAR FIN'!$A$1:$O$88,15,0)),0,VLOOKUP($U$447,'TAR FIN'!$A$1:$O$88,15,0))</f>
        <v>288.89999999999998</v>
      </c>
      <c r="Y447" s="6"/>
      <c r="Z447" s="6">
        <f ca="1">('TUSD BE'!$AM$48+'TUSD BF'!$AM$48+'TUSD CVA'!$AM$48)*1</f>
        <v>350.41122835255294</v>
      </c>
      <c r="AA447" s="6">
        <f>('TE BE'!$AB$39+'TE BF'!$AB$39+'TE CVA'!$AB$39)*1</f>
        <v>207.63042742196092</v>
      </c>
      <c r="AB447" s="6">
        <f>$K$447*$V$447</f>
        <v>0</v>
      </c>
      <c r="AC447" s="6">
        <f>$M$447*$W$447</f>
        <v>27793.712340000002</v>
      </c>
      <c r="AD447" s="6">
        <f>$O$447*$X$447</f>
        <v>29749.188599999998</v>
      </c>
      <c r="AE447" s="6">
        <f>$K$447*$Y$447</f>
        <v>0</v>
      </c>
      <c r="AF447" s="6">
        <f ca="1">$M$447*$Z$447</f>
        <v>36083.245828375788</v>
      </c>
      <c r="AG447" s="6">
        <f>$O$447*$AA$447</f>
        <v>21380.535633349005</v>
      </c>
    </row>
    <row r="448" spans="1:33" ht="11.25" customHeight="1" x14ac:dyDescent="0.25">
      <c r="A448" s="4" t="s">
        <v>21</v>
      </c>
      <c r="B448" s="4" t="s">
        <v>36</v>
      </c>
      <c r="C448" s="4" t="s">
        <v>23</v>
      </c>
      <c r="D448" s="4" t="s">
        <v>43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44652</v>
      </c>
      <c r="J448" s="6">
        <v>0</v>
      </c>
      <c r="K448" s="6">
        <v>0</v>
      </c>
      <c r="L448" s="6">
        <v>86.786000000000001</v>
      </c>
      <c r="M448" s="6">
        <v>86.786000000000001</v>
      </c>
      <c r="N448" s="6">
        <v>86.786000000000001</v>
      </c>
      <c r="O448" s="6">
        <v>86.786000000000001</v>
      </c>
      <c r="P448" s="6">
        <v>96</v>
      </c>
      <c r="Q448" s="4" t="s">
        <v>26</v>
      </c>
      <c r="R448" s="4">
        <v>0</v>
      </c>
      <c r="S448" s="6">
        <v>0</v>
      </c>
      <c r="T448" s="6">
        <v>65</v>
      </c>
      <c r="U448" s="6">
        <v>25</v>
      </c>
      <c r="V448" s="6">
        <f>IF(ISERROR(VLOOKUP($S$448,'TAR FIN'!$A$1:$O$88,15,0)),0,VLOOKUP($S$448,'TAR FIN'!$A$1:$O$88,15,0))</f>
        <v>0</v>
      </c>
      <c r="W448" s="6">
        <f>IF(ISERROR(VLOOKUP($T$448,'TAR FIN'!$A$1:$O$88,15,0)),0,VLOOKUP($T$448,'TAR FIN'!$A$1:$O$88,15,0))</f>
        <v>269.91000000000003</v>
      </c>
      <c r="X448" s="6">
        <f>IF(ISERROR(VLOOKUP($U$448,'TAR FIN'!$A$1:$O$88,15,0)),0,VLOOKUP($U$448,'TAR FIN'!$A$1:$O$88,15,0))</f>
        <v>288.89999999999998</v>
      </c>
      <c r="Y448" s="6"/>
      <c r="Z448" s="6">
        <f ca="1">('TUSD BE'!$AM$48+'TUSD BF'!$AM$48+'TUSD CVA'!$AM$48)*1</f>
        <v>350.41122835255294</v>
      </c>
      <c r="AA448" s="6">
        <f>('TE BE'!$AB$39+'TE BF'!$AB$39+'TE CVA'!$AB$39)*1</f>
        <v>207.63042742196092</v>
      </c>
      <c r="AB448" s="6">
        <f>$K$448*$V$448</f>
        <v>0</v>
      </c>
      <c r="AC448" s="6">
        <f>$M$448*$W$448</f>
        <v>23424.409260000004</v>
      </c>
      <c r="AD448" s="6">
        <f>$O$448*$X$448</f>
        <v>25072.475399999999</v>
      </c>
      <c r="AE448" s="6">
        <f>$K$448*$Y$448</f>
        <v>0</v>
      </c>
      <c r="AF448" s="6">
        <f ca="1">$M$448*$Z$448</f>
        <v>30410.788863804661</v>
      </c>
      <c r="AG448" s="6">
        <f>$O$448*$AA$448</f>
        <v>18019.414274242299</v>
      </c>
    </row>
    <row r="449" spans="1:33" ht="11.25" customHeight="1" x14ac:dyDescent="0.25">
      <c r="A449" s="4" t="s">
        <v>21</v>
      </c>
      <c r="B449" s="4" t="s">
        <v>36</v>
      </c>
      <c r="C449" s="4" t="s">
        <v>23</v>
      </c>
      <c r="D449" s="4" t="s">
        <v>43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44682</v>
      </c>
      <c r="J449" s="6">
        <v>0</v>
      </c>
      <c r="K449" s="6">
        <v>0</v>
      </c>
      <c r="L449" s="6">
        <v>92.078000000000003</v>
      </c>
      <c r="M449" s="6">
        <v>92.078000000000003</v>
      </c>
      <c r="N449" s="6">
        <v>92.078000000000003</v>
      </c>
      <c r="O449" s="6">
        <v>92.078000000000003</v>
      </c>
      <c r="P449" s="6">
        <v>96</v>
      </c>
      <c r="Q449" s="4" t="s">
        <v>26</v>
      </c>
      <c r="R449" s="4">
        <v>0</v>
      </c>
      <c r="S449" s="6">
        <v>0</v>
      </c>
      <c r="T449" s="6">
        <v>65</v>
      </c>
      <c r="U449" s="6">
        <v>25</v>
      </c>
      <c r="V449" s="6">
        <f>IF(ISERROR(VLOOKUP($S$449,'TAR FIN'!$A$1:$O$88,15,0)),0,VLOOKUP($S$449,'TAR FIN'!$A$1:$O$88,15,0))</f>
        <v>0</v>
      </c>
      <c r="W449" s="6">
        <f>IF(ISERROR(VLOOKUP($T$449,'TAR FIN'!$A$1:$O$88,15,0)),0,VLOOKUP($T$449,'TAR FIN'!$A$1:$O$88,15,0))</f>
        <v>269.91000000000003</v>
      </c>
      <c r="X449" s="6">
        <f>IF(ISERROR(VLOOKUP($U$449,'TAR FIN'!$A$1:$O$88,15,0)),0,VLOOKUP($U$449,'TAR FIN'!$A$1:$O$88,15,0))</f>
        <v>288.89999999999998</v>
      </c>
      <c r="Y449" s="6"/>
      <c r="Z449" s="6">
        <f ca="1">('TUSD BE'!$AM$48+'TUSD BF'!$AM$48+'TUSD CVA'!$AM$48)*1</f>
        <v>350.41122835255294</v>
      </c>
      <c r="AA449" s="6">
        <f>('TE BE'!$AB$39+'TE BF'!$AB$39+'TE CVA'!$AB$39)*1</f>
        <v>207.63042742196092</v>
      </c>
      <c r="AB449" s="6">
        <f>$K$449*$V$449</f>
        <v>0</v>
      </c>
      <c r="AC449" s="6">
        <f>$M$449*$W$449</f>
        <v>24852.772980000002</v>
      </c>
      <c r="AD449" s="6">
        <f>$O$449*$X$449</f>
        <v>26601.334199999998</v>
      </c>
      <c r="AE449" s="6">
        <f>$K$449*$Y$449</f>
        <v>0</v>
      </c>
      <c r="AF449" s="6">
        <f ca="1">$M$449*$Z$449</f>
        <v>32265.165084246371</v>
      </c>
      <c r="AG449" s="6">
        <f>$O$449*$AA$449</f>
        <v>19118.194496159318</v>
      </c>
    </row>
    <row r="450" spans="1:33" ht="11.25" customHeight="1" x14ac:dyDescent="0.25">
      <c r="A450" s="4" t="s">
        <v>21</v>
      </c>
      <c r="B450" s="4" t="s">
        <v>36</v>
      </c>
      <c r="C450" s="4" t="s">
        <v>23</v>
      </c>
      <c r="D450" s="4" t="s">
        <v>43</v>
      </c>
      <c r="E450" s="4" t="s">
        <v>25</v>
      </c>
      <c r="F450" s="4" t="s">
        <v>25</v>
      </c>
      <c r="G450" s="4" t="s">
        <v>25</v>
      </c>
      <c r="H450" s="4" t="s">
        <v>25</v>
      </c>
      <c r="I450" s="5">
        <v>44713</v>
      </c>
      <c r="J450" s="6">
        <v>0</v>
      </c>
      <c r="K450" s="6">
        <v>0</v>
      </c>
      <c r="L450" s="6">
        <v>85.515000000000001</v>
      </c>
      <c r="M450" s="6">
        <v>85.515000000000001</v>
      </c>
      <c r="N450" s="6">
        <v>85.515000000000001</v>
      </c>
      <c r="O450" s="6">
        <v>85.515000000000001</v>
      </c>
      <c r="P450" s="6">
        <v>96</v>
      </c>
      <c r="Q450" s="4" t="s">
        <v>26</v>
      </c>
      <c r="R450" s="4">
        <v>0</v>
      </c>
      <c r="S450" s="6">
        <v>0</v>
      </c>
      <c r="T450" s="6">
        <v>65</v>
      </c>
      <c r="U450" s="6">
        <v>25</v>
      </c>
      <c r="V450" s="6">
        <f>IF(ISERROR(VLOOKUP($S$450,'TAR FIN'!$A$1:$O$88,15,0)),0,VLOOKUP($S$450,'TAR FIN'!$A$1:$O$88,15,0))</f>
        <v>0</v>
      </c>
      <c r="W450" s="6">
        <f>IF(ISERROR(VLOOKUP($T$450,'TAR FIN'!$A$1:$O$88,15,0)),0,VLOOKUP($T$450,'TAR FIN'!$A$1:$O$88,15,0))</f>
        <v>269.91000000000003</v>
      </c>
      <c r="X450" s="6">
        <f>IF(ISERROR(VLOOKUP($U$450,'TAR FIN'!$A$1:$O$88,15,0)),0,VLOOKUP($U$450,'TAR FIN'!$A$1:$O$88,15,0))</f>
        <v>288.89999999999998</v>
      </c>
      <c r="Y450" s="6"/>
      <c r="Z450" s="6">
        <f ca="1">('TUSD BE'!$AM$48+'TUSD BF'!$AM$48+'TUSD CVA'!$AM$48)*1</f>
        <v>350.41122835255294</v>
      </c>
      <c r="AA450" s="6">
        <f>('TE BE'!$AB$39+'TE BF'!$AB$39+'TE CVA'!$AB$39)*1</f>
        <v>207.63042742196092</v>
      </c>
      <c r="AB450" s="6">
        <f>$K$450*$V$450</f>
        <v>0</v>
      </c>
      <c r="AC450" s="6">
        <f>$M$450*$W$450</f>
        <v>23081.353650000001</v>
      </c>
      <c r="AD450" s="6">
        <f>$O$450*$X$450</f>
        <v>24705.283499999998</v>
      </c>
      <c r="AE450" s="6">
        <f>$K$450*$Y$450</f>
        <v>0</v>
      </c>
      <c r="AF450" s="6">
        <f ca="1">$M$450*$Z$450</f>
        <v>29965.416192568566</v>
      </c>
      <c r="AG450" s="6">
        <f>$O$450*$AA$450</f>
        <v>17755.516000988988</v>
      </c>
    </row>
    <row r="451" spans="1:33" ht="11.25" customHeight="1" x14ac:dyDescent="0.25">
      <c r="A451" s="4" t="s">
        <v>55</v>
      </c>
      <c r="B451" s="4" t="s">
        <v>36</v>
      </c>
      <c r="C451" s="4" t="s">
        <v>23</v>
      </c>
      <c r="D451" s="4" t="s">
        <v>43</v>
      </c>
      <c r="E451" s="4" t="s">
        <v>25</v>
      </c>
      <c r="F451" s="4" t="s">
        <v>25</v>
      </c>
      <c r="G451" s="4" t="s">
        <v>25</v>
      </c>
      <c r="H451" s="4" t="s">
        <v>25</v>
      </c>
      <c r="I451" s="5">
        <v>44743</v>
      </c>
      <c r="J451" s="6">
        <v>0</v>
      </c>
      <c r="K451" s="6">
        <v>0</v>
      </c>
      <c r="L451" s="6">
        <v>85.515000000000001</v>
      </c>
      <c r="M451" s="6">
        <v>85.515000000000001</v>
      </c>
      <c r="N451" s="6">
        <v>85.515000000000001</v>
      </c>
      <c r="O451" s="6">
        <v>85.515000000000001</v>
      </c>
      <c r="P451" s="6">
        <v>96</v>
      </c>
      <c r="Q451" s="4" t="s">
        <v>26</v>
      </c>
      <c r="R451" s="4">
        <v>0</v>
      </c>
      <c r="S451" s="6">
        <v>0</v>
      </c>
      <c r="T451" s="6">
        <v>65</v>
      </c>
      <c r="U451" s="6">
        <v>25</v>
      </c>
      <c r="V451" s="6">
        <f>IF(ISERROR(VLOOKUP($S$451,'TAR FIN'!$A$1:$O$88,15,0)),0,VLOOKUP($S$451,'TAR FIN'!$A$1:$O$88,15,0))</f>
        <v>0</v>
      </c>
      <c r="W451" s="6">
        <f>IF(ISERROR(VLOOKUP($T$451,'TAR FIN'!$A$1:$O$88,15,0)),0,VLOOKUP($T$451,'TAR FIN'!$A$1:$O$88,15,0))</f>
        <v>269.91000000000003</v>
      </c>
      <c r="X451" s="6">
        <f>IF(ISERROR(VLOOKUP($U$451,'TAR FIN'!$A$1:$O$88,15,0)),0,VLOOKUP($U$451,'TAR FIN'!$A$1:$O$88,15,0))</f>
        <v>288.89999999999998</v>
      </c>
      <c r="Y451" s="6"/>
      <c r="Z451" s="6">
        <f ca="1">('TUSD BE'!$AM$48+'TUSD BF'!$AM$48+'TUSD CVA'!$AM$48)*1</f>
        <v>350.41122835255294</v>
      </c>
      <c r="AA451" s="6">
        <f>('TE BE'!$AB$39+'TE BF'!$AB$39+'TE CVA'!$AB$39)*1</f>
        <v>207.63042742196092</v>
      </c>
      <c r="AB451" s="6">
        <f>$K$451*$V$451</f>
        <v>0</v>
      </c>
      <c r="AC451" s="6">
        <f>$M$451*$W$451</f>
        <v>23081.353650000001</v>
      </c>
      <c r="AD451" s="6">
        <f>$O$451*$X$451</f>
        <v>24705.283499999998</v>
      </c>
      <c r="AE451" s="6">
        <f>$K$451*$Y$451</f>
        <v>0</v>
      </c>
      <c r="AF451" s="6">
        <f ca="1">$M$451*$Z$451</f>
        <v>29965.416192568566</v>
      </c>
      <c r="AG451" s="6">
        <f>$O$451*$AA$451</f>
        <v>17755.516000988988</v>
      </c>
    </row>
    <row r="452" spans="1:33" ht="11.25" customHeight="1" x14ac:dyDescent="0.25">
      <c r="A452" s="4" t="s">
        <v>21</v>
      </c>
      <c r="B452" s="4" t="s">
        <v>36</v>
      </c>
      <c r="C452" s="4" t="s">
        <v>23</v>
      </c>
      <c r="D452" s="4" t="s">
        <v>47</v>
      </c>
      <c r="E452" s="4" t="s">
        <v>48</v>
      </c>
      <c r="F452" s="4" t="s">
        <v>25</v>
      </c>
      <c r="G452" s="4" t="s">
        <v>25</v>
      </c>
      <c r="H452" s="4" t="s">
        <v>25</v>
      </c>
      <c r="I452" s="5">
        <v>44409</v>
      </c>
      <c r="J452" s="6">
        <v>0</v>
      </c>
      <c r="K452" s="58">
        <v>0</v>
      </c>
      <c r="L452" s="6">
        <v>19.503</v>
      </c>
      <c r="M452" s="58">
        <v>19.503</v>
      </c>
      <c r="N452" s="6">
        <v>19.503</v>
      </c>
      <c r="O452" s="58">
        <v>19.503</v>
      </c>
      <c r="P452" s="6">
        <v>8</v>
      </c>
      <c r="Q452" s="4" t="s">
        <v>26</v>
      </c>
      <c r="R452" s="4">
        <v>0</v>
      </c>
      <c r="S452" s="6">
        <v>0</v>
      </c>
      <c r="T452" s="6">
        <v>65</v>
      </c>
      <c r="U452" s="6">
        <v>25</v>
      </c>
      <c r="V452" s="58">
        <f>IF(ISERROR(VLOOKUP($S$452,'TAR FIN'!$A$1:$O$88,15,0)),0,VLOOKUP($S$452,'TAR FIN'!$A$1:$O$88,15,0))</f>
        <v>0</v>
      </c>
      <c r="W452" s="58">
        <f>IF(ISERROR(VLOOKUP($T$452,'TAR FIN'!$A$1:$O$88,15,0)),0,VLOOKUP($T$452,'TAR FIN'!$A$1:$O$88,15,0))*(1-0.06)</f>
        <v>253.71540000000002</v>
      </c>
      <c r="X452" s="58">
        <f>IF(ISERROR(VLOOKUP($U$452,'TAR FIN'!$A$1:$O$88,15,0)),0,VLOOKUP($U$452,'TAR FIN'!$A$1:$O$88,15,0))*(1-0.06)</f>
        <v>271.56599999999997</v>
      </c>
      <c r="Y452" s="58"/>
      <c r="Z452" s="58">
        <f ca="1">('TUSD BE'!$AM$48+'TUSD BF'!$AM$48+'TUSD CVA'!$AM$48)*1*(1-0.03)</f>
        <v>339.89889150197632</v>
      </c>
      <c r="AA452" s="58">
        <f>('TE BE'!$AB$39+'TE BF'!$AB$39+'TE CVA'!$AB$39)*1*(1-0.03)</f>
        <v>201.40151459930209</v>
      </c>
      <c r="AB452" s="6">
        <f>$K$452*$V$452</f>
        <v>0</v>
      </c>
      <c r="AC452" s="6">
        <f>$M$452*$W$452</f>
        <v>4948.2114462</v>
      </c>
      <c r="AD452" s="6">
        <f>$O$452*$X$452</f>
        <v>5296.3516979999995</v>
      </c>
      <c r="AE452" s="6">
        <f>$K$452*$Y$452</f>
        <v>0</v>
      </c>
      <c r="AF452" s="6">
        <f ca="1">$M$452*$Z$452</f>
        <v>6629.0480809630444</v>
      </c>
      <c r="AG452" s="6">
        <f>$O$452*$AA$452</f>
        <v>3927.9337392301886</v>
      </c>
    </row>
    <row r="453" spans="1:33" ht="11.25" customHeight="1" x14ac:dyDescent="0.25">
      <c r="A453" s="4" t="s">
        <v>21</v>
      </c>
      <c r="B453" s="4" t="s">
        <v>36</v>
      </c>
      <c r="C453" s="4" t="s">
        <v>23</v>
      </c>
      <c r="D453" s="4" t="s">
        <v>47</v>
      </c>
      <c r="E453" s="4" t="s">
        <v>48</v>
      </c>
      <c r="F453" s="4" t="s">
        <v>25</v>
      </c>
      <c r="G453" s="4" t="s">
        <v>25</v>
      </c>
      <c r="H453" s="4" t="s">
        <v>25</v>
      </c>
      <c r="I453" s="5">
        <v>44440</v>
      </c>
      <c r="J453" s="6">
        <v>0</v>
      </c>
      <c r="K453" s="58">
        <v>0</v>
      </c>
      <c r="L453" s="6">
        <v>21.786999999999999</v>
      </c>
      <c r="M453" s="58">
        <v>21.786999999999999</v>
      </c>
      <c r="N453" s="6">
        <v>21.786999999999999</v>
      </c>
      <c r="O453" s="58">
        <v>21.786999999999999</v>
      </c>
      <c r="P453" s="6">
        <v>8</v>
      </c>
      <c r="Q453" s="4" t="s">
        <v>26</v>
      </c>
      <c r="R453" s="4">
        <v>0</v>
      </c>
      <c r="S453" s="6">
        <v>0</v>
      </c>
      <c r="T453" s="6">
        <v>65</v>
      </c>
      <c r="U453" s="6">
        <v>25</v>
      </c>
      <c r="V453" s="58">
        <f>IF(ISERROR(VLOOKUP($S$453,'TAR FIN'!$A$1:$O$88,15,0)),0,VLOOKUP($S$453,'TAR FIN'!$A$1:$O$88,15,0))</f>
        <v>0</v>
      </c>
      <c r="W453" s="58">
        <f>IF(ISERROR(VLOOKUP($T$453,'TAR FIN'!$A$1:$O$88,15,0)),0,VLOOKUP($T$453,'TAR FIN'!$A$1:$O$88,15,0))*(1-0.06)</f>
        <v>253.71540000000002</v>
      </c>
      <c r="X453" s="58">
        <f>IF(ISERROR(VLOOKUP($U$453,'TAR FIN'!$A$1:$O$88,15,0)),0,VLOOKUP($U$453,'TAR FIN'!$A$1:$O$88,15,0))*(1-0.06)</f>
        <v>271.56599999999997</v>
      </c>
      <c r="Y453" s="58"/>
      <c r="Z453" s="58">
        <f ca="1">('TUSD BE'!$AM$48+'TUSD BF'!$AM$48+'TUSD CVA'!$AM$48)*1*(1-0.03)</f>
        <v>339.89889150197632</v>
      </c>
      <c r="AA453" s="58">
        <f>('TE BE'!$AB$39+'TE BF'!$AB$39+'TE CVA'!$AB$39)*1*(1-0.03)</f>
        <v>201.40151459930209</v>
      </c>
      <c r="AB453" s="6">
        <f>$K$453*$V$453</f>
        <v>0</v>
      </c>
      <c r="AC453" s="6">
        <f>$M$453*$W$453</f>
        <v>5527.6974197999998</v>
      </c>
      <c r="AD453" s="6">
        <f>$O$453*$X$453</f>
        <v>5916.6084419999988</v>
      </c>
      <c r="AE453" s="6">
        <f>$K$453*$Y$453</f>
        <v>0</v>
      </c>
      <c r="AF453" s="6">
        <f ca="1">$M$453*$Z$453</f>
        <v>7405.3771491535581</v>
      </c>
      <c r="AG453" s="6">
        <f>$O$453*$AA$453</f>
        <v>4387.9347985749946</v>
      </c>
    </row>
    <row r="454" spans="1:33" ht="11.25" customHeight="1" x14ac:dyDescent="0.25">
      <c r="A454" s="4" t="s">
        <v>21</v>
      </c>
      <c r="B454" s="4" t="s">
        <v>36</v>
      </c>
      <c r="C454" s="4" t="s">
        <v>23</v>
      </c>
      <c r="D454" s="4" t="s">
        <v>47</v>
      </c>
      <c r="E454" s="4" t="s">
        <v>48</v>
      </c>
      <c r="F454" s="4" t="s">
        <v>25</v>
      </c>
      <c r="G454" s="4" t="s">
        <v>25</v>
      </c>
      <c r="H454" s="4" t="s">
        <v>25</v>
      </c>
      <c r="I454" s="5">
        <v>44470</v>
      </c>
      <c r="J454" s="6">
        <v>0</v>
      </c>
      <c r="K454" s="58">
        <v>0</v>
      </c>
      <c r="L454" s="6">
        <v>19.158000000000001</v>
      </c>
      <c r="M454" s="58">
        <v>19.158000000000001</v>
      </c>
      <c r="N454" s="6">
        <v>19.158000000000001</v>
      </c>
      <c r="O454" s="58">
        <v>19.158000000000001</v>
      </c>
      <c r="P454" s="6">
        <v>8</v>
      </c>
      <c r="Q454" s="4" t="s">
        <v>26</v>
      </c>
      <c r="R454" s="4">
        <v>0</v>
      </c>
      <c r="S454" s="6">
        <v>0</v>
      </c>
      <c r="T454" s="6">
        <v>65</v>
      </c>
      <c r="U454" s="6">
        <v>25</v>
      </c>
      <c r="V454" s="58">
        <f>IF(ISERROR(VLOOKUP($S$454,'TAR FIN'!$A$1:$O$88,15,0)),0,VLOOKUP($S$454,'TAR FIN'!$A$1:$O$88,15,0))</f>
        <v>0</v>
      </c>
      <c r="W454" s="58">
        <f>IF(ISERROR(VLOOKUP($T$454,'TAR FIN'!$A$1:$O$88,15,0)),0,VLOOKUP($T$454,'TAR FIN'!$A$1:$O$88,15,0))*(1-0.06)</f>
        <v>253.71540000000002</v>
      </c>
      <c r="X454" s="58">
        <f>IF(ISERROR(VLOOKUP($U$454,'TAR FIN'!$A$1:$O$88,15,0)),0,VLOOKUP($U$454,'TAR FIN'!$A$1:$O$88,15,0))*(1-0.06)</f>
        <v>271.56599999999997</v>
      </c>
      <c r="Y454" s="58"/>
      <c r="Z454" s="58">
        <f ca="1">('TUSD BE'!$AM$48+'TUSD BF'!$AM$48+'TUSD CVA'!$AM$48)*1*(1-0.03)</f>
        <v>339.89889150197632</v>
      </c>
      <c r="AA454" s="58">
        <f>('TE BE'!$AB$39+'TE BF'!$AB$39+'TE CVA'!$AB$39)*1*(1-0.03)</f>
        <v>201.40151459930209</v>
      </c>
      <c r="AB454" s="6">
        <f>$K$454*$V$454</f>
        <v>0</v>
      </c>
      <c r="AC454" s="6">
        <f>$M$454*$W$454</f>
        <v>4860.6796332000004</v>
      </c>
      <c r="AD454" s="6">
        <f>$O$454*$X$454</f>
        <v>5202.6614279999994</v>
      </c>
      <c r="AE454" s="6">
        <f>$K$454*$Y$454</f>
        <v>0</v>
      </c>
      <c r="AF454" s="6">
        <f ca="1">$M$454*$Z$454</f>
        <v>6511.7829633948631</v>
      </c>
      <c r="AG454" s="6">
        <f>$O$454*$AA$454</f>
        <v>3858.4502166934299</v>
      </c>
    </row>
    <row r="455" spans="1:33" ht="11.25" customHeight="1" x14ac:dyDescent="0.25">
      <c r="A455" s="4" t="s">
        <v>21</v>
      </c>
      <c r="B455" s="4" t="s">
        <v>36</v>
      </c>
      <c r="C455" s="4" t="s">
        <v>23</v>
      </c>
      <c r="D455" s="4" t="s">
        <v>47</v>
      </c>
      <c r="E455" s="4" t="s">
        <v>48</v>
      </c>
      <c r="F455" s="4" t="s">
        <v>25</v>
      </c>
      <c r="G455" s="4" t="s">
        <v>25</v>
      </c>
      <c r="H455" s="4" t="s">
        <v>25</v>
      </c>
      <c r="I455" s="5">
        <v>44501</v>
      </c>
      <c r="J455" s="6">
        <v>0</v>
      </c>
      <c r="K455" s="58">
        <v>0</v>
      </c>
      <c r="L455" s="6">
        <v>20.58</v>
      </c>
      <c r="M455" s="58">
        <v>20.58</v>
      </c>
      <c r="N455" s="6">
        <v>20.58</v>
      </c>
      <c r="O455" s="58">
        <v>20.58</v>
      </c>
      <c r="P455" s="6">
        <v>8</v>
      </c>
      <c r="Q455" s="4" t="s">
        <v>26</v>
      </c>
      <c r="R455" s="4">
        <v>0</v>
      </c>
      <c r="S455" s="6">
        <v>0</v>
      </c>
      <c r="T455" s="6">
        <v>65</v>
      </c>
      <c r="U455" s="6">
        <v>25</v>
      </c>
      <c r="V455" s="58">
        <f>IF(ISERROR(VLOOKUP($S$455,'TAR FIN'!$A$1:$O$88,15,0)),0,VLOOKUP($S$455,'TAR FIN'!$A$1:$O$88,15,0))</f>
        <v>0</v>
      </c>
      <c r="W455" s="58">
        <f>IF(ISERROR(VLOOKUP($T$455,'TAR FIN'!$A$1:$O$88,15,0)),0,VLOOKUP($T$455,'TAR FIN'!$A$1:$O$88,15,0))*(1-0.06)</f>
        <v>253.71540000000002</v>
      </c>
      <c r="X455" s="58">
        <f>IF(ISERROR(VLOOKUP($U$455,'TAR FIN'!$A$1:$O$88,15,0)),0,VLOOKUP($U$455,'TAR FIN'!$A$1:$O$88,15,0))*(1-0.06)</f>
        <v>271.56599999999997</v>
      </c>
      <c r="Y455" s="58"/>
      <c r="Z455" s="58">
        <f ca="1">('TUSD BE'!$AM$48+'TUSD BF'!$AM$48+'TUSD CVA'!$AM$48)*1*(1-0.03)</f>
        <v>339.89889150197632</v>
      </c>
      <c r="AA455" s="58">
        <f>('TE BE'!$AB$39+'TE BF'!$AB$39+'TE CVA'!$AB$39)*1*(1-0.03)</f>
        <v>201.40151459930209</v>
      </c>
      <c r="AB455" s="6">
        <f>$K$455*$V$455</f>
        <v>0</v>
      </c>
      <c r="AC455" s="6">
        <f>$M$455*$W$455</f>
        <v>5221.4629320000004</v>
      </c>
      <c r="AD455" s="6">
        <f>$O$455*$X$455</f>
        <v>5588.8282799999988</v>
      </c>
      <c r="AE455" s="6">
        <f>$K$455*$Y$455</f>
        <v>0</v>
      </c>
      <c r="AF455" s="6">
        <f ca="1">$M$455*$Z$455</f>
        <v>6995.1191871106721</v>
      </c>
      <c r="AG455" s="6">
        <f>$O$455*$AA$455</f>
        <v>4144.843170453637</v>
      </c>
    </row>
    <row r="456" spans="1:33" ht="11.25" customHeight="1" x14ac:dyDescent="0.25">
      <c r="A456" s="4" t="s">
        <v>21</v>
      </c>
      <c r="B456" s="4" t="s">
        <v>36</v>
      </c>
      <c r="C456" s="4" t="s">
        <v>23</v>
      </c>
      <c r="D456" s="4" t="s">
        <v>47</v>
      </c>
      <c r="E456" s="4" t="s">
        <v>48</v>
      </c>
      <c r="F456" s="4" t="s">
        <v>25</v>
      </c>
      <c r="G456" s="4" t="s">
        <v>25</v>
      </c>
      <c r="H456" s="4" t="s">
        <v>25</v>
      </c>
      <c r="I456" s="5">
        <v>44531</v>
      </c>
      <c r="J456" s="6">
        <v>0</v>
      </c>
      <c r="K456" s="58">
        <v>0</v>
      </c>
      <c r="L456" s="6">
        <v>22.370999999999999</v>
      </c>
      <c r="M456" s="58">
        <v>22.370999999999999</v>
      </c>
      <c r="N456" s="6">
        <v>22.370999999999999</v>
      </c>
      <c r="O456" s="58">
        <v>22.370999999999999</v>
      </c>
      <c r="P456" s="6">
        <v>8</v>
      </c>
      <c r="Q456" s="4" t="s">
        <v>26</v>
      </c>
      <c r="R456" s="4">
        <v>0</v>
      </c>
      <c r="S456" s="6">
        <v>0</v>
      </c>
      <c r="T456" s="6">
        <v>65</v>
      </c>
      <c r="U456" s="6">
        <v>25</v>
      </c>
      <c r="V456" s="58">
        <f>IF(ISERROR(VLOOKUP($S$456,'TAR FIN'!$A$1:$O$88,15,0)),0,VLOOKUP($S$456,'TAR FIN'!$A$1:$O$88,15,0))</f>
        <v>0</v>
      </c>
      <c r="W456" s="58">
        <f>IF(ISERROR(VLOOKUP($T$456,'TAR FIN'!$A$1:$O$88,15,0)),0,VLOOKUP($T$456,'TAR FIN'!$A$1:$O$88,15,0))*(1-0.06)</f>
        <v>253.71540000000002</v>
      </c>
      <c r="X456" s="58">
        <f>IF(ISERROR(VLOOKUP($U$456,'TAR FIN'!$A$1:$O$88,15,0)),0,VLOOKUP($U$456,'TAR FIN'!$A$1:$O$88,15,0))*(1-0.06)</f>
        <v>271.56599999999997</v>
      </c>
      <c r="Y456" s="58"/>
      <c r="Z456" s="58">
        <f ca="1">('TUSD BE'!$AM$48+'TUSD BF'!$AM$48+'TUSD CVA'!$AM$48)*1*(1-0.03)</f>
        <v>339.89889150197632</v>
      </c>
      <c r="AA456" s="58">
        <f>('TE BE'!$AB$39+'TE BF'!$AB$39+'TE CVA'!$AB$39)*1*(1-0.03)</f>
        <v>201.40151459930209</v>
      </c>
      <c r="AB456" s="6">
        <f>$K$456*$V$456</f>
        <v>0</v>
      </c>
      <c r="AC456" s="6">
        <f>$M$456*$W$456</f>
        <v>5675.8672133999999</v>
      </c>
      <c r="AD456" s="6">
        <f>$O$456*$X$456</f>
        <v>6075.2029859999993</v>
      </c>
      <c r="AE456" s="6">
        <f>$K$456*$Y$456</f>
        <v>0</v>
      </c>
      <c r="AF456" s="6">
        <f ca="1">$M$456*$Z$456</f>
        <v>7603.8781017907122</v>
      </c>
      <c r="AG456" s="6">
        <f>$O$456*$AA$456</f>
        <v>4505.5532831009868</v>
      </c>
    </row>
    <row r="457" spans="1:33" ht="11.25" customHeight="1" x14ac:dyDescent="0.25">
      <c r="A457" s="4" t="s">
        <v>21</v>
      </c>
      <c r="B457" s="4" t="s">
        <v>36</v>
      </c>
      <c r="C457" s="4" t="s">
        <v>23</v>
      </c>
      <c r="D457" s="4" t="s">
        <v>47</v>
      </c>
      <c r="E457" s="4" t="s">
        <v>48</v>
      </c>
      <c r="F457" s="4" t="s">
        <v>25</v>
      </c>
      <c r="G457" s="4" t="s">
        <v>25</v>
      </c>
      <c r="H457" s="4" t="s">
        <v>25</v>
      </c>
      <c r="I457" s="5">
        <v>44562</v>
      </c>
      <c r="J457" s="6">
        <v>0</v>
      </c>
      <c r="K457" s="58">
        <v>0</v>
      </c>
      <c r="L457" s="6">
        <v>19.013000000000002</v>
      </c>
      <c r="M457" s="58">
        <v>19.013000000000002</v>
      </c>
      <c r="N457" s="6">
        <v>19.013000000000002</v>
      </c>
      <c r="O457" s="58">
        <v>19.013000000000002</v>
      </c>
      <c r="P457" s="6">
        <v>8</v>
      </c>
      <c r="Q457" s="4" t="s">
        <v>26</v>
      </c>
      <c r="R457" s="4">
        <v>0</v>
      </c>
      <c r="S457" s="6">
        <v>0</v>
      </c>
      <c r="T457" s="6">
        <v>65</v>
      </c>
      <c r="U457" s="6">
        <v>25</v>
      </c>
      <c r="V457" s="58">
        <f>IF(ISERROR(VLOOKUP($S$457,'TAR FIN'!$A$1:$O$88,15,0)),0,VLOOKUP($S$457,'TAR FIN'!$A$1:$O$88,15,0))</f>
        <v>0</v>
      </c>
      <c r="W457" s="58">
        <f>IF(ISERROR(VLOOKUP($T$457,'TAR FIN'!$A$1:$O$88,15,0)),0,VLOOKUP($T$457,'TAR FIN'!$A$1:$O$88,15,0))*(1-0.06)</f>
        <v>253.71540000000002</v>
      </c>
      <c r="X457" s="58">
        <f>IF(ISERROR(VLOOKUP($U$457,'TAR FIN'!$A$1:$O$88,15,0)),0,VLOOKUP($U$457,'TAR FIN'!$A$1:$O$88,15,0))*(1-0.06)</f>
        <v>271.56599999999997</v>
      </c>
      <c r="Y457" s="58"/>
      <c r="Z457" s="58">
        <f ca="1">('TUSD BE'!$AM$48+'TUSD BF'!$AM$48+'TUSD CVA'!$AM$48)*1*(1-0.03)</f>
        <v>339.89889150197632</v>
      </c>
      <c r="AA457" s="58">
        <f>('TE BE'!$AB$39+'TE BF'!$AB$39+'TE CVA'!$AB$39)*1*(1-0.03)</f>
        <v>201.40151459930209</v>
      </c>
      <c r="AB457" s="6">
        <f>$K$457*$V$457</f>
        <v>0</v>
      </c>
      <c r="AC457" s="6">
        <f>$M$457*$W$457</f>
        <v>4823.8909002000009</v>
      </c>
      <c r="AD457" s="6">
        <f>$O$457*$X$457</f>
        <v>5163.2843579999999</v>
      </c>
      <c r="AE457" s="6">
        <f>$K$457*$Y$457</f>
        <v>0</v>
      </c>
      <c r="AF457" s="6">
        <f ca="1">$M$457*$Z$457</f>
        <v>6462.4976241270761</v>
      </c>
      <c r="AG457" s="6">
        <f>$O$457*$AA$457</f>
        <v>3829.246997076531</v>
      </c>
    </row>
    <row r="458" spans="1:33" ht="11.25" customHeight="1" x14ac:dyDescent="0.25">
      <c r="A458" s="4" t="s">
        <v>21</v>
      </c>
      <c r="B458" s="4" t="s">
        <v>36</v>
      </c>
      <c r="C458" s="4" t="s">
        <v>23</v>
      </c>
      <c r="D458" s="4" t="s">
        <v>47</v>
      </c>
      <c r="E458" s="4" t="s">
        <v>48</v>
      </c>
      <c r="F458" s="4" t="s">
        <v>25</v>
      </c>
      <c r="G458" s="4" t="s">
        <v>25</v>
      </c>
      <c r="H458" s="4" t="s">
        <v>25</v>
      </c>
      <c r="I458" s="5">
        <v>44593</v>
      </c>
      <c r="J458" s="6">
        <v>0</v>
      </c>
      <c r="K458" s="58">
        <v>0</v>
      </c>
      <c r="L458" s="6">
        <v>17.38</v>
      </c>
      <c r="M458" s="58">
        <v>17.38</v>
      </c>
      <c r="N458" s="6">
        <v>17.38</v>
      </c>
      <c r="O458" s="58">
        <v>17.38</v>
      </c>
      <c r="P458" s="6">
        <v>8</v>
      </c>
      <c r="Q458" s="4" t="s">
        <v>26</v>
      </c>
      <c r="R458" s="4">
        <v>0</v>
      </c>
      <c r="S458" s="6">
        <v>0</v>
      </c>
      <c r="T458" s="6">
        <v>65</v>
      </c>
      <c r="U458" s="6">
        <v>25</v>
      </c>
      <c r="V458" s="58">
        <f>IF(ISERROR(VLOOKUP($S$458,'TAR FIN'!$A$1:$O$88,15,0)),0,VLOOKUP($S$458,'TAR FIN'!$A$1:$O$88,15,0))</f>
        <v>0</v>
      </c>
      <c r="W458" s="58">
        <f>IF(ISERROR(VLOOKUP($T$458,'TAR FIN'!$A$1:$O$88,15,0)),0,VLOOKUP($T$458,'TAR FIN'!$A$1:$O$88,15,0))*(1-0.06)</f>
        <v>253.71540000000002</v>
      </c>
      <c r="X458" s="58">
        <f>IF(ISERROR(VLOOKUP($U$458,'TAR FIN'!$A$1:$O$88,15,0)),0,VLOOKUP($U$458,'TAR FIN'!$A$1:$O$88,15,0))*(1-0.06)</f>
        <v>271.56599999999997</v>
      </c>
      <c r="Y458" s="58"/>
      <c r="Z458" s="58">
        <f ca="1">('TUSD BE'!$AM$48+'TUSD BF'!$AM$48+'TUSD CVA'!$AM$48)*1*(1-0.03)</f>
        <v>339.89889150197632</v>
      </c>
      <c r="AA458" s="58">
        <f>('TE BE'!$AB$39+'TE BF'!$AB$39+'TE CVA'!$AB$39)*1*(1-0.03)</f>
        <v>201.40151459930209</v>
      </c>
      <c r="AB458" s="6">
        <f>$K$458*$V$458</f>
        <v>0</v>
      </c>
      <c r="AC458" s="6">
        <f>$M$458*$W$458</f>
        <v>4409.573652</v>
      </c>
      <c r="AD458" s="6">
        <f>$O$458*$X$458</f>
        <v>4719.8170799999989</v>
      </c>
      <c r="AE458" s="6">
        <f>$K$458*$Y$458</f>
        <v>0</v>
      </c>
      <c r="AF458" s="6">
        <f ca="1">$M$458*$Z$458</f>
        <v>5907.4427343043481</v>
      </c>
      <c r="AG458" s="6">
        <f>$O$458*$AA$458</f>
        <v>3500.3583237358703</v>
      </c>
    </row>
    <row r="459" spans="1:33" ht="11.25" customHeight="1" x14ac:dyDescent="0.25">
      <c r="A459" s="4" t="s">
        <v>21</v>
      </c>
      <c r="B459" s="4" t="s">
        <v>36</v>
      </c>
      <c r="C459" s="4" t="s">
        <v>23</v>
      </c>
      <c r="D459" s="4" t="s">
        <v>47</v>
      </c>
      <c r="E459" s="4" t="s">
        <v>48</v>
      </c>
      <c r="F459" s="4" t="s">
        <v>25</v>
      </c>
      <c r="G459" s="4" t="s">
        <v>25</v>
      </c>
      <c r="H459" s="4" t="s">
        <v>25</v>
      </c>
      <c r="I459" s="5">
        <v>44621</v>
      </c>
      <c r="J459" s="6">
        <v>0</v>
      </c>
      <c r="K459" s="58">
        <v>0</v>
      </c>
      <c r="L459" s="6">
        <v>19.004999999999999</v>
      </c>
      <c r="M459" s="58">
        <v>19.004999999999999</v>
      </c>
      <c r="N459" s="6">
        <v>19.004999999999999</v>
      </c>
      <c r="O459" s="58">
        <v>19.004999999999999</v>
      </c>
      <c r="P459" s="6">
        <v>8</v>
      </c>
      <c r="Q459" s="4" t="s">
        <v>26</v>
      </c>
      <c r="R459" s="4">
        <v>0</v>
      </c>
      <c r="S459" s="6">
        <v>0</v>
      </c>
      <c r="T459" s="6">
        <v>65</v>
      </c>
      <c r="U459" s="6">
        <v>25</v>
      </c>
      <c r="V459" s="58">
        <f>IF(ISERROR(VLOOKUP($S$459,'TAR FIN'!$A$1:$O$88,15,0)),0,VLOOKUP($S$459,'TAR FIN'!$A$1:$O$88,15,0))</f>
        <v>0</v>
      </c>
      <c r="W459" s="58">
        <f>IF(ISERROR(VLOOKUP($T$459,'TAR FIN'!$A$1:$O$88,15,0)),0,VLOOKUP($T$459,'TAR FIN'!$A$1:$O$88,15,0))*(1-0.06)</f>
        <v>253.71540000000002</v>
      </c>
      <c r="X459" s="58">
        <f>IF(ISERROR(VLOOKUP($U$459,'TAR FIN'!$A$1:$O$88,15,0)),0,VLOOKUP($U$459,'TAR FIN'!$A$1:$O$88,15,0))*(1-0.06)</f>
        <v>271.56599999999997</v>
      </c>
      <c r="Y459" s="58"/>
      <c r="Z459" s="58">
        <f ca="1">('TUSD BE'!$AM$48+'TUSD BF'!$AM$48+'TUSD CVA'!$AM$48)*1*(1-0.03)</f>
        <v>339.89889150197632</v>
      </c>
      <c r="AA459" s="58">
        <f>('TE BE'!$AB$39+'TE BF'!$AB$39+'TE CVA'!$AB$39)*1*(1-0.03)</f>
        <v>201.40151459930209</v>
      </c>
      <c r="AB459" s="6">
        <f>$K$459*$V$459</f>
        <v>0</v>
      </c>
      <c r="AC459" s="6">
        <f>$M$459*$W$459</f>
        <v>4821.8611769999998</v>
      </c>
      <c r="AD459" s="6">
        <f>$O$459*$X$459</f>
        <v>5161.1118299999989</v>
      </c>
      <c r="AE459" s="6">
        <f>$K$459*$Y$459</f>
        <v>0</v>
      </c>
      <c r="AF459" s="6">
        <f ca="1">$M$459*$Z$459</f>
        <v>6459.77843299506</v>
      </c>
      <c r="AG459" s="6">
        <f>$O$459*$AA$459</f>
        <v>3827.6357849597362</v>
      </c>
    </row>
    <row r="460" spans="1:33" ht="11.25" customHeight="1" x14ac:dyDescent="0.25">
      <c r="A460" s="4" t="s">
        <v>21</v>
      </c>
      <c r="B460" s="4" t="s">
        <v>36</v>
      </c>
      <c r="C460" s="4" t="s">
        <v>23</v>
      </c>
      <c r="D460" s="4" t="s">
        <v>47</v>
      </c>
      <c r="E460" s="4" t="s">
        <v>48</v>
      </c>
      <c r="F460" s="4" t="s">
        <v>25</v>
      </c>
      <c r="G460" s="4" t="s">
        <v>25</v>
      </c>
      <c r="H460" s="4" t="s">
        <v>25</v>
      </c>
      <c r="I460" s="5">
        <v>44652</v>
      </c>
      <c r="J460" s="6">
        <v>0</v>
      </c>
      <c r="K460" s="58">
        <v>0</v>
      </c>
      <c r="L460" s="6">
        <v>17.613</v>
      </c>
      <c r="M460" s="58">
        <v>17.613</v>
      </c>
      <c r="N460" s="6">
        <v>17.613</v>
      </c>
      <c r="O460" s="58">
        <v>17.613</v>
      </c>
      <c r="P460" s="6">
        <v>8</v>
      </c>
      <c r="Q460" s="4" t="s">
        <v>26</v>
      </c>
      <c r="R460" s="4">
        <v>0</v>
      </c>
      <c r="S460" s="6">
        <v>0</v>
      </c>
      <c r="T460" s="6">
        <v>65</v>
      </c>
      <c r="U460" s="6">
        <v>25</v>
      </c>
      <c r="V460" s="58">
        <f>IF(ISERROR(VLOOKUP($S$460,'TAR FIN'!$A$1:$O$88,15,0)),0,VLOOKUP($S$460,'TAR FIN'!$A$1:$O$88,15,0))</f>
        <v>0</v>
      </c>
      <c r="W460" s="58">
        <f>IF(ISERROR(VLOOKUP($T$460,'TAR FIN'!$A$1:$O$88,15,0)),0,VLOOKUP($T$460,'TAR FIN'!$A$1:$O$88,15,0))*(1-0.06)</f>
        <v>253.71540000000002</v>
      </c>
      <c r="X460" s="58">
        <f>IF(ISERROR(VLOOKUP($U$460,'TAR FIN'!$A$1:$O$88,15,0)),0,VLOOKUP($U$460,'TAR FIN'!$A$1:$O$88,15,0))*(1-0.06)</f>
        <v>271.56599999999997</v>
      </c>
      <c r="Y460" s="58"/>
      <c r="Z460" s="58">
        <f ca="1">('TUSD BE'!$AM$48+'TUSD BF'!$AM$48+'TUSD CVA'!$AM$48)*1*(1-0.03)</f>
        <v>339.89889150197632</v>
      </c>
      <c r="AA460" s="58">
        <f>('TE BE'!$AB$39+'TE BF'!$AB$39+'TE CVA'!$AB$39)*1*(1-0.03)</f>
        <v>201.40151459930209</v>
      </c>
      <c r="AB460" s="6">
        <f>$K$460*$V$460</f>
        <v>0</v>
      </c>
      <c r="AC460" s="6">
        <f>$M$460*$W$460</f>
        <v>4468.6893402000005</v>
      </c>
      <c r="AD460" s="6">
        <f>$O$460*$X$460</f>
        <v>4783.0919579999991</v>
      </c>
      <c r="AE460" s="6">
        <f>$K$460*$Y$460</f>
        <v>0</v>
      </c>
      <c r="AF460" s="6">
        <f ca="1">$M$460*$Z$460</f>
        <v>5986.6391760243087</v>
      </c>
      <c r="AG460" s="6">
        <f>$O$460*$AA$460</f>
        <v>3547.2848766375078</v>
      </c>
    </row>
    <row r="461" spans="1:33" ht="11.25" customHeight="1" x14ac:dyDescent="0.25">
      <c r="A461" s="4" t="s">
        <v>21</v>
      </c>
      <c r="B461" s="4" t="s">
        <v>36</v>
      </c>
      <c r="C461" s="4" t="s">
        <v>23</v>
      </c>
      <c r="D461" s="4" t="s">
        <v>47</v>
      </c>
      <c r="E461" s="4" t="s">
        <v>48</v>
      </c>
      <c r="F461" s="4" t="s">
        <v>25</v>
      </c>
      <c r="G461" s="4" t="s">
        <v>25</v>
      </c>
      <c r="H461" s="4" t="s">
        <v>25</v>
      </c>
      <c r="I461" s="5">
        <v>44682</v>
      </c>
      <c r="J461" s="6">
        <v>0</v>
      </c>
      <c r="K461" s="58">
        <v>0</v>
      </c>
      <c r="L461" s="6">
        <v>15.208</v>
      </c>
      <c r="M461" s="58">
        <v>15.208</v>
      </c>
      <c r="N461" s="6">
        <v>15.208</v>
      </c>
      <c r="O461" s="58">
        <v>15.208</v>
      </c>
      <c r="P461" s="6">
        <v>8</v>
      </c>
      <c r="Q461" s="4" t="s">
        <v>26</v>
      </c>
      <c r="R461" s="4">
        <v>0</v>
      </c>
      <c r="S461" s="6">
        <v>0</v>
      </c>
      <c r="T461" s="6">
        <v>65</v>
      </c>
      <c r="U461" s="6">
        <v>25</v>
      </c>
      <c r="V461" s="58">
        <f>IF(ISERROR(VLOOKUP($S$461,'TAR FIN'!$A$1:$O$88,15,0)),0,VLOOKUP($S$461,'TAR FIN'!$A$1:$O$88,15,0))</f>
        <v>0</v>
      </c>
      <c r="W461" s="58">
        <f>IF(ISERROR(VLOOKUP($T$461,'TAR FIN'!$A$1:$O$88,15,0)),0,VLOOKUP($T$461,'TAR FIN'!$A$1:$O$88,15,0))*(1-0.06)</f>
        <v>253.71540000000002</v>
      </c>
      <c r="X461" s="58">
        <f>IF(ISERROR(VLOOKUP($U$461,'TAR FIN'!$A$1:$O$88,15,0)),0,VLOOKUP($U$461,'TAR FIN'!$A$1:$O$88,15,0))*(1-0.06)</f>
        <v>271.56599999999997</v>
      </c>
      <c r="Y461" s="58"/>
      <c r="Z461" s="58">
        <f ca="1">('TUSD BE'!$AM$48+'TUSD BF'!$AM$48+'TUSD CVA'!$AM$48)*1*(1-0.03)</f>
        <v>339.89889150197632</v>
      </c>
      <c r="AA461" s="58">
        <f>('TE BE'!$AB$39+'TE BF'!$AB$39+'TE CVA'!$AB$39)*1*(1-0.03)</f>
        <v>201.40151459930209</v>
      </c>
      <c r="AB461" s="6">
        <f>$K$461*$V$461</f>
        <v>0</v>
      </c>
      <c r="AC461" s="6">
        <f>$M$461*$W$461</f>
        <v>3858.5038032000002</v>
      </c>
      <c r="AD461" s="6">
        <f>$O$461*$X$461</f>
        <v>4129.9757279999994</v>
      </c>
      <c r="AE461" s="6">
        <f>$K$461*$Y$461</f>
        <v>0</v>
      </c>
      <c r="AF461" s="6">
        <f ca="1">$M$461*$Z$461</f>
        <v>5169.1823419620559</v>
      </c>
      <c r="AG461" s="6">
        <f>$O$461*$AA$461</f>
        <v>3062.914234026186</v>
      </c>
    </row>
    <row r="462" spans="1:33" ht="11.25" customHeight="1" x14ac:dyDescent="0.25">
      <c r="A462" s="4" t="s">
        <v>21</v>
      </c>
      <c r="B462" s="4" t="s">
        <v>36</v>
      </c>
      <c r="C462" s="4" t="s">
        <v>23</v>
      </c>
      <c r="D462" s="4" t="s">
        <v>47</v>
      </c>
      <c r="E462" s="4" t="s">
        <v>48</v>
      </c>
      <c r="F462" s="4" t="s">
        <v>25</v>
      </c>
      <c r="G462" s="4" t="s">
        <v>25</v>
      </c>
      <c r="H462" s="4" t="s">
        <v>25</v>
      </c>
      <c r="I462" s="5">
        <v>44713</v>
      </c>
      <c r="J462" s="6">
        <v>0</v>
      </c>
      <c r="K462" s="58">
        <v>0</v>
      </c>
      <c r="L462" s="6">
        <v>15.242000000000001</v>
      </c>
      <c r="M462" s="58">
        <v>15.242000000000001</v>
      </c>
      <c r="N462" s="6">
        <v>15.242000000000001</v>
      </c>
      <c r="O462" s="58">
        <v>15.242000000000001</v>
      </c>
      <c r="P462" s="6">
        <v>8</v>
      </c>
      <c r="Q462" s="4" t="s">
        <v>26</v>
      </c>
      <c r="R462" s="4">
        <v>0</v>
      </c>
      <c r="S462" s="6">
        <v>0</v>
      </c>
      <c r="T462" s="6">
        <v>65</v>
      </c>
      <c r="U462" s="6">
        <v>25</v>
      </c>
      <c r="V462" s="58">
        <f>IF(ISERROR(VLOOKUP($S$462,'TAR FIN'!$A$1:$O$88,15,0)),0,VLOOKUP($S$462,'TAR FIN'!$A$1:$O$88,15,0))</f>
        <v>0</v>
      </c>
      <c r="W462" s="58">
        <f>IF(ISERROR(VLOOKUP($T$462,'TAR FIN'!$A$1:$O$88,15,0)),0,VLOOKUP($T$462,'TAR FIN'!$A$1:$O$88,15,0))*(1-0.06)</f>
        <v>253.71540000000002</v>
      </c>
      <c r="X462" s="58">
        <f>IF(ISERROR(VLOOKUP($U$462,'TAR FIN'!$A$1:$O$88,15,0)),0,VLOOKUP($U$462,'TAR FIN'!$A$1:$O$88,15,0))*(1-0.06)</f>
        <v>271.56599999999997</v>
      </c>
      <c r="Y462" s="58"/>
      <c r="Z462" s="58">
        <f ca="1">('TUSD BE'!$AM$48+'TUSD BF'!$AM$48+'TUSD CVA'!$AM$48)*1*(1-0.03)</f>
        <v>339.89889150197632</v>
      </c>
      <c r="AA462" s="58">
        <f>('TE BE'!$AB$39+'TE BF'!$AB$39+'TE CVA'!$AB$39)*1*(1-0.03)</f>
        <v>201.40151459930209</v>
      </c>
      <c r="AB462" s="6">
        <f>$K$462*$V$462</f>
        <v>0</v>
      </c>
      <c r="AC462" s="6">
        <f>$M$462*$W$462</f>
        <v>3867.1301268000007</v>
      </c>
      <c r="AD462" s="6">
        <f>$O$462*$X$462</f>
        <v>4139.2089719999994</v>
      </c>
      <c r="AE462" s="6">
        <f>$K$462*$Y$462</f>
        <v>0</v>
      </c>
      <c r="AF462" s="6">
        <f ca="1">$M$462*$Z$462</f>
        <v>5180.7389042731238</v>
      </c>
      <c r="AG462" s="6">
        <f>$O$462*$AA$462</f>
        <v>3069.7618855225628</v>
      </c>
    </row>
    <row r="463" spans="1:33" ht="11.25" customHeight="1" x14ac:dyDescent="0.25">
      <c r="A463" s="4" t="s">
        <v>55</v>
      </c>
      <c r="B463" s="4" t="s">
        <v>36</v>
      </c>
      <c r="C463" s="4" t="s">
        <v>23</v>
      </c>
      <c r="D463" s="4" t="s">
        <v>47</v>
      </c>
      <c r="E463" s="4" t="s">
        <v>48</v>
      </c>
      <c r="F463" s="4" t="s">
        <v>25</v>
      </c>
      <c r="G463" s="4" t="s">
        <v>25</v>
      </c>
      <c r="H463" s="4" t="s">
        <v>25</v>
      </c>
      <c r="I463" s="5">
        <v>44743</v>
      </c>
      <c r="J463" s="6">
        <v>0</v>
      </c>
      <c r="K463" s="58">
        <v>0</v>
      </c>
      <c r="L463" s="6">
        <v>15.242000000000001</v>
      </c>
      <c r="M463" s="58">
        <v>15.242000000000001</v>
      </c>
      <c r="N463" s="6">
        <v>15.242000000000001</v>
      </c>
      <c r="O463" s="58">
        <v>15.242000000000001</v>
      </c>
      <c r="P463" s="6">
        <v>8</v>
      </c>
      <c r="Q463" s="4" t="s">
        <v>26</v>
      </c>
      <c r="R463" s="4">
        <v>0</v>
      </c>
      <c r="S463" s="6">
        <v>0</v>
      </c>
      <c r="T463" s="6">
        <v>65</v>
      </c>
      <c r="U463" s="6">
        <v>25</v>
      </c>
      <c r="V463" s="58">
        <f>IF(ISERROR(VLOOKUP($S$463,'TAR FIN'!$A$1:$O$88,15,0)),0,VLOOKUP($S$463,'TAR FIN'!$A$1:$O$88,15,0))</f>
        <v>0</v>
      </c>
      <c r="W463" s="58">
        <f>IF(ISERROR(VLOOKUP($T$463,'TAR FIN'!$A$1:$O$88,15,0)),0,VLOOKUP($T$463,'TAR FIN'!$A$1:$O$88,15,0))*(1-0.06)</f>
        <v>253.71540000000002</v>
      </c>
      <c r="X463" s="58">
        <f>IF(ISERROR(VLOOKUP($U$463,'TAR FIN'!$A$1:$O$88,15,0)),0,VLOOKUP($U$463,'TAR FIN'!$A$1:$O$88,15,0))*(1-0.06)</f>
        <v>271.56599999999997</v>
      </c>
      <c r="Y463" s="58"/>
      <c r="Z463" s="58">
        <f ca="1">('TUSD BE'!$AM$48+'TUSD BF'!$AM$48+'TUSD CVA'!$AM$48)*1*(1-0.03)</f>
        <v>339.89889150197632</v>
      </c>
      <c r="AA463" s="58">
        <f>('TE BE'!$AB$39+'TE BF'!$AB$39+'TE CVA'!$AB$39)*1*(1-0.03)</f>
        <v>201.40151459930209</v>
      </c>
      <c r="AB463" s="6">
        <f>$K$463*$V$463</f>
        <v>0</v>
      </c>
      <c r="AC463" s="6">
        <f>$M$463*$W$463</f>
        <v>3867.1301268000007</v>
      </c>
      <c r="AD463" s="6">
        <f>$O$463*$X$463</f>
        <v>4139.2089719999994</v>
      </c>
      <c r="AE463" s="6">
        <f>$K$463*$Y$463</f>
        <v>0</v>
      </c>
      <c r="AF463" s="6">
        <f ca="1">$M$463*$Z$463</f>
        <v>5180.7389042731238</v>
      </c>
      <c r="AG463" s="6">
        <f>$O$463*$AA$463</f>
        <v>3069.7618855225628</v>
      </c>
    </row>
    <row r="464" spans="1:33" ht="11.25" customHeight="1" x14ac:dyDescent="0.25">
      <c r="A464" s="4" t="s">
        <v>21</v>
      </c>
      <c r="B464" s="4" t="s">
        <v>44</v>
      </c>
      <c r="C464" s="4" t="s">
        <v>23</v>
      </c>
      <c r="D464" s="4" t="s">
        <v>45</v>
      </c>
      <c r="E464" s="4" t="s">
        <v>46</v>
      </c>
      <c r="F464" s="4" t="s">
        <v>25</v>
      </c>
      <c r="G464" s="4" t="s">
        <v>25</v>
      </c>
      <c r="H464" s="4" t="s">
        <v>25</v>
      </c>
      <c r="I464" s="5">
        <v>44409</v>
      </c>
      <c r="J464" s="6">
        <v>0</v>
      </c>
      <c r="K464" s="6">
        <v>0</v>
      </c>
      <c r="L464" s="6">
        <v>137.149</v>
      </c>
      <c r="M464" s="6">
        <v>137.149</v>
      </c>
      <c r="N464" s="6">
        <v>137.149</v>
      </c>
      <c r="O464" s="6">
        <v>137.149</v>
      </c>
      <c r="P464" s="6">
        <v>1</v>
      </c>
      <c r="Q464" s="4" t="s">
        <v>26</v>
      </c>
      <c r="R464" s="4">
        <v>0</v>
      </c>
      <c r="S464" s="6">
        <v>0</v>
      </c>
      <c r="T464" s="6">
        <v>68</v>
      </c>
      <c r="U464" s="6">
        <v>29</v>
      </c>
      <c r="V464" s="6">
        <f>IF(ISERROR(VLOOKUP($S$464,'TAR FIN'!$A$1:$O$88,15,0)),0,VLOOKUP($S$464,'TAR FIN'!$A$1:$O$88,15,0))</f>
        <v>0</v>
      </c>
      <c r="W464" s="6">
        <f>IF(ISERROR(VLOOKUP($T$464,'TAR FIN'!$A$1:$O$88,15,0)),0,VLOOKUP($T$464,'TAR FIN'!$A$1:$O$88,15,0))</f>
        <v>161.94999999999999</v>
      </c>
      <c r="X464" s="6">
        <f>IF(ISERROR(VLOOKUP($U$464,'TAR FIN'!$A$1:$O$88,15,0)),0,VLOOKUP($U$464,'TAR FIN'!$A$1:$O$88,15,0))</f>
        <v>173.34</v>
      </c>
      <c r="Y464" s="6"/>
      <c r="Z464" s="6">
        <f ca="1">('TUSD BE'!$AM$51+'TUSD BF'!$AM$51+'TUSD CVA'!$AM$51)*1</f>
        <v>210.24673701153174</v>
      </c>
      <c r="AA464" s="6">
        <f>('TE BE'!$AB$42+'TE BF'!$AB$42+'TE CVA'!$AB$42)*1</f>
        <v>124.57825645317655</v>
      </c>
      <c r="AB464" s="6">
        <f>$K$464*$V$464</f>
        <v>0</v>
      </c>
      <c r="AC464" s="6">
        <f>$M$464*$W$464</f>
        <v>22211.280549999999</v>
      </c>
      <c r="AD464" s="6">
        <f>$O$464*$X$464</f>
        <v>23773.407660000001</v>
      </c>
      <c r="AE464" s="6">
        <f>$K$464*$Y$464</f>
        <v>0</v>
      </c>
      <c r="AF464" s="6">
        <f ca="1">$M$464*$Z$464</f>
        <v>28835.129734394566</v>
      </c>
      <c r="AG464" s="6">
        <f>$O$464*$AA$464</f>
        <v>17085.783294296711</v>
      </c>
    </row>
    <row r="465" spans="1:33" ht="11.25" customHeight="1" x14ac:dyDescent="0.25">
      <c r="A465" s="4" t="s">
        <v>21</v>
      </c>
      <c r="B465" s="4" t="s">
        <v>44</v>
      </c>
      <c r="C465" s="4" t="s">
        <v>23</v>
      </c>
      <c r="D465" s="4" t="s">
        <v>45</v>
      </c>
      <c r="E465" s="4" t="s">
        <v>46</v>
      </c>
      <c r="F465" s="4" t="s">
        <v>25</v>
      </c>
      <c r="G465" s="4" t="s">
        <v>25</v>
      </c>
      <c r="H465" s="4" t="s">
        <v>25</v>
      </c>
      <c r="I465" s="5">
        <v>44440</v>
      </c>
      <c r="J465" s="6">
        <v>0</v>
      </c>
      <c r="K465" s="6">
        <v>0</v>
      </c>
      <c r="L465" s="6">
        <v>137.149</v>
      </c>
      <c r="M465" s="6">
        <v>137.149</v>
      </c>
      <c r="N465" s="6">
        <v>137.149</v>
      </c>
      <c r="O465" s="6">
        <v>137.149</v>
      </c>
      <c r="P465" s="6">
        <v>1</v>
      </c>
      <c r="Q465" s="4" t="s">
        <v>26</v>
      </c>
      <c r="R465" s="4">
        <v>0</v>
      </c>
      <c r="S465" s="6">
        <v>0</v>
      </c>
      <c r="T465" s="6">
        <v>68</v>
      </c>
      <c r="U465" s="6">
        <v>29</v>
      </c>
      <c r="V465" s="6">
        <f>IF(ISERROR(VLOOKUP($S$465,'TAR FIN'!$A$1:$O$88,15,0)),0,VLOOKUP($S$465,'TAR FIN'!$A$1:$O$88,15,0))</f>
        <v>0</v>
      </c>
      <c r="W465" s="6">
        <f>IF(ISERROR(VLOOKUP($T$465,'TAR FIN'!$A$1:$O$88,15,0)),0,VLOOKUP($T$465,'TAR FIN'!$A$1:$O$88,15,0))</f>
        <v>161.94999999999999</v>
      </c>
      <c r="X465" s="6">
        <f>IF(ISERROR(VLOOKUP($U$465,'TAR FIN'!$A$1:$O$88,15,0)),0,VLOOKUP($U$465,'TAR FIN'!$A$1:$O$88,15,0))</f>
        <v>173.34</v>
      </c>
      <c r="Y465" s="6"/>
      <c r="Z465" s="6">
        <f ca="1">('TUSD BE'!$AM$51+'TUSD BF'!$AM$51+'TUSD CVA'!$AM$51)*1</f>
        <v>210.24673701153174</v>
      </c>
      <c r="AA465" s="6">
        <f>('TE BE'!$AB$42+'TE BF'!$AB$42+'TE CVA'!$AB$42)*1</f>
        <v>124.57825645317655</v>
      </c>
      <c r="AB465" s="6">
        <f>$K$465*$V$465</f>
        <v>0</v>
      </c>
      <c r="AC465" s="6">
        <f>$M$465*$W$465</f>
        <v>22211.280549999999</v>
      </c>
      <c r="AD465" s="6">
        <f>$O$465*$X$465</f>
        <v>23773.407660000001</v>
      </c>
      <c r="AE465" s="6">
        <f>$K$465*$Y$465</f>
        <v>0</v>
      </c>
      <c r="AF465" s="6">
        <f ca="1">$M$465*$Z$465</f>
        <v>28835.129734394566</v>
      </c>
      <c r="AG465" s="6">
        <f>$O$465*$AA$465</f>
        <v>17085.783294296711</v>
      </c>
    </row>
    <row r="466" spans="1:33" ht="11.25" customHeight="1" x14ac:dyDescent="0.25">
      <c r="A466" s="4" t="s">
        <v>21</v>
      </c>
      <c r="B466" s="4" t="s">
        <v>44</v>
      </c>
      <c r="C466" s="4" t="s">
        <v>23</v>
      </c>
      <c r="D466" s="4" t="s">
        <v>45</v>
      </c>
      <c r="E466" s="4" t="s">
        <v>46</v>
      </c>
      <c r="F466" s="4" t="s">
        <v>25</v>
      </c>
      <c r="G466" s="4" t="s">
        <v>25</v>
      </c>
      <c r="H466" s="4" t="s">
        <v>25</v>
      </c>
      <c r="I466" s="5">
        <v>44470</v>
      </c>
      <c r="J466" s="6">
        <v>0</v>
      </c>
      <c r="K466" s="6">
        <v>0</v>
      </c>
      <c r="L466" s="6">
        <v>137.149</v>
      </c>
      <c r="M466" s="6">
        <v>137.149</v>
      </c>
      <c r="N466" s="6">
        <v>137.149</v>
      </c>
      <c r="O466" s="6">
        <v>137.149</v>
      </c>
      <c r="P466" s="6">
        <v>1</v>
      </c>
      <c r="Q466" s="4" t="s">
        <v>26</v>
      </c>
      <c r="R466" s="4">
        <v>0</v>
      </c>
      <c r="S466" s="6">
        <v>0</v>
      </c>
      <c r="T466" s="6">
        <v>68</v>
      </c>
      <c r="U466" s="6">
        <v>29</v>
      </c>
      <c r="V466" s="6">
        <f>IF(ISERROR(VLOOKUP($S$466,'TAR FIN'!$A$1:$O$88,15,0)),0,VLOOKUP($S$466,'TAR FIN'!$A$1:$O$88,15,0))</f>
        <v>0</v>
      </c>
      <c r="W466" s="6">
        <f>IF(ISERROR(VLOOKUP($T$466,'TAR FIN'!$A$1:$O$88,15,0)),0,VLOOKUP($T$466,'TAR FIN'!$A$1:$O$88,15,0))</f>
        <v>161.94999999999999</v>
      </c>
      <c r="X466" s="6">
        <f>IF(ISERROR(VLOOKUP($U$466,'TAR FIN'!$A$1:$O$88,15,0)),0,VLOOKUP($U$466,'TAR FIN'!$A$1:$O$88,15,0))</f>
        <v>173.34</v>
      </c>
      <c r="Y466" s="6"/>
      <c r="Z466" s="6">
        <f ca="1">('TUSD BE'!$AM$51+'TUSD BF'!$AM$51+'TUSD CVA'!$AM$51)*1</f>
        <v>210.24673701153174</v>
      </c>
      <c r="AA466" s="6">
        <f>('TE BE'!$AB$42+'TE BF'!$AB$42+'TE CVA'!$AB$42)*1</f>
        <v>124.57825645317655</v>
      </c>
      <c r="AB466" s="6">
        <f>$K$466*$V$466</f>
        <v>0</v>
      </c>
      <c r="AC466" s="6">
        <f>$M$466*$W$466</f>
        <v>22211.280549999999</v>
      </c>
      <c r="AD466" s="6">
        <f>$O$466*$X$466</f>
        <v>23773.407660000001</v>
      </c>
      <c r="AE466" s="6">
        <f>$K$466*$Y$466</f>
        <v>0</v>
      </c>
      <c r="AF466" s="6">
        <f ca="1">$M$466*$Z$466</f>
        <v>28835.129734394566</v>
      </c>
      <c r="AG466" s="6">
        <f>$O$466*$AA$466</f>
        <v>17085.783294296711</v>
      </c>
    </row>
    <row r="467" spans="1:33" ht="11.25" customHeight="1" x14ac:dyDescent="0.25">
      <c r="A467" s="4" t="s">
        <v>21</v>
      </c>
      <c r="B467" s="4" t="s">
        <v>44</v>
      </c>
      <c r="C467" s="4" t="s">
        <v>23</v>
      </c>
      <c r="D467" s="4" t="s">
        <v>45</v>
      </c>
      <c r="E467" s="4" t="s">
        <v>46</v>
      </c>
      <c r="F467" s="4" t="s">
        <v>25</v>
      </c>
      <c r="G467" s="4" t="s">
        <v>25</v>
      </c>
      <c r="H467" s="4" t="s">
        <v>25</v>
      </c>
      <c r="I467" s="5">
        <v>44501</v>
      </c>
      <c r="J467" s="6">
        <v>0</v>
      </c>
      <c r="K467" s="6">
        <v>0</v>
      </c>
      <c r="L467" s="6">
        <v>137.52600000000001</v>
      </c>
      <c r="M467" s="6">
        <v>137.52600000000001</v>
      </c>
      <c r="N467" s="6">
        <v>137.52600000000001</v>
      </c>
      <c r="O467" s="6">
        <v>137.52600000000001</v>
      </c>
      <c r="P467" s="6">
        <v>1</v>
      </c>
      <c r="Q467" s="4" t="s">
        <v>26</v>
      </c>
      <c r="R467" s="4">
        <v>0</v>
      </c>
      <c r="S467" s="6">
        <v>0</v>
      </c>
      <c r="T467" s="6">
        <v>68</v>
      </c>
      <c r="U467" s="6">
        <v>29</v>
      </c>
      <c r="V467" s="6">
        <f>IF(ISERROR(VLOOKUP($S$467,'TAR FIN'!$A$1:$O$88,15,0)),0,VLOOKUP($S$467,'TAR FIN'!$A$1:$O$88,15,0))</f>
        <v>0</v>
      </c>
      <c r="W467" s="6">
        <f>IF(ISERROR(VLOOKUP($T$467,'TAR FIN'!$A$1:$O$88,15,0)),0,VLOOKUP($T$467,'TAR FIN'!$A$1:$O$88,15,0))</f>
        <v>161.94999999999999</v>
      </c>
      <c r="X467" s="6">
        <f>IF(ISERROR(VLOOKUP($U$467,'TAR FIN'!$A$1:$O$88,15,0)),0,VLOOKUP($U$467,'TAR FIN'!$A$1:$O$88,15,0))</f>
        <v>173.34</v>
      </c>
      <c r="Y467" s="6"/>
      <c r="Z467" s="6">
        <f ca="1">('TUSD BE'!$AM$51+'TUSD BF'!$AM$51+'TUSD CVA'!$AM$51)*1</f>
        <v>210.24673701153174</v>
      </c>
      <c r="AA467" s="6">
        <f>('TE BE'!$AB$42+'TE BF'!$AB$42+'TE CVA'!$AB$42)*1</f>
        <v>124.57825645317655</v>
      </c>
      <c r="AB467" s="6">
        <f>$K$467*$V$467</f>
        <v>0</v>
      </c>
      <c r="AC467" s="6">
        <f>$M$467*$W$467</f>
        <v>22272.3357</v>
      </c>
      <c r="AD467" s="6">
        <f>$O$467*$X$467</f>
        <v>23838.756840000002</v>
      </c>
      <c r="AE467" s="6">
        <f>$K$467*$Y$467</f>
        <v>0</v>
      </c>
      <c r="AF467" s="6">
        <f ca="1">$M$467*$Z$467</f>
        <v>28914.392754247914</v>
      </c>
      <c r="AG467" s="6">
        <f>$O$467*$AA$467</f>
        <v>17132.74929697956</v>
      </c>
    </row>
    <row r="468" spans="1:33" ht="11.25" customHeight="1" x14ac:dyDescent="0.25">
      <c r="A468" s="4" t="s">
        <v>21</v>
      </c>
      <c r="B468" s="4" t="s">
        <v>44</v>
      </c>
      <c r="C468" s="4" t="s">
        <v>23</v>
      </c>
      <c r="D468" s="4" t="s">
        <v>45</v>
      </c>
      <c r="E468" s="4" t="s">
        <v>46</v>
      </c>
      <c r="F468" s="4" t="s">
        <v>25</v>
      </c>
      <c r="G468" s="4" t="s">
        <v>25</v>
      </c>
      <c r="H468" s="4" t="s">
        <v>25</v>
      </c>
      <c r="I468" s="5">
        <v>44531</v>
      </c>
      <c r="J468" s="6">
        <v>0</v>
      </c>
      <c r="K468" s="6">
        <v>0</v>
      </c>
      <c r="L468" s="6">
        <v>137.52600000000001</v>
      </c>
      <c r="M468" s="6">
        <v>137.52600000000001</v>
      </c>
      <c r="N468" s="6">
        <v>137.52600000000001</v>
      </c>
      <c r="O468" s="6">
        <v>137.52600000000001</v>
      </c>
      <c r="P468" s="6">
        <v>1</v>
      </c>
      <c r="Q468" s="4" t="s">
        <v>26</v>
      </c>
      <c r="R468" s="4">
        <v>0</v>
      </c>
      <c r="S468" s="6">
        <v>0</v>
      </c>
      <c r="T468" s="6">
        <v>68</v>
      </c>
      <c r="U468" s="6">
        <v>29</v>
      </c>
      <c r="V468" s="6">
        <f>IF(ISERROR(VLOOKUP($S$468,'TAR FIN'!$A$1:$O$88,15,0)),0,VLOOKUP($S$468,'TAR FIN'!$A$1:$O$88,15,0))</f>
        <v>0</v>
      </c>
      <c r="W468" s="6">
        <f>IF(ISERROR(VLOOKUP($T$468,'TAR FIN'!$A$1:$O$88,15,0)),0,VLOOKUP($T$468,'TAR FIN'!$A$1:$O$88,15,0))</f>
        <v>161.94999999999999</v>
      </c>
      <c r="X468" s="6">
        <f>IF(ISERROR(VLOOKUP($U$468,'TAR FIN'!$A$1:$O$88,15,0)),0,VLOOKUP($U$468,'TAR FIN'!$A$1:$O$88,15,0))</f>
        <v>173.34</v>
      </c>
      <c r="Y468" s="6"/>
      <c r="Z468" s="6">
        <f ca="1">('TUSD BE'!$AM$51+'TUSD BF'!$AM$51+'TUSD CVA'!$AM$51)*1</f>
        <v>210.24673701153174</v>
      </c>
      <c r="AA468" s="6">
        <f>('TE BE'!$AB$42+'TE BF'!$AB$42+'TE CVA'!$AB$42)*1</f>
        <v>124.57825645317655</v>
      </c>
      <c r="AB468" s="6">
        <f>$K$468*$V$468</f>
        <v>0</v>
      </c>
      <c r="AC468" s="6">
        <f>$M$468*$W$468</f>
        <v>22272.3357</v>
      </c>
      <c r="AD468" s="6">
        <f>$O$468*$X$468</f>
        <v>23838.756840000002</v>
      </c>
      <c r="AE468" s="6">
        <f>$K$468*$Y$468</f>
        <v>0</v>
      </c>
      <c r="AF468" s="6">
        <f ca="1">$M$468*$Z$468</f>
        <v>28914.392754247914</v>
      </c>
      <c r="AG468" s="6">
        <f>$O$468*$AA$468</f>
        <v>17132.74929697956</v>
      </c>
    </row>
    <row r="469" spans="1:33" ht="11.25" customHeight="1" x14ac:dyDescent="0.25">
      <c r="A469" s="4" t="s">
        <v>21</v>
      </c>
      <c r="B469" s="4" t="s">
        <v>44</v>
      </c>
      <c r="C469" s="4" t="s">
        <v>23</v>
      </c>
      <c r="D469" s="4" t="s">
        <v>45</v>
      </c>
      <c r="E469" s="4" t="s">
        <v>46</v>
      </c>
      <c r="F469" s="4" t="s">
        <v>25</v>
      </c>
      <c r="G469" s="4" t="s">
        <v>25</v>
      </c>
      <c r="H469" s="4" t="s">
        <v>25</v>
      </c>
      <c r="I469" s="5">
        <v>44562</v>
      </c>
      <c r="J469" s="6">
        <v>0</v>
      </c>
      <c r="K469" s="6">
        <v>0</v>
      </c>
      <c r="L469" s="6">
        <v>138.613</v>
      </c>
      <c r="M469" s="6">
        <v>138.613</v>
      </c>
      <c r="N469" s="6">
        <v>138.613</v>
      </c>
      <c r="O469" s="6">
        <v>138.613</v>
      </c>
      <c r="P469" s="6">
        <v>1</v>
      </c>
      <c r="Q469" s="4" t="s">
        <v>26</v>
      </c>
      <c r="R469" s="4">
        <v>0</v>
      </c>
      <c r="S469" s="6">
        <v>0</v>
      </c>
      <c r="T469" s="6">
        <v>68</v>
      </c>
      <c r="U469" s="6">
        <v>29</v>
      </c>
      <c r="V469" s="6">
        <f>IF(ISERROR(VLOOKUP($S$469,'TAR FIN'!$A$1:$O$88,15,0)),0,VLOOKUP($S$469,'TAR FIN'!$A$1:$O$88,15,0))</f>
        <v>0</v>
      </c>
      <c r="W469" s="6">
        <f>IF(ISERROR(VLOOKUP($T$469,'TAR FIN'!$A$1:$O$88,15,0)),0,VLOOKUP($T$469,'TAR FIN'!$A$1:$O$88,15,0))</f>
        <v>161.94999999999999</v>
      </c>
      <c r="X469" s="6">
        <f>IF(ISERROR(VLOOKUP($U$469,'TAR FIN'!$A$1:$O$88,15,0)),0,VLOOKUP($U$469,'TAR FIN'!$A$1:$O$88,15,0))</f>
        <v>173.34</v>
      </c>
      <c r="Y469" s="6"/>
      <c r="Z469" s="6">
        <f ca="1">('TUSD BE'!$AM$51+'TUSD BF'!$AM$51+'TUSD CVA'!$AM$51)*1</f>
        <v>210.24673701153174</v>
      </c>
      <c r="AA469" s="6">
        <f>('TE BE'!$AB$42+'TE BF'!$AB$42+'TE CVA'!$AB$42)*1</f>
        <v>124.57825645317655</v>
      </c>
      <c r="AB469" s="6">
        <f>$K$469*$V$469</f>
        <v>0</v>
      </c>
      <c r="AC469" s="6">
        <f>$M$469*$W$469</f>
        <v>22448.375349999998</v>
      </c>
      <c r="AD469" s="6">
        <f>$O$469*$X$469</f>
        <v>24027.17742</v>
      </c>
      <c r="AE469" s="6">
        <f>$K$469*$Y$469</f>
        <v>0</v>
      </c>
      <c r="AF469" s="6">
        <f ca="1">$M$469*$Z$469</f>
        <v>29142.930957379449</v>
      </c>
      <c r="AG469" s="6">
        <f>$O$469*$AA$469</f>
        <v>17268.165861744161</v>
      </c>
    </row>
    <row r="470" spans="1:33" ht="11.25" customHeight="1" x14ac:dyDescent="0.25">
      <c r="A470" s="4" t="s">
        <v>21</v>
      </c>
      <c r="B470" s="4" t="s">
        <v>44</v>
      </c>
      <c r="C470" s="4" t="s">
        <v>23</v>
      </c>
      <c r="D470" s="4" t="s">
        <v>45</v>
      </c>
      <c r="E470" s="4" t="s">
        <v>46</v>
      </c>
      <c r="F470" s="4" t="s">
        <v>25</v>
      </c>
      <c r="G470" s="4" t="s">
        <v>25</v>
      </c>
      <c r="H470" s="4" t="s">
        <v>25</v>
      </c>
      <c r="I470" s="5">
        <v>44593</v>
      </c>
      <c r="J470" s="6">
        <v>0</v>
      </c>
      <c r="K470" s="6">
        <v>0</v>
      </c>
      <c r="L470" s="6">
        <v>138.547</v>
      </c>
      <c r="M470" s="6">
        <v>138.547</v>
      </c>
      <c r="N470" s="6">
        <v>138.547</v>
      </c>
      <c r="O470" s="6">
        <v>138.547</v>
      </c>
      <c r="P470" s="6">
        <v>1</v>
      </c>
      <c r="Q470" s="4" t="s">
        <v>26</v>
      </c>
      <c r="R470" s="4">
        <v>0</v>
      </c>
      <c r="S470" s="6">
        <v>0</v>
      </c>
      <c r="T470" s="6">
        <v>68</v>
      </c>
      <c r="U470" s="6">
        <v>29</v>
      </c>
      <c r="V470" s="6">
        <f>IF(ISERROR(VLOOKUP($S$470,'TAR FIN'!$A$1:$O$88,15,0)),0,VLOOKUP($S$470,'TAR FIN'!$A$1:$O$88,15,0))</f>
        <v>0</v>
      </c>
      <c r="W470" s="6">
        <f>IF(ISERROR(VLOOKUP($T$470,'TAR FIN'!$A$1:$O$88,15,0)),0,VLOOKUP($T$470,'TAR FIN'!$A$1:$O$88,15,0))</f>
        <v>161.94999999999999</v>
      </c>
      <c r="X470" s="6">
        <f>IF(ISERROR(VLOOKUP($U$470,'TAR FIN'!$A$1:$O$88,15,0)),0,VLOOKUP($U$470,'TAR FIN'!$A$1:$O$88,15,0))</f>
        <v>173.34</v>
      </c>
      <c r="Y470" s="6"/>
      <c r="Z470" s="6">
        <f ca="1">('TUSD BE'!$AM$51+'TUSD BF'!$AM$51+'TUSD CVA'!$AM$51)*1</f>
        <v>210.24673701153174</v>
      </c>
      <c r="AA470" s="6">
        <f>('TE BE'!$AB$42+'TE BF'!$AB$42+'TE CVA'!$AB$42)*1</f>
        <v>124.57825645317655</v>
      </c>
      <c r="AB470" s="6">
        <f>$K$470*$V$470</f>
        <v>0</v>
      </c>
      <c r="AC470" s="6">
        <f>$M$470*$W$470</f>
        <v>22437.68665</v>
      </c>
      <c r="AD470" s="6">
        <f>$O$470*$X$470</f>
        <v>24015.736980000001</v>
      </c>
      <c r="AE470" s="6">
        <f>$K$470*$Y$470</f>
        <v>0</v>
      </c>
      <c r="AF470" s="6">
        <f ca="1">$M$470*$Z$470</f>
        <v>29129.054672736685</v>
      </c>
      <c r="AG470" s="6">
        <f>$O$470*$AA$470</f>
        <v>17259.943696818253</v>
      </c>
    </row>
    <row r="471" spans="1:33" ht="11.25" customHeight="1" x14ac:dyDescent="0.25">
      <c r="A471" s="4" t="s">
        <v>21</v>
      </c>
      <c r="B471" s="4" t="s">
        <v>44</v>
      </c>
      <c r="C471" s="4" t="s">
        <v>23</v>
      </c>
      <c r="D471" s="4" t="s">
        <v>45</v>
      </c>
      <c r="E471" s="4" t="s">
        <v>46</v>
      </c>
      <c r="F471" s="4" t="s">
        <v>25</v>
      </c>
      <c r="G471" s="4" t="s">
        <v>25</v>
      </c>
      <c r="H471" s="4" t="s">
        <v>25</v>
      </c>
      <c r="I471" s="5">
        <v>44621</v>
      </c>
      <c r="J471" s="6">
        <v>0</v>
      </c>
      <c r="K471" s="6">
        <v>0</v>
      </c>
      <c r="L471" s="6">
        <v>138.04</v>
      </c>
      <c r="M471" s="6">
        <v>138.04</v>
      </c>
      <c r="N471" s="6">
        <v>138.04</v>
      </c>
      <c r="O471" s="6">
        <v>138.04</v>
      </c>
      <c r="P471" s="6">
        <v>1</v>
      </c>
      <c r="Q471" s="4" t="s">
        <v>26</v>
      </c>
      <c r="R471" s="4">
        <v>0</v>
      </c>
      <c r="S471" s="6">
        <v>0</v>
      </c>
      <c r="T471" s="6">
        <v>68</v>
      </c>
      <c r="U471" s="6">
        <v>29</v>
      </c>
      <c r="V471" s="6">
        <f>IF(ISERROR(VLOOKUP($S$471,'TAR FIN'!$A$1:$O$88,15,0)),0,VLOOKUP($S$471,'TAR FIN'!$A$1:$O$88,15,0))</f>
        <v>0</v>
      </c>
      <c r="W471" s="6">
        <f>IF(ISERROR(VLOOKUP($T$471,'TAR FIN'!$A$1:$O$88,15,0)),0,VLOOKUP($T$471,'TAR FIN'!$A$1:$O$88,15,0))</f>
        <v>161.94999999999999</v>
      </c>
      <c r="X471" s="6">
        <f>IF(ISERROR(VLOOKUP($U$471,'TAR FIN'!$A$1:$O$88,15,0)),0,VLOOKUP($U$471,'TAR FIN'!$A$1:$O$88,15,0))</f>
        <v>173.34</v>
      </c>
      <c r="Y471" s="6"/>
      <c r="Z471" s="6">
        <f ca="1">('TUSD BE'!$AM$51+'TUSD BF'!$AM$51+'TUSD CVA'!$AM$51)*1</f>
        <v>210.24673701153174</v>
      </c>
      <c r="AA471" s="6">
        <f>('TE BE'!$AB$42+'TE BF'!$AB$42+'TE CVA'!$AB$42)*1</f>
        <v>124.57825645317655</v>
      </c>
      <c r="AB471" s="6">
        <f>$K$471*$V$471</f>
        <v>0</v>
      </c>
      <c r="AC471" s="6">
        <f>$M$471*$W$471</f>
        <v>22355.577999999998</v>
      </c>
      <c r="AD471" s="6">
        <f>$O$471*$X$471</f>
        <v>23927.853599999999</v>
      </c>
      <c r="AE471" s="6">
        <f>$K$471*$Y$471</f>
        <v>0</v>
      </c>
      <c r="AF471" s="6">
        <f ca="1">$M$471*$Z$471</f>
        <v>29022.459577071841</v>
      </c>
      <c r="AG471" s="6">
        <f>$O$471*$AA$471</f>
        <v>17196.782520796489</v>
      </c>
    </row>
    <row r="472" spans="1:33" ht="11.25" customHeight="1" x14ac:dyDescent="0.25">
      <c r="A472" s="4" t="s">
        <v>21</v>
      </c>
      <c r="B472" s="4" t="s">
        <v>44</v>
      </c>
      <c r="C472" s="4" t="s">
        <v>23</v>
      </c>
      <c r="D472" s="4" t="s">
        <v>45</v>
      </c>
      <c r="E472" s="4" t="s">
        <v>46</v>
      </c>
      <c r="F472" s="4" t="s">
        <v>25</v>
      </c>
      <c r="G472" s="4" t="s">
        <v>25</v>
      </c>
      <c r="H472" s="4" t="s">
        <v>25</v>
      </c>
      <c r="I472" s="5">
        <v>44652</v>
      </c>
      <c r="J472" s="6">
        <v>0</v>
      </c>
      <c r="K472" s="6">
        <v>0</v>
      </c>
      <c r="L472" s="6">
        <v>138.06899999999999</v>
      </c>
      <c r="M472" s="6">
        <v>138.06899999999999</v>
      </c>
      <c r="N472" s="6">
        <v>138.06899999999999</v>
      </c>
      <c r="O472" s="6">
        <v>138.06899999999999</v>
      </c>
      <c r="P472" s="6">
        <v>1</v>
      </c>
      <c r="Q472" s="4" t="s">
        <v>26</v>
      </c>
      <c r="R472" s="4">
        <v>0</v>
      </c>
      <c r="S472" s="6">
        <v>0</v>
      </c>
      <c r="T472" s="6">
        <v>68</v>
      </c>
      <c r="U472" s="6">
        <v>29</v>
      </c>
      <c r="V472" s="6">
        <f>IF(ISERROR(VLOOKUP($S$472,'TAR FIN'!$A$1:$O$88,15,0)),0,VLOOKUP($S$472,'TAR FIN'!$A$1:$O$88,15,0))</f>
        <v>0</v>
      </c>
      <c r="W472" s="6">
        <f>IF(ISERROR(VLOOKUP($T$472,'TAR FIN'!$A$1:$O$88,15,0)),0,VLOOKUP($T$472,'TAR FIN'!$A$1:$O$88,15,0))</f>
        <v>161.94999999999999</v>
      </c>
      <c r="X472" s="6">
        <f>IF(ISERROR(VLOOKUP($U$472,'TAR FIN'!$A$1:$O$88,15,0)),0,VLOOKUP($U$472,'TAR FIN'!$A$1:$O$88,15,0))</f>
        <v>173.34</v>
      </c>
      <c r="Y472" s="6"/>
      <c r="Z472" s="6">
        <f ca="1">('TUSD BE'!$AM$51+'TUSD BF'!$AM$51+'TUSD CVA'!$AM$51)*1</f>
        <v>210.24673701153174</v>
      </c>
      <c r="AA472" s="6">
        <f>('TE BE'!$AB$42+'TE BF'!$AB$42+'TE CVA'!$AB$42)*1</f>
        <v>124.57825645317655</v>
      </c>
      <c r="AB472" s="6">
        <f>$K$472*$V$472</f>
        <v>0</v>
      </c>
      <c r="AC472" s="6">
        <f>$M$472*$W$472</f>
        <v>22360.274549999998</v>
      </c>
      <c r="AD472" s="6">
        <f>$O$472*$X$472</f>
        <v>23932.880459999997</v>
      </c>
      <c r="AE472" s="6">
        <f>$K$472*$Y$472</f>
        <v>0</v>
      </c>
      <c r="AF472" s="6">
        <f ca="1">$M$472*$Z$472</f>
        <v>29028.556732445173</v>
      </c>
      <c r="AG472" s="6">
        <f>$O$472*$AA$472</f>
        <v>17200.395290233631</v>
      </c>
    </row>
    <row r="473" spans="1:33" ht="11.25" customHeight="1" x14ac:dyDescent="0.25">
      <c r="A473" s="4" t="s">
        <v>21</v>
      </c>
      <c r="B473" s="4" t="s">
        <v>44</v>
      </c>
      <c r="C473" s="4" t="s">
        <v>23</v>
      </c>
      <c r="D473" s="4" t="s">
        <v>45</v>
      </c>
      <c r="E473" s="4" t="s">
        <v>46</v>
      </c>
      <c r="F473" s="4" t="s">
        <v>25</v>
      </c>
      <c r="G473" s="4" t="s">
        <v>25</v>
      </c>
      <c r="H473" s="4" t="s">
        <v>25</v>
      </c>
      <c r="I473" s="5">
        <v>44682</v>
      </c>
      <c r="J473" s="6">
        <v>0</v>
      </c>
      <c r="K473" s="6">
        <v>0</v>
      </c>
      <c r="L473" s="6">
        <v>138.06899999999999</v>
      </c>
      <c r="M473" s="6">
        <v>138.06899999999999</v>
      </c>
      <c r="N473" s="6">
        <v>138.06899999999999</v>
      </c>
      <c r="O473" s="6">
        <v>138.06899999999999</v>
      </c>
      <c r="P473" s="6">
        <v>1</v>
      </c>
      <c r="Q473" s="4" t="s">
        <v>26</v>
      </c>
      <c r="R473" s="4">
        <v>0</v>
      </c>
      <c r="S473" s="6">
        <v>0</v>
      </c>
      <c r="T473" s="6">
        <v>68</v>
      </c>
      <c r="U473" s="6">
        <v>29</v>
      </c>
      <c r="V473" s="6">
        <f>IF(ISERROR(VLOOKUP($S$473,'TAR FIN'!$A$1:$O$88,15,0)),0,VLOOKUP($S$473,'TAR FIN'!$A$1:$O$88,15,0))</f>
        <v>0</v>
      </c>
      <c r="W473" s="6">
        <f>IF(ISERROR(VLOOKUP($T$473,'TAR FIN'!$A$1:$O$88,15,0)),0,VLOOKUP($T$473,'TAR FIN'!$A$1:$O$88,15,0))</f>
        <v>161.94999999999999</v>
      </c>
      <c r="X473" s="6">
        <f>IF(ISERROR(VLOOKUP($U$473,'TAR FIN'!$A$1:$O$88,15,0)),0,VLOOKUP($U$473,'TAR FIN'!$A$1:$O$88,15,0))</f>
        <v>173.34</v>
      </c>
      <c r="Y473" s="6"/>
      <c r="Z473" s="6">
        <f ca="1">('TUSD BE'!$AM$51+'TUSD BF'!$AM$51+'TUSD CVA'!$AM$51)*1</f>
        <v>210.24673701153174</v>
      </c>
      <c r="AA473" s="6">
        <f>('TE BE'!$AB$42+'TE BF'!$AB$42+'TE CVA'!$AB$42)*1</f>
        <v>124.57825645317655</v>
      </c>
      <c r="AB473" s="6">
        <f>$K$473*$V$473</f>
        <v>0</v>
      </c>
      <c r="AC473" s="6">
        <f>$M$473*$W$473</f>
        <v>22360.274549999998</v>
      </c>
      <c r="AD473" s="6">
        <f>$O$473*$X$473</f>
        <v>23932.880459999997</v>
      </c>
      <c r="AE473" s="6">
        <f>$K$473*$Y$473</f>
        <v>0</v>
      </c>
      <c r="AF473" s="6">
        <f ca="1">$M$473*$Z$473</f>
        <v>29028.556732445173</v>
      </c>
      <c r="AG473" s="6">
        <f>$O$473*$AA$473</f>
        <v>17200.395290233631</v>
      </c>
    </row>
    <row r="474" spans="1:33" ht="11.25" customHeight="1" x14ac:dyDescent="0.25">
      <c r="A474" s="4" t="s">
        <v>21</v>
      </c>
      <c r="B474" s="4" t="s">
        <v>44</v>
      </c>
      <c r="C474" s="4" t="s">
        <v>23</v>
      </c>
      <c r="D474" s="4" t="s">
        <v>45</v>
      </c>
      <c r="E474" s="4" t="s">
        <v>46</v>
      </c>
      <c r="F474" s="4" t="s">
        <v>25</v>
      </c>
      <c r="G474" s="4" t="s">
        <v>25</v>
      </c>
      <c r="H474" s="4" t="s">
        <v>25</v>
      </c>
      <c r="I474" s="5">
        <v>44713</v>
      </c>
      <c r="J474" s="6">
        <v>0</v>
      </c>
      <c r="K474" s="6">
        <v>0</v>
      </c>
      <c r="L474" s="6">
        <v>139.01400000000001</v>
      </c>
      <c r="M474" s="6">
        <v>139.01400000000001</v>
      </c>
      <c r="N474" s="6">
        <v>139.01400000000001</v>
      </c>
      <c r="O474" s="6">
        <v>139.01400000000001</v>
      </c>
      <c r="P474" s="6">
        <v>1</v>
      </c>
      <c r="Q474" s="4" t="s">
        <v>26</v>
      </c>
      <c r="R474" s="4">
        <v>0</v>
      </c>
      <c r="S474" s="6">
        <v>0</v>
      </c>
      <c r="T474" s="6">
        <v>68</v>
      </c>
      <c r="U474" s="6">
        <v>29</v>
      </c>
      <c r="V474" s="6">
        <f>IF(ISERROR(VLOOKUP($S$474,'TAR FIN'!$A$1:$O$88,15,0)),0,VLOOKUP($S$474,'TAR FIN'!$A$1:$O$88,15,0))</f>
        <v>0</v>
      </c>
      <c r="W474" s="6">
        <f>IF(ISERROR(VLOOKUP($T$474,'TAR FIN'!$A$1:$O$88,15,0)),0,VLOOKUP($T$474,'TAR FIN'!$A$1:$O$88,15,0))</f>
        <v>161.94999999999999</v>
      </c>
      <c r="X474" s="6">
        <f>IF(ISERROR(VLOOKUP($U$474,'TAR FIN'!$A$1:$O$88,15,0)),0,VLOOKUP($U$474,'TAR FIN'!$A$1:$O$88,15,0))</f>
        <v>173.34</v>
      </c>
      <c r="Y474" s="6"/>
      <c r="Z474" s="6">
        <f ca="1">('TUSD BE'!$AM$51+'TUSD BF'!$AM$51+'TUSD CVA'!$AM$51)*1</f>
        <v>210.24673701153174</v>
      </c>
      <c r="AA474" s="6">
        <f>('TE BE'!$AB$42+'TE BF'!$AB$42+'TE CVA'!$AB$42)*1</f>
        <v>124.57825645317655</v>
      </c>
      <c r="AB474" s="6">
        <f>$K$474*$V$474</f>
        <v>0</v>
      </c>
      <c r="AC474" s="6">
        <f>$M$474*$W$474</f>
        <v>22513.317299999999</v>
      </c>
      <c r="AD474" s="6">
        <f>$O$474*$X$474</f>
        <v>24096.686760000001</v>
      </c>
      <c r="AE474" s="6">
        <f>$K$474*$Y$474</f>
        <v>0</v>
      </c>
      <c r="AF474" s="6">
        <f ca="1">$M$474*$Z$474</f>
        <v>29227.239898921074</v>
      </c>
      <c r="AG474" s="6">
        <f>$O$474*$AA$474</f>
        <v>17318.121742581887</v>
      </c>
    </row>
    <row r="475" spans="1:33" ht="11.25" customHeight="1" x14ac:dyDescent="0.25">
      <c r="A475" s="4" t="s">
        <v>55</v>
      </c>
      <c r="B475" s="4" t="s">
        <v>44</v>
      </c>
      <c r="C475" s="4" t="s">
        <v>23</v>
      </c>
      <c r="D475" s="4" t="s">
        <v>45</v>
      </c>
      <c r="E475" s="4" t="s">
        <v>46</v>
      </c>
      <c r="F475" s="4" t="s">
        <v>25</v>
      </c>
      <c r="G475" s="4" t="s">
        <v>25</v>
      </c>
      <c r="H475" s="4" t="s">
        <v>25</v>
      </c>
      <c r="I475" s="5">
        <v>44743</v>
      </c>
      <c r="J475" s="6">
        <v>0</v>
      </c>
      <c r="K475" s="6">
        <v>0</v>
      </c>
      <c r="L475" s="6">
        <v>139.01400000000001</v>
      </c>
      <c r="M475" s="6">
        <v>139.01400000000001</v>
      </c>
      <c r="N475" s="6">
        <v>139.01400000000001</v>
      </c>
      <c r="O475" s="6">
        <v>139.01400000000001</v>
      </c>
      <c r="P475" s="6">
        <v>1</v>
      </c>
      <c r="Q475" s="4" t="s">
        <v>26</v>
      </c>
      <c r="R475" s="4">
        <v>0</v>
      </c>
      <c r="S475" s="6">
        <v>0</v>
      </c>
      <c r="T475" s="6">
        <v>68</v>
      </c>
      <c r="U475" s="6">
        <v>29</v>
      </c>
      <c r="V475" s="6">
        <f>IF(ISERROR(VLOOKUP($S$475,'TAR FIN'!$A$1:$O$88,15,0)),0,VLOOKUP($S$475,'TAR FIN'!$A$1:$O$88,15,0))</f>
        <v>0</v>
      </c>
      <c r="W475" s="6">
        <f>IF(ISERROR(VLOOKUP($T$475,'TAR FIN'!$A$1:$O$88,15,0)),0,VLOOKUP($T$475,'TAR FIN'!$A$1:$O$88,15,0))</f>
        <v>161.94999999999999</v>
      </c>
      <c r="X475" s="6">
        <f>IF(ISERROR(VLOOKUP($U$475,'TAR FIN'!$A$1:$O$88,15,0)),0,VLOOKUP($U$475,'TAR FIN'!$A$1:$O$88,15,0))</f>
        <v>173.34</v>
      </c>
      <c r="Y475" s="6"/>
      <c r="Z475" s="6">
        <f ca="1">('TUSD BE'!$AM$51+'TUSD BF'!$AM$51+'TUSD CVA'!$AM$51)*1</f>
        <v>210.24673701153174</v>
      </c>
      <c r="AA475" s="6">
        <f>('TE BE'!$AB$42+'TE BF'!$AB$42+'TE CVA'!$AB$42)*1</f>
        <v>124.57825645317655</v>
      </c>
      <c r="AB475" s="6">
        <f>$K$475*$V$475</f>
        <v>0</v>
      </c>
      <c r="AC475" s="6">
        <f>$M$475*$W$475</f>
        <v>22513.317299999999</v>
      </c>
      <c r="AD475" s="6">
        <f>$O$475*$X$475</f>
        <v>24096.686760000001</v>
      </c>
      <c r="AE475" s="6">
        <f>$K$475*$Y$475</f>
        <v>0</v>
      </c>
      <c r="AF475" s="6">
        <f ca="1">$M$475*$Z$475</f>
        <v>29227.239898921074</v>
      </c>
      <c r="AG475" s="6">
        <f>$O$475*$AA$475</f>
        <v>17318.121742581887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D650E-AB55-4394-B011-60166B2E0C1D}">
  <dimension ref="A1:AJ476"/>
  <sheetViews>
    <sheetView showGridLines="0" workbookViewId="0">
      <selection sqref="A1:AF186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682</v>
      </c>
      <c r="W1" s="1" t="s">
        <v>683</v>
      </c>
      <c r="X1" s="1" t="s">
        <v>684</v>
      </c>
      <c r="Y1" s="1" t="s">
        <v>685</v>
      </c>
      <c r="Z1" s="1" t="s">
        <v>686</v>
      </c>
      <c r="AA1" s="1" t="s">
        <v>687</v>
      </c>
      <c r="AB1" s="1" t="s">
        <v>729</v>
      </c>
      <c r="AC1" s="1" t="s">
        <v>730</v>
      </c>
      <c r="AD1" s="1" t="s">
        <v>731</v>
      </c>
      <c r="AE1" s="1" t="s">
        <v>732</v>
      </c>
      <c r="AF1" s="1" t="s">
        <v>733</v>
      </c>
      <c r="AH1" s="40" t="s">
        <v>733</v>
      </c>
      <c r="AI1" s="40" t="s">
        <v>739</v>
      </c>
      <c r="AJ1" s="40" t="s">
        <v>740</v>
      </c>
    </row>
    <row r="2" spans="1:36" ht="11.25" customHeight="1" x14ac:dyDescent="0.25">
      <c r="A2" s="4" t="s">
        <v>21</v>
      </c>
      <c r="B2" s="4" t="s">
        <v>38</v>
      </c>
      <c r="C2" s="4" t="s">
        <v>56</v>
      </c>
      <c r="D2" s="4" t="s">
        <v>37</v>
      </c>
      <c r="E2" s="4" t="s">
        <v>25</v>
      </c>
      <c r="F2" s="4" t="s">
        <v>57</v>
      </c>
      <c r="G2" s="4" t="s">
        <v>25</v>
      </c>
      <c r="H2" s="4" t="s">
        <v>34</v>
      </c>
      <c r="I2" s="5">
        <v>44409</v>
      </c>
      <c r="J2" s="6">
        <v>7152</v>
      </c>
      <c r="K2" s="6">
        <v>3576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58</v>
      </c>
      <c r="R2" s="4">
        <v>0</v>
      </c>
      <c r="S2" s="4">
        <v>5</v>
      </c>
      <c r="T2" s="4">
        <v>0</v>
      </c>
      <c r="U2" s="4">
        <v>0</v>
      </c>
      <c r="V2" s="6">
        <f>IF(ISERROR(VLOOKUP($S$2,'TAR FIN'!$A$1:$O$88,15,0)),0,VLOOKUP($S$2,'TAR FIN'!$A$1:$O$88,15,0))</f>
        <v>17.190000000000001</v>
      </c>
      <c r="W2" s="6">
        <f>IF(ISERROR(VLOOKUP($T$2,'TAR FIN'!$A$1:$O$88,15,0)),0,VLOOKUP($T$2,'TAR FIN'!$A$1:$O$88,15,0))</f>
        <v>0</v>
      </c>
      <c r="X2" s="6">
        <f>IF(ISERROR(VLOOKUP($U$2,'TAR FIN'!$A$1:$O$88,15,0)),0,VLOOKUP($U$2,'TAR FIN'!$A$1:$O$88,15,0))</f>
        <v>0</v>
      </c>
      <c r="Y2" s="6">
        <f ca="1">('TUSD BE'!$AM$6+'TUSD BF'!$AM$6+'TUSD CVA'!$AM$6)*1</f>
        <v>13.66046481326768</v>
      </c>
      <c r="Z2" s="6">
        <f ca="1">('TUSD BE'!$AM$7+'TUSD BF'!$AM$7+'TUSD CVA'!$AM$7)*1</f>
        <v>83.275517807559041</v>
      </c>
      <c r="AA2" s="6"/>
      <c r="AB2" s="6">
        <f t="shared" ref="AB2:AB33" si="0">(J2-K2)*V2</f>
        <v>61471.44</v>
      </c>
      <c r="AC2" s="6">
        <f t="shared" ref="AC2:AC33" si="1">(L2-M2)*W2+(N2-O2)*X2</f>
        <v>0</v>
      </c>
      <c r="AD2" s="6">
        <f t="shared" ref="AD2:AD33" ca="1" si="2">(J2-K2)*Y2</f>
        <v>48849.822172245222</v>
      </c>
      <c r="AE2" s="6">
        <f t="shared" ref="AE2:AE33" ca="1" si="3">(L2-M2)*Z2+(N2-O2)*AA2</f>
        <v>0</v>
      </c>
      <c r="AF2" s="4" t="s">
        <v>734</v>
      </c>
      <c r="AH2" s="41" t="s">
        <v>734</v>
      </c>
      <c r="AI2" s="42">
        <f t="shared" ref="AI2:AI9" si="4">SUMIF($AF$2:$AF$476,AH2,$AB$2:$AB$476)+SUMIF($AF$2:$AF$476,AH2,$AC$2:$AC$476)</f>
        <v>3248059.4667800004</v>
      </c>
      <c r="AJ2" s="42">
        <f t="shared" ref="AJ2:AJ8" ca="1" si="5">SUMIF($AF$2:$AF$476,AH2,$AD$2:$AD$476)+SUMIF($AF$2:$AF$476,AH2,$AE$2:$AE$476)</f>
        <v>3080980.6845790762</v>
      </c>
    </row>
    <row r="3" spans="1:36" ht="11.25" customHeight="1" x14ac:dyDescent="0.25">
      <c r="A3" s="4" t="s">
        <v>21</v>
      </c>
      <c r="B3" s="4" t="s">
        <v>38</v>
      </c>
      <c r="C3" s="4" t="s">
        <v>56</v>
      </c>
      <c r="D3" s="4" t="s">
        <v>37</v>
      </c>
      <c r="E3" s="4" t="s">
        <v>25</v>
      </c>
      <c r="F3" s="4" t="s">
        <v>57</v>
      </c>
      <c r="G3" s="4" t="s">
        <v>25</v>
      </c>
      <c r="H3" s="4" t="s">
        <v>34</v>
      </c>
      <c r="I3" s="5">
        <v>44440</v>
      </c>
      <c r="J3" s="6">
        <v>7212</v>
      </c>
      <c r="K3" s="6">
        <v>3606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58</v>
      </c>
      <c r="R3" s="4">
        <v>0</v>
      </c>
      <c r="S3" s="4">
        <v>5</v>
      </c>
      <c r="T3" s="4">
        <v>0</v>
      </c>
      <c r="U3" s="4">
        <v>0</v>
      </c>
      <c r="V3" s="6">
        <f>IF(ISERROR(VLOOKUP($S$3,'TAR FIN'!$A$1:$O$88,15,0)),0,VLOOKUP($S$3,'TAR FIN'!$A$1:$O$88,15,0))</f>
        <v>17.190000000000001</v>
      </c>
      <c r="W3" s="6">
        <f>IF(ISERROR(VLOOKUP($T$3,'TAR FIN'!$A$1:$O$88,15,0)),0,VLOOKUP($T$3,'TAR FIN'!$A$1:$O$88,15,0))</f>
        <v>0</v>
      </c>
      <c r="X3" s="6">
        <f>IF(ISERROR(VLOOKUP($U$3,'TAR FIN'!$A$1:$O$88,15,0)),0,VLOOKUP($U$3,'TAR FIN'!$A$1:$O$88,15,0))</f>
        <v>0</v>
      </c>
      <c r="Y3" s="6">
        <f ca="1">('TUSD BE'!$AM$6+'TUSD BF'!$AM$6+'TUSD CVA'!$AM$6)*1</f>
        <v>13.66046481326768</v>
      </c>
      <c r="Z3" s="6">
        <f ca="1">('TUSD BE'!$AM$7+'TUSD BF'!$AM$7+'TUSD CVA'!$AM$7)*1</f>
        <v>83.275517807559041</v>
      </c>
      <c r="AA3" s="6"/>
      <c r="AB3" s="6">
        <f t="shared" si="0"/>
        <v>61987.140000000007</v>
      </c>
      <c r="AC3" s="6">
        <f t="shared" si="1"/>
        <v>0</v>
      </c>
      <c r="AD3" s="6">
        <f t="shared" ca="1" si="2"/>
        <v>49259.636116643254</v>
      </c>
      <c r="AE3" s="6">
        <f t="shared" ca="1" si="3"/>
        <v>0</v>
      </c>
      <c r="AF3" s="4" t="s">
        <v>734</v>
      </c>
      <c r="AH3" s="41" t="s">
        <v>741</v>
      </c>
      <c r="AI3" s="42">
        <f t="shared" si="4"/>
        <v>0</v>
      </c>
      <c r="AJ3" s="42">
        <f t="shared" si="5"/>
        <v>0</v>
      </c>
    </row>
    <row r="4" spans="1:36" ht="11.25" customHeight="1" x14ac:dyDescent="0.25">
      <c r="A4" s="4" t="s">
        <v>21</v>
      </c>
      <c r="B4" s="4" t="s">
        <v>38</v>
      </c>
      <c r="C4" s="4" t="s">
        <v>56</v>
      </c>
      <c r="D4" s="4" t="s">
        <v>37</v>
      </c>
      <c r="E4" s="4" t="s">
        <v>25</v>
      </c>
      <c r="F4" s="4" t="s">
        <v>57</v>
      </c>
      <c r="G4" s="4" t="s">
        <v>25</v>
      </c>
      <c r="H4" s="4" t="s">
        <v>34</v>
      </c>
      <c r="I4" s="5">
        <v>44470</v>
      </c>
      <c r="J4" s="6">
        <v>7403</v>
      </c>
      <c r="K4" s="6">
        <v>3701.5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58</v>
      </c>
      <c r="R4" s="4">
        <v>0</v>
      </c>
      <c r="S4" s="4">
        <v>5</v>
      </c>
      <c r="T4" s="4">
        <v>0</v>
      </c>
      <c r="U4" s="4">
        <v>0</v>
      </c>
      <c r="V4" s="6">
        <f>IF(ISERROR(VLOOKUP($S$4,'TAR FIN'!$A$1:$O$88,15,0)),0,VLOOKUP($S$4,'TAR FIN'!$A$1:$O$88,15,0))</f>
        <v>17.190000000000001</v>
      </c>
      <c r="W4" s="6">
        <f>IF(ISERROR(VLOOKUP($T$4,'TAR FIN'!$A$1:$O$88,15,0)),0,VLOOKUP($T$4,'TAR FIN'!$A$1:$O$88,15,0))</f>
        <v>0</v>
      </c>
      <c r="X4" s="6">
        <f>IF(ISERROR(VLOOKUP($U$4,'TAR FIN'!$A$1:$O$88,15,0)),0,VLOOKUP($U$4,'TAR FIN'!$A$1:$O$88,15,0))</f>
        <v>0</v>
      </c>
      <c r="Y4" s="6">
        <f ca="1">('TUSD BE'!$AM$6+'TUSD BF'!$AM$6+'TUSD CVA'!$AM$6)*1</f>
        <v>13.66046481326768</v>
      </c>
      <c r="Z4" s="6">
        <f ca="1">('TUSD BE'!$AM$7+'TUSD BF'!$AM$7+'TUSD CVA'!$AM$7)*1</f>
        <v>83.275517807559041</v>
      </c>
      <c r="AA4" s="6"/>
      <c r="AB4" s="6">
        <f t="shared" si="0"/>
        <v>63628.785000000003</v>
      </c>
      <c r="AC4" s="6">
        <f t="shared" si="1"/>
        <v>0</v>
      </c>
      <c r="AD4" s="6">
        <f t="shared" ca="1" si="2"/>
        <v>50564.210506310315</v>
      </c>
      <c r="AE4" s="6">
        <f t="shared" ca="1" si="3"/>
        <v>0</v>
      </c>
      <c r="AF4" s="4" t="s">
        <v>734</v>
      </c>
      <c r="AH4" s="41" t="s">
        <v>742</v>
      </c>
      <c r="AI4" s="42">
        <f t="shared" si="4"/>
        <v>0</v>
      </c>
      <c r="AJ4" s="42">
        <f t="shared" si="5"/>
        <v>0</v>
      </c>
    </row>
    <row r="5" spans="1:36" ht="11.25" customHeight="1" x14ac:dyDescent="0.25">
      <c r="A5" s="4" t="s">
        <v>21</v>
      </c>
      <c r="B5" s="4" t="s">
        <v>38</v>
      </c>
      <c r="C5" s="4" t="s">
        <v>56</v>
      </c>
      <c r="D5" s="4" t="s">
        <v>37</v>
      </c>
      <c r="E5" s="4" t="s">
        <v>25</v>
      </c>
      <c r="F5" s="4" t="s">
        <v>57</v>
      </c>
      <c r="G5" s="4" t="s">
        <v>25</v>
      </c>
      <c r="H5" s="4" t="s">
        <v>34</v>
      </c>
      <c r="I5" s="5">
        <v>44501</v>
      </c>
      <c r="J5" s="6">
        <v>7236</v>
      </c>
      <c r="K5" s="6">
        <v>3618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58</v>
      </c>
      <c r="R5" s="4">
        <v>0</v>
      </c>
      <c r="S5" s="4">
        <v>5</v>
      </c>
      <c r="T5" s="4">
        <v>0</v>
      </c>
      <c r="U5" s="4">
        <v>0</v>
      </c>
      <c r="V5" s="6">
        <f>IF(ISERROR(VLOOKUP($S$5,'TAR FIN'!$A$1:$O$88,15,0)),0,VLOOKUP($S$5,'TAR FIN'!$A$1:$O$88,15,0))</f>
        <v>17.190000000000001</v>
      </c>
      <c r="W5" s="6">
        <f>IF(ISERROR(VLOOKUP($T$5,'TAR FIN'!$A$1:$O$88,15,0)),0,VLOOKUP($T$5,'TAR FIN'!$A$1:$O$88,15,0))</f>
        <v>0</v>
      </c>
      <c r="X5" s="6">
        <f>IF(ISERROR(VLOOKUP($U$5,'TAR FIN'!$A$1:$O$88,15,0)),0,VLOOKUP($U$5,'TAR FIN'!$A$1:$O$88,15,0))</f>
        <v>0</v>
      </c>
      <c r="Y5" s="6">
        <f ca="1">('TUSD BE'!$AM$6+'TUSD BF'!$AM$6+'TUSD CVA'!$AM$6)*1</f>
        <v>13.66046481326768</v>
      </c>
      <c r="Z5" s="6">
        <f ca="1">('TUSD BE'!$AM$7+'TUSD BF'!$AM$7+'TUSD CVA'!$AM$7)*1</f>
        <v>83.275517807559041</v>
      </c>
      <c r="AA5" s="6"/>
      <c r="AB5" s="6">
        <f t="shared" si="0"/>
        <v>62193.420000000006</v>
      </c>
      <c r="AC5" s="6">
        <f t="shared" si="1"/>
        <v>0</v>
      </c>
      <c r="AD5" s="6">
        <f t="shared" ca="1" si="2"/>
        <v>49423.561694402466</v>
      </c>
      <c r="AE5" s="6">
        <f t="shared" ca="1" si="3"/>
        <v>0</v>
      </c>
      <c r="AF5" s="4" t="s">
        <v>734</v>
      </c>
      <c r="AH5" s="41" t="s">
        <v>735</v>
      </c>
      <c r="AI5" s="42">
        <f t="shared" si="4"/>
        <v>38174.074351200012</v>
      </c>
      <c r="AJ5" s="42">
        <f t="shared" ca="1" si="5"/>
        <v>16319.406828817057</v>
      </c>
    </row>
    <row r="6" spans="1:36" ht="11.25" customHeight="1" x14ac:dyDescent="0.25">
      <c r="A6" s="4" t="s">
        <v>21</v>
      </c>
      <c r="B6" s="4" t="s">
        <v>38</v>
      </c>
      <c r="C6" s="4" t="s">
        <v>56</v>
      </c>
      <c r="D6" s="4" t="s">
        <v>37</v>
      </c>
      <c r="E6" s="4" t="s">
        <v>25</v>
      </c>
      <c r="F6" s="4" t="s">
        <v>57</v>
      </c>
      <c r="G6" s="4" t="s">
        <v>25</v>
      </c>
      <c r="H6" s="4" t="s">
        <v>34</v>
      </c>
      <c r="I6" s="5">
        <v>44531</v>
      </c>
      <c r="J6" s="6">
        <v>7075</v>
      </c>
      <c r="K6" s="6">
        <v>3537.5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58</v>
      </c>
      <c r="R6" s="4">
        <v>0</v>
      </c>
      <c r="S6" s="4">
        <v>5</v>
      </c>
      <c r="T6" s="4">
        <v>0</v>
      </c>
      <c r="U6" s="4">
        <v>0</v>
      </c>
      <c r="V6" s="6">
        <f>IF(ISERROR(VLOOKUP($S$6,'TAR FIN'!$A$1:$O$88,15,0)),0,VLOOKUP($S$6,'TAR FIN'!$A$1:$O$88,15,0))</f>
        <v>17.190000000000001</v>
      </c>
      <c r="W6" s="6">
        <f>IF(ISERROR(VLOOKUP($T$6,'TAR FIN'!$A$1:$O$88,15,0)),0,VLOOKUP($T$6,'TAR FIN'!$A$1:$O$88,15,0))</f>
        <v>0</v>
      </c>
      <c r="X6" s="6">
        <f>IF(ISERROR(VLOOKUP($U$6,'TAR FIN'!$A$1:$O$88,15,0)),0,VLOOKUP($U$6,'TAR FIN'!$A$1:$O$88,15,0))</f>
        <v>0</v>
      </c>
      <c r="Y6" s="6">
        <f ca="1">('TUSD BE'!$AM$6+'TUSD BF'!$AM$6+'TUSD CVA'!$AM$6)*1</f>
        <v>13.66046481326768</v>
      </c>
      <c r="Z6" s="6">
        <f ca="1">('TUSD BE'!$AM$7+'TUSD BF'!$AM$7+'TUSD CVA'!$AM$7)*1</f>
        <v>83.275517807559041</v>
      </c>
      <c r="AA6" s="6"/>
      <c r="AB6" s="6">
        <f t="shared" si="0"/>
        <v>60809.625000000007</v>
      </c>
      <c r="AC6" s="6">
        <f t="shared" si="1"/>
        <v>0</v>
      </c>
      <c r="AD6" s="6">
        <f t="shared" ca="1" si="2"/>
        <v>48323.894276934421</v>
      </c>
      <c r="AE6" s="6">
        <f t="shared" ca="1" si="3"/>
        <v>0</v>
      </c>
      <c r="AF6" s="4" t="s">
        <v>734</v>
      </c>
      <c r="AH6" s="41" t="s">
        <v>737</v>
      </c>
      <c r="AI6" s="42">
        <f t="shared" si="4"/>
        <v>222903.68463999996</v>
      </c>
      <c r="AJ6" s="42">
        <f t="shared" ca="1" si="5"/>
        <v>111293.95280770562</v>
      </c>
    </row>
    <row r="7" spans="1:36" ht="11.25" customHeight="1" x14ac:dyDescent="0.25">
      <c r="A7" s="4" t="s">
        <v>21</v>
      </c>
      <c r="B7" s="4" t="s">
        <v>38</v>
      </c>
      <c r="C7" s="4" t="s">
        <v>56</v>
      </c>
      <c r="D7" s="4" t="s">
        <v>37</v>
      </c>
      <c r="E7" s="4" t="s">
        <v>25</v>
      </c>
      <c r="F7" s="4" t="s">
        <v>57</v>
      </c>
      <c r="G7" s="4" t="s">
        <v>25</v>
      </c>
      <c r="H7" s="4" t="s">
        <v>34</v>
      </c>
      <c r="I7" s="5">
        <v>44562</v>
      </c>
      <c r="J7" s="6">
        <v>7194</v>
      </c>
      <c r="K7" s="6">
        <v>3597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58</v>
      </c>
      <c r="R7" s="4">
        <v>0</v>
      </c>
      <c r="S7" s="4">
        <v>5</v>
      </c>
      <c r="T7" s="4">
        <v>0</v>
      </c>
      <c r="U7" s="4">
        <v>0</v>
      </c>
      <c r="V7" s="6">
        <f>IF(ISERROR(VLOOKUP($S$7,'TAR FIN'!$A$1:$O$88,15,0)),0,VLOOKUP($S$7,'TAR FIN'!$A$1:$O$88,15,0))</f>
        <v>17.190000000000001</v>
      </c>
      <c r="W7" s="6">
        <f>IF(ISERROR(VLOOKUP($T$7,'TAR FIN'!$A$1:$O$88,15,0)),0,VLOOKUP($T$7,'TAR FIN'!$A$1:$O$88,15,0))</f>
        <v>0</v>
      </c>
      <c r="X7" s="6">
        <f>IF(ISERROR(VLOOKUP($U$7,'TAR FIN'!$A$1:$O$88,15,0)),0,VLOOKUP($U$7,'TAR FIN'!$A$1:$O$88,15,0))</f>
        <v>0</v>
      </c>
      <c r="Y7" s="6">
        <f ca="1">('TUSD BE'!$AM$6+'TUSD BF'!$AM$6+'TUSD CVA'!$AM$6)*1</f>
        <v>13.66046481326768</v>
      </c>
      <c r="Z7" s="6">
        <f ca="1">('TUSD BE'!$AM$7+'TUSD BF'!$AM$7+'TUSD CVA'!$AM$7)*1</f>
        <v>83.275517807559041</v>
      </c>
      <c r="AA7" s="6"/>
      <c r="AB7" s="6">
        <f t="shared" si="0"/>
        <v>61832.430000000008</v>
      </c>
      <c r="AC7" s="6">
        <f t="shared" si="1"/>
        <v>0</v>
      </c>
      <c r="AD7" s="6">
        <f t="shared" ca="1" si="2"/>
        <v>49136.691933323847</v>
      </c>
      <c r="AE7" s="6">
        <f t="shared" ca="1" si="3"/>
        <v>0</v>
      </c>
      <c r="AF7" s="4" t="s">
        <v>734</v>
      </c>
      <c r="AH7" s="41" t="s">
        <v>738</v>
      </c>
      <c r="AI7" s="42">
        <f t="shared" si="4"/>
        <v>4292.0898299999999</v>
      </c>
      <c r="AJ7" s="42">
        <f t="shared" ca="1" si="5"/>
        <v>4127.4278734386753</v>
      </c>
    </row>
    <row r="8" spans="1:36" ht="11.25" customHeight="1" x14ac:dyDescent="0.25">
      <c r="A8" s="4" t="s">
        <v>21</v>
      </c>
      <c r="B8" s="4" t="s">
        <v>38</v>
      </c>
      <c r="C8" s="4" t="s">
        <v>56</v>
      </c>
      <c r="D8" s="4" t="s">
        <v>37</v>
      </c>
      <c r="E8" s="4" t="s">
        <v>25</v>
      </c>
      <c r="F8" s="4" t="s">
        <v>57</v>
      </c>
      <c r="G8" s="4" t="s">
        <v>25</v>
      </c>
      <c r="H8" s="4" t="s">
        <v>34</v>
      </c>
      <c r="I8" s="5">
        <v>44593</v>
      </c>
      <c r="J8" s="6">
        <v>7408</v>
      </c>
      <c r="K8" s="6">
        <v>3704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58</v>
      </c>
      <c r="R8" s="4">
        <v>0</v>
      </c>
      <c r="S8" s="4">
        <v>5</v>
      </c>
      <c r="T8" s="4">
        <v>0</v>
      </c>
      <c r="U8" s="4">
        <v>0</v>
      </c>
      <c r="V8" s="6">
        <f>IF(ISERROR(VLOOKUP($S$8,'TAR FIN'!$A$1:$O$88,15,0)),0,VLOOKUP($S$8,'TAR FIN'!$A$1:$O$88,15,0))</f>
        <v>17.190000000000001</v>
      </c>
      <c r="W8" s="6">
        <f>IF(ISERROR(VLOOKUP($T$8,'TAR FIN'!$A$1:$O$88,15,0)),0,VLOOKUP($T$8,'TAR FIN'!$A$1:$O$88,15,0))</f>
        <v>0</v>
      </c>
      <c r="X8" s="6">
        <f>IF(ISERROR(VLOOKUP($U$8,'TAR FIN'!$A$1:$O$88,15,0)),0,VLOOKUP($U$8,'TAR FIN'!$A$1:$O$88,15,0))</f>
        <v>0</v>
      </c>
      <c r="Y8" s="6">
        <f ca="1">('TUSD BE'!$AM$6+'TUSD BF'!$AM$6+'TUSD CVA'!$AM$6)*1</f>
        <v>13.66046481326768</v>
      </c>
      <c r="Z8" s="6">
        <f ca="1">('TUSD BE'!$AM$7+'TUSD BF'!$AM$7+'TUSD CVA'!$AM$7)*1</f>
        <v>83.275517807559041</v>
      </c>
      <c r="AA8" s="6"/>
      <c r="AB8" s="6">
        <f t="shared" si="0"/>
        <v>63671.76</v>
      </c>
      <c r="AC8" s="6">
        <f t="shared" si="1"/>
        <v>0</v>
      </c>
      <c r="AD8" s="6">
        <f t="shared" ca="1" si="2"/>
        <v>50598.361668343488</v>
      </c>
      <c r="AE8" s="6">
        <f t="shared" ca="1" si="3"/>
        <v>0</v>
      </c>
      <c r="AF8" s="4" t="s">
        <v>734</v>
      </c>
      <c r="AH8" s="41" t="s">
        <v>736</v>
      </c>
      <c r="AI8" s="42">
        <f t="shared" si="4"/>
        <v>145532.04222999996</v>
      </c>
      <c r="AJ8" s="42">
        <f t="shared" ca="1" si="5"/>
        <v>140008.06642672734</v>
      </c>
    </row>
    <row r="9" spans="1:36" ht="11.25" customHeight="1" x14ac:dyDescent="0.25">
      <c r="A9" s="4" t="s">
        <v>21</v>
      </c>
      <c r="B9" s="4" t="s">
        <v>38</v>
      </c>
      <c r="C9" s="4" t="s">
        <v>56</v>
      </c>
      <c r="D9" s="4" t="s">
        <v>37</v>
      </c>
      <c r="E9" s="4" t="s">
        <v>25</v>
      </c>
      <c r="F9" s="4" t="s">
        <v>57</v>
      </c>
      <c r="G9" s="4" t="s">
        <v>25</v>
      </c>
      <c r="H9" s="4" t="s">
        <v>34</v>
      </c>
      <c r="I9" s="5">
        <v>44621</v>
      </c>
      <c r="J9" s="6">
        <v>7588</v>
      </c>
      <c r="K9" s="6">
        <v>3794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58</v>
      </c>
      <c r="R9" s="4">
        <v>0</v>
      </c>
      <c r="S9" s="4">
        <v>5</v>
      </c>
      <c r="T9" s="4">
        <v>0</v>
      </c>
      <c r="U9" s="4">
        <v>0</v>
      </c>
      <c r="V9" s="6">
        <f>IF(ISERROR(VLOOKUP($S$9,'TAR FIN'!$A$1:$O$88,15,0)),0,VLOOKUP($S$9,'TAR FIN'!$A$1:$O$88,15,0))</f>
        <v>17.190000000000001</v>
      </c>
      <c r="W9" s="6">
        <f>IF(ISERROR(VLOOKUP($T$9,'TAR FIN'!$A$1:$O$88,15,0)),0,VLOOKUP($T$9,'TAR FIN'!$A$1:$O$88,15,0))</f>
        <v>0</v>
      </c>
      <c r="X9" s="6">
        <f>IF(ISERROR(VLOOKUP($U$9,'TAR FIN'!$A$1:$O$88,15,0)),0,VLOOKUP($U$9,'TAR FIN'!$A$1:$O$88,15,0))</f>
        <v>0</v>
      </c>
      <c r="Y9" s="6">
        <f ca="1">('TUSD BE'!$AM$6+'TUSD BF'!$AM$6+'TUSD CVA'!$AM$6)*1</f>
        <v>13.66046481326768</v>
      </c>
      <c r="Z9" s="6">
        <f ca="1">('TUSD BE'!$AM$7+'TUSD BF'!$AM$7+'TUSD CVA'!$AM$7)*1</f>
        <v>83.275517807559041</v>
      </c>
      <c r="AA9" s="6"/>
      <c r="AB9" s="6">
        <f t="shared" si="0"/>
        <v>65218.860000000008</v>
      </c>
      <c r="AC9" s="6">
        <f t="shared" si="1"/>
        <v>0</v>
      </c>
      <c r="AD9" s="6">
        <f t="shared" ca="1" si="2"/>
        <v>51827.803501537579</v>
      </c>
      <c r="AE9" s="6">
        <f t="shared" ca="1" si="3"/>
        <v>0</v>
      </c>
      <c r="AF9" s="4" t="s">
        <v>734</v>
      </c>
      <c r="AH9" s="41" t="s">
        <v>913</v>
      </c>
      <c r="AI9" s="42">
        <f t="shared" si="4"/>
        <v>0</v>
      </c>
      <c r="AJ9" s="42">
        <f ca="1">EFEITO!$AU$9 - EFEITO_350!$AU$9</f>
        <v>0</v>
      </c>
    </row>
    <row r="10" spans="1:36" ht="11.25" customHeight="1" x14ac:dyDescent="0.25">
      <c r="A10" s="4" t="s">
        <v>21</v>
      </c>
      <c r="B10" s="4" t="s">
        <v>38</v>
      </c>
      <c r="C10" s="4" t="s">
        <v>56</v>
      </c>
      <c r="D10" s="4" t="s">
        <v>37</v>
      </c>
      <c r="E10" s="4" t="s">
        <v>25</v>
      </c>
      <c r="F10" s="4" t="s">
        <v>57</v>
      </c>
      <c r="G10" s="4" t="s">
        <v>25</v>
      </c>
      <c r="H10" s="4" t="s">
        <v>34</v>
      </c>
      <c r="I10" s="5">
        <v>44652</v>
      </c>
      <c r="J10" s="6">
        <v>7439</v>
      </c>
      <c r="K10" s="6">
        <v>3719.5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58</v>
      </c>
      <c r="R10" s="4">
        <v>0</v>
      </c>
      <c r="S10" s="4">
        <v>5</v>
      </c>
      <c r="T10" s="4">
        <v>0</v>
      </c>
      <c r="U10" s="4">
        <v>0</v>
      </c>
      <c r="V10" s="6">
        <f>IF(ISERROR(VLOOKUP($S$10,'TAR FIN'!$A$1:$O$88,15,0)),0,VLOOKUP($S$10,'TAR FIN'!$A$1:$O$88,15,0))</f>
        <v>17.190000000000001</v>
      </c>
      <c r="W10" s="6">
        <f>IF(ISERROR(VLOOKUP($T$10,'TAR FIN'!$A$1:$O$88,15,0)),0,VLOOKUP($T$10,'TAR FIN'!$A$1:$O$88,15,0))</f>
        <v>0</v>
      </c>
      <c r="X10" s="6">
        <f>IF(ISERROR(VLOOKUP($U$10,'TAR FIN'!$A$1:$O$88,15,0)),0,VLOOKUP($U$10,'TAR FIN'!$A$1:$O$88,15,0))</f>
        <v>0</v>
      </c>
      <c r="Y10" s="6">
        <f ca="1">('TUSD BE'!$AM$6+'TUSD BF'!$AM$6+'TUSD CVA'!$AM$6)*1</f>
        <v>13.66046481326768</v>
      </c>
      <c r="Z10" s="6">
        <f ca="1">('TUSD BE'!$AM$7+'TUSD BF'!$AM$7+'TUSD CVA'!$AM$7)*1</f>
        <v>83.275517807559041</v>
      </c>
      <c r="AA10" s="6"/>
      <c r="AB10" s="6">
        <f t="shared" si="0"/>
        <v>63938.205000000002</v>
      </c>
      <c r="AC10" s="6">
        <f t="shared" si="1"/>
        <v>0</v>
      </c>
      <c r="AD10" s="6">
        <f t="shared" ca="1" si="2"/>
        <v>50810.098872949136</v>
      </c>
      <c r="AE10" s="6">
        <f t="shared" ca="1" si="3"/>
        <v>0</v>
      </c>
      <c r="AF10" s="4" t="s">
        <v>734</v>
      </c>
    </row>
    <row r="11" spans="1:36" ht="11.25" customHeight="1" x14ac:dyDescent="0.25">
      <c r="A11" s="4" t="s">
        <v>21</v>
      </c>
      <c r="B11" s="4" t="s">
        <v>38</v>
      </c>
      <c r="C11" s="4" t="s">
        <v>56</v>
      </c>
      <c r="D11" s="4" t="s">
        <v>37</v>
      </c>
      <c r="E11" s="4" t="s">
        <v>25</v>
      </c>
      <c r="F11" s="4" t="s">
        <v>57</v>
      </c>
      <c r="G11" s="4" t="s">
        <v>25</v>
      </c>
      <c r="H11" s="4" t="s">
        <v>34</v>
      </c>
      <c r="I11" s="5">
        <v>44682</v>
      </c>
      <c r="J11" s="6">
        <v>7134</v>
      </c>
      <c r="K11" s="6">
        <v>3567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58</v>
      </c>
      <c r="R11" s="4">
        <v>0</v>
      </c>
      <c r="S11" s="4">
        <v>5</v>
      </c>
      <c r="T11" s="4">
        <v>0</v>
      </c>
      <c r="U11" s="4">
        <v>0</v>
      </c>
      <c r="V11" s="6">
        <f>IF(ISERROR(VLOOKUP($S$11,'TAR FIN'!$A$1:$O$88,15,0)),0,VLOOKUP($S$11,'TAR FIN'!$A$1:$O$88,15,0))</f>
        <v>17.190000000000001</v>
      </c>
      <c r="W11" s="6">
        <f>IF(ISERROR(VLOOKUP($T$11,'TAR FIN'!$A$1:$O$88,15,0)),0,VLOOKUP($T$11,'TAR FIN'!$A$1:$O$88,15,0))</f>
        <v>0</v>
      </c>
      <c r="X11" s="6">
        <f>IF(ISERROR(VLOOKUP($U$11,'TAR FIN'!$A$1:$O$88,15,0)),0,VLOOKUP($U$11,'TAR FIN'!$A$1:$O$88,15,0))</f>
        <v>0</v>
      </c>
      <c r="Y11" s="6">
        <f ca="1">('TUSD BE'!$AM$6+'TUSD BF'!$AM$6+'TUSD CVA'!$AM$6)*1</f>
        <v>13.66046481326768</v>
      </c>
      <c r="Z11" s="6">
        <f ca="1">('TUSD BE'!$AM$7+'TUSD BF'!$AM$7+'TUSD CVA'!$AM$7)*1</f>
        <v>83.275517807559041</v>
      </c>
      <c r="AA11" s="6"/>
      <c r="AB11" s="6">
        <f t="shared" si="0"/>
        <v>61316.73</v>
      </c>
      <c r="AC11" s="6">
        <f t="shared" si="1"/>
        <v>0</v>
      </c>
      <c r="AD11" s="6">
        <f t="shared" ca="1" si="2"/>
        <v>48726.877988925815</v>
      </c>
      <c r="AE11" s="6">
        <f t="shared" ca="1" si="3"/>
        <v>0</v>
      </c>
      <c r="AF11" s="4" t="s">
        <v>734</v>
      </c>
    </row>
    <row r="12" spans="1:36" ht="11.25" customHeight="1" x14ac:dyDescent="0.25">
      <c r="A12" s="4" t="s">
        <v>21</v>
      </c>
      <c r="B12" s="4" t="s">
        <v>38</v>
      </c>
      <c r="C12" s="4" t="s">
        <v>56</v>
      </c>
      <c r="D12" s="4" t="s">
        <v>37</v>
      </c>
      <c r="E12" s="4" t="s">
        <v>25</v>
      </c>
      <c r="F12" s="4" t="s">
        <v>57</v>
      </c>
      <c r="G12" s="4" t="s">
        <v>25</v>
      </c>
      <c r="H12" s="4" t="s">
        <v>34</v>
      </c>
      <c r="I12" s="5">
        <v>44713</v>
      </c>
      <c r="J12" s="6">
        <v>7229</v>
      </c>
      <c r="K12" s="6">
        <v>3614.5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58</v>
      </c>
      <c r="R12" s="4">
        <v>0</v>
      </c>
      <c r="S12" s="4">
        <v>5</v>
      </c>
      <c r="T12" s="4">
        <v>0</v>
      </c>
      <c r="U12" s="4">
        <v>0</v>
      </c>
      <c r="V12" s="6">
        <f>IF(ISERROR(VLOOKUP($S$12,'TAR FIN'!$A$1:$O$88,15,0)),0,VLOOKUP($S$12,'TAR FIN'!$A$1:$O$88,15,0))</f>
        <v>17.190000000000001</v>
      </c>
      <c r="W12" s="6">
        <f>IF(ISERROR(VLOOKUP($T$12,'TAR FIN'!$A$1:$O$88,15,0)),0,VLOOKUP($T$12,'TAR FIN'!$A$1:$O$88,15,0))</f>
        <v>0</v>
      </c>
      <c r="X12" s="6">
        <f>IF(ISERROR(VLOOKUP($U$12,'TAR FIN'!$A$1:$O$88,15,0)),0,VLOOKUP($U$12,'TAR FIN'!$A$1:$O$88,15,0))</f>
        <v>0</v>
      </c>
      <c r="Y12" s="6">
        <f ca="1">('TUSD BE'!$AM$6+'TUSD BF'!$AM$6+'TUSD CVA'!$AM$6)*1</f>
        <v>13.66046481326768</v>
      </c>
      <c r="Z12" s="6">
        <f ca="1">('TUSD BE'!$AM$7+'TUSD BF'!$AM$7+'TUSD CVA'!$AM$7)*1</f>
        <v>83.275517807559041</v>
      </c>
      <c r="AA12" s="6"/>
      <c r="AB12" s="6">
        <f t="shared" si="0"/>
        <v>62133.255000000005</v>
      </c>
      <c r="AC12" s="6">
        <f t="shared" si="1"/>
        <v>0</v>
      </c>
      <c r="AD12" s="6">
        <f t="shared" ca="1" si="2"/>
        <v>49375.75006755603</v>
      </c>
      <c r="AE12" s="6">
        <f t="shared" ca="1" si="3"/>
        <v>0</v>
      </c>
      <c r="AF12" s="4" t="s">
        <v>734</v>
      </c>
    </row>
    <row r="13" spans="1:36" ht="11.25" customHeight="1" x14ac:dyDescent="0.25">
      <c r="A13" s="4" t="s">
        <v>55</v>
      </c>
      <c r="B13" s="4" t="s">
        <v>38</v>
      </c>
      <c r="C13" s="4" t="s">
        <v>56</v>
      </c>
      <c r="D13" s="4" t="s">
        <v>37</v>
      </c>
      <c r="E13" s="4" t="s">
        <v>25</v>
      </c>
      <c r="F13" s="4" t="s">
        <v>57</v>
      </c>
      <c r="G13" s="4" t="s">
        <v>25</v>
      </c>
      <c r="H13" s="4" t="s">
        <v>34</v>
      </c>
      <c r="I13" s="5">
        <v>44743</v>
      </c>
      <c r="J13" s="6">
        <v>7229</v>
      </c>
      <c r="K13" s="6">
        <v>3614.5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58</v>
      </c>
      <c r="R13" s="4">
        <v>0</v>
      </c>
      <c r="S13" s="4">
        <v>5</v>
      </c>
      <c r="T13" s="4">
        <v>0</v>
      </c>
      <c r="U13" s="4">
        <v>0</v>
      </c>
      <c r="V13" s="6">
        <f>IF(ISERROR(VLOOKUP($S$13,'TAR FIN'!$A$1:$O$88,15,0)),0,VLOOKUP($S$13,'TAR FIN'!$A$1:$O$88,15,0))</f>
        <v>17.190000000000001</v>
      </c>
      <c r="W13" s="6">
        <f>IF(ISERROR(VLOOKUP($T$13,'TAR FIN'!$A$1:$O$88,15,0)),0,VLOOKUP($T$13,'TAR FIN'!$A$1:$O$88,15,0))</f>
        <v>0</v>
      </c>
      <c r="X13" s="6">
        <f>IF(ISERROR(VLOOKUP($U$13,'TAR FIN'!$A$1:$O$88,15,0)),0,VLOOKUP($U$13,'TAR FIN'!$A$1:$O$88,15,0))</f>
        <v>0</v>
      </c>
      <c r="Y13" s="6">
        <f ca="1">('TUSD BE'!$AM$6+'TUSD BF'!$AM$6+'TUSD CVA'!$AM$6)*1</f>
        <v>13.66046481326768</v>
      </c>
      <c r="Z13" s="6">
        <f ca="1">('TUSD BE'!$AM$7+'TUSD BF'!$AM$7+'TUSD CVA'!$AM$7)*1</f>
        <v>83.275517807559041</v>
      </c>
      <c r="AA13" s="6"/>
      <c r="AB13" s="6">
        <f t="shared" si="0"/>
        <v>62133.255000000005</v>
      </c>
      <c r="AC13" s="6">
        <f t="shared" si="1"/>
        <v>0</v>
      </c>
      <c r="AD13" s="6">
        <f t="shared" ca="1" si="2"/>
        <v>49375.75006755603</v>
      </c>
      <c r="AE13" s="6">
        <f t="shared" ca="1" si="3"/>
        <v>0</v>
      </c>
      <c r="AF13" s="4" t="s">
        <v>734</v>
      </c>
    </row>
    <row r="14" spans="1:36" ht="11.25" customHeight="1" x14ac:dyDescent="0.25">
      <c r="A14" s="4" t="s">
        <v>21</v>
      </c>
      <c r="B14" s="4" t="s">
        <v>38</v>
      </c>
      <c r="C14" s="4" t="s">
        <v>56</v>
      </c>
      <c r="D14" s="4" t="s">
        <v>37</v>
      </c>
      <c r="E14" s="4" t="s">
        <v>25</v>
      </c>
      <c r="F14" s="4" t="s">
        <v>57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3408.886</v>
      </c>
      <c r="M14" s="6">
        <v>1704.443</v>
      </c>
      <c r="N14" s="6">
        <v>0</v>
      </c>
      <c r="O14" s="6">
        <v>0</v>
      </c>
      <c r="P14" s="6">
        <v>6</v>
      </c>
      <c r="Q14" s="4" t="s">
        <v>58</v>
      </c>
      <c r="R14" s="4">
        <v>0</v>
      </c>
      <c r="S14" s="4">
        <v>0</v>
      </c>
      <c r="T14" s="4">
        <v>8</v>
      </c>
      <c r="U14" s="4">
        <v>0</v>
      </c>
      <c r="V14" s="6">
        <f>IF(ISERROR(VLOOKUP($S$14,'TAR FIN'!$A$1:$O$88,15,0)),0,VLOOKUP($S$14,'TAR FIN'!$A$1:$O$88,15,0))</f>
        <v>0</v>
      </c>
      <c r="W14" s="6">
        <f>IF(ISERROR(VLOOKUP($T$14,'TAR FIN'!$A$1:$O$88,15,0)),0,VLOOKUP($T$14,'TAR FIN'!$A$1:$O$88,15,0))</f>
        <v>73.790000000000006</v>
      </c>
      <c r="X14" s="6">
        <f>IF(ISERROR(VLOOKUP($U$14,'TAR FIN'!$A$1:$O$88,15,0)),0,VLOOKUP($U$14,'TAR FIN'!$A$1:$O$88,15,0))</f>
        <v>0</v>
      </c>
      <c r="Y14" s="6"/>
      <c r="Z14" s="6">
        <f ca="1">('TUSD BE'!$AM$7+'TUSD BF'!$AM$7+'TUSD CVA'!$AM$7)*1</f>
        <v>83.275517807559041</v>
      </c>
      <c r="AA14" s="6"/>
      <c r="AB14" s="6">
        <f t="shared" si="0"/>
        <v>0</v>
      </c>
      <c r="AC14" s="6">
        <f t="shared" si="1"/>
        <v>125770.84897000001</v>
      </c>
      <c r="AD14" s="6">
        <f t="shared" si="2"/>
        <v>0</v>
      </c>
      <c r="AE14" s="6">
        <f t="shared" ca="1" si="3"/>
        <v>141938.37339846935</v>
      </c>
      <c r="AF14" s="4" t="s">
        <v>734</v>
      </c>
    </row>
    <row r="15" spans="1:36" ht="11.25" customHeight="1" x14ac:dyDescent="0.25">
      <c r="A15" s="4" t="s">
        <v>21</v>
      </c>
      <c r="B15" s="4" t="s">
        <v>38</v>
      </c>
      <c r="C15" s="4" t="s">
        <v>56</v>
      </c>
      <c r="D15" s="4" t="s">
        <v>37</v>
      </c>
      <c r="E15" s="4" t="s">
        <v>25</v>
      </c>
      <c r="F15" s="4" t="s">
        <v>57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3332.1570000000002</v>
      </c>
      <c r="M15" s="6">
        <v>1666.0785000000001</v>
      </c>
      <c r="N15" s="6">
        <v>0</v>
      </c>
      <c r="O15" s="6">
        <v>0</v>
      </c>
      <c r="P15" s="6">
        <v>6</v>
      </c>
      <c r="Q15" s="4" t="s">
        <v>58</v>
      </c>
      <c r="R15" s="4">
        <v>0</v>
      </c>
      <c r="S15" s="4">
        <v>0</v>
      </c>
      <c r="T15" s="4">
        <v>8</v>
      </c>
      <c r="U15" s="4">
        <v>0</v>
      </c>
      <c r="V15" s="6">
        <f>IF(ISERROR(VLOOKUP($S$15,'TAR FIN'!$A$1:$O$88,15,0)),0,VLOOKUP($S$15,'TAR FIN'!$A$1:$O$88,15,0))</f>
        <v>0</v>
      </c>
      <c r="W15" s="6">
        <f>IF(ISERROR(VLOOKUP($T$15,'TAR FIN'!$A$1:$O$88,15,0)),0,VLOOKUP($T$15,'TAR FIN'!$A$1:$O$88,15,0))</f>
        <v>73.790000000000006</v>
      </c>
      <c r="X15" s="6">
        <f>IF(ISERROR(VLOOKUP($U$15,'TAR FIN'!$A$1:$O$88,15,0)),0,VLOOKUP($U$15,'TAR FIN'!$A$1:$O$88,15,0))</f>
        <v>0</v>
      </c>
      <c r="Y15" s="6"/>
      <c r="Z15" s="6">
        <f ca="1">('TUSD BE'!$AM$7+'TUSD BF'!$AM$7+'TUSD CVA'!$AM$7)*1</f>
        <v>83.275517807559041</v>
      </c>
      <c r="AA15" s="6"/>
      <c r="AB15" s="6">
        <f t="shared" si="0"/>
        <v>0</v>
      </c>
      <c r="AC15" s="6">
        <f t="shared" si="1"/>
        <v>122939.93251500002</v>
      </c>
      <c r="AD15" s="6">
        <f t="shared" si="2"/>
        <v>0</v>
      </c>
      <c r="AE15" s="6">
        <f t="shared" ca="1" si="3"/>
        <v>138743.54979554127</v>
      </c>
      <c r="AF15" s="4" t="s">
        <v>734</v>
      </c>
    </row>
    <row r="16" spans="1:36" ht="11.25" customHeight="1" x14ac:dyDescent="0.25">
      <c r="A16" s="4" t="s">
        <v>21</v>
      </c>
      <c r="B16" s="4" t="s">
        <v>38</v>
      </c>
      <c r="C16" s="4" t="s">
        <v>56</v>
      </c>
      <c r="D16" s="4" t="s">
        <v>37</v>
      </c>
      <c r="E16" s="4" t="s">
        <v>25</v>
      </c>
      <c r="F16" s="4" t="s">
        <v>57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3444.0309999999999</v>
      </c>
      <c r="M16" s="6">
        <v>1722.0155</v>
      </c>
      <c r="N16" s="6">
        <v>0</v>
      </c>
      <c r="O16" s="6">
        <v>0</v>
      </c>
      <c r="P16" s="6">
        <v>6</v>
      </c>
      <c r="Q16" s="4" t="s">
        <v>58</v>
      </c>
      <c r="R16" s="4">
        <v>0</v>
      </c>
      <c r="S16" s="4">
        <v>0</v>
      </c>
      <c r="T16" s="4">
        <v>8</v>
      </c>
      <c r="U16" s="4">
        <v>0</v>
      </c>
      <c r="V16" s="6">
        <f>IF(ISERROR(VLOOKUP($S$16,'TAR FIN'!$A$1:$O$88,15,0)),0,VLOOKUP($S$16,'TAR FIN'!$A$1:$O$88,15,0))</f>
        <v>0</v>
      </c>
      <c r="W16" s="6">
        <f>IF(ISERROR(VLOOKUP($T$16,'TAR FIN'!$A$1:$O$88,15,0)),0,VLOOKUP($T$16,'TAR FIN'!$A$1:$O$88,15,0))</f>
        <v>73.790000000000006</v>
      </c>
      <c r="X16" s="6">
        <f>IF(ISERROR(VLOOKUP($U$16,'TAR FIN'!$A$1:$O$88,15,0)),0,VLOOKUP($U$16,'TAR FIN'!$A$1:$O$88,15,0))</f>
        <v>0</v>
      </c>
      <c r="Y16" s="6"/>
      <c r="Z16" s="6">
        <f ca="1">('TUSD BE'!$AM$7+'TUSD BF'!$AM$7+'TUSD CVA'!$AM$7)*1</f>
        <v>83.275517807559041</v>
      </c>
      <c r="AA16" s="6"/>
      <c r="AB16" s="6">
        <f t="shared" si="0"/>
        <v>0</v>
      </c>
      <c r="AC16" s="6">
        <f t="shared" si="1"/>
        <v>127067.52374500001</v>
      </c>
      <c r="AD16" s="6">
        <f t="shared" si="2"/>
        <v>0</v>
      </c>
      <c r="AE16" s="6">
        <f t="shared" ca="1" si="3"/>
        <v>143401.73243514268</v>
      </c>
      <c r="AF16" s="4" t="s">
        <v>734</v>
      </c>
    </row>
    <row r="17" spans="1:32" ht="11.25" customHeight="1" x14ac:dyDescent="0.25">
      <c r="A17" s="4" t="s">
        <v>21</v>
      </c>
      <c r="B17" s="4" t="s">
        <v>38</v>
      </c>
      <c r="C17" s="4" t="s">
        <v>56</v>
      </c>
      <c r="D17" s="4" t="s">
        <v>37</v>
      </c>
      <c r="E17" s="4" t="s">
        <v>25</v>
      </c>
      <c r="F17" s="4" t="s">
        <v>57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3415.11</v>
      </c>
      <c r="M17" s="6">
        <v>1707.5550000000001</v>
      </c>
      <c r="N17" s="6">
        <v>0</v>
      </c>
      <c r="O17" s="6">
        <v>0</v>
      </c>
      <c r="P17" s="6">
        <v>6</v>
      </c>
      <c r="Q17" s="4" t="s">
        <v>58</v>
      </c>
      <c r="R17" s="4">
        <v>0</v>
      </c>
      <c r="S17" s="4">
        <v>0</v>
      </c>
      <c r="T17" s="4">
        <v>8</v>
      </c>
      <c r="U17" s="4">
        <v>0</v>
      </c>
      <c r="V17" s="6">
        <f>IF(ISERROR(VLOOKUP($S$17,'TAR FIN'!$A$1:$O$88,15,0)),0,VLOOKUP($S$17,'TAR FIN'!$A$1:$O$88,15,0))</f>
        <v>0</v>
      </c>
      <c r="W17" s="6">
        <f>IF(ISERROR(VLOOKUP($T$17,'TAR FIN'!$A$1:$O$88,15,0)),0,VLOOKUP($T$17,'TAR FIN'!$A$1:$O$88,15,0))</f>
        <v>73.790000000000006</v>
      </c>
      <c r="X17" s="6">
        <f>IF(ISERROR(VLOOKUP($U$17,'TAR FIN'!$A$1:$O$88,15,0)),0,VLOOKUP($U$17,'TAR FIN'!$A$1:$O$88,15,0))</f>
        <v>0</v>
      </c>
      <c r="Y17" s="6"/>
      <c r="Z17" s="6">
        <f ca="1">('TUSD BE'!$AM$7+'TUSD BF'!$AM$7+'TUSD CVA'!$AM$7)*1</f>
        <v>83.275517807559041</v>
      </c>
      <c r="AA17" s="6"/>
      <c r="AB17" s="6">
        <f t="shared" si="0"/>
        <v>0</v>
      </c>
      <c r="AC17" s="6">
        <f t="shared" si="1"/>
        <v>126000.48345000001</v>
      </c>
      <c r="AD17" s="6">
        <f t="shared" si="2"/>
        <v>0</v>
      </c>
      <c r="AE17" s="6">
        <f t="shared" ca="1" si="3"/>
        <v>142197.52680988648</v>
      </c>
      <c r="AF17" s="4" t="s">
        <v>734</v>
      </c>
    </row>
    <row r="18" spans="1:32" ht="11.25" customHeight="1" x14ac:dyDescent="0.25">
      <c r="A18" s="4" t="s">
        <v>21</v>
      </c>
      <c r="B18" s="4" t="s">
        <v>38</v>
      </c>
      <c r="C18" s="4" t="s">
        <v>56</v>
      </c>
      <c r="D18" s="4" t="s">
        <v>37</v>
      </c>
      <c r="E18" s="4" t="s">
        <v>25</v>
      </c>
      <c r="F18" s="4" t="s">
        <v>57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3030.1959999999999</v>
      </c>
      <c r="M18" s="6">
        <v>1515.098</v>
      </c>
      <c r="N18" s="6">
        <v>0</v>
      </c>
      <c r="O18" s="6">
        <v>0</v>
      </c>
      <c r="P18" s="6">
        <v>6</v>
      </c>
      <c r="Q18" s="4" t="s">
        <v>58</v>
      </c>
      <c r="R18" s="4">
        <v>0</v>
      </c>
      <c r="S18" s="4">
        <v>0</v>
      </c>
      <c r="T18" s="4">
        <v>8</v>
      </c>
      <c r="U18" s="4">
        <v>0</v>
      </c>
      <c r="V18" s="6">
        <f>IF(ISERROR(VLOOKUP($S$18,'TAR FIN'!$A$1:$O$88,15,0)),0,VLOOKUP($S$18,'TAR FIN'!$A$1:$O$88,15,0))</f>
        <v>0</v>
      </c>
      <c r="W18" s="6">
        <f>IF(ISERROR(VLOOKUP($T$18,'TAR FIN'!$A$1:$O$88,15,0)),0,VLOOKUP($T$18,'TAR FIN'!$A$1:$O$88,15,0))</f>
        <v>73.790000000000006</v>
      </c>
      <c r="X18" s="6">
        <f>IF(ISERROR(VLOOKUP($U$18,'TAR FIN'!$A$1:$O$88,15,0)),0,VLOOKUP($U$18,'TAR FIN'!$A$1:$O$88,15,0))</f>
        <v>0</v>
      </c>
      <c r="Y18" s="6"/>
      <c r="Z18" s="6">
        <f ca="1">('TUSD BE'!$AM$7+'TUSD BF'!$AM$7+'TUSD CVA'!$AM$7)*1</f>
        <v>83.275517807559041</v>
      </c>
      <c r="AA18" s="6"/>
      <c r="AB18" s="6">
        <f t="shared" si="0"/>
        <v>0</v>
      </c>
      <c r="AC18" s="6">
        <f t="shared" si="1"/>
        <v>111799.08142</v>
      </c>
      <c r="AD18" s="6">
        <f t="shared" si="2"/>
        <v>0</v>
      </c>
      <c r="AE18" s="6">
        <f t="shared" ca="1" si="3"/>
        <v>126170.57047919708</v>
      </c>
      <c r="AF18" s="4" t="s">
        <v>734</v>
      </c>
    </row>
    <row r="19" spans="1:32" ht="11.25" customHeight="1" x14ac:dyDescent="0.25">
      <c r="A19" s="4" t="s">
        <v>21</v>
      </c>
      <c r="B19" s="4" t="s">
        <v>38</v>
      </c>
      <c r="C19" s="4" t="s">
        <v>56</v>
      </c>
      <c r="D19" s="4" t="s">
        <v>37</v>
      </c>
      <c r="E19" s="4" t="s">
        <v>25</v>
      </c>
      <c r="F19" s="4" t="s">
        <v>57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3510.837</v>
      </c>
      <c r="M19" s="6">
        <v>1755.4185</v>
      </c>
      <c r="N19" s="6">
        <v>0</v>
      </c>
      <c r="O19" s="6">
        <v>0</v>
      </c>
      <c r="P19" s="6">
        <v>6</v>
      </c>
      <c r="Q19" s="4" t="s">
        <v>58</v>
      </c>
      <c r="R19" s="4">
        <v>0</v>
      </c>
      <c r="S19" s="4">
        <v>0</v>
      </c>
      <c r="T19" s="4">
        <v>8</v>
      </c>
      <c r="U19" s="4">
        <v>0</v>
      </c>
      <c r="V19" s="6">
        <f>IF(ISERROR(VLOOKUP($S$19,'TAR FIN'!$A$1:$O$88,15,0)),0,VLOOKUP($S$19,'TAR FIN'!$A$1:$O$88,15,0))</f>
        <v>0</v>
      </c>
      <c r="W19" s="6">
        <f>IF(ISERROR(VLOOKUP($T$19,'TAR FIN'!$A$1:$O$88,15,0)),0,VLOOKUP($T$19,'TAR FIN'!$A$1:$O$88,15,0))</f>
        <v>73.790000000000006</v>
      </c>
      <c r="X19" s="6">
        <f>IF(ISERROR(VLOOKUP($U$19,'TAR FIN'!$A$1:$O$88,15,0)),0,VLOOKUP($U$19,'TAR FIN'!$A$1:$O$88,15,0))</f>
        <v>0</v>
      </c>
      <c r="Y19" s="6"/>
      <c r="Z19" s="6">
        <f ca="1">('TUSD BE'!$AM$7+'TUSD BF'!$AM$7+'TUSD CVA'!$AM$7)*1</f>
        <v>83.275517807559041</v>
      </c>
      <c r="AA19" s="6"/>
      <c r="AB19" s="6">
        <f t="shared" si="0"/>
        <v>0</v>
      </c>
      <c r="AC19" s="6">
        <f t="shared" si="1"/>
        <v>129532.33111500001</v>
      </c>
      <c r="AD19" s="6">
        <f t="shared" si="2"/>
        <v>0</v>
      </c>
      <c r="AE19" s="6">
        <f t="shared" ca="1" si="3"/>
        <v>146183.38455646858</v>
      </c>
      <c r="AF19" s="4" t="s">
        <v>734</v>
      </c>
    </row>
    <row r="20" spans="1:32" ht="11.25" customHeight="1" x14ac:dyDescent="0.25">
      <c r="A20" s="4" t="s">
        <v>21</v>
      </c>
      <c r="B20" s="4" t="s">
        <v>38</v>
      </c>
      <c r="C20" s="4" t="s">
        <v>56</v>
      </c>
      <c r="D20" s="4" t="s">
        <v>37</v>
      </c>
      <c r="E20" s="4" t="s">
        <v>25</v>
      </c>
      <c r="F20" s="4" t="s">
        <v>57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3237.096</v>
      </c>
      <c r="M20" s="6">
        <v>1618.548</v>
      </c>
      <c r="N20" s="6">
        <v>0</v>
      </c>
      <c r="O20" s="6">
        <v>0</v>
      </c>
      <c r="P20" s="6">
        <v>6</v>
      </c>
      <c r="Q20" s="4" t="s">
        <v>58</v>
      </c>
      <c r="R20" s="4">
        <v>0</v>
      </c>
      <c r="S20" s="4">
        <v>0</v>
      </c>
      <c r="T20" s="4">
        <v>8</v>
      </c>
      <c r="U20" s="4">
        <v>0</v>
      </c>
      <c r="V20" s="6">
        <f>IF(ISERROR(VLOOKUP($S$20,'TAR FIN'!$A$1:$O$88,15,0)),0,VLOOKUP($S$20,'TAR FIN'!$A$1:$O$88,15,0))</f>
        <v>0</v>
      </c>
      <c r="W20" s="6">
        <f>IF(ISERROR(VLOOKUP($T$20,'TAR FIN'!$A$1:$O$88,15,0)),0,VLOOKUP($T$20,'TAR FIN'!$A$1:$O$88,15,0))</f>
        <v>73.790000000000006</v>
      </c>
      <c r="X20" s="6">
        <f>IF(ISERROR(VLOOKUP($U$20,'TAR FIN'!$A$1:$O$88,15,0)),0,VLOOKUP($U$20,'TAR FIN'!$A$1:$O$88,15,0))</f>
        <v>0</v>
      </c>
      <c r="Y20" s="6"/>
      <c r="Z20" s="6">
        <f ca="1">('TUSD BE'!$AM$7+'TUSD BF'!$AM$7+'TUSD CVA'!$AM$7)*1</f>
        <v>83.275517807559041</v>
      </c>
      <c r="AA20" s="6"/>
      <c r="AB20" s="6">
        <f t="shared" si="0"/>
        <v>0</v>
      </c>
      <c r="AC20" s="6">
        <f t="shared" si="1"/>
        <v>119432.65692000001</v>
      </c>
      <c r="AD20" s="6">
        <f t="shared" si="2"/>
        <v>0</v>
      </c>
      <c r="AE20" s="6">
        <f t="shared" ca="1" si="3"/>
        <v>134785.42279638906</v>
      </c>
      <c r="AF20" s="4" t="s">
        <v>734</v>
      </c>
    </row>
    <row r="21" spans="1:32" ht="11.25" customHeight="1" x14ac:dyDescent="0.25">
      <c r="A21" s="4" t="s">
        <v>21</v>
      </c>
      <c r="B21" s="4" t="s">
        <v>38</v>
      </c>
      <c r="C21" s="4" t="s">
        <v>56</v>
      </c>
      <c r="D21" s="4" t="s">
        <v>37</v>
      </c>
      <c r="E21" s="4" t="s">
        <v>25</v>
      </c>
      <c r="F21" s="4" t="s">
        <v>57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3688.7570000000001</v>
      </c>
      <c r="M21" s="6">
        <v>1844.3785</v>
      </c>
      <c r="N21" s="6">
        <v>0</v>
      </c>
      <c r="O21" s="6">
        <v>0</v>
      </c>
      <c r="P21" s="6">
        <v>6</v>
      </c>
      <c r="Q21" s="4" t="s">
        <v>58</v>
      </c>
      <c r="R21" s="4">
        <v>0</v>
      </c>
      <c r="S21" s="4">
        <v>0</v>
      </c>
      <c r="T21" s="4">
        <v>8</v>
      </c>
      <c r="U21" s="4">
        <v>0</v>
      </c>
      <c r="V21" s="6">
        <f>IF(ISERROR(VLOOKUP($S$21,'TAR FIN'!$A$1:$O$88,15,0)),0,VLOOKUP($S$21,'TAR FIN'!$A$1:$O$88,15,0))</f>
        <v>0</v>
      </c>
      <c r="W21" s="6">
        <f>IF(ISERROR(VLOOKUP($T$21,'TAR FIN'!$A$1:$O$88,15,0)),0,VLOOKUP($T$21,'TAR FIN'!$A$1:$O$88,15,0))</f>
        <v>73.790000000000006</v>
      </c>
      <c r="X21" s="6">
        <f>IF(ISERROR(VLOOKUP($U$21,'TAR FIN'!$A$1:$O$88,15,0)),0,VLOOKUP($U$21,'TAR FIN'!$A$1:$O$88,15,0))</f>
        <v>0</v>
      </c>
      <c r="Y21" s="6"/>
      <c r="Z21" s="6">
        <f ca="1">('TUSD BE'!$AM$7+'TUSD BF'!$AM$7+'TUSD CVA'!$AM$7)*1</f>
        <v>83.275517807559041</v>
      </c>
      <c r="AA21" s="6"/>
      <c r="AB21" s="6">
        <f t="shared" si="0"/>
        <v>0</v>
      </c>
      <c r="AC21" s="6">
        <f t="shared" si="1"/>
        <v>136096.68951500001</v>
      </c>
      <c r="AD21" s="6">
        <f t="shared" si="2"/>
        <v>0</v>
      </c>
      <c r="AE21" s="6">
        <f t="shared" ca="1" si="3"/>
        <v>153591.57462062902</v>
      </c>
      <c r="AF21" s="4" t="s">
        <v>734</v>
      </c>
    </row>
    <row r="22" spans="1:32" ht="11.25" customHeight="1" x14ac:dyDescent="0.25">
      <c r="A22" s="4" t="s">
        <v>21</v>
      </c>
      <c r="B22" s="4" t="s">
        <v>38</v>
      </c>
      <c r="C22" s="4" t="s">
        <v>56</v>
      </c>
      <c r="D22" s="4" t="s">
        <v>37</v>
      </c>
      <c r="E22" s="4" t="s">
        <v>25</v>
      </c>
      <c r="F22" s="4" t="s">
        <v>57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3372.8220000000001</v>
      </c>
      <c r="M22" s="6">
        <v>1686.4110000000001</v>
      </c>
      <c r="N22" s="6">
        <v>0</v>
      </c>
      <c r="O22" s="6">
        <v>0</v>
      </c>
      <c r="P22" s="6">
        <v>6</v>
      </c>
      <c r="Q22" s="4" t="s">
        <v>58</v>
      </c>
      <c r="R22" s="4">
        <v>0</v>
      </c>
      <c r="S22" s="4">
        <v>0</v>
      </c>
      <c r="T22" s="4">
        <v>8</v>
      </c>
      <c r="U22" s="4">
        <v>0</v>
      </c>
      <c r="V22" s="6">
        <f>IF(ISERROR(VLOOKUP($S$22,'TAR FIN'!$A$1:$O$88,15,0)),0,VLOOKUP($S$22,'TAR FIN'!$A$1:$O$88,15,0))</f>
        <v>0</v>
      </c>
      <c r="W22" s="6">
        <f>IF(ISERROR(VLOOKUP($T$22,'TAR FIN'!$A$1:$O$88,15,0)),0,VLOOKUP($T$22,'TAR FIN'!$A$1:$O$88,15,0))</f>
        <v>73.790000000000006</v>
      </c>
      <c r="X22" s="6">
        <f>IF(ISERROR(VLOOKUP($U$22,'TAR FIN'!$A$1:$O$88,15,0)),0,VLOOKUP($U$22,'TAR FIN'!$A$1:$O$88,15,0))</f>
        <v>0</v>
      </c>
      <c r="Y22" s="6"/>
      <c r="Z22" s="6">
        <f ca="1">('TUSD BE'!$AM$7+'TUSD BF'!$AM$7+'TUSD CVA'!$AM$7)*1</f>
        <v>83.275517807559041</v>
      </c>
      <c r="AA22" s="6"/>
      <c r="AB22" s="6">
        <f t="shared" si="0"/>
        <v>0</v>
      </c>
      <c r="AC22" s="6">
        <f t="shared" si="1"/>
        <v>124440.26769000001</v>
      </c>
      <c r="AD22" s="6">
        <f t="shared" si="2"/>
        <v>0</v>
      </c>
      <c r="AE22" s="6">
        <f t="shared" ca="1" si="3"/>
        <v>140436.74926136347</v>
      </c>
      <c r="AF22" s="4" t="s">
        <v>734</v>
      </c>
    </row>
    <row r="23" spans="1:32" ht="11.25" customHeight="1" x14ac:dyDescent="0.25">
      <c r="A23" s="4" t="s">
        <v>21</v>
      </c>
      <c r="B23" s="4" t="s">
        <v>38</v>
      </c>
      <c r="C23" s="4" t="s">
        <v>56</v>
      </c>
      <c r="D23" s="4" t="s">
        <v>37</v>
      </c>
      <c r="E23" s="4" t="s">
        <v>25</v>
      </c>
      <c r="F23" s="4" t="s">
        <v>57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3390.308</v>
      </c>
      <c r="M23" s="6">
        <v>1695.154</v>
      </c>
      <c r="N23" s="6">
        <v>0</v>
      </c>
      <c r="O23" s="6">
        <v>0</v>
      </c>
      <c r="P23" s="6">
        <v>6</v>
      </c>
      <c r="Q23" s="4" t="s">
        <v>58</v>
      </c>
      <c r="R23" s="4">
        <v>0</v>
      </c>
      <c r="S23" s="4">
        <v>0</v>
      </c>
      <c r="T23" s="4">
        <v>8</v>
      </c>
      <c r="U23" s="4">
        <v>0</v>
      </c>
      <c r="V23" s="6">
        <f>IF(ISERROR(VLOOKUP($S$23,'TAR FIN'!$A$1:$O$88,15,0)),0,VLOOKUP($S$23,'TAR FIN'!$A$1:$O$88,15,0))</f>
        <v>0</v>
      </c>
      <c r="W23" s="6">
        <f>IF(ISERROR(VLOOKUP($T$23,'TAR FIN'!$A$1:$O$88,15,0)),0,VLOOKUP($T$23,'TAR FIN'!$A$1:$O$88,15,0))</f>
        <v>73.790000000000006</v>
      </c>
      <c r="X23" s="6">
        <f>IF(ISERROR(VLOOKUP($U$23,'TAR FIN'!$A$1:$O$88,15,0)),0,VLOOKUP($U$23,'TAR FIN'!$A$1:$O$88,15,0))</f>
        <v>0</v>
      </c>
      <c r="Y23" s="6"/>
      <c r="Z23" s="6">
        <f ca="1">('TUSD BE'!$AM$7+'TUSD BF'!$AM$7+'TUSD CVA'!$AM$7)*1</f>
        <v>83.275517807559041</v>
      </c>
      <c r="AA23" s="6"/>
      <c r="AB23" s="6">
        <f t="shared" si="0"/>
        <v>0</v>
      </c>
      <c r="AC23" s="6">
        <f t="shared" si="1"/>
        <v>125085.41366000001</v>
      </c>
      <c r="AD23" s="6">
        <f t="shared" si="2"/>
        <v>0</v>
      </c>
      <c r="AE23" s="6">
        <f t="shared" ca="1" si="3"/>
        <v>141164.82711355493</v>
      </c>
      <c r="AF23" s="4" t="s">
        <v>734</v>
      </c>
    </row>
    <row r="24" spans="1:32" ht="11.25" customHeight="1" x14ac:dyDescent="0.25">
      <c r="A24" s="4" t="s">
        <v>21</v>
      </c>
      <c r="B24" s="4" t="s">
        <v>38</v>
      </c>
      <c r="C24" s="4" t="s">
        <v>56</v>
      </c>
      <c r="D24" s="4" t="s">
        <v>37</v>
      </c>
      <c r="E24" s="4" t="s">
        <v>25</v>
      </c>
      <c r="F24" s="4" t="s">
        <v>57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3363.3820000000001</v>
      </c>
      <c r="M24" s="6">
        <v>1681.691</v>
      </c>
      <c r="N24" s="6">
        <v>0</v>
      </c>
      <c r="O24" s="6">
        <v>0</v>
      </c>
      <c r="P24" s="6">
        <v>6</v>
      </c>
      <c r="Q24" s="4" t="s">
        <v>58</v>
      </c>
      <c r="R24" s="4">
        <v>0</v>
      </c>
      <c r="S24" s="4">
        <v>0</v>
      </c>
      <c r="T24" s="4">
        <v>8</v>
      </c>
      <c r="U24" s="4">
        <v>0</v>
      </c>
      <c r="V24" s="6">
        <f>IF(ISERROR(VLOOKUP($S$24,'TAR FIN'!$A$1:$O$88,15,0)),0,VLOOKUP($S$24,'TAR FIN'!$A$1:$O$88,15,0))</f>
        <v>0</v>
      </c>
      <c r="W24" s="6">
        <f>IF(ISERROR(VLOOKUP($T$24,'TAR FIN'!$A$1:$O$88,15,0)),0,VLOOKUP($T$24,'TAR FIN'!$A$1:$O$88,15,0))</f>
        <v>73.790000000000006</v>
      </c>
      <c r="X24" s="6">
        <f>IF(ISERROR(VLOOKUP($U$24,'TAR FIN'!$A$1:$O$88,15,0)),0,VLOOKUP($U$24,'TAR FIN'!$A$1:$O$88,15,0))</f>
        <v>0</v>
      </c>
      <c r="Y24" s="6"/>
      <c r="Z24" s="6">
        <f ca="1">('TUSD BE'!$AM$7+'TUSD BF'!$AM$7+'TUSD CVA'!$AM$7)*1</f>
        <v>83.275517807559041</v>
      </c>
      <c r="AA24" s="6"/>
      <c r="AB24" s="6">
        <f t="shared" si="0"/>
        <v>0</v>
      </c>
      <c r="AC24" s="6">
        <f t="shared" si="1"/>
        <v>124091.97889000001</v>
      </c>
      <c r="AD24" s="6">
        <f t="shared" si="2"/>
        <v>0</v>
      </c>
      <c r="AE24" s="6">
        <f t="shared" ca="1" si="3"/>
        <v>140043.68881731178</v>
      </c>
      <c r="AF24" s="4" t="s">
        <v>734</v>
      </c>
    </row>
    <row r="25" spans="1:32" ht="11.25" customHeight="1" x14ac:dyDescent="0.25">
      <c r="A25" s="4" t="s">
        <v>55</v>
      </c>
      <c r="B25" s="4" t="s">
        <v>38</v>
      </c>
      <c r="C25" s="4" t="s">
        <v>56</v>
      </c>
      <c r="D25" s="4" t="s">
        <v>37</v>
      </c>
      <c r="E25" s="4" t="s">
        <v>25</v>
      </c>
      <c r="F25" s="4" t="s">
        <v>57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3363.3820000000001</v>
      </c>
      <c r="M25" s="6">
        <v>1681.691</v>
      </c>
      <c r="N25" s="6">
        <v>0</v>
      </c>
      <c r="O25" s="6">
        <v>0</v>
      </c>
      <c r="P25" s="6">
        <v>6</v>
      </c>
      <c r="Q25" s="4" t="s">
        <v>58</v>
      </c>
      <c r="R25" s="4">
        <v>0</v>
      </c>
      <c r="S25" s="4">
        <v>0</v>
      </c>
      <c r="T25" s="4">
        <v>8</v>
      </c>
      <c r="U25" s="4">
        <v>0</v>
      </c>
      <c r="V25" s="6">
        <f>IF(ISERROR(VLOOKUP($S$25,'TAR FIN'!$A$1:$O$88,15,0)),0,VLOOKUP($S$25,'TAR FIN'!$A$1:$O$88,15,0))</f>
        <v>0</v>
      </c>
      <c r="W25" s="6">
        <f>IF(ISERROR(VLOOKUP($T$25,'TAR FIN'!$A$1:$O$88,15,0)),0,VLOOKUP($T$25,'TAR FIN'!$A$1:$O$88,15,0))</f>
        <v>73.790000000000006</v>
      </c>
      <c r="X25" s="6">
        <f>IF(ISERROR(VLOOKUP($U$25,'TAR FIN'!$A$1:$O$88,15,0)),0,VLOOKUP($U$25,'TAR FIN'!$A$1:$O$88,15,0))</f>
        <v>0</v>
      </c>
      <c r="Y25" s="6"/>
      <c r="Z25" s="6">
        <f ca="1">('TUSD BE'!$AM$7+'TUSD BF'!$AM$7+'TUSD CVA'!$AM$7)*1</f>
        <v>83.275517807559041</v>
      </c>
      <c r="AA25" s="6"/>
      <c r="AB25" s="6">
        <f t="shared" si="0"/>
        <v>0</v>
      </c>
      <c r="AC25" s="6">
        <f t="shared" si="1"/>
        <v>124091.97889000001</v>
      </c>
      <c r="AD25" s="6">
        <f t="shared" si="2"/>
        <v>0</v>
      </c>
      <c r="AE25" s="6">
        <f t="shared" ca="1" si="3"/>
        <v>140043.68881731178</v>
      </c>
      <c r="AF25" s="4" t="s">
        <v>734</v>
      </c>
    </row>
    <row r="26" spans="1:32" ht="11.25" customHeight="1" x14ac:dyDescent="0.25">
      <c r="A26" s="4" t="s">
        <v>21</v>
      </c>
      <c r="B26" s="4" t="s">
        <v>38</v>
      </c>
      <c r="C26" s="4" t="s">
        <v>56</v>
      </c>
      <c r="D26" s="4" t="s">
        <v>37</v>
      </c>
      <c r="E26" s="4" t="s">
        <v>25</v>
      </c>
      <c r="F26" s="4" t="s">
        <v>57</v>
      </c>
      <c r="G26" s="4" t="s">
        <v>25</v>
      </c>
      <c r="H26" s="4" t="s">
        <v>33</v>
      </c>
      <c r="I26" s="5">
        <v>44409</v>
      </c>
      <c r="J26" s="6">
        <v>3350</v>
      </c>
      <c r="K26" s="6">
        <v>1675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58</v>
      </c>
      <c r="R26" s="4">
        <v>0</v>
      </c>
      <c r="S26" s="4">
        <v>2</v>
      </c>
      <c r="T26" s="4">
        <v>0</v>
      </c>
      <c r="U26" s="4">
        <v>0</v>
      </c>
      <c r="V26" s="6">
        <f>IF(ISERROR(VLOOKUP($S$26,'TAR FIN'!$A$1:$O$88,15,0)),0,VLOOKUP($S$26,'TAR FIN'!$A$1:$O$88,15,0))</f>
        <v>50.05</v>
      </c>
      <c r="W26" s="6">
        <f>IF(ISERROR(VLOOKUP($T$26,'TAR FIN'!$A$1:$O$88,15,0)),0,VLOOKUP($T$26,'TAR FIN'!$A$1:$O$88,15,0))</f>
        <v>0</v>
      </c>
      <c r="X26" s="6">
        <f>IF(ISERROR(VLOOKUP($U$26,'TAR FIN'!$A$1:$O$88,15,0)),0,VLOOKUP($U$26,'TAR FIN'!$A$1:$O$88,15,0))</f>
        <v>0</v>
      </c>
      <c r="Y26" s="6">
        <f ca="1">('TUSD BE'!$AM$5+'TUSD BF'!$AM$5+'TUSD CVA'!$AM$5)*1</f>
        <v>39.785437301566063</v>
      </c>
      <c r="Z26" s="6">
        <f ca="1">('TUSD BE'!$AM$7+'TUSD BF'!$AM$7+'TUSD CVA'!$AM$7)*1</f>
        <v>83.275517807559041</v>
      </c>
      <c r="AA26" s="6"/>
      <c r="AB26" s="6">
        <f t="shared" si="0"/>
        <v>83833.75</v>
      </c>
      <c r="AC26" s="6">
        <f t="shared" si="1"/>
        <v>0</v>
      </c>
      <c r="AD26" s="6">
        <f t="shared" ca="1" si="2"/>
        <v>66640.607480123159</v>
      </c>
      <c r="AE26" s="6">
        <f t="shared" ca="1" si="3"/>
        <v>0</v>
      </c>
      <c r="AF26" s="4" t="s">
        <v>734</v>
      </c>
    </row>
    <row r="27" spans="1:32" ht="11.25" customHeight="1" x14ac:dyDescent="0.25">
      <c r="A27" s="4" t="s">
        <v>21</v>
      </c>
      <c r="B27" s="4" t="s">
        <v>38</v>
      </c>
      <c r="C27" s="4" t="s">
        <v>56</v>
      </c>
      <c r="D27" s="4" t="s">
        <v>37</v>
      </c>
      <c r="E27" s="4" t="s">
        <v>25</v>
      </c>
      <c r="F27" s="4" t="s">
        <v>57</v>
      </c>
      <c r="G27" s="4" t="s">
        <v>25</v>
      </c>
      <c r="H27" s="4" t="s">
        <v>33</v>
      </c>
      <c r="I27" s="5">
        <v>44440</v>
      </c>
      <c r="J27" s="6">
        <v>3350</v>
      </c>
      <c r="K27" s="6">
        <v>1675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58</v>
      </c>
      <c r="R27" s="4">
        <v>0</v>
      </c>
      <c r="S27" s="4">
        <v>2</v>
      </c>
      <c r="T27" s="4">
        <v>0</v>
      </c>
      <c r="U27" s="4">
        <v>0</v>
      </c>
      <c r="V27" s="6">
        <f>IF(ISERROR(VLOOKUP($S$27,'TAR FIN'!$A$1:$O$88,15,0)),0,VLOOKUP($S$27,'TAR FIN'!$A$1:$O$88,15,0))</f>
        <v>50.05</v>
      </c>
      <c r="W27" s="6">
        <f>IF(ISERROR(VLOOKUP($T$27,'TAR FIN'!$A$1:$O$88,15,0)),0,VLOOKUP($T$27,'TAR FIN'!$A$1:$O$88,15,0))</f>
        <v>0</v>
      </c>
      <c r="X27" s="6">
        <f>IF(ISERROR(VLOOKUP($U$27,'TAR FIN'!$A$1:$O$88,15,0)),0,VLOOKUP($U$27,'TAR FIN'!$A$1:$O$88,15,0))</f>
        <v>0</v>
      </c>
      <c r="Y27" s="6">
        <f ca="1">('TUSD BE'!$AM$5+'TUSD BF'!$AM$5+'TUSD CVA'!$AM$5)*1</f>
        <v>39.785437301566063</v>
      </c>
      <c r="Z27" s="6">
        <f ca="1">('TUSD BE'!$AM$7+'TUSD BF'!$AM$7+'TUSD CVA'!$AM$7)*1</f>
        <v>83.275517807559041</v>
      </c>
      <c r="AA27" s="6"/>
      <c r="AB27" s="6">
        <f t="shared" si="0"/>
        <v>83833.75</v>
      </c>
      <c r="AC27" s="6">
        <f t="shared" si="1"/>
        <v>0</v>
      </c>
      <c r="AD27" s="6">
        <f t="shared" ca="1" si="2"/>
        <v>66640.607480123159</v>
      </c>
      <c r="AE27" s="6">
        <f t="shared" ca="1" si="3"/>
        <v>0</v>
      </c>
      <c r="AF27" s="4" t="s">
        <v>734</v>
      </c>
    </row>
    <row r="28" spans="1:32" ht="11.25" customHeight="1" x14ac:dyDescent="0.25">
      <c r="A28" s="4" t="s">
        <v>21</v>
      </c>
      <c r="B28" s="4" t="s">
        <v>38</v>
      </c>
      <c r="C28" s="4" t="s">
        <v>56</v>
      </c>
      <c r="D28" s="4" t="s">
        <v>37</v>
      </c>
      <c r="E28" s="4" t="s">
        <v>25</v>
      </c>
      <c r="F28" s="4" t="s">
        <v>57</v>
      </c>
      <c r="G28" s="4" t="s">
        <v>25</v>
      </c>
      <c r="H28" s="4" t="s">
        <v>33</v>
      </c>
      <c r="I28" s="5">
        <v>44470</v>
      </c>
      <c r="J28" s="6">
        <v>3350</v>
      </c>
      <c r="K28" s="6">
        <v>1675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58</v>
      </c>
      <c r="R28" s="4">
        <v>0</v>
      </c>
      <c r="S28" s="4">
        <v>2</v>
      </c>
      <c r="T28" s="4">
        <v>0</v>
      </c>
      <c r="U28" s="4">
        <v>0</v>
      </c>
      <c r="V28" s="6">
        <f>IF(ISERROR(VLOOKUP($S$28,'TAR FIN'!$A$1:$O$88,15,0)),0,VLOOKUP($S$28,'TAR FIN'!$A$1:$O$88,15,0))</f>
        <v>50.05</v>
      </c>
      <c r="W28" s="6">
        <f>IF(ISERROR(VLOOKUP($T$28,'TAR FIN'!$A$1:$O$88,15,0)),0,VLOOKUP($T$28,'TAR FIN'!$A$1:$O$88,15,0))</f>
        <v>0</v>
      </c>
      <c r="X28" s="6">
        <f>IF(ISERROR(VLOOKUP($U$28,'TAR FIN'!$A$1:$O$88,15,0)),0,VLOOKUP($U$28,'TAR FIN'!$A$1:$O$88,15,0))</f>
        <v>0</v>
      </c>
      <c r="Y28" s="6">
        <f ca="1">('TUSD BE'!$AM$5+'TUSD BF'!$AM$5+'TUSD CVA'!$AM$5)*1</f>
        <v>39.785437301566063</v>
      </c>
      <c r="Z28" s="6">
        <f ca="1">('TUSD BE'!$AM$7+'TUSD BF'!$AM$7+'TUSD CVA'!$AM$7)*1</f>
        <v>83.275517807559041</v>
      </c>
      <c r="AA28" s="6"/>
      <c r="AB28" s="6">
        <f t="shared" si="0"/>
        <v>83833.75</v>
      </c>
      <c r="AC28" s="6">
        <f t="shared" si="1"/>
        <v>0</v>
      </c>
      <c r="AD28" s="6">
        <f t="shared" ca="1" si="2"/>
        <v>66640.607480123159</v>
      </c>
      <c r="AE28" s="6">
        <f t="shared" ca="1" si="3"/>
        <v>0</v>
      </c>
      <c r="AF28" s="4" t="s">
        <v>734</v>
      </c>
    </row>
    <row r="29" spans="1:32" ht="11.25" customHeight="1" x14ac:dyDescent="0.25">
      <c r="A29" s="4" t="s">
        <v>21</v>
      </c>
      <c r="B29" s="4" t="s">
        <v>38</v>
      </c>
      <c r="C29" s="4" t="s">
        <v>56</v>
      </c>
      <c r="D29" s="4" t="s">
        <v>37</v>
      </c>
      <c r="E29" s="4" t="s">
        <v>25</v>
      </c>
      <c r="F29" s="4" t="s">
        <v>57</v>
      </c>
      <c r="G29" s="4" t="s">
        <v>25</v>
      </c>
      <c r="H29" s="4" t="s">
        <v>33</v>
      </c>
      <c r="I29" s="5">
        <v>44501</v>
      </c>
      <c r="J29" s="6">
        <v>3350</v>
      </c>
      <c r="K29" s="6">
        <v>1675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58</v>
      </c>
      <c r="R29" s="4">
        <v>0</v>
      </c>
      <c r="S29" s="4">
        <v>2</v>
      </c>
      <c r="T29" s="4">
        <v>0</v>
      </c>
      <c r="U29" s="4">
        <v>0</v>
      </c>
      <c r="V29" s="6">
        <f>IF(ISERROR(VLOOKUP($S$29,'TAR FIN'!$A$1:$O$88,15,0)),0,VLOOKUP($S$29,'TAR FIN'!$A$1:$O$88,15,0))</f>
        <v>50.05</v>
      </c>
      <c r="W29" s="6">
        <f>IF(ISERROR(VLOOKUP($T$29,'TAR FIN'!$A$1:$O$88,15,0)),0,VLOOKUP($T$29,'TAR FIN'!$A$1:$O$88,15,0))</f>
        <v>0</v>
      </c>
      <c r="X29" s="6">
        <f>IF(ISERROR(VLOOKUP($U$29,'TAR FIN'!$A$1:$O$88,15,0)),0,VLOOKUP($U$29,'TAR FIN'!$A$1:$O$88,15,0))</f>
        <v>0</v>
      </c>
      <c r="Y29" s="6">
        <f ca="1">('TUSD BE'!$AM$5+'TUSD BF'!$AM$5+'TUSD CVA'!$AM$5)*1</f>
        <v>39.785437301566063</v>
      </c>
      <c r="Z29" s="6">
        <f ca="1">('TUSD BE'!$AM$7+'TUSD BF'!$AM$7+'TUSD CVA'!$AM$7)*1</f>
        <v>83.275517807559041</v>
      </c>
      <c r="AA29" s="6"/>
      <c r="AB29" s="6">
        <f t="shared" si="0"/>
        <v>83833.75</v>
      </c>
      <c r="AC29" s="6">
        <f t="shared" si="1"/>
        <v>0</v>
      </c>
      <c r="AD29" s="6">
        <f t="shared" ca="1" si="2"/>
        <v>66640.607480123159</v>
      </c>
      <c r="AE29" s="6">
        <f t="shared" ca="1" si="3"/>
        <v>0</v>
      </c>
      <c r="AF29" s="4" t="s">
        <v>734</v>
      </c>
    </row>
    <row r="30" spans="1:32" ht="11.25" customHeight="1" x14ac:dyDescent="0.25">
      <c r="A30" s="4" t="s">
        <v>21</v>
      </c>
      <c r="B30" s="4" t="s">
        <v>38</v>
      </c>
      <c r="C30" s="4" t="s">
        <v>56</v>
      </c>
      <c r="D30" s="4" t="s">
        <v>37</v>
      </c>
      <c r="E30" s="4" t="s">
        <v>25</v>
      </c>
      <c r="F30" s="4" t="s">
        <v>57</v>
      </c>
      <c r="G30" s="4" t="s">
        <v>25</v>
      </c>
      <c r="H30" s="4" t="s">
        <v>33</v>
      </c>
      <c r="I30" s="5">
        <v>44531</v>
      </c>
      <c r="J30" s="6">
        <v>3350</v>
      </c>
      <c r="K30" s="6">
        <v>1675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58</v>
      </c>
      <c r="R30" s="4">
        <v>0</v>
      </c>
      <c r="S30" s="4">
        <v>2</v>
      </c>
      <c r="T30" s="4">
        <v>0</v>
      </c>
      <c r="U30" s="4">
        <v>0</v>
      </c>
      <c r="V30" s="6">
        <f>IF(ISERROR(VLOOKUP($S$30,'TAR FIN'!$A$1:$O$88,15,0)),0,VLOOKUP($S$30,'TAR FIN'!$A$1:$O$88,15,0))</f>
        <v>50.05</v>
      </c>
      <c r="W30" s="6">
        <f>IF(ISERROR(VLOOKUP($T$30,'TAR FIN'!$A$1:$O$88,15,0)),0,VLOOKUP($T$30,'TAR FIN'!$A$1:$O$88,15,0))</f>
        <v>0</v>
      </c>
      <c r="X30" s="6">
        <f>IF(ISERROR(VLOOKUP($U$30,'TAR FIN'!$A$1:$O$88,15,0)),0,VLOOKUP($U$30,'TAR FIN'!$A$1:$O$88,15,0))</f>
        <v>0</v>
      </c>
      <c r="Y30" s="6">
        <f ca="1">('TUSD BE'!$AM$5+'TUSD BF'!$AM$5+'TUSD CVA'!$AM$5)*1</f>
        <v>39.785437301566063</v>
      </c>
      <c r="Z30" s="6">
        <f ca="1">('TUSD BE'!$AM$7+'TUSD BF'!$AM$7+'TUSD CVA'!$AM$7)*1</f>
        <v>83.275517807559041</v>
      </c>
      <c r="AA30" s="6"/>
      <c r="AB30" s="6">
        <f t="shared" si="0"/>
        <v>83833.75</v>
      </c>
      <c r="AC30" s="6">
        <f t="shared" si="1"/>
        <v>0</v>
      </c>
      <c r="AD30" s="6">
        <f t="shared" ca="1" si="2"/>
        <v>66640.607480123159</v>
      </c>
      <c r="AE30" s="6">
        <f t="shared" ca="1" si="3"/>
        <v>0</v>
      </c>
      <c r="AF30" s="4" t="s">
        <v>734</v>
      </c>
    </row>
    <row r="31" spans="1:32" ht="11.25" customHeight="1" x14ac:dyDescent="0.25">
      <c r="A31" s="4" t="s">
        <v>21</v>
      </c>
      <c r="B31" s="4" t="s">
        <v>38</v>
      </c>
      <c r="C31" s="4" t="s">
        <v>56</v>
      </c>
      <c r="D31" s="4" t="s">
        <v>37</v>
      </c>
      <c r="E31" s="4" t="s">
        <v>25</v>
      </c>
      <c r="F31" s="4" t="s">
        <v>57</v>
      </c>
      <c r="G31" s="4" t="s">
        <v>25</v>
      </c>
      <c r="H31" s="4" t="s">
        <v>33</v>
      </c>
      <c r="I31" s="5">
        <v>44562</v>
      </c>
      <c r="J31" s="6">
        <v>3364</v>
      </c>
      <c r="K31" s="6">
        <v>1682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58</v>
      </c>
      <c r="R31" s="4">
        <v>0</v>
      </c>
      <c r="S31" s="4">
        <v>2</v>
      </c>
      <c r="T31" s="4">
        <v>0</v>
      </c>
      <c r="U31" s="4">
        <v>0</v>
      </c>
      <c r="V31" s="6">
        <f>IF(ISERROR(VLOOKUP($S$31,'TAR FIN'!$A$1:$O$88,15,0)),0,VLOOKUP($S$31,'TAR FIN'!$A$1:$O$88,15,0))</f>
        <v>50.05</v>
      </c>
      <c r="W31" s="6">
        <f>IF(ISERROR(VLOOKUP($T$31,'TAR FIN'!$A$1:$O$88,15,0)),0,VLOOKUP($T$31,'TAR FIN'!$A$1:$O$88,15,0))</f>
        <v>0</v>
      </c>
      <c r="X31" s="6">
        <f>IF(ISERROR(VLOOKUP($U$31,'TAR FIN'!$A$1:$O$88,15,0)),0,VLOOKUP($U$31,'TAR FIN'!$A$1:$O$88,15,0))</f>
        <v>0</v>
      </c>
      <c r="Y31" s="6">
        <f ca="1">('TUSD BE'!$AM$5+'TUSD BF'!$AM$5+'TUSD CVA'!$AM$5)*1</f>
        <v>39.785437301566063</v>
      </c>
      <c r="Z31" s="6">
        <f ca="1">('TUSD BE'!$AM$7+'TUSD BF'!$AM$7+'TUSD CVA'!$AM$7)*1</f>
        <v>83.275517807559041</v>
      </c>
      <c r="AA31" s="6"/>
      <c r="AB31" s="6">
        <f t="shared" si="0"/>
        <v>84184.099999999991</v>
      </c>
      <c r="AC31" s="6">
        <f t="shared" si="1"/>
        <v>0</v>
      </c>
      <c r="AD31" s="6">
        <f t="shared" ca="1" si="2"/>
        <v>66919.105541234123</v>
      </c>
      <c r="AE31" s="6">
        <f t="shared" ca="1" si="3"/>
        <v>0</v>
      </c>
      <c r="AF31" s="4" t="s">
        <v>734</v>
      </c>
    </row>
    <row r="32" spans="1:32" ht="11.25" customHeight="1" x14ac:dyDescent="0.25">
      <c r="A32" s="4" t="s">
        <v>21</v>
      </c>
      <c r="B32" s="4" t="s">
        <v>38</v>
      </c>
      <c r="C32" s="4" t="s">
        <v>56</v>
      </c>
      <c r="D32" s="4" t="s">
        <v>37</v>
      </c>
      <c r="E32" s="4" t="s">
        <v>25</v>
      </c>
      <c r="F32" s="4" t="s">
        <v>57</v>
      </c>
      <c r="G32" s="4" t="s">
        <v>25</v>
      </c>
      <c r="H32" s="4" t="s">
        <v>33</v>
      </c>
      <c r="I32" s="5">
        <v>44593</v>
      </c>
      <c r="J32" s="6">
        <v>3350</v>
      </c>
      <c r="K32" s="6">
        <v>1675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58</v>
      </c>
      <c r="R32" s="4">
        <v>0</v>
      </c>
      <c r="S32" s="4">
        <v>2</v>
      </c>
      <c r="T32" s="4">
        <v>0</v>
      </c>
      <c r="U32" s="4">
        <v>0</v>
      </c>
      <c r="V32" s="6">
        <f>IF(ISERROR(VLOOKUP($S$32,'TAR FIN'!$A$1:$O$88,15,0)),0,VLOOKUP($S$32,'TAR FIN'!$A$1:$O$88,15,0))</f>
        <v>50.05</v>
      </c>
      <c r="W32" s="6">
        <f>IF(ISERROR(VLOOKUP($T$32,'TAR FIN'!$A$1:$O$88,15,0)),0,VLOOKUP($T$32,'TAR FIN'!$A$1:$O$88,15,0))</f>
        <v>0</v>
      </c>
      <c r="X32" s="6">
        <f>IF(ISERROR(VLOOKUP($U$32,'TAR FIN'!$A$1:$O$88,15,0)),0,VLOOKUP($U$32,'TAR FIN'!$A$1:$O$88,15,0))</f>
        <v>0</v>
      </c>
      <c r="Y32" s="6">
        <f ca="1">('TUSD BE'!$AM$5+'TUSD BF'!$AM$5+'TUSD CVA'!$AM$5)*1</f>
        <v>39.785437301566063</v>
      </c>
      <c r="Z32" s="6">
        <f ca="1">('TUSD BE'!$AM$7+'TUSD BF'!$AM$7+'TUSD CVA'!$AM$7)*1</f>
        <v>83.275517807559041</v>
      </c>
      <c r="AA32" s="6"/>
      <c r="AB32" s="6">
        <f t="shared" si="0"/>
        <v>83833.75</v>
      </c>
      <c r="AC32" s="6">
        <f t="shared" si="1"/>
        <v>0</v>
      </c>
      <c r="AD32" s="6">
        <f t="shared" ca="1" si="2"/>
        <v>66640.607480123159</v>
      </c>
      <c r="AE32" s="6">
        <f t="shared" ca="1" si="3"/>
        <v>0</v>
      </c>
      <c r="AF32" s="4" t="s">
        <v>734</v>
      </c>
    </row>
    <row r="33" spans="1:32" ht="11.25" customHeight="1" x14ac:dyDescent="0.25">
      <c r="A33" s="4" t="s">
        <v>21</v>
      </c>
      <c r="B33" s="4" t="s">
        <v>38</v>
      </c>
      <c r="C33" s="4" t="s">
        <v>56</v>
      </c>
      <c r="D33" s="4" t="s">
        <v>37</v>
      </c>
      <c r="E33" s="4" t="s">
        <v>25</v>
      </c>
      <c r="F33" s="4" t="s">
        <v>57</v>
      </c>
      <c r="G33" s="4" t="s">
        <v>25</v>
      </c>
      <c r="H33" s="4" t="s">
        <v>33</v>
      </c>
      <c r="I33" s="5">
        <v>44621</v>
      </c>
      <c r="J33" s="6">
        <v>3350</v>
      </c>
      <c r="K33" s="6">
        <v>1675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58</v>
      </c>
      <c r="R33" s="4">
        <v>0</v>
      </c>
      <c r="S33" s="4">
        <v>2</v>
      </c>
      <c r="T33" s="4">
        <v>0</v>
      </c>
      <c r="U33" s="4">
        <v>0</v>
      </c>
      <c r="V33" s="6">
        <f>IF(ISERROR(VLOOKUP($S$33,'TAR FIN'!$A$1:$O$88,15,0)),0,VLOOKUP($S$33,'TAR FIN'!$A$1:$O$88,15,0))</f>
        <v>50.05</v>
      </c>
      <c r="W33" s="6">
        <f>IF(ISERROR(VLOOKUP($T$33,'TAR FIN'!$A$1:$O$88,15,0)),0,VLOOKUP($T$33,'TAR FIN'!$A$1:$O$88,15,0))</f>
        <v>0</v>
      </c>
      <c r="X33" s="6">
        <f>IF(ISERROR(VLOOKUP($U$33,'TAR FIN'!$A$1:$O$88,15,0)),0,VLOOKUP($U$33,'TAR FIN'!$A$1:$O$88,15,0))</f>
        <v>0</v>
      </c>
      <c r="Y33" s="6">
        <f ca="1">('TUSD BE'!$AM$5+'TUSD BF'!$AM$5+'TUSD CVA'!$AM$5)*1</f>
        <v>39.785437301566063</v>
      </c>
      <c r="Z33" s="6">
        <f ca="1">('TUSD BE'!$AM$7+'TUSD BF'!$AM$7+'TUSD CVA'!$AM$7)*1</f>
        <v>83.275517807559041</v>
      </c>
      <c r="AA33" s="6"/>
      <c r="AB33" s="6">
        <f t="shared" si="0"/>
        <v>83833.75</v>
      </c>
      <c r="AC33" s="6">
        <f t="shared" si="1"/>
        <v>0</v>
      </c>
      <c r="AD33" s="6">
        <f t="shared" ca="1" si="2"/>
        <v>66640.607480123159</v>
      </c>
      <c r="AE33" s="6">
        <f t="shared" ca="1" si="3"/>
        <v>0</v>
      </c>
      <c r="AF33" s="4" t="s">
        <v>734</v>
      </c>
    </row>
    <row r="34" spans="1:32" ht="11.25" customHeight="1" x14ac:dyDescent="0.25">
      <c r="A34" s="4" t="s">
        <v>21</v>
      </c>
      <c r="B34" s="4" t="s">
        <v>38</v>
      </c>
      <c r="C34" s="4" t="s">
        <v>56</v>
      </c>
      <c r="D34" s="4" t="s">
        <v>37</v>
      </c>
      <c r="E34" s="4" t="s">
        <v>25</v>
      </c>
      <c r="F34" s="4" t="s">
        <v>57</v>
      </c>
      <c r="G34" s="4" t="s">
        <v>25</v>
      </c>
      <c r="H34" s="4" t="s">
        <v>33</v>
      </c>
      <c r="I34" s="5">
        <v>44652</v>
      </c>
      <c r="J34" s="6">
        <v>3398</v>
      </c>
      <c r="K34" s="6">
        <v>1699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58</v>
      </c>
      <c r="R34" s="4">
        <v>0</v>
      </c>
      <c r="S34" s="4">
        <v>2</v>
      </c>
      <c r="T34" s="4">
        <v>0</v>
      </c>
      <c r="U34" s="4">
        <v>0</v>
      </c>
      <c r="V34" s="6">
        <f>IF(ISERROR(VLOOKUP($S$34,'TAR FIN'!$A$1:$O$88,15,0)),0,VLOOKUP($S$34,'TAR FIN'!$A$1:$O$88,15,0))</f>
        <v>50.05</v>
      </c>
      <c r="W34" s="6">
        <f>IF(ISERROR(VLOOKUP($T$34,'TAR FIN'!$A$1:$O$88,15,0)),0,VLOOKUP($T$34,'TAR FIN'!$A$1:$O$88,15,0))</f>
        <v>0</v>
      </c>
      <c r="X34" s="6">
        <f>IF(ISERROR(VLOOKUP($U$34,'TAR FIN'!$A$1:$O$88,15,0)),0,VLOOKUP($U$34,'TAR FIN'!$A$1:$O$88,15,0))</f>
        <v>0</v>
      </c>
      <c r="Y34" s="6">
        <f ca="1">('TUSD BE'!$AM$5+'TUSD BF'!$AM$5+'TUSD CVA'!$AM$5)*1</f>
        <v>39.785437301566063</v>
      </c>
      <c r="Z34" s="6">
        <f ca="1">('TUSD BE'!$AM$7+'TUSD BF'!$AM$7+'TUSD CVA'!$AM$7)*1</f>
        <v>83.275517807559041</v>
      </c>
      <c r="AA34" s="6"/>
      <c r="AB34" s="6">
        <f t="shared" ref="AB34:AB37" si="6">(J34-K34)*V34</f>
        <v>85034.95</v>
      </c>
      <c r="AC34" s="6">
        <f t="shared" ref="AC34:AC37" si="7">(L34-M34)*W34+(N34-O34)*X34</f>
        <v>0</v>
      </c>
      <c r="AD34" s="6">
        <f t="shared" ref="AD34:AD37" ca="1" si="8">(J34-K34)*Y34</f>
        <v>67595.45797536074</v>
      </c>
      <c r="AE34" s="6">
        <f t="shared" ref="AE34:AE37" ca="1" si="9">(L34-M34)*Z34+(N34-O34)*AA34</f>
        <v>0</v>
      </c>
      <c r="AF34" s="4" t="s">
        <v>734</v>
      </c>
    </row>
    <row r="35" spans="1:32" ht="11.25" customHeight="1" x14ac:dyDescent="0.25">
      <c r="A35" s="4" t="s">
        <v>21</v>
      </c>
      <c r="B35" s="4" t="s">
        <v>38</v>
      </c>
      <c r="C35" s="4" t="s">
        <v>56</v>
      </c>
      <c r="D35" s="4" t="s">
        <v>37</v>
      </c>
      <c r="E35" s="4" t="s">
        <v>25</v>
      </c>
      <c r="F35" s="4" t="s">
        <v>57</v>
      </c>
      <c r="G35" s="4" t="s">
        <v>25</v>
      </c>
      <c r="H35" s="4" t="s">
        <v>33</v>
      </c>
      <c r="I35" s="5">
        <v>44682</v>
      </c>
      <c r="J35" s="6">
        <v>3237</v>
      </c>
      <c r="K35" s="6">
        <v>1618.5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58</v>
      </c>
      <c r="R35" s="4">
        <v>0</v>
      </c>
      <c r="S35" s="4">
        <v>2</v>
      </c>
      <c r="T35" s="4">
        <v>0</v>
      </c>
      <c r="U35" s="4">
        <v>0</v>
      </c>
      <c r="V35" s="6">
        <f>IF(ISERROR(VLOOKUP($S$35,'TAR FIN'!$A$1:$O$88,15,0)),0,VLOOKUP($S$35,'TAR FIN'!$A$1:$O$88,15,0))</f>
        <v>50.05</v>
      </c>
      <c r="W35" s="6">
        <f>IF(ISERROR(VLOOKUP($T$35,'TAR FIN'!$A$1:$O$88,15,0)),0,VLOOKUP($T$35,'TAR FIN'!$A$1:$O$88,15,0))</f>
        <v>0</v>
      </c>
      <c r="X35" s="6">
        <f>IF(ISERROR(VLOOKUP($U$35,'TAR FIN'!$A$1:$O$88,15,0)),0,VLOOKUP($U$35,'TAR FIN'!$A$1:$O$88,15,0))</f>
        <v>0</v>
      </c>
      <c r="Y35" s="6">
        <f ca="1">('TUSD BE'!$AM$5+'TUSD BF'!$AM$5+'TUSD CVA'!$AM$5)*1</f>
        <v>39.785437301566063</v>
      </c>
      <c r="Z35" s="6">
        <f ca="1">('TUSD BE'!$AM$7+'TUSD BF'!$AM$7+'TUSD CVA'!$AM$7)*1</f>
        <v>83.275517807559041</v>
      </c>
      <c r="AA35" s="6"/>
      <c r="AB35" s="6">
        <f t="shared" si="6"/>
        <v>81005.924999999988</v>
      </c>
      <c r="AC35" s="6">
        <f t="shared" si="7"/>
        <v>0</v>
      </c>
      <c r="AD35" s="6">
        <f t="shared" ca="1" si="8"/>
        <v>64392.730272584675</v>
      </c>
      <c r="AE35" s="6">
        <f t="shared" ca="1" si="9"/>
        <v>0</v>
      </c>
      <c r="AF35" s="4" t="s">
        <v>734</v>
      </c>
    </row>
    <row r="36" spans="1:32" ht="11.25" customHeight="1" x14ac:dyDescent="0.25">
      <c r="A36" s="4" t="s">
        <v>21</v>
      </c>
      <c r="B36" s="4" t="s">
        <v>38</v>
      </c>
      <c r="C36" s="4" t="s">
        <v>56</v>
      </c>
      <c r="D36" s="4" t="s">
        <v>37</v>
      </c>
      <c r="E36" s="4" t="s">
        <v>25</v>
      </c>
      <c r="F36" s="4" t="s">
        <v>57</v>
      </c>
      <c r="G36" s="4" t="s">
        <v>25</v>
      </c>
      <c r="H36" s="4" t="s">
        <v>33</v>
      </c>
      <c r="I36" s="5">
        <v>44713</v>
      </c>
      <c r="J36" s="6">
        <v>3283</v>
      </c>
      <c r="K36" s="6">
        <v>1641.5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58</v>
      </c>
      <c r="R36" s="4">
        <v>0</v>
      </c>
      <c r="S36" s="4">
        <v>2</v>
      </c>
      <c r="T36" s="4">
        <v>0</v>
      </c>
      <c r="U36" s="4">
        <v>0</v>
      </c>
      <c r="V36" s="6">
        <f>IF(ISERROR(VLOOKUP($S$36,'TAR FIN'!$A$1:$O$88,15,0)),0,VLOOKUP($S$36,'TAR FIN'!$A$1:$O$88,15,0))</f>
        <v>50.05</v>
      </c>
      <c r="W36" s="6">
        <f>IF(ISERROR(VLOOKUP($T$36,'TAR FIN'!$A$1:$O$88,15,0)),0,VLOOKUP($T$36,'TAR FIN'!$A$1:$O$88,15,0))</f>
        <v>0</v>
      </c>
      <c r="X36" s="6">
        <f>IF(ISERROR(VLOOKUP($U$36,'TAR FIN'!$A$1:$O$88,15,0)),0,VLOOKUP($U$36,'TAR FIN'!$A$1:$O$88,15,0))</f>
        <v>0</v>
      </c>
      <c r="Y36" s="6">
        <f ca="1">('TUSD BE'!$AM$5+'TUSD BF'!$AM$5+'TUSD CVA'!$AM$5)*1</f>
        <v>39.785437301566063</v>
      </c>
      <c r="Z36" s="6">
        <f ca="1">('TUSD BE'!$AM$7+'TUSD BF'!$AM$7+'TUSD CVA'!$AM$7)*1</f>
        <v>83.275517807559041</v>
      </c>
      <c r="AA36" s="6"/>
      <c r="AB36" s="6">
        <f t="shared" si="6"/>
        <v>82157.074999999997</v>
      </c>
      <c r="AC36" s="6">
        <f t="shared" si="7"/>
        <v>0</v>
      </c>
      <c r="AD36" s="6">
        <f t="shared" ca="1" si="8"/>
        <v>65307.79533052069</v>
      </c>
      <c r="AE36" s="6">
        <f t="shared" ca="1" si="9"/>
        <v>0</v>
      </c>
      <c r="AF36" s="4" t="s">
        <v>734</v>
      </c>
    </row>
    <row r="37" spans="1:32" ht="11.25" customHeight="1" x14ac:dyDescent="0.25">
      <c r="A37" s="4" t="s">
        <v>55</v>
      </c>
      <c r="B37" s="4" t="s">
        <v>38</v>
      </c>
      <c r="C37" s="4" t="s">
        <v>56</v>
      </c>
      <c r="D37" s="4" t="s">
        <v>37</v>
      </c>
      <c r="E37" s="4" t="s">
        <v>25</v>
      </c>
      <c r="F37" s="4" t="s">
        <v>57</v>
      </c>
      <c r="G37" s="4" t="s">
        <v>25</v>
      </c>
      <c r="H37" s="4" t="s">
        <v>33</v>
      </c>
      <c r="I37" s="5">
        <v>44743</v>
      </c>
      <c r="J37" s="6">
        <v>3283</v>
      </c>
      <c r="K37" s="6">
        <v>1641.5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58</v>
      </c>
      <c r="R37" s="4">
        <v>0</v>
      </c>
      <c r="S37" s="4">
        <v>2</v>
      </c>
      <c r="T37" s="4">
        <v>0</v>
      </c>
      <c r="U37" s="4">
        <v>0</v>
      </c>
      <c r="V37" s="6">
        <f>IF(ISERROR(VLOOKUP($S$37,'TAR FIN'!$A$1:$O$88,15,0)),0,VLOOKUP($S$37,'TAR FIN'!$A$1:$O$88,15,0))</f>
        <v>50.05</v>
      </c>
      <c r="W37" s="6">
        <f>IF(ISERROR(VLOOKUP($T$37,'TAR FIN'!$A$1:$O$88,15,0)),0,VLOOKUP($T$37,'TAR FIN'!$A$1:$O$88,15,0))</f>
        <v>0</v>
      </c>
      <c r="X37" s="6">
        <f>IF(ISERROR(VLOOKUP($U$37,'TAR FIN'!$A$1:$O$88,15,0)),0,VLOOKUP($U$37,'TAR FIN'!$A$1:$O$88,15,0))</f>
        <v>0</v>
      </c>
      <c r="Y37" s="6">
        <f ca="1">('TUSD BE'!$AM$5+'TUSD BF'!$AM$5+'TUSD CVA'!$AM$5)*1</f>
        <v>39.785437301566063</v>
      </c>
      <c r="Z37" s="6">
        <f ca="1">('TUSD BE'!$AM$7+'TUSD BF'!$AM$7+'TUSD CVA'!$AM$7)*1</f>
        <v>83.275517807559041</v>
      </c>
      <c r="AA37" s="6"/>
      <c r="AB37" s="6">
        <f t="shared" si="6"/>
        <v>82157.074999999997</v>
      </c>
      <c r="AC37" s="6">
        <f t="shared" si="7"/>
        <v>0</v>
      </c>
      <c r="AD37" s="6">
        <f t="shared" ca="1" si="8"/>
        <v>65307.79533052069</v>
      </c>
      <c r="AE37" s="6">
        <f t="shared" ca="1" si="9"/>
        <v>0</v>
      </c>
      <c r="AF37" s="4" t="s">
        <v>734</v>
      </c>
    </row>
    <row r="38" spans="1:32" ht="11.25" customHeight="1" x14ac:dyDescent="0.25">
      <c r="A38" s="4" t="s">
        <v>21</v>
      </c>
      <c r="B38" s="4" t="s">
        <v>38</v>
      </c>
      <c r="C38" s="4" t="s">
        <v>39</v>
      </c>
      <c r="D38" s="4" t="s">
        <v>47</v>
      </c>
      <c r="E38" s="4" t="s">
        <v>48</v>
      </c>
      <c r="F38" s="4" t="s">
        <v>25</v>
      </c>
      <c r="G38" s="4" t="s">
        <v>25</v>
      </c>
      <c r="H38" s="4" t="s">
        <v>34</v>
      </c>
      <c r="I38" s="5">
        <v>44409</v>
      </c>
      <c r="J38" s="6">
        <v>0</v>
      </c>
      <c r="K38" s="58">
        <v>0</v>
      </c>
      <c r="L38" s="6">
        <v>91.888999999999996</v>
      </c>
      <c r="M38" s="58">
        <v>91.888999999999996</v>
      </c>
      <c r="N38" s="6">
        <v>91.888999999999996</v>
      </c>
      <c r="O38" s="58">
        <v>91.888999999999996</v>
      </c>
      <c r="P38" s="6">
        <v>0</v>
      </c>
      <c r="Q38" s="4" t="s">
        <v>26</v>
      </c>
      <c r="R38" s="4">
        <v>0</v>
      </c>
      <c r="S38" s="4">
        <v>0</v>
      </c>
      <c r="T38" s="4">
        <v>21</v>
      </c>
      <c r="U38" s="4">
        <v>70</v>
      </c>
      <c r="V38" s="58">
        <f>IF(ISERROR(VLOOKUP($S$38,'TAR FIN'!$A$1:$O$88,15,0)),0,VLOOKUP($S$38,'TAR FIN'!$A$1:$O$88,15,0))</f>
        <v>0</v>
      </c>
      <c r="W38" s="58">
        <f>IF(ISERROR(VLOOKUP($T$38,'TAR FIN'!$A$1:$O$88,15,0)),0,VLOOKUP($T$38,'TAR FIN'!$A$1:$O$88,15,0))*(1-0.06)</f>
        <v>69.3626</v>
      </c>
      <c r="X38" s="58">
        <f>IF(ISERROR(VLOOKUP($U$38,'TAR FIN'!$A$1:$O$88,15,0)),0,VLOOKUP($U$38,'TAR FIN'!$A$1:$O$88,15,0))*(1-0.06)</f>
        <v>250.70739999999998</v>
      </c>
      <c r="Y38" s="58"/>
      <c r="Z38" s="58">
        <f ca="1">('TUSD BE'!$AM$12+'TUSD BF'!$AM$12+'TUSD CVA'!$AM$12)*1*(1-0.03)</f>
        <v>80.777252273332266</v>
      </c>
      <c r="AA38" s="58">
        <f>('TE BE'!$AB$6+'TE BF'!$AB$6+'TE CVA'!$AB$6)*1*(1-0.03)</f>
        <v>191.75888533886973</v>
      </c>
      <c r="AB38" s="58">
        <f>(SUBSIDIO!$J$38*SUBSIDIO!$V$38)*(0.06)/(1-0.06)</f>
        <v>0</v>
      </c>
      <c r="AC38" s="58">
        <f>((SUBSIDIO!$L$38*SUBSIDIO!$W$38)+(SUBSIDIO!$N$38*SUBSIDIO!$X$38))*(0.06)/(1-0.06)</f>
        <v>1877.2922699999999</v>
      </c>
      <c r="AD38" s="58">
        <f>(SUBSIDIO!$J$38*SUBSIDIO!$Y$38)*(0.03)/(1-0.03)</f>
        <v>0</v>
      </c>
      <c r="AE38" s="58">
        <f ca="1">((SUBSIDIO!$L$38*SUBSIDIO!$Z$38)+(SUBSIDIO!$N$38*SUBSIDIO!$AA$38))*(0.03)/(1-0.03)</f>
        <v>774.52803553755552</v>
      </c>
      <c r="AF38" s="4" t="s">
        <v>735</v>
      </c>
    </row>
    <row r="39" spans="1:32" ht="11.25" customHeight="1" x14ac:dyDescent="0.25">
      <c r="A39" s="4" t="s">
        <v>21</v>
      </c>
      <c r="B39" s="4" t="s">
        <v>38</v>
      </c>
      <c r="C39" s="4" t="s">
        <v>39</v>
      </c>
      <c r="D39" s="4" t="s">
        <v>47</v>
      </c>
      <c r="E39" s="4" t="s">
        <v>48</v>
      </c>
      <c r="F39" s="4" t="s">
        <v>25</v>
      </c>
      <c r="G39" s="4" t="s">
        <v>25</v>
      </c>
      <c r="H39" s="4" t="s">
        <v>34</v>
      </c>
      <c r="I39" s="5">
        <v>44440</v>
      </c>
      <c r="J39" s="6">
        <v>0</v>
      </c>
      <c r="K39" s="58">
        <v>0</v>
      </c>
      <c r="L39" s="6">
        <v>105.346</v>
      </c>
      <c r="M39" s="58">
        <v>105.346</v>
      </c>
      <c r="N39" s="6">
        <v>105.346</v>
      </c>
      <c r="O39" s="58">
        <v>105.346</v>
      </c>
      <c r="P39" s="6">
        <v>0</v>
      </c>
      <c r="Q39" s="4" t="s">
        <v>26</v>
      </c>
      <c r="R39" s="4">
        <v>0</v>
      </c>
      <c r="S39" s="4">
        <v>0</v>
      </c>
      <c r="T39" s="4">
        <v>21</v>
      </c>
      <c r="U39" s="4">
        <v>70</v>
      </c>
      <c r="V39" s="58">
        <f>IF(ISERROR(VLOOKUP($S$39,'TAR FIN'!$A$1:$O$88,15,0)),0,VLOOKUP($S$39,'TAR FIN'!$A$1:$O$88,15,0))</f>
        <v>0</v>
      </c>
      <c r="W39" s="58">
        <f>IF(ISERROR(VLOOKUP($T$39,'TAR FIN'!$A$1:$O$88,15,0)),0,VLOOKUP($T$39,'TAR FIN'!$A$1:$O$88,15,0))*(1-0.06)</f>
        <v>69.3626</v>
      </c>
      <c r="X39" s="58">
        <f>IF(ISERROR(VLOOKUP($U$39,'TAR FIN'!$A$1:$O$88,15,0)),0,VLOOKUP($U$39,'TAR FIN'!$A$1:$O$88,15,0))*(1-0.06)</f>
        <v>250.70739999999998</v>
      </c>
      <c r="Y39" s="58"/>
      <c r="Z39" s="58">
        <f ca="1">('TUSD BE'!$AM$12+'TUSD BF'!$AM$12+'TUSD CVA'!$AM$12)*1*(1-0.03)</f>
        <v>80.777252273332266</v>
      </c>
      <c r="AA39" s="58">
        <f>('TE BE'!$AB$6+'TE BF'!$AB$6+'TE CVA'!$AB$6)*1*(1-0.03)</f>
        <v>191.75888533886973</v>
      </c>
      <c r="AB39" s="58">
        <f>(SUBSIDIO!$J$39*SUBSIDIO!$V$39)*(0.06)/(1-0.06)</f>
        <v>0</v>
      </c>
      <c r="AC39" s="58">
        <f>((SUBSIDIO!$L$39*SUBSIDIO!$W$39)+(SUBSIDIO!$N$39*SUBSIDIO!$X$39))*(0.06)/(1-0.06)</f>
        <v>2152.2187799999997</v>
      </c>
      <c r="AD39" s="58">
        <f>(SUBSIDIO!$J$39*SUBSIDIO!$Y$39)*(0.03)/(1-0.03)</f>
        <v>0</v>
      </c>
      <c r="AE39" s="58">
        <f ca="1">((SUBSIDIO!$L$39*SUBSIDIO!$Z$39)+(SUBSIDIO!$N$39*SUBSIDIO!$AA$39))*(0.03)/(1-0.03)</f>
        <v>887.95645215139268</v>
      </c>
      <c r="AF39" s="4" t="s">
        <v>735</v>
      </c>
    </row>
    <row r="40" spans="1:32" ht="11.25" customHeight="1" x14ac:dyDescent="0.25">
      <c r="A40" s="4" t="s">
        <v>21</v>
      </c>
      <c r="B40" s="4" t="s">
        <v>38</v>
      </c>
      <c r="C40" s="4" t="s">
        <v>39</v>
      </c>
      <c r="D40" s="4" t="s">
        <v>47</v>
      </c>
      <c r="E40" s="4" t="s">
        <v>48</v>
      </c>
      <c r="F40" s="4" t="s">
        <v>25</v>
      </c>
      <c r="G40" s="4" t="s">
        <v>25</v>
      </c>
      <c r="H40" s="4" t="s">
        <v>34</v>
      </c>
      <c r="I40" s="5">
        <v>44470</v>
      </c>
      <c r="J40" s="6">
        <v>0</v>
      </c>
      <c r="K40" s="58">
        <v>0</v>
      </c>
      <c r="L40" s="6">
        <v>91.350999999999999</v>
      </c>
      <c r="M40" s="58">
        <v>91.350999999999999</v>
      </c>
      <c r="N40" s="6">
        <v>91.350999999999999</v>
      </c>
      <c r="O40" s="58">
        <v>91.350999999999999</v>
      </c>
      <c r="P40" s="6">
        <v>0</v>
      </c>
      <c r="Q40" s="4" t="s">
        <v>26</v>
      </c>
      <c r="R40" s="4">
        <v>0</v>
      </c>
      <c r="S40" s="4">
        <v>0</v>
      </c>
      <c r="T40" s="4">
        <v>21</v>
      </c>
      <c r="U40" s="4">
        <v>70</v>
      </c>
      <c r="V40" s="58">
        <f>IF(ISERROR(VLOOKUP($S$40,'TAR FIN'!$A$1:$O$88,15,0)),0,VLOOKUP($S$40,'TAR FIN'!$A$1:$O$88,15,0))</f>
        <v>0</v>
      </c>
      <c r="W40" s="58">
        <f>IF(ISERROR(VLOOKUP($T$40,'TAR FIN'!$A$1:$O$88,15,0)),0,VLOOKUP($T$40,'TAR FIN'!$A$1:$O$88,15,0))*(1-0.06)</f>
        <v>69.3626</v>
      </c>
      <c r="X40" s="58">
        <f>IF(ISERROR(VLOOKUP($U$40,'TAR FIN'!$A$1:$O$88,15,0)),0,VLOOKUP($U$40,'TAR FIN'!$A$1:$O$88,15,0))*(1-0.06)</f>
        <v>250.70739999999998</v>
      </c>
      <c r="Y40" s="58"/>
      <c r="Z40" s="58">
        <f ca="1">('TUSD BE'!$AM$12+'TUSD BF'!$AM$12+'TUSD CVA'!$AM$12)*1*(1-0.03)</f>
        <v>80.777252273332266</v>
      </c>
      <c r="AA40" s="58">
        <f>('TE BE'!$AB$6+'TE BF'!$AB$6+'TE CVA'!$AB$6)*1*(1-0.03)</f>
        <v>191.75888533886973</v>
      </c>
      <c r="AB40" s="58">
        <f>(SUBSIDIO!$J$40*SUBSIDIO!$V$40)*(0.06)/(1-0.06)</f>
        <v>0</v>
      </c>
      <c r="AC40" s="58">
        <f>((SUBSIDIO!$L$40*SUBSIDIO!$W$40)+(SUBSIDIO!$N$40*SUBSIDIO!$X$40))*(0.06)/(1-0.06)</f>
        <v>1866.3009299999997</v>
      </c>
      <c r="AD40" s="58">
        <f>(SUBSIDIO!$J$40*SUBSIDIO!$Y$40)*(0.03)/(1-0.03)</f>
        <v>0</v>
      </c>
      <c r="AE40" s="58">
        <f ca="1">((SUBSIDIO!$L$40*SUBSIDIO!$Z$40)+(SUBSIDIO!$N$40*SUBSIDIO!$AA$40))*(0.03)/(1-0.03)</f>
        <v>769.99325897976064</v>
      </c>
      <c r="AF40" s="4" t="s">
        <v>735</v>
      </c>
    </row>
    <row r="41" spans="1:32" ht="11.25" customHeight="1" x14ac:dyDescent="0.25">
      <c r="A41" s="4" t="s">
        <v>21</v>
      </c>
      <c r="B41" s="4" t="s">
        <v>38</v>
      </c>
      <c r="C41" s="4" t="s">
        <v>39</v>
      </c>
      <c r="D41" s="4" t="s">
        <v>47</v>
      </c>
      <c r="E41" s="4" t="s">
        <v>48</v>
      </c>
      <c r="F41" s="4" t="s">
        <v>25</v>
      </c>
      <c r="G41" s="4" t="s">
        <v>25</v>
      </c>
      <c r="H41" s="4" t="s">
        <v>34</v>
      </c>
      <c r="I41" s="5">
        <v>44501</v>
      </c>
      <c r="J41" s="6">
        <v>0</v>
      </c>
      <c r="K41" s="58">
        <v>0</v>
      </c>
      <c r="L41" s="6">
        <v>104.70699999999999</v>
      </c>
      <c r="M41" s="58">
        <v>104.70699999999999</v>
      </c>
      <c r="N41" s="6">
        <v>104.70699999999999</v>
      </c>
      <c r="O41" s="58">
        <v>104.70699999999999</v>
      </c>
      <c r="P41" s="6">
        <v>0</v>
      </c>
      <c r="Q41" s="4" t="s">
        <v>26</v>
      </c>
      <c r="R41" s="4">
        <v>0</v>
      </c>
      <c r="S41" s="4">
        <v>0</v>
      </c>
      <c r="T41" s="4">
        <v>21</v>
      </c>
      <c r="U41" s="4">
        <v>70</v>
      </c>
      <c r="V41" s="58">
        <f>IF(ISERROR(VLOOKUP($S$41,'TAR FIN'!$A$1:$O$88,15,0)),0,VLOOKUP($S$41,'TAR FIN'!$A$1:$O$88,15,0))</f>
        <v>0</v>
      </c>
      <c r="W41" s="58">
        <f>IF(ISERROR(VLOOKUP($T$41,'TAR FIN'!$A$1:$O$88,15,0)),0,VLOOKUP($T$41,'TAR FIN'!$A$1:$O$88,15,0))*(1-0.06)</f>
        <v>69.3626</v>
      </c>
      <c r="X41" s="58">
        <f>IF(ISERROR(VLOOKUP($U$41,'TAR FIN'!$A$1:$O$88,15,0)),0,VLOOKUP($U$41,'TAR FIN'!$A$1:$O$88,15,0))*(1-0.06)</f>
        <v>250.70739999999998</v>
      </c>
      <c r="Y41" s="58"/>
      <c r="Z41" s="58">
        <f ca="1">('TUSD BE'!$AM$12+'TUSD BF'!$AM$12+'TUSD CVA'!$AM$12)*1*(1-0.03)</f>
        <v>80.777252273332266</v>
      </c>
      <c r="AA41" s="58">
        <f>('TE BE'!$AB$6+'TE BF'!$AB$6+'TE CVA'!$AB$6)*1*(1-0.03)</f>
        <v>191.75888533886973</v>
      </c>
      <c r="AB41" s="58">
        <f>(SUBSIDIO!$J$41*SUBSIDIO!$V$41)*(0.06)/(1-0.06)</f>
        <v>0</v>
      </c>
      <c r="AC41" s="58">
        <f>((SUBSIDIO!$L$41*SUBSIDIO!$W$41)+(SUBSIDIO!$N$41*SUBSIDIO!$X$41))*(0.06)/(1-0.06)</f>
        <v>2139.1640099999995</v>
      </c>
      <c r="AD41" s="58">
        <f>(SUBSIDIO!$J$41*SUBSIDIO!$Y$41)*(0.03)/(1-0.03)</f>
        <v>0</v>
      </c>
      <c r="AE41" s="58">
        <f ca="1">((SUBSIDIO!$L$41*SUBSIDIO!$Z$41)+(SUBSIDIO!$N$41*SUBSIDIO!$AA$41))*(0.03)/(1-0.03)</f>
        <v>882.57035136992261</v>
      </c>
      <c r="AF41" s="4" t="s">
        <v>735</v>
      </c>
    </row>
    <row r="42" spans="1:32" ht="11.25" customHeight="1" x14ac:dyDescent="0.25">
      <c r="A42" s="4" t="s">
        <v>21</v>
      </c>
      <c r="B42" s="4" t="s">
        <v>38</v>
      </c>
      <c r="C42" s="4" t="s">
        <v>39</v>
      </c>
      <c r="D42" s="4" t="s">
        <v>47</v>
      </c>
      <c r="E42" s="4" t="s">
        <v>48</v>
      </c>
      <c r="F42" s="4" t="s">
        <v>25</v>
      </c>
      <c r="G42" s="4" t="s">
        <v>25</v>
      </c>
      <c r="H42" s="4" t="s">
        <v>34</v>
      </c>
      <c r="I42" s="5">
        <v>44531</v>
      </c>
      <c r="J42" s="6">
        <v>0</v>
      </c>
      <c r="K42" s="58">
        <v>0</v>
      </c>
      <c r="L42" s="6">
        <v>120.598</v>
      </c>
      <c r="M42" s="58">
        <v>120.598</v>
      </c>
      <c r="N42" s="6">
        <v>120.598</v>
      </c>
      <c r="O42" s="58">
        <v>120.598</v>
      </c>
      <c r="P42" s="6">
        <v>0</v>
      </c>
      <c r="Q42" s="4" t="s">
        <v>26</v>
      </c>
      <c r="R42" s="4">
        <v>0</v>
      </c>
      <c r="S42" s="4">
        <v>0</v>
      </c>
      <c r="T42" s="4">
        <v>21</v>
      </c>
      <c r="U42" s="4">
        <v>70</v>
      </c>
      <c r="V42" s="58">
        <f>IF(ISERROR(VLOOKUP($S$42,'TAR FIN'!$A$1:$O$88,15,0)),0,VLOOKUP($S$42,'TAR FIN'!$A$1:$O$88,15,0))</f>
        <v>0</v>
      </c>
      <c r="W42" s="58">
        <f>IF(ISERROR(VLOOKUP($T$42,'TAR FIN'!$A$1:$O$88,15,0)),0,VLOOKUP($T$42,'TAR FIN'!$A$1:$O$88,15,0))*(1-0.06)</f>
        <v>69.3626</v>
      </c>
      <c r="X42" s="58">
        <f>IF(ISERROR(VLOOKUP($U$42,'TAR FIN'!$A$1:$O$88,15,0)),0,VLOOKUP($U$42,'TAR FIN'!$A$1:$O$88,15,0))*(1-0.06)</f>
        <v>250.70739999999998</v>
      </c>
      <c r="Y42" s="58"/>
      <c r="Z42" s="58">
        <f ca="1">('TUSD BE'!$AM$12+'TUSD BF'!$AM$12+'TUSD CVA'!$AM$12)*1*(1-0.03)</f>
        <v>80.777252273332266</v>
      </c>
      <c r="AA42" s="58">
        <f>('TE BE'!$AB$6+'TE BF'!$AB$6+'TE CVA'!$AB$6)*1*(1-0.03)</f>
        <v>191.75888533886973</v>
      </c>
      <c r="AB42" s="58">
        <f>(SUBSIDIO!$J$42*SUBSIDIO!$V$42)*(0.06)/(1-0.06)</f>
        <v>0</v>
      </c>
      <c r="AC42" s="58">
        <f>((SUBSIDIO!$L$42*SUBSIDIO!$W$42)+(SUBSIDIO!$N$42*SUBSIDIO!$X$42))*(0.06)/(1-0.06)</f>
        <v>2463.8171399999997</v>
      </c>
      <c r="AD42" s="58">
        <f>(SUBSIDIO!$J$42*SUBSIDIO!$Y$42)*(0.03)/(1-0.03)</f>
        <v>0</v>
      </c>
      <c r="AE42" s="58">
        <f ca="1">((SUBSIDIO!$L$42*SUBSIDIO!$Z$42)+(SUBSIDIO!$N$42*SUBSIDIO!$AA$42))*(0.03)/(1-0.03)</f>
        <v>1016.5148388790619</v>
      </c>
      <c r="AF42" s="4" t="s">
        <v>735</v>
      </c>
    </row>
    <row r="43" spans="1:32" ht="11.25" customHeight="1" x14ac:dyDescent="0.25">
      <c r="A43" s="4" t="s">
        <v>21</v>
      </c>
      <c r="B43" s="4" t="s">
        <v>38</v>
      </c>
      <c r="C43" s="4" t="s">
        <v>39</v>
      </c>
      <c r="D43" s="4" t="s">
        <v>47</v>
      </c>
      <c r="E43" s="4" t="s">
        <v>48</v>
      </c>
      <c r="F43" s="4" t="s">
        <v>25</v>
      </c>
      <c r="G43" s="4" t="s">
        <v>25</v>
      </c>
      <c r="H43" s="4" t="s">
        <v>34</v>
      </c>
      <c r="I43" s="5">
        <v>44562</v>
      </c>
      <c r="J43" s="6">
        <v>0</v>
      </c>
      <c r="K43" s="58">
        <v>0</v>
      </c>
      <c r="L43" s="6">
        <v>111.91200000000001</v>
      </c>
      <c r="M43" s="58">
        <v>111.91200000000001</v>
      </c>
      <c r="N43" s="6">
        <v>111.91200000000001</v>
      </c>
      <c r="O43" s="58">
        <v>111.91200000000001</v>
      </c>
      <c r="P43" s="6">
        <v>0</v>
      </c>
      <c r="Q43" s="4" t="s">
        <v>26</v>
      </c>
      <c r="R43" s="4">
        <v>0</v>
      </c>
      <c r="S43" s="4">
        <v>0</v>
      </c>
      <c r="T43" s="4">
        <v>21</v>
      </c>
      <c r="U43" s="4">
        <v>70</v>
      </c>
      <c r="V43" s="58">
        <f>IF(ISERROR(VLOOKUP($S$43,'TAR FIN'!$A$1:$O$88,15,0)),0,VLOOKUP($S$43,'TAR FIN'!$A$1:$O$88,15,0))</f>
        <v>0</v>
      </c>
      <c r="W43" s="58">
        <f>IF(ISERROR(VLOOKUP($T$43,'TAR FIN'!$A$1:$O$88,15,0)),0,VLOOKUP($T$43,'TAR FIN'!$A$1:$O$88,15,0))*(1-0.06)</f>
        <v>69.3626</v>
      </c>
      <c r="X43" s="58">
        <f>IF(ISERROR(VLOOKUP($U$43,'TAR FIN'!$A$1:$O$88,15,0)),0,VLOOKUP($U$43,'TAR FIN'!$A$1:$O$88,15,0))*(1-0.06)</f>
        <v>250.70739999999998</v>
      </c>
      <c r="Y43" s="58"/>
      <c r="Z43" s="58">
        <f ca="1">('TUSD BE'!$AM$12+'TUSD BF'!$AM$12+'TUSD CVA'!$AM$12)*1*(1-0.03)</f>
        <v>80.777252273332266</v>
      </c>
      <c r="AA43" s="58">
        <f>('TE BE'!$AB$6+'TE BF'!$AB$6+'TE CVA'!$AB$6)*1*(1-0.03)</f>
        <v>191.75888533886973</v>
      </c>
      <c r="AB43" s="58">
        <f>(SUBSIDIO!$J$43*SUBSIDIO!$V$43)*(0.06)/(1-0.06)</f>
        <v>0</v>
      </c>
      <c r="AC43" s="58">
        <f>((SUBSIDIO!$L$43*SUBSIDIO!$W$43)+(SUBSIDIO!$N$43*SUBSIDIO!$X$43))*(0.06)/(1-0.06)</f>
        <v>2286.3621600000001</v>
      </c>
      <c r="AD43" s="58">
        <f>(SUBSIDIO!$J$43*SUBSIDIO!$Y$43)*(0.03)/(1-0.03)</f>
        <v>0</v>
      </c>
      <c r="AE43" s="58">
        <f ca="1">((SUBSIDIO!$L$43*SUBSIDIO!$Z$43)+(SUBSIDIO!$N$43*SUBSIDIO!$AA$43))*(0.03)/(1-0.03)</f>
        <v>943.30095564299234</v>
      </c>
      <c r="AF43" s="4" t="s">
        <v>735</v>
      </c>
    </row>
    <row r="44" spans="1:32" ht="11.25" customHeight="1" x14ac:dyDescent="0.25">
      <c r="A44" s="4" t="s">
        <v>21</v>
      </c>
      <c r="B44" s="4" t="s">
        <v>38</v>
      </c>
      <c r="C44" s="4" t="s">
        <v>39</v>
      </c>
      <c r="D44" s="4" t="s">
        <v>47</v>
      </c>
      <c r="E44" s="4" t="s">
        <v>48</v>
      </c>
      <c r="F44" s="4" t="s">
        <v>25</v>
      </c>
      <c r="G44" s="4" t="s">
        <v>25</v>
      </c>
      <c r="H44" s="4" t="s">
        <v>34</v>
      </c>
      <c r="I44" s="5">
        <v>44593</v>
      </c>
      <c r="J44" s="6">
        <v>0</v>
      </c>
      <c r="K44" s="58">
        <v>0</v>
      </c>
      <c r="L44" s="6">
        <v>101.56</v>
      </c>
      <c r="M44" s="58">
        <v>101.56</v>
      </c>
      <c r="N44" s="6">
        <v>101.56</v>
      </c>
      <c r="O44" s="58">
        <v>101.56</v>
      </c>
      <c r="P44" s="6">
        <v>0</v>
      </c>
      <c r="Q44" s="4" t="s">
        <v>26</v>
      </c>
      <c r="R44" s="4">
        <v>0</v>
      </c>
      <c r="S44" s="4">
        <v>0</v>
      </c>
      <c r="T44" s="4">
        <v>21</v>
      </c>
      <c r="U44" s="4">
        <v>70</v>
      </c>
      <c r="V44" s="58">
        <f>IF(ISERROR(VLOOKUP($S$44,'TAR FIN'!$A$1:$O$88,15,0)),0,VLOOKUP($S$44,'TAR FIN'!$A$1:$O$88,15,0))</f>
        <v>0</v>
      </c>
      <c r="W44" s="58">
        <f>IF(ISERROR(VLOOKUP($T$44,'TAR FIN'!$A$1:$O$88,15,0)),0,VLOOKUP($T$44,'TAR FIN'!$A$1:$O$88,15,0))*(1-0.06)</f>
        <v>69.3626</v>
      </c>
      <c r="X44" s="58">
        <f>IF(ISERROR(VLOOKUP($U$44,'TAR FIN'!$A$1:$O$88,15,0)),0,VLOOKUP($U$44,'TAR FIN'!$A$1:$O$88,15,0))*(1-0.06)</f>
        <v>250.70739999999998</v>
      </c>
      <c r="Y44" s="58"/>
      <c r="Z44" s="58">
        <f ca="1">('TUSD BE'!$AM$12+'TUSD BF'!$AM$12+'TUSD CVA'!$AM$12)*1*(1-0.03)</f>
        <v>80.777252273332266</v>
      </c>
      <c r="AA44" s="58">
        <f>('TE BE'!$AB$6+'TE BF'!$AB$6+'TE CVA'!$AB$6)*1*(1-0.03)</f>
        <v>191.75888533886973</v>
      </c>
      <c r="AB44" s="58">
        <f>(SUBSIDIO!$J$44*SUBSIDIO!$V$44)*(0.06)/(1-0.06)</f>
        <v>0</v>
      </c>
      <c r="AC44" s="58">
        <f>((SUBSIDIO!$L$44*SUBSIDIO!$W$44)+(SUBSIDIO!$N$44*SUBSIDIO!$X$44))*(0.06)/(1-0.06)</f>
        <v>2074.8708000000001</v>
      </c>
      <c r="AD44" s="58">
        <f>(SUBSIDIO!$J$44*SUBSIDIO!$Y$44)*(0.03)/(1-0.03)</f>
        <v>0</v>
      </c>
      <c r="AE44" s="58">
        <f ca="1">((SUBSIDIO!$L$44*SUBSIDIO!$Z$44)+(SUBSIDIO!$N$44*SUBSIDIO!$AA$44))*(0.03)/(1-0.03)</f>
        <v>856.04443719263611</v>
      </c>
      <c r="AF44" s="4" t="s">
        <v>735</v>
      </c>
    </row>
    <row r="45" spans="1:32" ht="11.25" customHeight="1" x14ac:dyDescent="0.25">
      <c r="A45" s="4" t="s">
        <v>21</v>
      </c>
      <c r="B45" s="4" t="s">
        <v>38</v>
      </c>
      <c r="C45" s="4" t="s">
        <v>39</v>
      </c>
      <c r="D45" s="4" t="s">
        <v>47</v>
      </c>
      <c r="E45" s="4" t="s">
        <v>48</v>
      </c>
      <c r="F45" s="4" t="s">
        <v>25</v>
      </c>
      <c r="G45" s="4" t="s">
        <v>25</v>
      </c>
      <c r="H45" s="4" t="s">
        <v>34</v>
      </c>
      <c r="I45" s="5">
        <v>44621</v>
      </c>
      <c r="J45" s="6">
        <v>0</v>
      </c>
      <c r="K45" s="58">
        <v>0</v>
      </c>
      <c r="L45" s="6">
        <v>116.85</v>
      </c>
      <c r="M45" s="58">
        <v>116.85</v>
      </c>
      <c r="N45" s="6">
        <v>116.85</v>
      </c>
      <c r="O45" s="58">
        <v>116.85</v>
      </c>
      <c r="P45" s="6">
        <v>0</v>
      </c>
      <c r="Q45" s="4" t="s">
        <v>26</v>
      </c>
      <c r="R45" s="4">
        <v>0</v>
      </c>
      <c r="S45" s="4">
        <v>0</v>
      </c>
      <c r="T45" s="4">
        <v>21</v>
      </c>
      <c r="U45" s="4">
        <v>70</v>
      </c>
      <c r="V45" s="58">
        <f>IF(ISERROR(VLOOKUP($S$45,'TAR FIN'!$A$1:$O$88,15,0)),0,VLOOKUP($S$45,'TAR FIN'!$A$1:$O$88,15,0))</f>
        <v>0</v>
      </c>
      <c r="W45" s="58">
        <f>IF(ISERROR(VLOOKUP($T$45,'TAR FIN'!$A$1:$O$88,15,0)),0,VLOOKUP($T$45,'TAR FIN'!$A$1:$O$88,15,0))*(1-0.06)</f>
        <v>69.3626</v>
      </c>
      <c r="X45" s="58">
        <f>IF(ISERROR(VLOOKUP($U$45,'TAR FIN'!$A$1:$O$88,15,0)),0,VLOOKUP($U$45,'TAR FIN'!$A$1:$O$88,15,0))*(1-0.06)</f>
        <v>250.70739999999998</v>
      </c>
      <c r="Y45" s="58"/>
      <c r="Z45" s="58">
        <f ca="1">('TUSD BE'!$AM$12+'TUSD BF'!$AM$12+'TUSD CVA'!$AM$12)*1*(1-0.03)</f>
        <v>80.777252273332266</v>
      </c>
      <c r="AA45" s="58">
        <f>('TE BE'!$AB$6+'TE BF'!$AB$6+'TE CVA'!$AB$6)*1*(1-0.03)</f>
        <v>191.75888533886973</v>
      </c>
      <c r="AB45" s="58">
        <f>(SUBSIDIO!$J$45*SUBSIDIO!$V$45)*(0.06)/(1-0.06)</f>
        <v>0</v>
      </c>
      <c r="AC45" s="58">
        <f>((SUBSIDIO!$L$45*SUBSIDIO!$W$45)+(SUBSIDIO!$N$45*SUBSIDIO!$X$45))*(0.06)/(1-0.06)</f>
        <v>2387.2455</v>
      </c>
      <c r="AD45" s="58">
        <f>(SUBSIDIO!$J$45*SUBSIDIO!$Y$45)*(0.03)/(1-0.03)</f>
        <v>0</v>
      </c>
      <c r="AE45" s="58">
        <f ca="1">((SUBSIDIO!$L$45*SUBSIDIO!$Z$45)+(SUBSIDIO!$N$45*SUBSIDIO!$AA$45))*(0.03)/(1-0.03)</f>
        <v>984.92312412327226</v>
      </c>
      <c r="AF45" s="4" t="s">
        <v>735</v>
      </c>
    </row>
    <row r="46" spans="1:32" ht="11.25" customHeight="1" x14ac:dyDescent="0.25">
      <c r="A46" s="4" t="s">
        <v>21</v>
      </c>
      <c r="B46" s="4" t="s">
        <v>38</v>
      </c>
      <c r="C46" s="4" t="s">
        <v>39</v>
      </c>
      <c r="D46" s="4" t="s">
        <v>47</v>
      </c>
      <c r="E46" s="4" t="s">
        <v>48</v>
      </c>
      <c r="F46" s="4" t="s">
        <v>25</v>
      </c>
      <c r="G46" s="4" t="s">
        <v>25</v>
      </c>
      <c r="H46" s="4" t="s">
        <v>34</v>
      </c>
      <c r="I46" s="5">
        <v>44652</v>
      </c>
      <c r="J46" s="6">
        <v>0</v>
      </c>
      <c r="K46" s="58">
        <v>0</v>
      </c>
      <c r="L46" s="6">
        <v>105.839</v>
      </c>
      <c r="M46" s="58">
        <v>105.839</v>
      </c>
      <c r="N46" s="6">
        <v>105.839</v>
      </c>
      <c r="O46" s="58">
        <v>105.839</v>
      </c>
      <c r="P46" s="6">
        <v>0</v>
      </c>
      <c r="Q46" s="4" t="s">
        <v>26</v>
      </c>
      <c r="R46" s="4">
        <v>0</v>
      </c>
      <c r="S46" s="4">
        <v>0</v>
      </c>
      <c r="T46" s="4">
        <v>21</v>
      </c>
      <c r="U46" s="4">
        <v>70</v>
      </c>
      <c r="V46" s="58">
        <f>IF(ISERROR(VLOOKUP($S$46,'TAR FIN'!$A$1:$O$88,15,0)),0,VLOOKUP($S$46,'TAR FIN'!$A$1:$O$88,15,0))</f>
        <v>0</v>
      </c>
      <c r="W46" s="58">
        <f>IF(ISERROR(VLOOKUP($T$46,'TAR FIN'!$A$1:$O$88,15,0)),0,VLOOKUP($T$46,'TAR FIN'!$A$1:$O$88,15,0))*(1-0.06)</f>
        <v>69.3626</v>
      </c>
      <c r="X46" s="58">
        <f>IF(ISERROR(VLOOKUP($U$46,'TAR FIN'!$A$1:$O$88,15,0)),0,VLOOKUP($U$46,'TAR FIN'!$A$1:$O$88,15,0))*(1-0.06)</f>
        <v>250.70739999999998</v>
      </c>
      <c r="Y46" s="58"/>
      <c r="Z46" s="58">
        <f ca="1">('TUSD BE'!$AM$12+'TUSD BF'!$AM$12+'TUSD CVA'!$AM$12)*1*(1-0.03)</f>
        <v>80.777252273332266</v>
      </c>
      <c r="AA46" s="58">
        <f>('TE BE'!$AB$6+'TE BF'!$AB$6+'TE CVA'!$AB$6)*1*(1-0.03)</f>
        <v>191.75888533886973</v>
      </c>
      <c r="AB46" s="58">
        <f>(SUBSIDIO!$J$46*SUBSIDIO!$V$46)*(0.06)/(1-0.06)</f>
        <v>0</v>
      </c>
      <c r="AC46" s="58">
        <f>((SUBSIDIO!$L$46*SUBSIDIO!$W$46)+(SUBSIDIO!$N$46*SUBSIDIO!$X$46))*(0.06)/(1-0.06)</f>
        <v>2162.2907700000001</v>
      </c>
      <c r="AD46" s="58">
        <f>(SUBSIDIO!$J$46*SUBSIDIO!$Y$46)*(0.03)/(1-0.03)</f>
        <v>0</v>
      </c>
      <c r="AE46" s="58">
        <f ca="1">((SUBSIDIO!$L$46*SUBSIDIO!$Z$46)+(SUBSIDIO!$N$46*SUBSIDIO!$AA$46))*(0.03)/(1-0.03)</f>
        <v>892.11192583725301</v>
      </c>
      <c r="AF46" s="4" t="s">
        <v>735</v>
      </c>
    </row>
    <row r="47" spans="1:32" ht="11.25" customHeight="1" x14ac:dyDescent="0.25">
      <c r="A47" s="4" t="s">
        <v>21</v>
      </c>
      <c r="B47" s="4" t="s">
        <v>38</v>
      </c>
      <c r="C47" s="4" t="s">
        <v>39</v>
      </c>
      <c r="D47" s="4" t="s">
        <v>47</v>
      </c>
      <c r="E47" s="4" t="s">
        <v>48</v>
      </c>
      <c r="F47" s="4" t="s">
        <v>25</v>
      </c>
      <c r="G47" s="4" t="s">
        <v>25</v>
      </c>
      <c r="H47" s="4" t="s">
        <v>34</v>
      </c>
      <c r="I47" s="5">
        <v>44682</v>
      </c>
      <c r="J47" s="6">
        <v>0</v>
      </c>
      <c r="K47" s="58">
        <v>0</v>
      </c>
      <c r="L47" s="6">
        <v>110.95099999999999</v>
      </c>
      <c r="M47" s="58">
        <v>110.95099999999999</v>
      </c>
      <c r="N47" s="6">
        <v>110.95099999999999</v>
      </c>
      <c r="O47" s="58">
        <v>110.95099999999999</v>
      </c>
      <c r="P47" s="6">
        <v>0</v>
      </c>
      <c r="Q47" s="4" t="s">
        <v>26</v>
      </c>
      <c r="R47" s="4">
        <v>0</v>
      </c>
      <c r="S47" s="4">
        <v>0</v>
      </c>
      <c r="T47" s="4">
        <v>21</v>
      </c>
      <c r="U47" s="4">
        <v>70</v>
      </c>
      <c r="V47" s="58">
        <f>IF(ISERROR(VLOOKUP($S$47,'TAR FIN'!$A$1:$O$88,15,0)),0,VLOOKUP($S$47,'TAR FIN'!$A$1:$O$88,15,0))</f>
        <v>0</v>
      </c>
      <c r="W47" s="58">
        <f>IF(ISERROR(VLOOKUP($T$47,'TAR FIN'!$A$1:$O$88,15,0)),0,VLOOKUP($T$47,'TAR FIN'!$A$1:$O$88,15,0))*(1-0.06)</f>
        <v>69.3626</v>
      </c>
      <c r="X47" s="58">
        <f>IF(ISERROR(VLOOKUP($U$47,'TAR FIN'!$A$1:$O$88,15,0)),0,VLOOKUP($U$47,'TAR FIN'!$A$1:$O$88,15,0))*(1-0.06)</f>
        <v>250.70739999999998</v>
      </c>
      <c r="Y47" s="58"/>
      <c r="Z47" s="58">
        <f ca="1">('TUSD BE'!$AM$12+'TUSD BF'!$AM$12+'TUSD CVA'!$AM$12)*1*(1-0.03)</f>
        <v>80.777252273332266</v>
      </c>
      <c r="AA47" s="58">
        <f>('TE BE'!$AB$6+'TE BF'!$AB$6+'TE CVA'!$AB$6)*1*(1-0.03)</f>
        <v>191.75888533886973</v>
      </c>
      <c r="AB47" s="58">
        <f>(SUBSIDIO!$J$47*SUBSIDIO!$V$47)*(0.06)/(1-0.06)</f>
        <v>0</v>
      </c>
      <c r="AC47" s="58">
        <f>((SUBSIDIO!$L$47*SUBSIDIO!$W$47)+(SUBSIDIO!$N$47*SUBSIDIO!$X$47))*(0.06)/(1-0.06)</f>
        <v>2266.7289299999993</v>
      </c>
      <c r="AD47" s="58">
        <f>(SUBSIDIO!$J$47*SUBSIDIO!$Y$47)*(0.03)/(1-0.03)</f>
        <v>0</v>
      </c>
      <c r="AE47" s="58">
        <f ca="1">((SUBSIDIO!$L$47*SUBSIDIO!$Z$47)+(SUBSIDIO!$N$47*SUBSIDIO!$AA$47))*(0.03)/(1-0.03)</f>
        <v>935.20073208901294</v>
      </c>
      <c r="AF47" s="4" t="s">
        <v>735</v>
      </c>
    </row>
    <row r="48" spans="1:32" ht="11.25" customHeight="1" x14ac:dyDescent="0.25">
      <c r="A48" s="4" t="s">
        <v>21</v>
      </c>
      <c r="B48" s="4" t="s">
        <v>38</v>
      </c>
      <c r="C48" s="4" t="s">
        <v>39</v>
      </c>
      <c r="D48" s="4" t="s">
        <v>47</v>
      </c>
      <c r="E48" s="4" t="s">
        <v>48</v>
      </c>
      <c r="F48" s="4" t="s">
        <v>25</v>
      </c>
      <c r="G48" s="4" t="s">
        <v>25</v>
      </c>
      <c r="H48" s="4" t="s">
        <v>34</v>
      </c>
      <c r="I48" s="5">
        <v>44713</v>
      </c>
      <c r="J48" s="6">
        <v>0</v>
      </c>
      <c r="K48" s="58">
        <v>0</v>
      </c>
      <c r="L48" s="6">
        <v>106.52</v>
      </c>
      <c r="M48" s="58">
        <v>106.52</v>
      </c>
      <c r="N48" s="6">
        <v>106.52</v>
      </c>
      <c r="O48" s="58">
        <v>106.52</v>
      </c>
      <c r="P48" s="6">
        <v>0</v>
      </c>
      <c r="Q48" s="4" t="s">
        <v>26</v>
      </c>
      <c r="R48" s="4">
        <v>0</v>
      </c>
      <c r="S48" s="4">
        <v>0</v>
      </c>
      <c r="T48" s="4">
        <v>21</v>
      </c>
      <c r="U48" s="4">
        <v>70</v>
      </c>
      <c r="V48" s="58">
        <f>IF(ISERROR(VLOOKUP($S$48,'TAR FIN'!$A$1:$O$88,15,0)),0,VLOOKUP($S$48,'TAR FIN'!$A$1:$O$88,15,0))</f>
        <v>0</v>
      </c>
      <c r="W48" s="58">
        <f>IF(ISERROR(VLOOKUP($T$48,'TAR FIN'!$A$1:$O$88,15,0)),0,VLOOKUP($T$48,'TAR FIN'!$A$1:$O$88,15,0))*(1-0.06)</f>
        <v>69.3626</v>
      </c>
      <c r="X48" s="58">
        <f>IF(ISERROR(VLOOKUP($U$48,'TAR FIN'!$A$1:$O$88,15,0)),0,VLOOKUP($U$48,'TAR FIN'!$A$1:$O$88,15,0))*(1-0.06)</f>
        <v>250.70739999999998</v>
      </c>
      <c r="Y48" s="58"/>
      <c r="Z48" s="58">
        <f ca="1">('TUSD BE'!$AM$12+'TUSD BF'!$AM$12+'TUSD CVA'!$AM$12)*1*(1-0.03)</f>
        <v>80.777252273332266</v>
      </c>
      <c r="AA48" s="58">
        <f>('TE BE'!$AB$6+'TE BF'!$AB$6+'TE CVA'!$AB$6)*1*(1-0.03)</f>
        <v>191.75888533886973</v>
      </c>
      <c r="AB48" s="58">
        <f>(SUBSIDIO!$J$48*SUBSIDIO!$V$48)*(0.06)/(1-0.06)</f>
        <v>0</v>
      </c>
      <c r="AC48" s="58">
        <f>((SUBSIDIO!$L$48*SUBSIDIO!$W$48)+(SUBSIDIO!$N$48*SUBSIDIO!$X$48))*(0.06)/(1-0.06)</f>
        <v>2176.2035999999998</v>
      </c>
      <c r="AD48" s="58">
        <f>(SUBSIDIO!$J$48*SUBSIDIO!$Y$48)*(0.03)/(1-0.03)</f>
        <v>0</v>
      </c>
      <c r="AE48" s="58">
        <f ca="1">((SUBSIDIO!$L$48*SUBSIDIO!$Z$48)+(SUBSIDIO!$N$48*SUBSIDIO!$AA$48))*(0.03)/(1-0.03)</f>
        <v>897.85204263252854</v>
      </c>
      <c r="AF48" s="4" t="s">
        <v>735</v>
      </c>
    </row>
    <row r="49" spans="1:32" ht="11.25" customHeight="1" x14ac:dyDescent="0.25">
      <c r="A49" s="4" t="s">
        <v>55</v>
      </c>
      <c r="B49" s="4" t="s">
        <v>38</v>
      </c>
      <c r="C49" s="4" t="s">
        <v>39</v>
      </c>
      <c r="D49" s="4" t="s">
        <v>47</v>
      </c>
      <c r="E49" s="4" t="s">
        <v>48</v>
      </c>
      <c r="F49" s="4" t="s">
        <v>25</v>
      </c>
      <c r="G49" s="4" t="s">
        <v>25</v>
      </c>
      <c r="H49" s="4" t="s">
        <v>34</v>
      </c>
      <c r="I49" s="5">
        <v>44743</v>
      </c>
      <c r="J49" s="6">
        <v>0</v>
      </c>
      <c r="K49" s="58">
        <v>0</v>
      </c>
      <c r="L49" s="6">
        <v>106.52</v>
      </c>
      <c r="M49" s="58">
        <v>106.52</v>
      </c>
      <c r="N49" s="6">
        <v>106.52</v>
      </c>
      <c r="O49" s="58">
        <v>106.52</v>
      </c>
      <c r="P49" s="6">
        <v>0</v>
      </c>
      <c r="Q49" s="4" t="s">
        <v>26</v>
      </c>
      <c r="R49" s="4">
        <v>0</v>
      </c>
      <c r="S49" s="4">
        <v>0</v>
      </c>
      <c r="T49" s="4">
        <v>21</v>
      </c>
      <c r="U49" s="4">
        <v>70</v>
      </c>
      <c r="V49" s="58">
        <f>IF(ISERROR(VLOOKUP($S$49,'TAR FIN'!$A$1:$O$88,15,0)),0,VLOOKUP($S$49,'TAR FIN'!$A$1:$O$88,15,0))</f>
        <v>0</v>
      </c>
      <c r="W49" s="58">
        <f>IF(ISERROR(VLOOKUP($T$49,'TAR FIN'!$A$1:$O$88,15,0)),0,VLOOKUP($T$49,'TAR FIN'!$A$1:$O$88,15,0))*(1-0.06)</f>
        <v>69.3626</v>
      </c>
      <c r="X49" s="58">
        <f>IF(ISERROR(VLOOKUP($U$49,'TAR FIN'!$A$1:$O$88,15,0)),0,VLOOKUP($U$49,'TAR FIN'!$A$1:$O$88,15,0))*(1-0.06)</f>
        <v>250.70739999999998</v>
      </c>
      <c r="Y49" s="58"/>
      <c r="Z49" s="58">
        <f ca="1">('TUSD BE'!$AM$12+'TUSD BF'!$AM$12+'TUSD CVA'!$AM$12)*1*(1-0.03)</f>
        <v>80.777252273332266</v>
      </c>
      <c r="AA49" s="58">
        <f>('TE BE'!$AB$6+'TE BF'!$AB$6+'TE CVA'!$AB$6)*1*(1-0.03)</f>
        <v>191.75888533886973</v>
      </c>
      <c r="AB49" s="58">
        <f>(SUBSIDIO!$J$49*SUBSIDIO!$V$49)*(0.06)/(1-0.06)</f>
        <v>0</v>
      </c>
      <c r="AC49" s="58">
        <f>((SUBSIDIO!$L$49*SUBSIDIO!$W$49)+(SUBSIDIO!$N$49*SUBSIDIO!$X$49))*(0.06)/(1-0.06)</f>
        <v>2176.2035999999998</v>
      </c>
      <c r="AD49" s="58">
        <f>(SUBSIDIO!$J$49*SUBSIDIO!$Y$49)*(0.03)/(1-0.03)</f>
        <v>0</v>
      </c>
      <c r="AE49" s="58">
        <f ca="1">((SUBSIDIO!$L$49*SUBSIDIO!$Z$49)+(SUBSIDIO!$N$49*SUBSIDIO!$AA$49))*(0.03)/(1-0.03)</f>
        <v>897.85204263252854</v>
      </c>
      <c r="AF49" s="4" t="s">
        <v>735</v>
      </c>
    </row>
    <row r="50" spans="1:32" ht="11.25" customHeight="1" x14ac:dyDescent="0.25">
      <c r="A50" s="4" t="s">
        <v>21</v>
      </c>
      <c r="B50" s="4" t="s">
        <v>38</v>
      </c>
      <c r="C50" s="4" t="s">
        <v>39</v>
      </c>
      <c r="D50" s="4" t="s">
        <v>47</v>
      </c>
      <c r="E50" s="4" t="s">
        <v>48</v>
      </c>
      <c r="F50" s="4" t="s">
        <v>25</v>
      </c>
      <c r="G50" s="4" t="s">
        <v>25</v>
      </c>
      <c r="H50" s="4" t="s">
        <v>25</v>
      </c>
      <c r="I50" s="5">
        <v>44409</v>
      </c>
      <c r="J50" s="6">
        <v>244</v>
      </c>
      <c r="K50" s="59">
        <v>244</v>
      </c>
      <c r="L50" s="6">
        <v>0</v>
      </c>
      <c r="M50" s="58">
        <v>0</v>
      </c>
      <c r="N50" s="6">
        <v>0</v>
      </c>
      <c r="O50" s="58">
        <v>0</v>
      </c>
      <c r="P50" s="6">
        <v>2</v>
      </c>
      <c r="Q50" s="4" t="s">
        <v>26</v>
      </c>
      <c r="R50" s="4">
        <v>0</v>
      </c>
      <c r="S50" s="4">
        <v>15</v>
      </c>
      <c r="T50" s="4">
        <v>0</v>
      </c>
      <c r="U50" s="4">
        <v>0</v>
      </c>
      <c r="V50" s="58">
        <f>IF(ISERROR(VLOOKUP($S$50,'TAR FIN'!$A$1:$O$88,15,0)),0,VLOOKUP($S$50,'TAR FIN'!$A$1:$O$88,15,0))*(1-0.06)</f>
        <v>16.1586</v>
      </c>
      <c r="W50" s="58">
        <f>IF(ISERROR(VLOOKUP($T$50,'TAR FIN'!$A$1:$O$88,15,0)),0,VLOOKUP($T$50,'TAR FIN'!$A$1:$O$88,15,0))</f>
        <v>0</v>
      </c>
      <c r="X50" s="58">
        <f>IF(ISERROR(VLOOKUP($U$50,'TAR FIN'!$A$1:$O$88,15,0)),0,VLOOKUP($U$50,'TAR FIN'!$A$1:$O$88,15,0))</f>
        <v>0</v>
      </c>
      <c r="Y50" s="58">
        <f ca="1">('TUSD BE'!$AM$10+'TUSD BF'!$AM$10+'TUSD CVA'!$AM$10)*1*(1-0.03)</f>
        <v>13.250650868869648</v>
      </c>
      <c r="Z50" s="58"/>
      <c r="AA50" s="58"/>
      <c r="AB50" s="58">
        <f>(SUBSIDIO!$J$50*SUBSIDIO!$V$50)*(0.06)/(1-0.06)</f>
        <v>251.66159999999999</v>
      </c>
      <c r="AC50" s="58">
        <f>((SUBSIDIO!$L$50*SUBSIDIO!$W$50)+(SUBSIDIO!$N$50*SUBSIDIO!$X$50))*(0.06)/(1-0.06)</f>
        <v>0</v>
      </c>
      <c r="AD50" s="58">
        <f ca="1">(SUBSIDIO!$J$50*SUBSIDIO!$Y$50)*(0.03)/(1-0.03)</f>
        <v>99.994602433119411</v>
      </c>
      <c r="AE50" s="58">
        <f>((SUBSIDIO!$L$50*SUBSIDIO!$Z$50)+(SUBSIDIO!$N$50*SUBSIDIO!$AA$50))*(0.03)/(1-0.03)</f>
        <v>0</v>
      </c>
      <c r="AF50" s="4" t="s">
        <v>735</v>
      </c>
    </row>
    <row r="51" spans="1:32" ht="11.25" customHeight="1" x14ac:dyDescent="0.25">
      <c r="A51" s="4" t="s">
        <v>21</v>
      </c>
      <c r="B51" s="4" t="s">
        <v>38</v>
      </c>
      <c r="C51" s="4" t="s">
        <v>39</v>
      </c>
      <c r="D51" s="4" t="s">
        <v>47</v>
      </c>
      <c r="E51" s="4" t="s">
        <v>48</v>
      </c>
      <c r="F51" s="4" t="s">
        <v>25</v>
      </c>
      <c r="G51" s="4" t="s">
        <v>25</v>
      </c>
      <c r="H51" s="4" t="s">
        <v>25</v>
      </c>
      <c r="I51" s="5">
        <v>44440</v>
      </c>
      <c r="J51" s="6">
        <v>244</v>
      </c>
      <c r="K51" s="59">
        <v>244</v>
      </c>
      <c r="L51" s="6">
        <v>0</v>
      </c>
      <c r="M51" s="58">
        <v>0</v>
      </c>
      <c r="N51" s="6">
        <v>0</v>
      </c>
      <c r="O51" s="58">
        <v>0</v>
      </c>
      <c r="P51" s="6">
        <v>2</v>
      </c>
      <c r="Q51" s="4" t="s">
        <v>26</v>
      </c>
      <c r="R51" s="4">
        <v>0</v>
      </c>
      <c r="S51" s="4">
        <v>15</v>
      </c>
      <c r="T51" s="4">
        <v>0</v>
      </c>
      <c r="U51" s="4">
        <v>0</v>
      </c>
      <c r="V51" s="58">
        <f>IF(ISERROR(VLOOKUP($S$51,'TAR FIN'!$A$1:$O$88,15,0)),0,VLOOKUP($S$51,'TAR FIN'!$A$1:$O$88,15,0))*(1-0.06)</f>
        <v>16.1586</v>
      </c>
      <c r="W51" s="58">
        <f>IF(ISERROR(VLOOKUP($T$51,'TAR FIN'!$A$1:$O$88,15,0)),0,VLOOKUP($T$51,'TAR FIN'!$A$1:$O$88,15,0))</f>
        <v>0</v>
      </c>
      <c r="X51" s="58">
        <f>IF(ISERROR(VLOOKUP($U$51,'TAR FIN'!$A$1:$O$88,15,0)),0,VLOOKUP($U$51,'TAR FIN'!$A$1:$O$88,15,0))</f>
        <v>0</v>
      </c>
      <c r="Y51" s="58">
        <f ca="1">('TUSD BE'!$AM$10+'TUSD BF'!$AM$10+'TUSD CVA'!$AM$10)*1*(1-0.03)</f>
        <v>13.250650868869648</v>
      </c>
      <c r="Z51" s="58"/>
      <c r="AA51" s="58"/>
      <c r="AB51" s="58">
        <f>(SUBSIDIO!$J$51*SUBSIDIO!$V$51)*(0.06)/(1-0.06)</f>
        <v>251.66159999999999</v>
      </c>
      <c r="AC51" s="58">
        <f>((SUBSIDIO!$L$51*SUBSIDIO!$W$51)+(SUBSIDIO!$N$51*SUBSIDIO!$X$51))*(0.06)/(1-0.06)</f>
        <v>0</v>
      </c>
      <c r="AD51" s="58">
        <f ca="1">(SUBSIDIO!$J$51*SUBSIDIO!$Y$51)*(0.03)/(1-0.03)</f>
        <v>99.994602433119411</v>
      </c>
      <c r="AE51" s="58">
        <f>((SUBSIDIO!$L$51*SUBSIDIO!$Z$51)+(SUBSIDIO!$N$51*SUBSIDIO!$AA$51))*(0.03)/(1-0.03)</f>
        <v>0</v>
      </c>
      <c r="AF51" s="4" t="s">
        <v>735</v>
      </c>
    </row>
    <row r="52" spans="1:32" ht="11.25" customHeight="1" x14ac:dyDescent="0.25">
      <c r="A52" s="4" t="s">
        <v>21</v>
      </c>
      <c r="B52" s="4" t="s">
        <v>38</v>
      </c>
      <c r="C52" s="4" t="s">
        <v>39</v>
      </c>
      <c r="D52" s="4" t="s">
        <v>47</v>
      </c>
      <c r="E52" s="4" t="s">
        <v>48</v>
      </c>
      <c r="F52" s="4" t="s">
        <v>25</v>
      </c>
      <c r="G52" s="4" t="s">
        <v>25</v>
      </c>
      <c r="H52" s="4" t="s">
        <v>25</v>
      </c>
      <c r="I52" s="5">
        <v>44470</v>
      </c>
      <c r="J52" s="6">
        <v>245</v>
      </c>
      <c r="K52" s="59">
        <v>245</v>
      </c>
      <c r="L52" s="6">
        <v>0</v>
      </c>
      <c r="M52" s="58">
        <v>0</v>
      </c>
      <c r="N52" s="6">
        <v>0</v>
      </c>
      <c r="O52" s="58">
        <v>0</v>
      </c>
      <c r="P52" s="6">
        <v>2</v>
      </c>
      <c r="Q52" s="4" t="s">
        <v>26</v>
      </c>
      <c r="R52" s="4">
        <v>0</v>
      </c>
      <c r="S52" s="4">
        <v>15</v>
      </c>
      <c r="T52" s="4">
        <v>0</v>
      </c>
      <c r="U52" s="4">
        <v>0</v>
      </c>
      <c r="V52" s="58">
        <f>IF(ISERROR(VLOOKUP($S$52,'TAR FIN'!$A$1:$O$88,15,0)),0,VLOOKUP($S$52,'TAR FIN'!$A$1:$O$88,15,0))*(1-0.06)</f>
        <v>16.1586</v>
      </c>
      <c r="W52" s="58">
        <f>IF(ISERROR(VLOOKUP($T$52,'TAR FIN'!$A$1:$O$88,15,0)),0,VLOOKUP($T$52,'TAR FIN'!$A$1:$O$88,15,0))</f>
        <v>0</v>
      </c>
      <c r="X52" s="58">
        <f>IF(ISERROR(VLOOKUP($U$52,'TAR FIN'!$A$1:$O$88,15,0)),0,VLOOKUP($U$52,'TAR FIN'!$A$1:$O$88,15,0))</f>
        <v>0</v>
      </c>
      <c r="Y52" s="58">
        <f ca="1">('TUSD BE'!$AM$10+'TUSD BF'!$AM$10+'TUSD CVA'!$AM$10)*1*(1-0.03)</f>
        <v>13.250650868869648</v>
      </c>
      <c r="Z52" s="58"/>
      <c r="AA52" s="58"/>
      <c r="AB52" s="58">
        <f>(SUBSIDIO!$J$52*SUBSIDIO!$V$52)*(0.06)/(1-0.06)</f>
        <v>252.69300000000001</v>
      </c>
      <c r="AC52" s="58">
        <f>((SUBSIDIO!$L$52*SUBSIDIO!$W$52)+(SUBSIDIO!$N$52*SUBSIDIO!$X$52))*(0.06)/(1-0.06)</f>
        <v>0</v>
      </c>
      <c r="AD52" s="58">
        <f ca="1">(SUBSIDIO!$J$52*SUBSIDIO!$Y$52)*(0.03)/(1-0.03)</f>
        <v>100.40441637751745</v>
      </c>
      <c r="AE52" s="58">
        <f>((SUBSIDIO!$L$52*SUBSIDIO!$Z$52)+(SUBSIDIO!$N$52*SUBSIDIO!$AA$52))*(0.03)/(1-0.03)</f>
        <v>0</v>
      </c>
      <c r="AF52" s="4" t="s">
        <v>735</v>
      </c>
    </row>
    <row r="53" spans="1:32" ht="11.25" customHeight="1" x14ac:dyDescent="0.25">
      <c r="A53" s="4" t="s">
        <v>21</v>
      </c>
      <c r="B53" s="4" t="s">
        <v>38</v>
      </c>
      <c r="C53" s="4" t="s">
        <v>39</v>
      </c>
      <c r="D53" s="4" t="s">
        <v>47</v>
      </c>
      <c r="E53" s="4" t="s">
        <v>48</v>
      </c>
      <c r="F53" s="4" t="s">
        <v>25</v>
      </c>
      <c r="G53" s="4" t="s">
        <v>25</v>
      </c>
      <c r="H53" s="4" t="s">
        <v>25</v>
      </c>
      <c r="I53" s="5">
        <v>44501</v>
      </c>
      <c r="J53" s="6">
        <v>245</v>
      </c>
      <c r="K53" s="59">
        <v>245</v>
      </c>
      <c r="L53" s="6">
        <v>0</v>
      </c>
      <c r="M53" s="58">
        <v>0</v>
      </c>
      <c r="N53" s="6">
        <v>0</v>
      </c>
      <c r="O53" s="58">
        <v>0</v>
      </c>
      <c r="P53" s="6">
        <v>2</v>
      </c>
      <c r="Q53" s="4" t="s">
        <v>26</v>
      </c>
      <c r="R53" s="4">
        <v>0</v>
      </c>
      <c r="S53" s="4">
        <v>15</v>
      </c>
      <c r="T53" s="4">
        <v>0</v>
      </c>
      <c r="U53" s="4">
        <v>0</v>
      </c>
      <c r="V53" s="58">
        <f>IF(ISERROR(VLOOKUP($S$53,'TAR FIN'!$A$1:$O$88,15,0)),0,VLOOKUP($S$53,'TAR FIN'!$A$1:$O$88,15,0))*(1-0.06)</f>
        <v>16.1586</v>
      </c>
      <c r="W53" s="58">
        <f>IF(ISERROR(VLOOKUP($T$53,'TAR FIN'!$A$1:$O$88,15,0)),0,VLOOKUP($T$53,'TAR FIN'!$A$1:$O$88,15,0))</f>
        <v>0</v>
      </c>
      <c r="X53" s="58">
        <f>IF(ISERROR(VLOOKUP($U$53,'TAR FIN'!$A$1:$O$88,15,0)),0,VLOOKUP($U$53,'TAR FIN'!$A$1:$O$88,15,0))</f>
        <v>0</v>
      </c>
      <c r="Y53" s="58">
        <f ca="1">('TUSD BE'!$AM$10+'TUSD BF'!$AM$10+'TUSD CVA'!$AM$10)*1*(1-0.03)</f>
        <v>13.250650868869648</v>
      </c>
      <c r="Z53" s="58"/>
      <c r="AA53" s="58"/>
      <c r="AB53" s="58">
        <f>(SUBSIDIO!$J$53*SUBSIDIO!$V$53)*(0.06)/(1-0.06)</f>
        <v>252.69300000000001</v>
      </c>
      <c r="AC53" s="58">
        <f>((SUBSIDIO!$L$53*SUBSIDIO!$W$53)+(SUBSIDIO!$N$53*SUBSIDIO!$X$53))*(0.06)/(1-0.06)</f>
        <v>0</v>
      </c>
      <c r="AD53" s="58">
        <f ca="1">(SUBSIDIO!$J$53*SUBSIDIO!$Y$53)*(0.03)/(1-0.03)</f>
        <v>100.40441637751745</v>
      </c>
      <c r="AE53" s="58">
        <f>((SUBSIDIO!$L$53*SUBSIDIO!$Z$53)+(SUBSIDIO!$N$53*SUBSIDIO!$AA$53))*(0.03)/(1-0.03)</f>
        <v>0</v>
      </c>
      <c r="AF53" s="4" t="s">
        <v>735</v>
      </c>
    </row>
    <row r="54" spans="1:32" ht="11.25" customHeight="1" x14ac:dyDescent="0.25">
      <c r="A54" s="4" t="s">
        <v>21</v>
      </c>
      <c r="B54" s="4" t="s">
        <v>38</v>
      </c>
      <c r="C54" s="4" t="s">
        <v>39</v>
      </c>
      <c r="D54" s="4" t="s">
        <v>47</v>
      </c>
      <c r="E54" s="4" t="s">
        <v>48</v>
      </c>
      <c r="F54" s="4" t="s">
        <v>25</v>
      </c>
      <c r="G54" s="4" t="s">
        <v>25</v>
      </c>
      <c r="H54" s="4" t="s">
        <v>25</v>
      </c>
      <c r="I54" s="5">
        <v>44531</v>
      </c>
      <c r="J54" s="6">
        <v>254</v>
      </c>
      <c r="K54" s="59">
        <v>254</v>
      </c>
      <c r="L54" s="6">
        <v>0</v>
      </c>
      <c r="M54" s="58">
        <v>0</v>
      </c>
      <c r="N54" s="6">
        <v>0</v>
      </c>
      <c r="O54" s="58">
        <v>0</v>
      </c>
      <c r="P54" s="6">
        <v>2</v>
      </c>
      <c r="Q54" s="4" t="s">
        <v>26</v>
      </c>
      <c r="R54" s="4">
        <v>0</v>
      </c>
      <c r="S54" s="4">
        <v>15</v>
      </c>
      <c r="T54" s="4">
        <v>0</v>
      </c>
      <c r="U54" s="4">
        <v>0</v>
      </c>
      <c r="V54" s="58">
        <f>IF(ISERROR(VLOOKUP($S$54,'TAR FIN'!$A$1:$O$88,15,0)),0,VLOOKUP($S$54,'TAR FIN'!$A$1:$O$88,15,0))*(1-0.06)</f>
        <v>16.1586</v>
      </c>
      <c r="W54" s="58">
        <f>IF(ISERROR(VLOOKUP($T$54,'TAR FIN'!$A$1:$O$88,15,0)),0,VLOOKUP($T$54,'TAR FIN'!$A$1:$O$88,15,0))</f>
        <v>0</v>
      </c>
      <c r="X54" s="58">
        <f>IF(ISERROR(VLOOKUP($U$54,'TAR FIN'!$A$1:$O$88,15,0)),0,VLOOKUP($U$54,'TAR FIN'!$A$1:$O$88,15,0))</f>
        <v>0</v>
      </c>
      <c r="Y54" s="58">
        <f ca="1">('TUSD BE'!$AM$10+'TUSD BF'!$AM$10+'TUSD CVA'!$AM$10)*1*(1-0.03)</f>
        <v>13.250650868869648</v>
      </c>
      <c r="Z54" s="58"/>
      <c r="AA54" s="58"/>
      <c r="AB54" s="58">
        <f>(SUBSIDIO!$J$54*SUBSIDIO!$V$54)*(0.06)/(1-0.06)</f>
        <v>261.97559999999999</v>
      </c>
      <c r="AC54" s="58">
        <f>((SUBSIDIO!$L$54*SUBSIDIO!$W$54)+(SUBSIDIO!$N$54*SUBSIDIO!$X$54))*(0.06)/(1-0.06)</f>
        <v>0</v>
      </c>
      <c r="AD54" s="58">
        <f ca="1">(SUBSIDIO!$J$54*SUBSIDIO!$Y$54)*(0.03)/(1-0.03)</f>
        <v>104.09274187709971</v>
      </c>
      <c r="AE54" s="58">
        <f>((SUBSIDIO!$L$54*SUBSIDIO!$Z$54)+(SUBSIDIO!$N$54*SUBSIDIO!$AA$54))*(0.03)/(1-0.03)</f>
        <v>0</v>
      </c>
      <c r="AF54" s="4" t="s">
        <v>735</v>
      </c>
    </row>
    <row r="55" spans="1:32" ht="11.25" customHeight="1" x14ac:dyDescent="0.25">
      <c r="A55" s="4" t="s">
        <v>21</v>
      </c>
      <c r="B55" s="4" t="s">
        <v>38</v>
      </c>
      <c r="C55" s="4" t="s">
        <v>39</v>
      </c>
      <c r="D55" s="4" t="s">
        <v>47</v>
      </c>
      <c r="E55" s="4" t="s">
        <v>48</v>
      </c>
      <c r="F55" s="4" t="s">
        <v>25</v>
      </c>
      <c r="G55" s="4" t="s">
        <v>25</v>
      </c>
      <c r="H55" s="4" t="s">
        <v>25</v>
      </c>
      <c r="I55" s="5">
        <v>44562</v>
      </c>
      <c r="J55" s="6">
        <v>265</v>
      </c>
      <c r="K55" s="59">
        <v>265</v>
      </c>
      <c r="L55" s="6">
        <v>0</v>
      </c>
      <c r="M55" s="58">
        <v>0</v>
      </c>
      <c r="N55" s="6">
        <v>0</v>
      </c>
      <c r="O55" s="58">
        <v>0</v>
      </c>
      <c r="P55" s="6">
        <v>2</v>
      </c>
      <c r="Q55" s="4" t="s">
        <v>26</v>
      </c>
      <c r="R55" s="4">
        <v>0</v>
      </c>
      <c r="S55" s="4">
        <v>15</v>
      </c>
      <c r="T55" s="4">
        <v>0</v>
      </c>
      <c r="U55" s="4">
        <v>0</v>
      </c>
      <c r="V55" s="58">
        <f>IF(ISERROR(VLOOKUP($S$55,'TAR FIN'!$A$1:$O$88,15,0)),0,VLOOKUP($S$55,'TAR FIN'!$A$1:$O$88,15,0))*(1-0.06)</f>
        <v>16.1586</v>
      </c>
      <c r="W55" s="58">
        <f>IF(ISERROR(VLOOKUP($T$55,'TAR FIN'!$A$1:$O$88,15,0)),0,VLOOKUP($T$55,'TAR FIN'!$A$1:$O$88,15,0))</f>
        <v>0</v>
      </c>
      <c r="X55" s="58">
        <f>IF(ISERROR(VLOOKUP($U$55,'TAR FIN'!$A$1:$O$88,15,0)),0,VLOOKUP($U$55,'TAR FIN'!$A$1:$O$88,15,0))</f>
        <v>0</v>
      </c>
      <c r="Y55" s="58">
        <f ca="1">('TUSD BE'!$AM$10+'TUSD BF'!$AM$10+'TUSD CVA'!$AM$10)*1*(1-0.03)</f>
        <v>13.250650868869648</v>
      </c>
      <c r="Z55" s="58"/>
      <c r="AA55" s="58"/>
      <c r="AB55" s="58">
        <f>(SUBSIDIO!$J$55*SUBSIDIO!$V$55)*(0.06)/(1-0.06)</f>
        <v>273.32099999999997</v>
      </c>
      <c r="AC55" s="58">
        <f>((SUBSIDIO!$L$55*SUBSIDIO!$W$55)+(SUBSIDIO!$N$55*SUBSIDIO!$X$55))*(0.06)/(1-0.06)</f>
        <v>0</v>
      </c>
      <c r="AD55" s="58">
        <f ca="1">(SUBSIDIO!$J$55*SUBSIDIO!$Y$55)*(0.03)/(1-0.03)</f>
        <v>108.60069526547804</v>
      </c>
      <c r="AE55" s="58">
        <f>((SUBSIDIO!$L$55*SUBSIDIO!$Z$55)+(SUBSIDIO!$N$55*SUBSIDIO!$AA$55))*(0.03)/(1-0.03)</f>
        <v>0</v>
      </c>
      <c r="AF55" s="4" t="s">
        <v>735</v>
      </c>
    </row>
    <row r="56" spans="1:32" ht="11.25" customHeight="1" x14ac:dyDescent="0.25">
      <c r="A56" s="4" t="s">
        <v>21</v>
      </c>
      <c r="B56" s="4" t="s">
        <v>38</v>
      </c>
      <c r="C56" s="4" t="s">
        <v>39</v>
      </c>
      <c r="D56" s="4" t="s">
        <v>47</v>
      </c>
      <c r="E56" s="4" t="s">
        <v>48</v>
      </c>
      <c r="F56" s="4" t="s">
        <v>25</v>
      </c>
      <c r="G56" s="4" t="s">
        <v>25</v>
      </c>
      <c r="H56" s="4" t="s">
        <v>25</v>
      </c>
      <c r="I56" s="5">
        <v>44593</v>
      </c>
      <c r="J56" s="6">
        <v>256</v>
      </c>
      <c r="K56" s="59">
        <v>256</v>
      </c>
      <c r="L56" s="6">
        <v>0</v>
      </c>
      <c r="M56" s="58">
        <v>0</v>
      </c>
      <c r="N56" s="6">
        <v>0</v>
      </c>
      <c r="O56" s="58">
        <v>0</v>
      </c>
      <c r="P56" s="6">
        <v>2</v>
      </c>
      <c r="Q56" s="4" t="s">
        <v>26</v>
      </c>
      <c r="R56" s="4">
        <v>0</v>
      </c>
      <c r="S56" s="4">
        <v>15</v>
      </c>
      <c r="T56" s="4">
        <v>0</v>
      </c>
      <c r="U56" s="4">
        <v>0</v>
      </c>
      <c r="V56" s="58">
        <f>IF(ISERROR(VLOOKUP($S$56,'TAR FIN'!$A$1:$O$88,15,0)),0,VLOOKUP($S$56,'TAR FIN'!$A$1:$O$88,15,0))*(1-0.06)</f>
        <v>16.1586</v>
      </c>
      <c r="W56" s="58">
        <f>IF(ISERROR(VLOOKUP($T$56,'TAR FIN'!$A$1:$O$88,15,0)),0,VLOOKUP($T$56,'TAR FIN'!$A$1:$O$88,15,0))</f>
        <v>0</v>
      </c>
      <c r="X56" s="58">
        <f>IF(ISERROR(VLOOKUP($U$56,'TAR FIN'!$A$1:$O$88,15,0)),0,VLOOKUP($U$56,'TAR FIN'!$A$1:$O$88,15,0))</f>
        <v>0</v>
      </c>
      <c r="Y56" s="58">
        <f ca="1">('TUSD BE'!$AM$10+'TUSD BF'!$AM$10+'TUSD CVA'!$AM$10)*1*(1-0.03)</f>
        <v>13.250650868869648</v>
      </c>
      <c r="Z56" s="58"/>
      <c r="AA56" s="58"/>
      <c r="AB56" s="58">
        <f>(SUBSIDIO!$J$56*SUBSIDIO!$V$56)*(0.06)/(1-0.06)</f>
        <v>264.03840000000002</v>
      </c>
      <c r="AC56" s="58">
        <f>((SUBSIDIO!$L$56*SUBSIDIO!$W$56)+(SUBSIDIO!$N$56*SUBSIDIO!$X$56))*(0.06)/(1-0.06)</f>
        <v>0</v>
      </c>
      <c r="AD56" s="58">
        <f ca="1">(SUBSIDIO!$J$56*SUBSIDIO!$Y$56)*(0.03)/(1-0.03)</f>
        <v>104.91236976589578</v>
      </c>
      <c r="AE56" s="58">
        <f>((SUBSIDIO!$L$56*SUBSIDIO!$Z$56)+(SUBSIDIO!$N$56*SUBSIDIO!$AA$56))*(0.03)/(1-0.03)</f>
        <v>0</v>
      </c>
      <c r="AF56" s="4" t="s">
        <v>735</v>
      </c>
    </row>
    <row r="57" spans="1:32" ht="11.25" customHeight="1" x14ac:dyDescent="0.25">
      <c r="A57" s="4" t="s">
        <v>21</v>
      </c>
      <c r="B57" s="4" t="s">
        <v>38</v>
      </c>
      <c r="C57" s="4" t="s">
        <v>39</v>
      </c>
      <c r="D57" s="4" t="s">
        <v>47</v>
      </c>
      <c r="E57" s="4" t="s">
        <v>48</v>
      </c>
      <c r="F57" s="4" t="s">
        <v>25</v>
      </c>
      <c r="G57" s="4" t="s">
        <v>25</v>
      </c>
      <c r="H57" s="4" t="s">
        <v>25</v>
      </c>
      <c r="I57" s="5">
        <v>44621</v>
      </c>
      <c r="J57" s="6">
        <v>246</v>
      </c>
      <c r="K57" s="59">
        <v>246</v>
      </c>
      <c r="L57" s="6">
        <v>0</v>
      </c>
      <c r="M57" s="58">
        <v>0</v>
      </c>
      <c r="N57" s="6">
        <v>0</v>
      </c>
      <c r="O57" s="58">
        <v>0</v>
      </c>
      <c r="P57" s="6">
        <v>2</v>
      </c>
      <c r="Q57" s="4" t="s">
        <v>26</v>
      </c>
      <c r="R57" s="4">
        <v>0</v>
      </c>
      <c r="S57" s="4">
        <v>15</v>
      </c>
      <c r="T57" s="4">
        <v>0</v>
      </c>
      <c r="U57" s="4">
        <v>0</v>
      </c>
      <c r="V57" s="58">
        <f>IF(ISERROR(VLOOKUP($S$57,'TAR FIN'!$A$1:$O$88,15,0)),0,VLOOKUP($S$57,'TAR FIN'!$A$1:$O$88,15,0))*(1-0.06)</f>
        <v>16.1586</v>
      </c>
      <c r="W57" s="58">
        <f>IF(ISERROR(VLOOKUP($T$57,'TAR FIN'!$A$1:$O$88,15,0)),0,VLOOKUP($T$57,'TAR FIN'!$A$1:$O$88,15,0))</f>
        <v>0</v>
      </c>
      <c r="X57" s="58">
        <f>IF(ISERROR(VLOOKUP($U$57,'TAR FIN'!$A$1:$O$88,15,0)),0,VLOOKUP($U$57,'TAR FIN'!$A$1:$O$88,15,0))</f>
        <v>0</v>
      </c>
      <c r="Y57" s="58">
        <f ca="1">('TUSD BE'!$AM$10+'TUSD BF'!$AM$10+'TUSD CVA'!$AM$10)*1*(1-0.03)</f>
        <v>13.250650868869648</v>
      </c>
      <c r="Z57" s="58"/>
      <c r="AA57" s="58"/>
      <c r="AB57" s="58">
        <f>(SUBSIDIO!$J$57*SUBSIDIO!$V$57)*(0.06)/(1-0.06)</f>
        <v>253.7244</v>
      </c>
      <c r="AC57" s="58">
        <f>((SUBSIDIO!$L$57*SUBSIDIO!$W$57)+(SUBSIDIO!$N$57*SUBSIDIO!$X$57))*(0.06)/(1-0.06)</f>
        <v>0</v>
      </c>
      <c r="AD57" s="58">
        <f ca="1">(SUBSIDIO!$J$57*SUBSIDIO!$Y$57)*(0.03)/(1-0.03)</f>
        <v>100.81423032191546</v>
      </c>
      <c r="AE57" s="58">
        <f>((SUBSIDIO!$L$57*SUBSIDIO!$Z$57)+(SUBSIDIO!$N$57*SUBSIDIO!$AA$57))*(0.03)/(1-0.03)</f>
        <v>0</v>
      </c>
      <c r="AF57" s="4" t="s">
        <v>735</v>
      </c>
    </row>
    <row r="58" spans="1:32" ht="11.25" customHeight="1" x14ac:dyDescent="0.25">
      <c r="A58" s="4" t="s">
        <v>21</v>
      </c>
      <c r="B58" s="4" t="s">
        <v>38</v>
      </c>
      <c r="C58" s="4" t="s">
        <v>39</v>
      </c>
      <c r="D58" s="4" t="s">
        <v>47</v>
      </c>
      <c r="E58" s="4" t="s">
        <v>48</v>
      </c>
      <c r="F58" s="4" t="s">
        <v>25</v>
      </c>
      <c r="G58" s="4" t="s">
        <v>25</v>
      </c>
      <c r="H58" s="4" t="s">
        <v>25</v>
      </c>
      <c r="I58" s="5">
        <v>44652</v>
      </c>
      <c r="J58" s="6">
        <v>247</v>
      </c>
      <c r="K58" s="59">
        <v>247</v>
      </c>
      <c r="L58" s="6">
        <v>0</v>
      </c>
      <c r="M58" s="58">
        <v>0</v>
      </c>
      <c r="N58" s="6">
        <v>0</v>
      </c>
      <c r="O58" s="58">
        <v>0</v>
      </c>
      <c r="P58" s="6">
        <v>2</v>
      </c>
      <c r="Q58" s="4" t="s">
        <v>26</v>
      </c>
      <c r="R58" s="4">
        <v>0</v>
      </c>
      <c r="S58" s="4">
        <v>15</v>
      </c>
      <c r="T58" s="4">
        <v>0</v>
      </c>
      <c r="U58" s="4">
        <v>0</v>
      </c>
      <c r="V58" s="58">
        <f>IF(ISERROR(VLOOKUP($S$58,'TAR FIN'!$A$1:$O$88,15,0)),0,VLOOKUP($S$58,'TAR FIN'!$A$1:$O$88,15,0))*(1-0.06)</f>
        <v>16.1586</v>
      </c>
      <c r="W58" s="58">
        <f>IF(ISERROR(VLOOKUP($T$58,'TAR FIN'!$A$1:$O$88,15,0)),0,VLOOKUP($T$58,'TAR FIN'!$A$1:$O$88,15,0))</f>
        <v>0</v>
      </c>
      <c r="X58" s="58">
        <f>IF(ISERROR(VLOOKUP($U$58,'TAR FIN'!$A$1:$O$88,15,0)),0,VLOOKUP($U$58,'TAR FIN'!$A$1:$O$88,15,0))</f>
        <v>0</v>
      </c>
      <c r="Y58" s="58">
        <f ca="1">('TUSD BE'!$AM$10+'TUSD BF'!$AM$10+'TUSD CVA'!$AM$10)*1*(1-0.03)</f>
        <v>13.250650868869648</v>
      </c>
      <c r="Z58" s="58"/>
      <c r="AA58" s="58"/>
      <c r="AB58" s="58">
        <f>(SUBSIDIO!$J$58*SUBSIDIO!$V$58)*(0.06)/(1-0.06)</f>
        <v>254.75580000000002</v>
      </c>
      <c r="AC58" s="58">
        <f>((SUBSIDIO!$L$58*SUBSIDIO!$W$58)+(SUBSIDIO!$N$58*SUBSIDIO!$X$58))*(0.06)/(1-0.06)</f>
        <v>0</v>
      </c>
      <c r="AD58" s="58">
        <f ca="1">(SUBSIDIO!$J$58*SUBSIDIO!$Y$58)*(0.03)/(1-0.03)</f>
        <v>101.2240442663135</v>
      </c>
      <c r="AE58" s="58">
        <f>((SUBSIDIO!$L$58*SUBSIDIO!$Z$58)+(SUBSIDIO!$N$58*SUBSIDIO!$AA$58))*(0.03)/(1-0.03)</f>
        <v>0</v>
      </c>
      <c r="AF58" s="4" t="s">
        <v>735</v>
      </c>
    </row>
    <row r="59" spans="1:32" ht="11.25" customHeight="1" x14ac:dyDescent="0.25">
      <c r="A59" s="4" t="s">
        <v>21</v>
      </c>
      <c r="B59" s="4" t="s">
        <v>38</v>
      </c>
      <c r="C59" s="4" t="s">
        <v>39</v>
      </c>
      <c r="D59" s="4" t="s">
        <v>47</v>
      </c>
      <c r="E59" s="4" t="s">
        <v>48</v>
      </c>
      <c r="F59" s="4" t="s">
        <v>25</v>
      </c>
      <c r="G59" s="4" t="s">
        <v>25</v>
      </c>
      <c r="H59" s="4" t="s">
        <v>25</v>
      </c>
      <c r="I59" s="5">
        <v>44682</v>
      </c>
      <c r="J59" s="6">
        <v>243</v>
      </c>
      <c r="K59" s="59">
        <v>243</v>
      </c>
      <c r="L59" s="6">
        <v>0</v>
      </c>
      <c r="M59" s="58">
        <v>0</v>
      </c>
      <c r="N59" s="6">
        <v>0</v>
      </c>
      <c r="O59" s="58">
        <v>0</v>
      </c>
      <c r="P59" s="6">
        <v>2</v>
      </c>
      <c r="Q59" s="4" t="s">
        <v>26</v>
      </c>
      <c r="R59" s="4">
        <v>0</v>
      </c>
      <c r="S59" s="4">
        <v>15</v>
      </c>
      <c r="T59" s="4">
        <v>0</v>
      </c>
      <c r="U59" s="4">
        <v>0</v>
      </c>
      <c r="V59" s="58">
        <f>IF(ISERROR(VLOOKUP($S$59,'TAR FIN'!$A$1:$O$88,15,0)),0,VLOOKUP($S$59,'TAR FIN'!$A$1:$O$88,15,0))*(1-0.06)</f>
        <v>16.1586</v>
      </c>
      <c r="W59" s="58">
        <f>IF(ISERROR(VLOOKUP($T$59,'TAR FIN'!$A$1:$O$88,15,0)),0,VLOOKUP($T$59,'TAR FIN'!$A$1:$O$88,15,0))</f>
        <v>0</v>
      </c>
      <c r="X59" s="58">
        <f>IF(ISERROR(VLOOKUP($U$59,'TAR FIN'!$A$1:$O$88,15,0)),0,VLOOKUP($U$59,'TAR FIN'!$A$1:$O$88,15,0))</f>
        <v>0</v>
      </c>
      <c r="Y59" s="58">
        <f ca="1">('TUSD BE'!$AM$10+'TUSD BF'!$AM$10+'TUSD CVA'!$AM$10)*1*(1-0.03)</f>
        <v>13.250650868869648</v>
      </c>
      <c r="Z59" s="58"/>
      <c r="AA59" s="58"/>
      <c r="AB59" s="58">
        <f>(SUBSIDIO!$J$59*SUBSIDIO!$V$59)*(0.06)/(1-0.06)</f>
        <v>250.6302</v>
      </c>
      <c r="AC59" s="58">
        <f>((SUBSIDIO!$L$59*SUBSIDIO!$W$59)+(SUBSIDIO!$N$59*SUBSIDIO!$X$59))*(0.06)/(1-0.06)</f>
        <v>0</v>
      </c>
      <c r="AD59" s="58">
        <f ca="1">(SUBSIDIO!$J$59*SUBSIDIO!$Y$59)*(0.03)/(1-0.03)</f>
        <v>99.584788488721387</v>
      </c>
      <c r="AE59" s="58">
        <f>((SUBSIDIO!$L$59*SUBSIDIO!$Z$59)+(SUBSIDIO!$N$59*SUBSIDIO!$AA$59))*(0.03)/(1-0.03)</f>
        <v>0</v>
      </c>
      <c r="AF59" s="4" t="s">
        <v>735</v>
      </c>
    </row>
    <row r="60" spans="1:32" ht="11.25" customHeight="1" x14ac:dyDescent="0.25">
      <c r="A60" s="4" t="s">
        <v>21</v>
      </c>
      <c r="B60" s="4" t="s">
        <v>38</v>
      </c>
      <c r="C60" s="4" t="s">
        <v>39</v>
      </c>
      <c r="D60" s="4" t="s">
        <v>47</v>
      </c>
      <c r="E60" s="4" t="s">
        <v>48</v>
      </c>
      <c r="F60" s="4" t="s">
        <v>25</v>
      </c>
      <c r="G60" s="4" t="s">
        <v>25</v>
      </c>
      <c r="H60" s="4" t="s">
        <v>25</v>
      </c>
      <c r="I60" s="5">
        <v>44713</v>
      </c>
      <c r="J60" s="6">
        <v>244</v>
      </c>
      <c r="K60" s="59">
        <v>244</v>
      </c>
      <c r="L60" s="6">
        <v>0</v>
      </c>
      <c r="M60" s="58">
        <v>0</v>
      </c>
      <c r="N60" s="6">
        <v>0</v>
      </c>
      <c r="O60" s="58">
        <v>0</v>
      </c>
      <c r="P60" s="6">
        <v>2</v>
      </c>
      <c r="Q60" s="4" t="s">
        <v>26</v>
      </c>
      <c r="R60" s="4">
        <v>0</v>
      </c>
      <c r="S60" s="4">
        <v>15</v>
      </c>
      <c r="T60" s="4">
        <v>0</v>
      </c>
      <c r="U60" s="4">
        <v>0</v>
      </c>
      <c r="V60" s="58">
        <f>IF(ISERROR(VLOOKUP($S$60,'TAR FIN'!$A$1:$O$88,15,0)),0,VLOOKUP($S$60,'TAR FIN'!$A$1:$O$88,15,0))*(1-0.06)</f>
        <v>16.1586</v>
      </c>
      <c r="W60" s="58">
        <f>IF(ISERROR(VLOOKUP($T$60,'TAR FIN'!$A$1:$O$88,15,0)),0,VLOOKUP($T$60,'TAR FIN'!$A$1:$O$88,15,0))</f>
        <v>0</v>
      </c>
      <c r="X60" s="58">
        <f>IF(ISERROR(VLOOKUP($U$60,'TAR FIN'!$A$1:$O$88,15,0)),0,VLOOKUP($U$60,'TAR FIN'!$A$1:$O$88,15,0))</f>
        <v>0</v>
      </c>
      <c r="Y60" s="58">
        <f ca="1">('TUSD BE'!$AM$10+'TUSD BF'!$AM$10+'TUSD CVA'!$AM$10)*1*(1-0.03)</f>
        <v>13.250650868869648</v>
      </c>
      <c r="Z60" s="58"/>
      <c r="AA60" s="58"/>
      <c r="AB60" s="58">
        <f>(SUBSIDIO!$J$60*SUBSIDIO!$V$60)*(0.06)/(1-0.06)</f>
        <v>251.66159999999999</v>
      </c>
      <c r="AC60" s="58">
        <f>((SUBSIDIO!$L$60*SUBSIDIO!$W$60)+(SUBSIDIO!$N$60*SUBSIDIO!$X$60))*(0.06)/(1-0.06)</f>
        <v>0</v>
      </c>
      <c r="AD60" s="58">
        <f ca="1">(SUBSIDIO!$J$60*SUBSIDIO!$Y$60)*(0.03)/(1-0.03)</f>
        <v>99.994602433119411</v>
      </c>
      <c r="AE60" s="58">
        <f>((SUBSIDIO!$L$60*SUBSIDIO!$Z$60)+(SUBSIDIO!$N$60*SUBSIDIO!$AA$60))*(0.03)/(1-0.03)</f>
        <v>0</v>
      </c>
      <c r="AF60" s="4" t="s">
        <v>735</v>
      </c>
    </row>
    <row r="61" spans="1:32" ht="11.25" customHeight="1" x14ac:dyDescent="0.25">
      <c r="A61" s="4" t="s">
        <v>55</v>
      </c>
      <c r="B61" s="4" t="s">
        <v>38</v>
      </c>
      <c r="C61" s="4" t="s">
        <v>39</v>
      </c>
      <c r="D61" s="4" t="s">
        <v>47</v>
      </c>
      <c r="E61" s="4" t="s">
        <v>48</v>
      </c>
      <c r="F61" s="4" t="s">
        <v>25</v>
      </c>
      <c r="G61" s="4" t="s">
        <v>25</v>
      </c>
      <c r="H61" s="4" t="s">
        <v>25</v>
      </c>
      <c r="I61" s="5">
        <v>44743</v>
      </c>
      <c r="J61" s="6">
        <v>244</v>
      </c>
      <c r="K61" s="59">
        <v>244</v>
      </c>
      <c r="L61" s="6">
        <v>0</v>
      </c>
      <c r="M61" s="58">
        <v>0</v>
      </c>
      <c r="N61" s="6">
        <v>0</v>
      </c>
      <c r="O61" s="58">
        <v>0</v>
      </c>
      <c r="P61" s="6">
        <v>2</v>
      </c>
      <c r="Q61" s="4" t="s">
        <v>26</v>
      </c>
      <c r="R61" s="4">
        <v>0</v>
      </c>
      <c r="S61" s="4">
        <v>15</v>
      </c>
      <c r="T61" s="4">
        <v>0</v>
      </c>
      <c r="U61" s="4">
        <v>0</v>
      </c>
      <c r="V61" s="58">
        <f>IF(ISERROR(VLOOKUP($S$61,'TAR FIN'!$A$1:$O$88,15,0)),0,VLOOKUP($S$61,'TAR FIN'!$A$1:$O$88,15,0))*(1-0.06)</f>
        <v>16.1586</v>
      </c>
      <c r="W61" s="58">
        <f>IF(ISERROR(VLOOKUP($T$61,'TAR FIN'!$A$1:$O$88,15,0)),0,VLOOKUP($T$61,'TAR FIN'!$A$1:$O$88,15,0))</f>
        <v>0</v>
      </c>
      <c r="X61" s="58">
        <f>IF(ISERROR(VLOOKUP($U$61,'TAR FIN'!$A$1:$O$88,15,0)),0,VLOOKUP($U$61,'TAR FIN'!$A$1:$O$88,15,0))</f>
        <v>0</v>
      </c>
      <c r="Y61" s="58">
        <f ca="1">('TUSD BE'!$AM$10+'TUSD BF'!$AM$10+'TUSD CVA'!$AM$10)*1*(1-0.03)</f>
        <v>13.250650868869648</v>
      </c>
      <c r="Z61" s="58"/>
      <c r="AA61" s="58"/>
      <c r="AB61" s="58">
        <f>(SUBSIDIO!$J$61*SUBSIDIO!$V$61)*(0.06)/(1-0.06)</f>
        <v>251.66159999999999</v>
      </c>
      <c r="AC61" s="58">
        <f>((SUBSIDIO!$L$61*SUBSIDIO!$W$61)+(SUBSIDIO!$N$61*SUBSIDIO!$X$61))*(0.06)/(1-0.06)</f>
        <v>0</v>
      </c>
      <c r="AD61" s="58">
        <f ca="1">(SUBSIDIO!$J$61*SUBSIDIO!$Y$61)*(0.03)/(1-0.03)</f>
        <v>99.994602433119411</v>
      </c>
      <c r="AE61" s="58">
        <f>((SUBSIDIO!$L$61*SUBSIDIO!$Z$61)+(SUBSIDIO!$N$61*SUBSIDIO!$AA$61))*(0.03)/(1-0.03)</f>
        <v>0</v>
      </c>
      <c r="AF61" s="4" t="s">
        <v>735</v>
      </c>
    </row>
    <row r="62" spans="1:32" ht="11.25" customHeight="1" x14ac:dyDescent="0.25">
      <c r="A62" s="4" t="s">
        <v>21</v>
      </c>
      <c r="B62" s="4" t="s">
        <v>38</v>
      </c>
      <c r="C62" s="4" t="s">
        <v>39</v>
      </c>
      <c r="D62" s="4" t="s">
        <v>47</v>
      </c>
      <c r="E62" s="4" t="s">
        <v>48</v>
      </c>
      <c r="F62" s="4" t="s">
        <v>25</v>
      </c>
      <c r="G62" s="4" t="s">
        <v>25</v>
      </c>
      <c r="H62" s="4" t="s">
        <v>33</v>
      </c>
      <c r="I62" s="5">
        <v>44409</v>
      </c>
      <c r="J62" s="6">
        <v>0</v>
      </c>
      <c r="K62" s="58">
        <v>0</v>
      </c>
      <c r="L62" s="6">
        <v>0.41399999999999998</v>
      </c>
      <c r="M62" s="58">
        <v>0.41399999999999998</v>
      </c>
      <c r="N62" s="6">
        <v>0.41399999999999998</v>
      </c>
      <c r="O62" s="58">
        <v>0.41399999999999998</v>
      </c>
      <c r="P62" s="6">
        <v>0</v>
      </c>
      <c r="Q62" s="4" t="s">
        <v>26</v>
      </c>
      <c r="R62" s="4">
        <v>0</v>
      </c>
      <c r="S62" s="4">
        <v>0</v>
      </c>
      <c r="T62" s="4">
        <v>18</v>
      </c>
      <c r="U62" s="4">
        <v>69</v>
      </c>
      <c r="V62" s="58">
        <f>IF(ISERROR(VLOOKUP($S$62,'TAR FIN'!$A$1:$O$88,15,0)),0,VLOOKUP($S$62,'TAR FIN'!$A$1:$O$88,15,0))</f>
        <v>0</v>
      </c>
      <c r="W62" s="58">
        <f>IF(ISERROR(VLOOKUP($T$62,'TAR FIN'!$A$1:$O$88,15,0)),0,VLOOKUP($T$62,'TAR FIN'!$A$1:$O$88,15,0))*(1-0.06)</f>
        <v>1218.0989999999999</v>
      </c>
      <c r="X62" s="58">
        <f>IF(ISERROR(VLOOKUP($U$62,'TAR FIN'!$A$1:$O$88,15,0)),0,VLOOKUP($U$62,'TAR FIN'!$A$1:$O$88,15,0))*(1-0.06)</f>
        <v>408.85299999999995</v>
      </c>
      <c r="Y62" s="58"/>
      <c r="Z62" s="58">
        <f ca="1">('TUSD BE'!$AM$11+'TUSD BF'!$AM$11+'TUSD CVA'!$AM$11)*1*(1-0.03)</f>
        <v>1017.1227510614234</v>
      </c>
      <c r="AA62" s="58">
        <f>('TE BE'!$AB$5+'TE BF'!$AB$5+'TE CVA'!$AB$5)*1*(1-0.03)</f>
        <v>307.47043646405808</v>
      </c>
      <c r="AB62" s="58">
        <f>(SUBSIDIO!$J$62*SUBSIDIO!$V$62)*(0.06)/(1-0.06)</f>
        <v>0</v>
      </c>
      <c r="AC62" s="58">
        <f>((SUBSIDIO!$L$62*SUBSIDIO!$W$62)+(SUBSIDIO!$N$62*SUBSIDIO!$X$62))*(0.06)/(1-0.06)</f>
        <v>42.993071999999998</v>
      </c>
      <c r="AD62" s="58">
        <f>(SUBSIDIO!$J$62*SUBSIDIO!$Y$62)*(0.03)/(1-0.03)</f>
        <v>0</v>
      </c>
      <c r="AE62" s="58">
        <f ca="1">((SUBSIDIO!$L$62*SUBSIDIO!$Z$62)+(SUBSIDIO!$N$62*SUBSIDIO!$AA$62))*(0.03)/(1-0.03)</f>
        <v>16.960255040274724</v>
      </c>
      <c r="AF62" s="4" t="s">
        <v>735</v>
      </c>
    </row>
    <row r="63" spans="1:32" ht="11.25" customHeight="1" x14ac:dyDescent="0.25">
      <c r="A63" s="4" t="s">
        <v>21</v>
      </c>
      <c r="B63" s="4" t="s">
        <v>38</v>
      </c>
      <c r="C63" s="4" t="s">
        <v>39</v>
      </c>
      <c r="D63" s="4" t="s">
        <v>47</v>
      </c>
      <c r="E63" s="4" t="s">
        <v>48</v>
      </c>
      <c r="F63" s="4" t="s">
        <v>25</v>
      </c>
      <c r="G63" s="4" t="s">
        <v>25</v>
      </c>
      <c r="H63" s="4" t="s">
        <v>33</v>
      </c>
      <c r="I63" s="5">
        <v>44440</v>
      </c>
      <c r="J63" s="6">
        <v>0</v>
      </c>
      <c r="K63" s="58">
        <v>0</v>
      </c>
      <c r="L63" s="6">
        <v>1.6830000000000001</v>
      </c>
      <c r="M63" s="58">
        <v>1.6830000000000001</v>
      </c>
      <c r="N63" s="6">
        <v>1.6830000000000001</v>
      </c>
      <c r="O63" s="58">
        <v>1.6830000000000001</v>
      </c>
      <c r="P63" s="6">
        <v>0</v>
      </c>
      <c r="Q63" s="4" t="s">
        <v>26</v>
      </c>
      <c r="R63" s="4">
        <v>0</v>
      </c>
      <c r="S63" s="4">
        <v>0</v>
      </c>
      <c r="T63" s="4">
        <v>18</v>
      </c>
      <c r="U63" s="4">
        <v>69</v>
      </c>
      <c r="V63" s="58">
        <f>IF(ISERROR(VLOOKUP($S$63,'TAR FIN'!$A$1:$O$88,15,0)),0,VLOOKUP($S$63,'TAR FIN'!$A$1:$O$88,15,0))</f>
        <v>0</v>
      </c>
      <c r="W63" s="58">
        <f>IF(ISERROR(VLOOKUP($T$63,'TAR FIN'!$A$1:$O$88,15,0)),0,VLOOKUP($T$63,'TAR FIN'!$A$1:$O$88,15,0))*(1-0.06)</f>
        <v>1218.0989999999999</v>
      </c>
      <c r="X63" s="58">
        <f>IF(ISERROR(VLOOKUP($U$63,'TAR FIN'!$A$1:$O$88,15,0)),0,VLOOKUP($U$63,'TAR FIN'!$A$1:$O$88,15,0))*(1-0.06)</f>
        <v>408.85299999999995</v>
      </c>
      <c r="Y63" s="58"/>
      <c r="Z63" s="58">
        <f ca="1">('TUSD BE'!$AM$11+'TUSD BF'!$AM$11+'TUSD CVA'!$AM$11)*1*(1-0.03)</f>
        <v>1017.1227510614234</v>
      </c>
      <c r="AA63" s="58">
        <f>('TE BE'!$AB$5+'TE BF'!$AB$5+'TE CVA'!$AB$5)*1*(1-0.03)</f>
        <v>307.47043646405808</v>
      </c>
      <c r="AB63" s="58">
        <f>(SUBSIDIO!$J$63*SUBSIDIO!$V$63)*(0.06)/(1-0.06)</f>
        <v>0</v>
      </c>
      <c r="AC63" s="58">
        <f>((SUBSIDIO!$L$63*SUBSIDIO!$W$63)+(SUBSIDIO!$N$63*SUBSIDIO!$X$63))*(0.06)/(1-0.06)</f>
        <v>174.776184</v>
      </c>
      <c r="AD63" s="58">
        <f>(SUBSIDIO!$J$63*SUBSIDIO!$Y$63)*(0.03)/(1-0.03)</f>
        <v>0</v>
      </c>
      <c r="AE63" s="58">
        <f ca="1">((SUBSIDIO!$L$63*SUBSIDIO!$Z$63)+(SUBSIDIO!$N$63*SUBSIDIO!$AA$63))*(0.03)/(1-0.03)</f>
        <v>68.947123750682024</v>
      </c>
      <c r="AF63" s="4" t="s">
        <v>735</v>
      </c>
    </row>
    <row r="64" spans="1:32" ht="11.25" customHeight="1" x14ac:dyDescent="0.25">
      <c r="A64" s="4" t="s">
        <v>21</v>
      </c>
      <c r="B64" s="4" t="s">
        <v>38</v>
      </c>
      <c r="C64" s="4" t="s">
        <v>39</v>
      </c>
      <c r="D64" s="4" t="s">
        <v>47</v>
      </c>
      <c r="E64" s="4" t="s">
        <v>48</v>
      </c>
      <c r="F64" s="4" t="s">
        <v>25</v>
      </c>
      <c r="G64" s="4" t="s">
        <v>25</v>
      </c>
      <c r="H64" s="4" t="s">
        <v>33</v>
      </c>
      <c r="I64" s="5">
        <v>44470</v>
      </c>
      <c r="J64" s="6">
        <v>0</v>
      </c>
      <c r="K64" s="58">
        <v>0</v>
      </c>
      <c r="L64" s="6">
        <v>1.395</v>
      </c>
      <c r="M64" s="58">
        <v>1.395</v>
      </c>
      <c r="N64" s="6">
        <v>1.395</v>
      </c>
      <c r="O64" s="58">
        <v>1.395</v>
      </c>
      <c r="P64" s="6">
        <v>0</v>
      </c>
      <c r="Q64" s="4" t="s">
        <v>26</v>
      </c>
      <c r="R64" s="4">
        <v>0</v>
      </c>
      <c r="S64" s="4">
        <v>0</v>
      </c>
      <c r="T64" s="4">
        <v>18</v>
      </c>
      <c r="U64" s="4">
        <v>69</v>
      </c>
      <c r="V64" s="58">
        <f>IF(ISERROR(VLOOKUP($S$64,'TAR FIN'!$A$1:$O$88,15,0)),0,VLOOKUP($S$64,'TAR FIN'!$A$1:$O$88,15,0))</f>
        <v>0</v>
      </c>
      <c r="W64" s="58">
        <f>IF(ISERROR(VLOOKUP($T$64,'TAR FIN'!$A$1:$O$88,15,0)),0,VLOOKUP($T$64,'TAR FIN'!$A$1:$O$88,15,0))*(1-0.06)</f>
        <v>1218.0989999999999</v>
      </c>
      <c r="X64" s="58">
        <f>IF(ISERROR(VLOOKUP($U$64,'TAR FIN'!$A$1:$O$88,15,0)),0,VLOOKUP($U$64,'TAR FIN'!$A$1:$O$88,15,0))*(1-0.06)</f>
        <v>408.85299999999995</v>
      </c>
      <c r="Y64" s="58"/>
      <c r="Z64" s="58">
        <f ca="1">('TUSD BE'!$AM$11+'TUSD BF'!$AM$11+'TUSD CVA'!$AM$11)*1*(1-0.03)</f>
        <v>1017.1227510614234</v>
      </c>
      <c r="AA64" s="58">
        <f>('TE BE'!$AB$5+'TE BF'!$AB$5+'TE CVA'!$AB$5)*1*(1-0.03)</f>
        <v>307.47043646405808</v>
      </c>
      <c r="AB64" s="58">
        <f>(SUBSIDIO!$J$64*SUBSIDIO!$V$64)*(0.06)/(1-0.06)</f>
        <v>0</v>
      </c>
      <c r="AC64" s="58">
        <f>((SUBSIDIO!$L$64*SUBSIDIO!$W$64)+(SUBSIDIO!$N$64*SUBSIDIO!$X$64))*(0.06)/(1-0.06)</f>
        <v>144.86795999999998</v>
      </c>
      <c r="AD64" s="58">
        <f>(SUBSIDIO!$J$64*SUBSIDIO!$Y$64)*(0.03)/(1-0.03)</f>
        <v>0</v>
      </c>
      <c r="AE64" s="58">
        <f ca="1">((SUBSIDIO!$L$64*SUBSIDIO!$Z$64)+(SUBSIDIO!$N$64*SUBSIDIO!$AA$64))*(0.03)/(1-0.03)</f>
        <v>57.14868546179526</v>
      </c>
      <c r="AF64" s="4" t="s">
        <v>735</v>
      </c>
    </row>
    <row r="65" spans="1:32" ht="11.25" customHeight="1" x14ac:dyDescent="0.25">
      <c r="A65" s="4" t="s">
        <v>21</v>
      </c>
      <c r="B65" s="4" t="s">
        <v>38</v>
      </c>
      <c r="C65" s="4" t="s">
        <v>39</v>
      </c>
      <c r="D65" s="4" t="s">
        <v>47</v>
      </c>
      <c r="E65" s="4" t="s">
        <v>48</v>
      </c>
      <c r="F65" s="4" t="s">
        <v>25</v>
      </c>
      <c r="G65" s="4" t="s">
        <v>25</v>
      </c>
      <c r="H65" s="4" t="s">
        <v>33</v>
      </c>
      <c r="I65" s="5">
        <v>44501</v>
      </c>
      <c r="J65" s="6">
        <v>0</v>
      </c>
      <c r="K65" s="58">
        <v>0</v>
      </c>
      <c r="L65" s="6">
        <v>1.407</v>
      </c>
      <c r="M65" s="58">
        <v>1.407</v>
      </c>
      <c r="N65" s="6">
        <v>1.407</v>
      </c>
      <c r="O65" s="58">
        <v>1.407</v>
      </c>
      <c r="P65" s="6">
        <v>0</v>
      </c>
      <c r="Q65" s="4" t="s">
        <v>26</v>
      </c>
      <c r="R65" s="4">
        <v>0</v>
      </c>
      <c r="S65" s="4">
        <v>0</v>
      </c>
      <c r="T65" s="4">
        <v>18</v>
      </c>
      <c r="U65" s="4">
        <v>69</v>
      </c>
      <c r="V65" s="58">
        <f>IF(ISERROR(VLOOKUP($S$65,'TAR FIN'!$A$1:$O$88,15,0)),0,VLOOKUP($S$65,'TAR FIN'!$A$1:$O$88,15,0))</f>
        <v>0</v>
      </c>
      <c r="W65" s="58">
        <f>IF(ISERROR(VLOOKUP($T$65,'TAR FIN'!$A$1:$O$88,15,0)),0,VLOOKUP($T$65,'TAR FIN'!$A$1:$O$88,15,0))*(1-0.06)</f>
        <v>1218.0989999999999</v>
      </c>
      <c r="X65" s="58">
        <f>IF(ISERROR(VLOOKUP($U$65,'TAR FIN'!$A$1:$O$88,15,0)),0,VLOOKUP($U$65,'TAR FIN'!$A$1:$O$88,15,0))*(1-0.06)</f>
        <v>408.85299999999995</v>
      </c>
      <c r="Y65" s="58"/>
      <c r="Z65" s="58">
        <f ca="1">('TUSD BE'!$AM$11+'TUSD BF'!$AM$11+'TUSD CVA'!$AM$11)*1*(1-0.03)</f>
        <v>1017.1227510614234</v>
      </c>
      <c r="AA65" s="58">
        <f>('TE BE'!$AB$5+'TE BF'!$AB$5+'TE CVA'!$AB$5)*1*(1-0.03)</f>
        <v>307.47043646405808</v>
      </c>
      <c r="AB65" s="58">
        <f>(SUBSIDIO!$J$65*SUBSIDIO!$V$65)*(0.06)/(1-0.06)</f>
        <v>0</v>
      </c>
      <c r="AC65" s="58">
        <f>((SUBSIDIO!$L$65*SUBSIDIO!$W$65)+(SUBSIDIO!$N$65*SUBSIDIO!$X$65))*(0.06)/(1-0.06)</f>
        <v>146.11413599999997</v>
      </c>
      <c r="AD65" s="58">
        <f>(SUBSIDIO!$J$65*SUBSIDIO!$Y$65)*(0.03)/(1-0.03)</f>
        <v>0</v>
      </c>
      <c r="AE65" s="58">
        <f ca="1">((SUBSIDIO!$L$65*SUBSIDIO!$Z$65)+(SUBSIDIO!$N$65*SUBSIDIO!$AA$65))*(0.03)/(1-0.03)</f>
        <v>57.640287057165537</v>
      </c>
      <c r="AF65" s="4" t="s">
        <v>735</v>
      </c>
    </row>
    <row r="66" spans="1:32" ht="11.25" customHeight="1" x14ac:dyDescent="0.25">
      <c r="A66" s="4" t="s">
        <v>21</v>
      </c>
      <c r="B66" s="4" t="s">
        <v>38</v>
      </c>
      <c r="C66" s="4" t="s">
        <v>39</v>
      </c>
      <c r="D66" s="4" t="s">
        <v>47</v>
      </c>
      <c r="E66" s="4" t="s">
        <v>48</v>
      </c>
      <c r="F66" s="4" t="s">
        <v>25</v>
      </c>
      <c r="G66" s="4" t="s">
        <v>25</v>
      </c>
      <c r="H66" s="4" t="s">
        <v>33</v>
      </c>
      <c r="I66" s="5">
        <v>44531</v>
      </c>
      <c r="J66" s="6">
        <v>0</v>
      </c>
      <c r="K66" s="58">
        <v>0</v>
      </c>
      <c r="L66" s="6">
        <v>1.752</v>
      </c>
      <c r="M66" s="58">
        <v>1.752</v>
      </c>
      <c r="N66" s="6">
        <v>1.752</v>
      </c>
      <c r="O66" s="58">
        <v>1.752</v>
      </c>
      <c r="P66" s="6">
        <v>0</v>
      </c>
      <c r="Q66" s="4" t="s">
        <v>26</v>
      </c>
      <c r="R66" s="4">
        <v>0</v>
      </c>
      <c r="S66" s="4">
        <v>0</v>
      </c>
      <c r="T66" s="4">
        <v>18</v>
      </c>
      <c r="U66" s="4">
        <v>69</v>
      </c>
      <c r="V66" s="58">
        <f>IF(ISERROR(VLOOKUP($S$66,'TAR FIN'!$A$1:$O$88,15,0)),0,VLOOKUP($S$66,'TAR FIN'!$A$1:$O$88,15,0))</f>
        <v>0</v>
      </c>
      <c r="W66" s="58">
        <f>IF(ISERROR(VLOOKUP($T$66,'TAR FIN'!$A$1:$O$88,15,0)),0,VLOOKUP($T$66,'TAR FIN'!$A$1:$O$88,15,0))*(1-0.06)</f>
        <v>1218.0989999999999</v>
      </c>
      <c r="X66" s="58">
        <f>IF(ISERROR(VLOOKUP($U$66,'TAR FIN'!$A$1:$O$88,15,0)),0,VLOOKUP($U$66,'TAR FIN'!$A$1:$O$88,15,0))*(1-0.06)</f>
        <v>408.85299999999995</v>
      </c>
      <c r="Y66" s="58"/>
      <c r="Z66" s="58">
        <f ca="1">('TUSD BE'!$AM$11+'TUSD BF'!$AM$11+'TUSD CVA'!$AM$11)*1*(1-0.03)</f>
        <v>1017.1227510614234</v>
      </c>
      <c r="AA66" s="58">
        <f>('TE BE'!$AB$5+'TE BF'!$AB$5+'TE CVA'!$AB$5)*1*(1-0.03)</f>
        <v>307.47043646405808</v>
      </c>
      <c r="AB66" s="58">
        <f>(SUBSIDIO!$J$66*SUBSIDIO!$V$66)*(0.06)/(1-0.06)</f>
        <v>0</v>
      </c>
      <c r="AC66" s="58">
        <f>((SUBSIDIO!$L$66*SUBSIDIO!$W$66)+(SUBSIDIO!$N$66*SUBSIDIO!$X$66))*(0.06)/(1-0.06)</f>
        <v>181.94169599999998</v>
      </c>
      <c r="AD66" s="58">
        <f>(SUBSIDIO!$J$66*SUBSIDIO!$Y$66)*(0.03)/(1-0.03)</f>
        <v>0</v>
      </c>
      <c r="AE66" s="58">
        <f ca="1">((SUBSIDIO!$L$66*SUBSIDIO!$Z$66)+(SUBSIDIO!$N$66*SUBSIDIO!$AA$66))*(0.03)/(1-0.03)</f>
        <v>71.773832924061153</v>
      </c>
      <c r="AF66" s="4" t="s">
        <v>735</v>
      </c>
    </row>
    <row r="67" spans="1:32" ht="11.25" customHeight="1" x14ac:dyDescent="0.25">
      <c r="A67" s="4" t="s">
        <v>21</v>
      </c>
      <c r="B67" s="4" t="s">
        <v>38</v>
      </c>
      <c r="C67" s="4" t="s">
        <v>39</v>
      </c>
      <c r="D67" s="4" t="s">
        <v>47</v>
      </c>
      <c r="E67" s="4" t="s">
        <v>48</v>
      </c>
      <c r="F67" s="4" t="s">
        <v>25</v>
      </c>
      <c r="G67" s="4" t="s">
        <v>25</v>
      </c>
      <c r="H67" s="4" t="s">
        <v>33</v>
      </c>
      <c r="I67" s="5">
        <v>44562</v>
      </c>
      <c r="J67" s="6">
        <v>0</v>
      </c>
      <c r="K67" s="58">
        <v>0</v>
      </c>
      <c r="L67" s="6">
        <v>0.41399999999999998</v>
      </c>
      <c r="M67" s="58">
        <v>0.41399999999999998</v>
      </c>
      <c r="N67" s="6">
        <v>0.41399999999999998</v>
      </c>
      <c r="O67" s="58">
        <v>0.41399999999999998</v>
      </c>
      <c r="P67" s="6">
        <v>0</v>
      </c>
      <c r="Q67" s="4" t="s">
        <v>26</v>
      </c>
      <c r="R67" s="4">
        <v>0</v>
      </c>
      <c r="S67" s="4">
        <v>0</v>
      </c>
      <c r="T67" s="4">
        <v>18</v>
      </c>
      <c r="U67" s="4">
        <v>69</v>
      </c>
      <c r="V67" s="58">
        <f>IF(ISERROR(VLOOKUP($S$67,'TAR FIN'!$A$1:$O$88,15,0)),0,VLOOKUP($S$67,'TAR FIN'!$A$1:$O$88,15,0))</f>
        <v>0</v>
      </c>
      <c r="W67" s="58">
        <f>IF(ISERROR(VLOOKUP($T$67,'TAR FIN'!$A$1:$O$88,15,0)),0,VLOOKUP($T$67,'TAR FIN'!$A$1:$O$88,15,0))*(1-0.06)</f>
        <v>1218.0989999999999</v>
      </c>
      <c r="X67" s="58">
        <f>IF(ISERROR(VLOOKUP($U$67,'TAR FIN'!$A$1:$O$88,15,0)),0,VLOOKUP($U$67,'TAR FIN'!$A$1:$O$88,15,0))*(1-0.06)</f>
        <v>408.85299999999995</v>
      </c>
      <c r="Y67" s="58"/>
      <c r="Z67" s="58">
        <f ca="1">('TUSD BE'!$AM$11+'TUSD BF'!$AM$11+'TUSD CVA'!$AM$11)*1*(1-0.03)</f>
        <v>1017.1227510614234</v>
      </c>
      <c r="AA67" s="58">
        <f>('TE BE'!$AB$5+'TE BF'!$AB$5+'TE CVA'!$AB$5)*1*(1-0.03)</f>
        <v>307.47043646405808</v>
      </c>
      <c r="AB67" s="58">
        <f>(SUBSIDIO!$J$67*SUBSIDIO!$V$67)*(0.06)/(1-0.06)</f>
        <v>0</v>
      </c>
      <c r="AC67" s="58">
        <f>((SUBSIDIO!$L$67*SUBSIDIO!$W$67)+(SUBSIDIO!$N$67*SUBSIDIO!$X$67))*(0.06)/(1-0.06)</f>
        <v>42.993071999999998</v>
      </c>
      <c r="AD67" s="58">
        <f>(SUBSIDIO!$J$67*SUBSIDIO!$Y$67)*(0.03)/(1-0.03)</f>
        <v>0</v>
      </c>
      <c r="AE67" s="58">
        <f ca="1">((SUBSIDIO!$L$67*SUBSIDIO!$Z$67)+(SUBSIDIO!$N$67*SUBSIDIO!$AA$67))*(0.03)/(1-0.03)</f>
        <v>16.960255040274724</v>
      </c>
      <c r="AF67" s="4" t="s">
        <v>735</v>
      </c>
    </row>
    <row r="68" spans="1:32" ht="11.25" customHeight="1" x14ac:dyDescent="0.25">
      <c r="A68" s="4" t="s">
        <v>21</v>
      </c>
      <c r="B68" s="4" t="s">
        <v>38</v>
      </c>
      <c r="C68" s="4" t="s">
        <v>39</v>
      </c>
      <c r="D68" s="4" t="s">
        <v>47</v>
      </c>
      <c r="E68" s="4" t="s">
        <v>48</v>
      </c>
      <c r="F68" s="4" t="s">
        <v>25</v>
      </c>
      <c r="G68" s="4" t="s">
        <v>25</v>
      </c>
      <c r="H68" s="4" t="s">
        <v>33</v>
      </c>
      <c r="I68" s="5">
        <v>44593</v>
      </c>
      <c r="J68" s="6">
        <v>0</v>
      </c>
      <c r="K68" s="58">
        <v>0</v>
      </c>
      <c r="L68" s="6">
        <v>0.432</v>
      </c>
      <c r="M68" s="58">
        <v>0.432</v>
      </c>
      <c r="N68" s="6">
        <v>0.432</v>
      </c>
      <c r="O68" s="58">
        <v>0.432</v>
      </c>
      <c r="P68" s="6">
        <v>0</v>
      </c>
      <c r="Q68" s="4" t="s">
        <v>26</v>
      </c>
      <c r="R68" s="4">
        <v>0</v>
      </c>
      <c r="S68" s="4">
        <v>0</v>
      </c>
      <c r="T68" s="4">
        <v>18</v>
      </c>
      <c r="U68" s="4">
        <v>69</v>
      </c>
      <c r="V68" s="58">
        <f>IF(ISERROR(VLOOKUP($S$68,'TAR FIN'!$A$1:$O$88,15,0)),0,VLOOKUP($S$68,'TAR FIN'!$A$1:$O$88,15,0))</f>
        <v>0</v>
      </c>
      <c r="W68" s="58">
        <f>IF(ISERROR(VLOOKUP($T$68,'TAR FIN'!$A$1:$O$88,15,0)),0,VLOOKUP($T$68,'TAR FIN'!$A$1:$O$88,15,0))*(1-0.06)</f>
        <v>1218.0989999999999</v>
      </c>
      <c r="X68" s="58">
        <f>IF(ISERROR(VLOOKUP($U$68,'TAR FIN'!$A$1:$O$88,15,0)),0,VLOOKUP($U$68,'TAR FIN'!$A$1:$O$88,15,0))*(1-0.06)</f>
        <v>408.85299999999995</v>
      </c>
      <c r="Y68" s="58"/>
      <c r="Z68" s="58">
        <f ca="1">('TUSD BE'!$AM$11+'TUSD BF'!$AM$11+'TUSD CVA'!$AM$11)*1*(1-0.03)</f>
        <v>1017.1227510614234</v>
      </c>
      <c r="AA68" s="58">
        <f>('TE BE'!$AB$5+'TE BF'!$AB$5+'TE CVA'!$AB$5)*1*(1-0.03)</f>
        <v>307.47043646405808</v>
      </c>
      <c r="AB68" s="58">
        <f>(SUBSIDIO!$J$68*SUBSIDIO!$V$68)*(0.06)/(1-0.06)</f>
        <v>0</v>
      </c>
      <c r="AC68" s="58">
        <f>((SUBSIDIO!$L$68*SUBSIDIO!$W$68)+(SUBSIDIO!$N$68*SUBSIDIO!$X$68))*(0.06)/(1-0.06)</f>
        <v>44.862335999999992</v>
      </c>
      <c r="AD68" s="58">
        <f>(SUBSIDIO!$J$68*SUBSIDIO!$Y$68)*(0.03)/(1-0.03)</f>
        <v>0</v>
      </c>
      <c r="AE68" s="58">
        <f ca="1">((SUBSIDIO!$L$68*SUBSIDIO!$Z$68)+(SUBSIDIO!$N$68*SUBSIDIO!$AA$68))*(0.03)/(1-0.03)</f>
        <v>17.697657433330143</v>
      </c>
      <c r="AF68" s="4" t="s">
        <v>735</v>
      </c>
    </row>
    <row r="69" spans="1:32" ht="11.25" customHeight="1" x14ac:dyDescent="0.25">
      <c r="A69" s="4" t="s">
        <v>21</v>
      </c>
      <c r="B69" s="4" t="s">
        <v>38</v>
      </c>
      <c r="C69" s="4" t="s">
        <v>39</v>
      </c>
      <c r="D69" s="4" t="s">
        <v>47</v>
      </c>
      <c r="E69" s="4" t="s">
        <v>48</v>
      </c>
      <c r="F69" s="4" t="s">
        <v>25</v>
      </c>
      <c r="G69" s="4" t="s">
        <v>25</v>
      </c>
      <c r="H69" s="4" t="s">
        <v>33</v>
      </c>
      <c r="I69" s="5">
        <v>44621</v>
      </c>
      <c r="J69" s="6">
        <v>0</v>
      </c>
      <c r="K69" s="58">
        <v>0</v>
      </c>
      <c r="L69" s="6">
        <v>1.669</v>
      </c>
      <c r="M69" s="58">
        <v>1.669</v>
      </c>
      <c r="N69" s="6">
        <v>1.669</v>
      </c>
      <c r="O69" s="58">
        <v>1.669</v>
      </c>
      <c r="P69" s="6">
        <v>0</v>
      </c>
      <c r="Q69" s="4" t="s">
        <v>26</v>
      </c>
      <c r="R69" s="4">
        <v>0</v>
      </c>
      <c r="S69" s="4">
        <v>0</v>
      </c>
      <c r="T69" s="4">
        <v>18</v>
      </c>
      <c r="U69" s="4">
        <v>69</v>
      </c>
      <c r="V69" s="58">
        <f>IF(ISERROR(VLOOKUP($S$69,'TAR FIN'!$A$1:$O$88,15,0)),0,VLOOKUP($S$69,'TAR FIN'!$A$1:$O$88,15,0))</f>
        <v>0</v>
      </c>
      <c r="W69" s="58">
        <f>IF(ISERROR(VLOOKUP($T$69,'TAR FIN'!$A$1:$O$88,15,0)),0,VLOOKUP($T$69,'TAR FIN'!$A$1:$O$88,15,0))*(1-0.06)</f>
        <v>1218.0989999999999</v>
      </c>
      <c r="X69" s="58">
        <f>IF(ISERROR(VLOOKUP($U$69,'TAR FIN'!$A$1:$O$88,15,0)),0,VLOOKUP($U$69,'TAR FIN'!$A$1:$O$88,15,0))*(1-0.06)</f>
        <v>408.85299999999995</v>
      </c>
      <c r="Y69" s="58"/>
      <c r="Z69" s="58">
        <f ca="1">('TUSD BE'!$AM$11+'TUSD BF'!$AM$11+'TUSD CVA'!$AM$11)*1*(1-0.03)</f>
        <v>1017.1227510614234</v>
      </c>
      <c r="AA69" s="58">
        <f>('TE BE'!$AB$5+'TE BF'!$AB$5+'TE CVA'!$AB$5)*1*(1-0.03)</f>
        <v>307.47043646405808</v>
      </c>
      <c r="AB69" s="58">
        <f>(SUBSIDIO!$J$69*SUBSIDIO!$V$69)*(0.06)/(1-0.06)</f>
        <v>0</v>
      </c>
      <c r="AC69" s="58">
        <f>((SUBSIDIO!$L$69*SUBSIDIO!$W$69)+(SUBSIDIO!$N$69*SUBSIDIO!$X$69))*(0.06)/(1-0.06)</f>
        <v>173.32231200000001</v>
      </c>
      <c r="AD69" s="58">
        <f>(SUBSIDIO!$J$69*SUBSIDIO!$Y$69)*(0.03)/(1-0.03)</f>
        <v>0</v>
      </c>
      <c r="AE69" s="58">
        <f ca="1">((SUBSIDIO!$L$69*SUBSIDIO!$Z$69)+(SUBSIDIO!$N$69*SUBSIDIO!$AA$69))*(0.03)/(1-0.03)</f>
        <v>68.373588556083362</v>
      </c>
      <c r="AF69" s="4" t="s">
        <v>735</v>
      </c>
    </row>
    <row r="70" spans="1:32" ht="11.25" customHeight="1" x14ac:dyDescent="0.25">
      <c r="A70" s="4" t="s">
        <v>21</v>
      </c>
      <c r="B70" s="4" t="s">
        <v>38</v>
      </c>
      <c r="C70" s="4" t="s">
        <v>39</v>
      </c>
      <c r="D70" s="4" t="s">
        <v>47</v>
      </c>
      <c r="E70" s="4" t="s">
        <v>48</v>
      </c>
      <c r="F70" s="4" t="s">
        <v>25</v>
      </c>
      <c r="G70" s="4" t="s">
        <v>25</v>
      </c>
      <c r="H70" s="4" t="s">
        <v>33</v>
      </c>
      <c r="I70" s="5">
        <v>44652</v>
      </c>
      <c r="J70" s="6">
        <v>0</v>
      </c>
      <c r="K70" s="58">
        <v>0</v>
      </c>
      <c r="L70" s="6">
        <v>1.6120000000000001</v>
      </c>
      <c r="M70" s="58">
        <v>1.6120000000000001</v>
      </c>
      <c r="N70" s="6">
        <v>1.6120000000000001</v>
      </c>
      <c r="O70" s="58">
        <v>1.6120000000000001</v>
      </c>
      <c r="P70" s="6">
        <v>0</v>
      </c>
      <c r="Q70" s="4" t="s">
        <v>26</v>
      </c>
      <c r="R70" s="4">
        <v>0</v>
      </c>
      <c r="S70" s="4">
        <v>0</v>
      </c>
      <c r="T70" s="4">
        <v>18</v>
      </c>
      <c r="U70" s="4">
        <v>69</v>
      </c>
      <c r="V70" s="58">
        <f>IF(ISERROR(VLOOKUP($S$70,'TAR FIN'!$A$1:$O$88,15,0)),0,VLOOKUP($S$70,'TAR FIN'!$A$1:$O$88,15,0))</f>
        <v>0</v>
      </c>
      <c r="W70" s="58">
        <f>IF(ISERROR(VLOOKUP($T$70,'TAR FIN'!$A$1:$O$88,15,0)),0,VLOOKUP($T$70,'TAR FIN'!$A$1:$O$88,15,0))*(1-0.06)</f>
        <v>1218.0989999999999</v>
      </c>
      <c r="X70" s="58">
        <f>IF(ISERROR(VLOOKUP($U$70,'TAR FIN'!$A$1:$O$88,15,0)),0,VLOOKUP($U$70,'TAR FIN'!$A$1:$O$88,15,0))*(1-0.06)</f>
        <v>408.85299999999995</v>
      </c>
      <c r="Y70" s="58"/>
      <c r="Z70" s="58">
        <f ca="1">('TUSD BE'!$AM$11+'TUSD BF'!$AM$11+'TUSD CVA'!$AM$11)*1*(1-0.03)</f>
        <v>1017.1227510614234</v>
      </c>
      <c r="AA70" s="58">
        <f>('TE BE'!$AB$5+'TE BF'!$AB$5+'TE CVA'!$AB$5)*1*(1-0.03)</f>
        <v>307.47043646405808</v>
      </c>
      <c r="AB70" s="58">
        <f>(SUBSIDIO!$J$70*SUBSIDIO!$V$70)*(0.06)/(1-0.06)</f>
        <v>0</v>
      </c>
      <c r="AC70" s="58">
        <f>((SUBSIDIO!$L$70*SUBSIDIO!$W$70)+(SUBSIDIO!$N$70*SUBSIDIO!$X$70))*(0.06)/(1-0.06)</f>
        <v>167.402976</v>
      </c>
      <c r="AD70" s="58">
        <f>(SUBSIDIO!$J$70*SUBSIDIO!$Y$70)*(0.03)/(1-0.03)</f>
        <v>0</v>
      </c>
      <c r="AE70" s="58">
        <f ca="1">((SUBSIDIO!$L$70*SUBSIDIO!$Z$70)+(SUBSIDIO!$N$70*SUBSIDIO!$AA$70))*(0.03)/(1-0.03)</f>
        <v>66.038480978074531</v>
      </c>
      <c r="AF70" s="4" t="s">
        <v>735</v>
      </c>
    </row>
    <row r="71" spans="1:32" ht="11.25" customHeight="1" x14ac:dyDescent="0.25">
      <c r="A71" s="4" t="s">
        <v>21</v>
      </c>
      <c r="B71" s="4" t="s">
        <v>38</v>
      </c>
      <c r="C71" s="4" t="s">
        <v>39</v>
      </c>
      <c r="D71" s="4" t="s">
        <v>47</v>
      </c>
      <c r="E71" s="4" t="s">
        <v>48</v>
      </c>
      <c r="F71" s="4" t="s">
        <v>25</v>
      </c>
      <c r="G71" s="4" t="s">
        <v>25</v>
      </c>
      <c r="H71" s="4" t="s">
        <v>33</v>
      </c>
      <c r="I71" s="5">
        <v>44682</v>
      </c>
      <c r="J71" s="6">
        <v>0</v>
      </c>
      <c r="K71" s="58">
        <v>0</v>
      </c>
      <c r="L71" s="6">
        <v>1.198</v>
      </c>
      <c r="M71" s="58">
        <v>1.198</v>
      </c>
      <c r="N71" s="6">
        <v>1.198</v>
      </c>
      <c r="O71" s="58">
        <v>1.198</v>
      </c>
      <c r="P71" s="6">
        <v>0</v>
      </c>
      <c r="Q71" s="4" t="s">
        <v>26</v>
      </c>
      <c r="R71" s="4">
        <v>0</v>
      </c>
      <c r="S71" s="4">
        <v>0</v>
      </c>
      <c r="T71" s="4">
        <v>18</v>
      </c>
      <c r="U71" s="4">
        <v>69</v>
      </c>
      <c r="V71" s="58">
        <f>IF(ISERROR(VLOOKUP($S$71,'TAR FIN'!$A$1:$O$88,15,0)),0,VLOOKUP($S$71,'TAR FIN'!$A$1:$O$88,15,0))</f>
        <v>0</v>
      </c>
      <c r="W71" s="58">
        <f>IF(ISERROR(VLOOKUP($T$71,'TAR FIN'!$A$1:$O$88,15,0)),0,VLOOKUP($T$71,'TAR FIN'!$A$1:$O$88,15,0))*(1-0.06)</f>
        <v>1218.0989999999999</v>
      </c>
      <c r="X71" s="58">
        <f>IF(ISERROR(VLOOKUP($U$71,'TAR FIN'!$A$1:$O$88,15,0)),0,VLOOKUP($U$71,'TAR FIN'!$A$1:$O$88,15,0))*(1-0.06)</f>
        <v>408.85299999999995</v>
      </c>
      <c r="Y71" s="58"/>
      <c r="Z71" s="58">
        <f ca="1">('TUSD BE'!$AM$11+'TUSD BF'!$AM$11+'TUSD CVA'!$AM$11)*1*(1-0.03)</f>
        <v>1017.1227510614234</v>
      </c>
      <c r="AA71" s="58">
        <f>('TE BE'!$AB$5+'TE BF'!$AB$5+'TE CVA'!$AB$5)*1*(1-0.03)</f>
        <v>307.47043646405808</v>
      </c>
      <c r="AB71" s="58">
        <f>(SUBSIDIO!$J$71*SUBSIDIO!$V$71)*(0.06)/(1-0.06)</f>
        <v>0</v>
      </c>
      <c r="AC71" s="58">
        <f>((SUBSIDIO!$L$71*SUBSIDIO!$W$71)+(SUBSIDIO!$N$71*SUBSIDIO!$X$71))*(0.06)/(1-0.06)</f>
        <v>124.40990399999998</v>
      </c>
      <c r="AD71" s="58">
        <f>(SUBSIDIO!$J$71*SUBSIDIO!$Y$71)*(0.03)/(1-0.03)</f>
        <v>0</v>
      </c>
      <c r="AE71" s="58">
        <f ca="1">((SUBSIDIO!$L$71*SUBSIDIO!$Z$71)+(SUBSIDIO!$N$71*SUBSIDIO!$AA$71))*(0.03)/(1-0.03)</f>
        <v>49.0782259377998</v>
      </c>
      <c r="AF71" s="4" t="s">
        <v>735</v>
      </c>
    </row>
    <row r="72" spans="1:32" ht="11.25" customHeight="1" x14ac:dyDescent="0.25">
      <c r="A72" s="4" t="s">
        <v>21</v>
      </c>
      <c r="B72" s="4" t="s">
        <v>38</v>
      </c>
      <c r="C72" s="4" t="s">
        <v>39</v>
      </c>
      <c r="D72" s="4" t="s">
        <v>47</v>
      </c>
      <c r="E72" s="4" t="s">
        <v>48</v>
      </c>
      <c r="F72" s="4" t="s">
        <v>25</v>
      </c>
      <c r="G72" s="4" t="s">
        <v>25</v>
      </c>
      <c r="H72" s="4" t="s">
        <v>33</v>
      </c>
      <c r="I72" s="5">
        <v>44713</v>
      </c>
      <c r="J72" s="6">
        <v>0</v>
      </c>
      <c r="K72" s="58">
        <v>0</v>
      </c>
      <c r="L72" s="6">
        <v>1.851</v>
      </c>
      <c r="M72" s="58">
        <v>1.851</v>
      </c>
      <c r="N72" s="6">
        <v>1.851</v>
      </c>
      <c r="O72" s="58">
        <v>1.851</v>
      </c>
      <c r="P72" s="6">
        <v>0</v>
      </c>
      <c r="Q72" s="4" t="s">
        <v>26</v>
      </c>
      <c r="R72" s="4">
        <v>0</v>
      </c>
      <c r="S72" s="4">
        <v>0</v>
      </c>
      <c r="T72" s="4">
        <v>18</v>
      </c>
      <c r="U72" s="4">
        <v>69</v>
      </c>
      <c r="V72" s="58">
        <f>IF(ISERROR(VLOOKUP($S$72,'TAR FIN'!$A$1:$O$88,15,0)),0,VLOOKUP($S$72,'TAR FIN'!$A$1:$O$88,15,0))</f>
        <v>0</v>
      </c>
      <c r="W72" s="58">
        <f>IF(ISERROR(VLOOKUP($T$72,'TAR FIN'!$A$1:$O$88,15,0)),0,VLOOKUP($T$72,'TAR FIN'!$A$1:$O$88,15,0))*(1-0.06)</f>
        <v>1218.0989999999999</v>
      </c>
      <c r="X72" s="58">
        <f>IF(ISERROR(VLOOKUP($U$72,'TAR FIN'!$A$1:$O$88,15,0)),0,VLOOKUP($U$72,'TAR FIN'!$A$1:$O$88,15,0))*(1-0.06)</f>
        <v>408.85299999999995</v>
      </c>
      <c r="Y72" s="58"/>
      <c r="Z72" s="58">
        <f ca="1">('TUSD BE'!$AM$11+'TUSD BF'!$AM$11+'TUSD CVA'!$AM$11)*1*(1-0.03)</f>
        <v>1017.1227510614234</v>
      </c>
      <c r="AA72" s="58">
        <f>('TE BE'!$AB$5+'TE BF'!$AB$5+'TE CVA'!$AB$5)*1*(1-0.03)</f>
        <v>307.47043646405808</v>
      </c>
      <c r="AB72" s="58">
        <f>(SUBSIDIO!$J$72*SUBSIDIO!$V$72)*(0.06)/(1-0.06)</f>
        <v>0</v>
      </c>
      <c r="AC72" s="58">
        <f>((SUBSIDIO!$L$72*SUBSIDIO!$W$72)+(SUBSIDIO!$N$72*SUBSIDIO!$X$72))*(0.06)/(1-0.06)</f>
        <v>192.22264799999999</v>
      </c>
      <c r="AD72" s="58">
        <f>(SUBSIDIO!$J$72*SUBSIDIO!$Y$72)*(0.03)/(1-0.03)</f>
        <v>0</v>
      </c>
      <c r="AE72" s="58">
        <f ca="1">((SUBSIDIO!$L$72*SUBSIDIO!$Z$72)+(SUBSIDIO!$N$72*SUBSIDIO!$AA$72))*(0.03)/(1-0.03)</f>
        <v>75.829546085865971</v>
      </c>
      <c r="AF72" s="4" t="s">
        <v>735</v>
      </c>
    </row>
    <row r="73" spans="1:32" ht="11.25" customHeight="1" x14ac:dyDescent="0.25">
      <c r="A73" s="4" t="s">
        <v>55</v>
      </c>
      <c r="B73" s="4" t="s">
        <v>38</v>
      </c>
      <c r="C73" s="4" t="s">
        <v>39</v>
      </c>
      <c r="D73" s="4" t="s">
        <v>47</v>
      </c>
      <c r="E73" s="4" t="s">
        <v>48</v>
      </c>
      <c r="F73" s="4" t="s">
        <v>25</v>
      </c>
      <c r="G73" s="4" t="s">
        <v>25</v>
      </c>
      <c r="H73" s="4" t="s">
        <v>33</v>
      </c>
      <c r="I73" s="5">
        <v>44743</v>
      </c>
      <c r="J73" s="6">
        <v>0</v>
      </c>
      <c r="K73" s="58">
        <v>0</v>
      </c>
      <c r="L73" s="6">
        <v>1.851</v>
      </c>
      <c r="M73" s="58">
        <v>1.851</v>
      </c>
      <c r="N73" s="6">
        <v>1.851</v>
      </c>
      <c r="O73" s="58">
        <v>1.851</v>
      </c>
      <c r="P73" s="6">
        <v>0</v>
      </c>
      <c r="Q73" s="4" t="s">
        <v>26</v>
      </c>
      <c r="R73" s="4">
        <v>0</v>
      </c>
      <c r="S73" s="4">
        <v>0</v>
      </c>
      <c r="T73" s="4">
        <v>18</v>
      </c>
      <c r="U73" s="4">
        <v>69</v>
      </c>
      <c r="V73" s="58">
        <f>IF(ISERROR(VLOOKUP($S$73,'TAR FIN'!$A$1:$O$88,15,0)),0,VLOOKUP($S$73,'TAR FIN'!$A$1:$O$88,15,0))</f>
        <v>0</v>
      </c>
      <c r="W73" s="58">
        <f>IF(ISERROR(VLOOKUP($T$73,'TAR FIN'!$A$1:$O$88,15,0)),0,VLOOKUP($T$73,'TAR FIN'!$A$1:$O$88,15,0))*(1-0.06)</f>
        <v>1218.0989999999999</v>
      </c>
      <c r="X73" s="58">
        <f>IF(ISERROR(VLOOKUP($U$73,'TAR FIN'!$A$1:$O$88,15,0)),0,VLOOKUP($U$73,'TAR FIN'!$A$1:$O$88,15,0))*(1-0.06)</f>
        <v>408.85299999999995</v>
      </c>
      <c r="Y73" s="58"/>
      <c r="Z73" s="58">
        <f ca="1">('TUSD BE'!$AM$11+'TUSD BF'!$AM$11+'TUSD CVA'!$AM$11)*1*(1-0.03)</f>
        <v>1017.1227510614234</v>
      </c>
      <c r="AA73" s="58">
        <f>('TE BE'!$AB$5+'TE BF'!$AB$5+'TE CVA'!$AB$5)*1*(1-0.03)</f>
        <v>307.47043646405808</v>
      </c>
      <c r="AB73" s="58">
        <f>(SUBSIDIO!$J$73*SUBSIDIO!$V$73)*(0.06)/(1-0.06)</f>
        <v>0</v>
      </c>
      <c r="AC73" s="58">
        <f>((SUBSIDIO!$L$73*SUBSIDIO!$W$73)+(SUBSIDIO!$N$73*SUBSIDIO!$X$73))*(0.06)/(1-0.06)</f>
        <v>192.22264799999999</v>
      </c>
      <c r="AD73" s="58">
        <f>(SUBSIDIO!$J$73*SUBSIDIO!$Y$73)*(0.03)/(1-0.03)</f>
        <v>0</v>
      </c>
      <c r="AE73" s="58">
        <f ca="1">((SUBSIDIO!$L$73*SUBSIDIO!$Z$73)+(SUBSIDIO!$N$73*SUBSIDIO!$AA$73))*(0.03)/(1-0.03)</f>
        <v>75.829546085865971</v>
      </c>
      <c r="AF73" s="4" t="s">
        <v>735</v>
      </c>
    </row>
    <row r="74" spans="1:32" ht="11.25" customHeight="1" x14ac:dyDescent="0.25">
      <c r="A74" s="4" t="s">
        <v>21</v>
      </c>
      <c r="B74" s="4" t="s">
        <v>22</v>
      </c>
      <c r="C74" s="4" t="s">
        <v>23</v>
      </c>
      <c r="D74" s="4" t="s">
        <v>24</v>
      </c>
      <c r="E74" s="4" t="s">
        <v>24</v>
      </c>
      <c r="F74" s="4" t="s">
        <v>25</v>
      </c>
      <c r="G74" s="4" t="s">
        <v>25</v>
      </c>
      <c r="H74" s="4" t="s">
        <v>25</v>
      </c>
      <c r="I74" s="5">
        <v>44409</v>
      </c>
      <c r="J74" s="6">
        <v>0</v>
      </c>
      <c r="K74" s="6">
        <v>0</v>
      </c>
      <c r="L74" s="6">
        <v>846.42</v>
      </c>
      <c r="M74" s="6">
        <v>846.42</v>
      </c>
      <c r="N74" s="6">
        <v>846.42</v>
      </c>
      <c r="O74" s="6">
        <v>846.42</v>
      </c>
      <c r="P74" s="6">
        <v>5673</v>
      </c>
      <c r="Q74" s="4" t="s">
        <v>26</v>
      </c>
      <c r="R74" s="4">
        <v>0</v>
      </c>
      <c r="S74" s="4">
        <v>0</v>
      </c>
      <c r="T74" s="4">
        <v>37</v>
      </c>
      <c r="U74" s="4">
        <v>75</v>
      </c>
      <c r="V74" s="6">
        <f>IF(ISERROR(VLOOKUP($S$74,'TAR FIN'!$A$1:$O$88,15,0)),0,VLOOKUP($S$74,'TAR FIN'!$A$1:$O$88,15,0))</f>
        <v>0</v>
      </c>
      <c r="W74" s="6">
        <f>IF(ISERROR(VLOOKUP($T$74,'TAR FIN'!$A$1:$O$88,15,0)),0,VLOOKUP($T$74,'TAR FIN'!$A$1:$O$88,15,0))</f>
        <v>269.91000000000003</v>
      </c>
      <c r="X74" s="6">
        <f>IF(ISERROR(VLOOKUP($U$74,'TAR FIN'!$A$1:$O$88,15,0)),0,VLOOKUP($U$74,'TAR FIN'!$A$1:$O$88,15,0))</f>
        <v>288.89999999999998</v>
      </c>
      <c r="Y74" s="6"/>
      <c r="Z74" s="6">
        <f ca="1">('TUSD BE'!$AM$20+'TUSD BF'!$AM$20+'TUSD CVA'!$AM$20)*1</f>
        <v>350.41122835255294</v>
      </c>
      <c r="AA74" s="6">
        <f>('TE BE'!$AB$11+'TE BF'!$AB$11+'TE CVA'!$AB$11)*1</f>
        <v>207.63042742196092</v>
      </c>
      <c r="AB74" s="6">
        <f t="shared" ref="AB74:AB97" si="10">(J74-K74)*V74</f>
        <v>0</v>
      </c>
      <c r="AC74" s="6">
        <f t="shared" ref="AC74" si="11">(L74-M74)*W74+(N74-O74)*X74</f>
        <v>0</v>
      </c>
      <c r="AD74" s="6">
        <f t="shared" ref="AD74:AD97" si="12">(J74-K74)*Y74</f>
        <v>0</v>
      </c>
      <c r="AE74" s="6">
        <f t="shared" ref="AE74" ca="1" si="13">(L74-M74)*Z74+(N74-O74)*AA74</f>
        <v>0</v>
      </c>
    </row>
    <row r="75" spans="1:32" ht="11.25" customHeight="1" x14ac:dyDescent="0.25">
      <c r="A75" s="4" t="s">
        <v>21</v>
      </c>
      <c r="B75" s="4" t="s">
        <v>22</v>
      </c>
      <c r="C75" s="4" t="s">
        <v>23</v>
      </c>
      <c r="D75" s="4" t="s">
        <v>24</v>
      </c>
      <c r="E75" s="4" t="s">
        <v>28</v>
      </c>
      <c r="F75" s="4" t="s">
        <v>25</v>
      </c>
      <c r="G75" s="4" t="s">
        <v>25</v>
      </c>
      <c r="H75" s="4" t="s">
        <v>25</v>
      </c>
      <c r="I75" s="5">
        <v>44409</v>
      </c>
      <c r="J75" s="6">
        <v>0</v>
      </c>
      <c r="K75" s="6">
        <v>0</v>
      </c>
      <c r="L75" s="6">
        <v>17.309999999999999</v>
      </c>
      <c r="M75" s="6">
        <v>17.309999999999999</v>
      </c>
      <c r="N75" s="6">
        <v>17.309999999999999</v>
      </c>
      <c r="O75" s="6">
        <v>17.309999999999999</v>
      </c>
      <c r="P75" s="6">
        <v>21</v>
      </c>
      <c r="Q75" s="4" t="s">
        <v>26</v>
      </c>
      <c r="R75" s="4">
        <v>0</v>
      </c>
      <c r="S75" s="4">
        <v>0</v>
      </c>
      <c r="T75" s="4">
        <v>38</v>
      </c>
      <c r="U75" s="4">
        <v>76</v>
      </c>
      <c r="V75" s="6">
        <f>IF(ISERROR(VLOOKUP($S$75,'TAR FIN'!$A$1:$O$88,15,0)),0,VLOOKUP($S$75,'TAR FIN'!$A$1:$O$88,15,0))</f>
        <v>0</v>
      </c>
      <c r="W75" s="6">
        <f>IF(ISERROR(VLOOKUP($T$75,'TAR FIN'!$A$1:$O$88,15,0)),0,VLOOKUP($T$75,'TAR FIN'!$A$1:$O$88,15,0))</f>
        <v>68.53</v>
      </c>
      <c r="X75" s="6">
        <f>IF(ISERROR(VLOOKUP($U$75,'TAR FIN'!$A$1:$O$88,15,0)),0,VLOOKUP($U$75,'TAR FIN'!$A$1:$O$88,15,0))</f>
        <v>101.12</v>
      </c>
      <c r="Y75" s="6"/>
      <c r="Z75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75" s="6">
        <f>('TE BE'!$AB$12+'TE BF'!$AB$12+'TE CVA'!$AB$12)*(1-CUSTOS!$M$34)</f>
        <v>72.670649597686321</v>
      </c>
      <c r="AB75" s="6">
        <f t="shared" si="10"/>
        <v>0</v>
      </c>
      <c r="AC75" s="6">
        <f>(L75-M75)*(W75+X75)+($W$111+$X$111-$W$75-$X$75)*(L75)</f>
        <v>5453.5154999999986</v>
      </c>
      <c r="AD75" s="6">
        <f t="shared" si="12"/>
        <v>0</v>
      </c>
      <c r="AE75" s="6">
        <f ca="1">(L75-M75)*(Z75+AA75)+($Z$111+$AA$111-$Z$75-$AA$75)*(L75)</f>
        <v>5246.5621908668709</v>
      </c>
      <c r="AF75" s="4" t="s">
        <v>736</v>
      </c>
    </row>
    <row r="76" spans="1:32" ht="11.25" customHeight="1" x14ac:dyDescent="0.25">
      <c r="A76" s="4" t="s">
        <v>21</v>
      </c>
      <c r="B76" s="4" t="s">
        <v>22</v>
      </c>
      <c r="C76" s="4" t="s">
        <v>23</v>
      </c>
      <c r="D76" s="4" t="s">
        <v>24</v>
      </c>
      <c r="E76" s="4" t="s">
        <v>28</v>
      </c>
      <c r="F76" s="4" t="s">
        <v>25</v>
      </c>
      <c r="G76" s="4" t="s">
        <v>25</v>
      </c>
      <c r="H76" s="4" t="s">
        <v>25</v>
      </c>
      <c r="I76" s="5">
        <v>44440</v>
      </c>
      <c r="J76" s="6">
        <v>0</v>
      </c>
      <c r="K76" s="6">
        <v>0</v>
      </c>
      <c r="L76" s="6">
        <v>16.2</v>
      </c>
      <c r="M76" s="6">
        <v>16.2</v>
      </c>
      <c r="N76" s="6">
        <v>16.2</v>
      </c>
      <c r="O76" s="6">
        <v>16.2</v>
      </c>
      <c r="P76" s="6">
        <v>21</v>
      </c>
      <c r="Q76" s="4" t="s">
        <v>26</v>
      </c>
      <c r="R76" s="4">
        <v>0</v>
      </c>
      <c r="S76" s="4">
        <v>0</v>
      </c>
      <c r="T76" s="4">
        <v>38</v>
      </c>
      <c r="U76" s="4">
        <v>76</v>
      </c>
      <c r="V76" s="6">
        <f>IF(ISERROR(VLOOKUP($S$76,'TAR FIN'!$A$1:$O$88,15,0)),0,VLOOKUP($S$76,'TAR FIN'!$A$1:$O$88,15,0))</f>
        <v>0</v>
      </c>
      <c r="W76" s="6">
        <f>IF(ISERROR(VLOOKUP($T$76,'TAR FIN'!$A$1:$O$88,15,0)),0,VLOOKUP($T$76,'TAR FIN'!$A$1:$O$88,15,0))</f>
        <v>68.53</v>
      </c>
      <c r="X76" s="6">
        <f>IF(ISERROR(VLOOKUP($U$76,'TAR FIN'!$A$1:$O$88,15,0)),0,VLOOKUP($U$76,'TAR FIN'!$A$1:$O$88,15,0))</f>
        <v>101.12</v>
      </c>
      <c r="Y76" s="6"/>
      <c r="Z76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76" s="6">
        <f>('TE BE'!$AB$12+'TE BF'!$AB$12+'TE CVA'!$AB$12)*(1-CUSTOS!$M$34)</f>
        <v>72.670649597686321</v>
      </c>
      <c r="AB76" s="6">
        <f t="shared" si="10"/>
        <v>0</v>
      </c>
      <c r="AC76" s="6">
        <f>(L76-M76)*(W76+X76)+($W$111+$X$111-$W$76-$X$76)*(L76)</f>
        <v>5103.8099999999995</v>
      </c>
      <c r="AD76" s="6">
        <f t="shared" si="12"/>
        <v>0</v>
      </c>
      <c r="AE76" s="6">
        <f ca="1">(L76-M76)*(Z76+AA76)+($Z$111+$AA$111-$Z$76-$AA$76)*(L76)</f>
        <v>4910.1275269811267</v>
      </c>
      <c r="AF76" s="4" t="s">
        <v>736</v>
      </c>
    </row>
    <row r="77" spans="1:32" ht="11.25" customHeight="1" x14ac:dyDescent="0.25">
      <c r="A77" s="4" t="s">
        <v>21</v>
      </c>
      <c r="B77" s="4" t="s">
        <v>22</v>
      </c>
      <c r="C77" s="4" t="s">
        <v>23</v>
      </c>
      <c r="D77" s="4" t="s">
        <v>24</v>
      </c>
      <c r="E77" s="4" t="s">
        <v>28</v>
      </c>
      <c r="F77" s="4" t="s">
        <v>25</v>
      </c>
      <c r="G77" s="4" t="s">
        <v>25</v>
      </c>
      <c r="H77" s="4" t="s">
        <v>25</v>
      </c>
      <c r="I77" s="5">
        <v>44470</v>
      </c>
      <c r="J77" s="6">
        <v>0</v>
      </c>
      <c r="K77" s="6">
        <v>0</v>
      </c>
      <c r="L77" s="6">
        <v>15.93</v>
      </c>
      <c r="M77" s="6">
        <v>15.93</v>
      </c>
      <c r="N77" s="6">
        <v>15.93</v>
      </c>
      <c r="O77" s="6">
        <v>15.93</v>
      </c>
      <c r="P77" s="6">
        <v>22</v>
      </c>
      <c r="Q77" s="4" t="s">
        <v>26</v>
      </c>
      <c r="R77" s="4">
        <v>0</v>
      </c>
      <c r="S77" s="4">
        <v>0</v>
      </c>
      <c r="T77" s="4">
        <v>38</v>
      </c>
      <c r="U77" s="4">
        <v>76</v>
      </c>
      <c r="V77" s="6">
        <f>IF(ISERROR(VLOOKUP($S$77,'TAR FIN'!$A$1:$O$88,15,0)),0,VLOOKUP($S$77,'TAR FIN'!$A$1:$O$88,15,0))</f>
        <v>0</v>
      </c>
      <c r="W77" s="6">
        <f>IF(ISERROR(VLOOKUP($T$77,'TAR FIN'!$A$1:$O$88,15,0)),0,VLOOKUP($T$77,'TAR FIN'!$A$1:$O$88,15,0))</f>
        <v>68.53</v>
      </c>
      <c r="X77" s="6">
        <f>IF(ISERROR(VLOOKUP($U$77,'TAR FIN'!$A$1:$O$88,15,0)),0,VLOOKUP($U$77,'TAR FIN'!$A$1:$O$88,15,0))</f>
        <v>101.12</v>
      </c>
      <c r="Y77" s="6"/>
      <c r="Z77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77" s="6">
        <f>('TE BE'!$AB$12+'TE BF'!$AB$12+'TE CVA'!$AB$12)*(1-CUSTOS!$M$34)</f>
        <v>72.670649597686321</v>
      </c>
      <c r="AB77" s="6">
        <f t="shared" si="10"/>
        <v>0</v>
      </c>
      <c r="AC77" s="6">
        <f>(L77-M77)*(W77+X77)+($W$111+$X$111-$W$77-$X$77)*(L77)</f>
        <v>5018.7464999999993</v>
      </c>
      <c r="AD77" s="6">
        <f t="shared" si="12"/>
        <v>0</v>
      </c>
      <c r="AE77" s="6">
        <f ca="1">(L77-M77)*(Z77+AA77)+($Z$111+$AA$111-$Z$77-$AA$77)*(L77)</f>
        <v>4828.2920681981077</v>
      </c>
      <c r="AF77" s="4" t="s">
        <v>736</v>
      </c>
    </row>
    <row r="78" spans="1:32" ht="11.25" customHeight="1" x14ac:dyDescent="0.25">
      <c r="A78" s="4" t="s">
        <v>21</v>
      </c>
      <c r="B78" s="4" t="s">
        <v>22</v>
      </c>
      <c r="C78" s="4" t="s">
        <v>23</v>
      </c>
      <c r="D78" s="4" t="s">
        <v>24</v>
      </c>
      <c r="E78" s="4" t="s">
        <v>28</v>
      </c>
      <c r="F78" s="4" t="s">
        <v>25</v>
      </c>
      <c r="G78" s="4" t="s">
        <v>25</v>
      </c>
      <c r="H78" s="4" t="s">
        <v>25</v>
      </c>
      <c r="I78" s="5">
        <v>44501</v>
      </c>
      <c r="J78" s="6">
        <v>0</v>
      </c>
      <c r="K78" s="6">
        <v>0</v>
      </c>
      <c r="L78" s="6">
        <v>16.260000000000002</v>
      </c>
      <c r="M78" s="6">
        <v>16.260000000000002</v>
      </c>
      <c r="N78" s="6">
        <v>16.260000000000002</v>
      </c>
      <c r="O78" s="6">
        <v>16.260000000000002</v>
      </c>
      <c r="P78" s="6">
        <v>21</v>
      </c>
      <c r="Q78" s="4" t="s">
        <v>26</v>
      </c>
      <c r="R78" s="4">
        <v>0</v>
      </c>
      <c r="S78" s="4">
        <v>0</v>
      </c>
      <c r="T78" s="4">
        <v>38</v>
      </c>
      <c r="U78" s="4">
        <v>76</v>
      </c>
      <c r="V78" s="6">
        <f>IF(ISERROR(VLOOKUP($S$78,'TAR FIN'!$A$1:$O$88,15,0)),0,VLOOKUP($S$78,'TAR FIN'!$A$1:$O$88,15,0))</f>
        <v>0</v>
      </c>
      <c r="W78" s="6">
        <f>IF(ISERROR(VLOOKUP($T$78,'TAR FIN'!$A$1:$O$88,15,0)),0,VLOOKUP($T$78,'TAR FIN'!$A$1:$O$88,15,0))</f>
        <v>68.53</v>
      </c>
      <c r="X78" s="6">
        <f>IF(ISERROR(VLOOKUP($U$78,'TAR FIN'!$A$1:$O$88,15,0)),0,VLOOKUP($U$78,'TAR FIN'!$A$1:$O$88,15,0))</f>
        <v>101.12</v>
      </c>
      <c r="Y78" s="6"/>
      <c r="Z78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78" s="6">
        <f>('TE BE'!$AB$12+'TE BF'!$AB$12+'TE CVA'!$AB$12)*(1-CUSTOS!$M$34)</f>
        <v>72.670649597686321</v>
      </c>
      <c r="AB78" s="6">
        <f t="shared" si="10"/>
        <v>0</v>
      </c>
      <c r="AC78" s="6">
        <f>(L78-M78)*(W78+X78)+($W$111+$X$111-$W$78-$X$78)*(L78)</f>
        <v>5122.7129999999997</v>
      </c>
      <c r="AD78" s="6">
        <f t="shared" si="12"/>
        <v>0</v>
      </c>
      <c r="AE78" s="6">
        <f ca="1">(L78-M78)*(Z78+AA78)+($Z$111+$AA$111-$Z$78-$AA$78)*(L78)</f>
        <v>4928.3131844884647</v>
      </c>
      <c r="AF78" s="4" t="s">
        <v>736</v>
      </c>
    </row>
    <row r="79" spans="1:32" ht="11.25" customHeight="1" x14ac:dyDescent="0.25">
      <c r="A79" s="4" t="s">
        <v>21</v>
      </c>
      <c r="B79" s="4" t="s">
        <v>22</v>
      </c>
      <c r="C79" s="4" t="s">
        <v>23</v>
      </c>
      <c r="D79" s="4" t="s">
        <v>24</v>
      </c>
      <c r="E79" s="4" t="s">
        <v>28</v>
      </c>
      <c r="F79" s="4" t="s">
        <v>25</v>
      </c>
      <c r="G79" s="4" t="s">
        <v>25</v>
      </c>
      <c r="H79" s="4" t="s">
        <v>25</v>
      </c>
      <c r="I79" s="5">
        <v>44531</v>
      </c>
      <c r="J79" s="6">
        <v>0</v>
      </c>
      <c r="K79" s="6">
        <v>0</v>
      </c>
      <c r="L79" s="6">
        <v>16.62</v>
      </c>
      <c r="M79" s="6">
        <v>16.62</v>
      </c>
      <c r="N79" s="6">
        <v>16.62</v>
      </c>
      <c r="O79" s="6">
        <v>16.62</v>
      </c>
      <c r="P79" s="6">
        <v>20</v>
      </c>
      <c r="Q79" s="4" t="s">
        <v>26</v>
      </c>
      <c r="R79" s="4">
        <v>0</v>
      </c>
      <c r="S79" s="4">
        <v>0</v>
      </c>
      <c r="T79" s="4">
        <v>38</v>
      </c>
      <c r="U79" s="4">
        <v>76</v>
      </c>
      <c r="V79" s="6">
        <f>IF(ISERROR(VLOOKUP($S$79,'TAR FIN'!$A$1:$O$88,15,0)),0,VLOOKUP($S$79,'TAR FIN'!$A$1:$O$88,15,0))</f>
        <v>0</v>
      </c>
      <c r="W79" s="6">
        <f>IF(ISERROR(VLOOKUP($T$79,'TAR FIN'!$A$1:$O$88,15,0)),0,VLOOKUP($T$79,'TAR FIN'!$A$1:$O$88,15,0))</f>
        <v>68.53</v>
      </c>
      <c r="X79" s="6">
        <f>IF(ISERROR(VLOOKUP($U$79,'TAR FIN'!$A$1:$O$88,15,0)),0,VLOOKUP($U$79,'TAR FIN'!$A$1:$O$88,15,0))</f>
        <v>101.12</v>
      </c>
      <c r="Y79" s="6"/>
      <c r="Z79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79" s="6">
        <f>('TE BE'!$AB$12+'TE BF'!$AB$12+'TE CVA'!$AB$12)*(1-CUSTOS!$M$34)</f>
        <v>72.670649597686321</v>
      </c>
      <c r="AB79" s="6">
        <f t="shared" si="10"/>
        <v>0</v>
      </c>
      <c r="AC79" s="6">
        <f>(L79-M79)*(W79+X79)+($W$111+$X$111-$W$79-$X$79)*(L79)</f>
        <v>5236.1309999999994</v>
      </c>
      <c r="AD79" s="6">
        <f t="shared" si="12"/>
        <v>0</v>
      </c>
      <c r="AE79" s="6">
        <f ca="1">(L79-M79)*(Z79+AA79)+($Z$111+$AA$111-$Z$79-$AA$79)*(L79)</f>
        <v>5037.4271295324897</v>
      </c>
      <c r="AF79" s="4" t="s">
        <v>736</v>
      </c>
    </row>
    <row r="80" spans="1:32" ht="11.25" customHeight="1" x14ac:dyDescent="0.25">
      <c r="A80" s="4" t="s">
        <v>21</v>
      </c>
      <c r="B80" s="4" t="s">
        <v>22</v>
      </c>
      <c r="C80" s="4" t="s">
        <v>23</v>
      </c>
      <c r="D80" s="4" t="s">
        <v>24</v>
      </c>
      <c r="E80" s="4" t="s">
        <v>28</v>
      </c>
      <c r="F80" s="4" t="s">
        <v>25</v>
      </c>
      <c r="G80" s="4" t="s">
        <v>25</v>
      </c>
      <c r="H80" s="4" t="s">
        <v>25</v>
      </c>
      <c r="I80" s="5">
        <v>44562</v>
      </c>
      <c r="J80" s="6">
        <v>0</v>
      </c>
      <c r="K80" s="6">
        <v>0</v>
      </c>
      <c r="L80" s="6">
        <v>16.739999999999998</v>
      </c>
      <c r="M80" s="6">
        <v>16.739999999999998</v>
      </c>
      <c r="N80" s="6">
        <v>16.739999999999998</v>
      </c>
      <c r="O80" s="6">
        <v>16.739999999999998</v>
      </c>
      <c r="P80" s="6">
        <v>18</v>
      </c>
      <c r="Q80" s="4" t="s">
        <v>26</v>
      </c>
      <c r="R80" s="4">
        <v>0</v>
      </c>
      <c r="S80" s="4">
        <v>0</v>
      </c>
      <c r="T80" s="4">
        <v>38</v>
      </c>
      <c r="U80" s="4">
        <v>76</v>
      </c>
      <c r="V80" s="6">
        <f>IF(ISERROR(VLOOKUP($S$80,'TAR FIN'!$A$1:$O$88,15,0)),0,VLOOKUP($S$80,'TAR FIN'!$A$1:$O$88,15,0))</f>
        <v>0</v>
      </c>
      <c r="W80" s="6">
        <f>IF(ISERROR(VLOOKUP($T$80,'TAR FIN'!$A$1:$O$88,15,0)),0,VLOOKUP($T$80,'TAR FIN'!$A$1:$O$88,15,0))</f>
        <v>68.53</v>
      </c>
      <c r="X80" s="6">
        <f>IF(ISERROR(VLOOKUP($U$80,'TAR FIN'!$A$1:$O$88,15,0)),0,VLOOKUP($U$80,'TAR FIN'!$A$1:$O$88,15,0))</f>
        <v>101.12</v>
      </c>
      <c r="Y80" s="6"/>
      <c r="Z80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80" s="6">
        <f>('TE BE'!$AB$12+'TE BF'!$AB$12+'TE CVA'!$AB$12)*(1-CUSTOS!$M$34)</f>
        <v>72.670649597686321</v>
      </c>
      <c r="AB80" s="6">
        <f t="shared" si="10"/>
        <v>0</v>
      </c>
      <c r="AC80" s="6">
        <f>(L80-M80)*(W80+X80)+($W$111+$X$111-$W$80-$X$80)*(L80)</f>
        <v>5273.936999999999</v>
      </c>
      <c r="AD80" s="6">
        <f t="shared" si="12"/>
        <v>0</v>
      </c>
      <c r="AE80" s="6">
        <f ca="1">(L80-M80)*(Z80+AA80)+($Z$111+$AA$111-$Z$80-$AA$80)*(L80)</f>
        <v>5073.7984445471639</v>
      </c>
      <c r="AF80" s="4" t="s">
        <v>736</v>
      </c>
    </row>
    <row r="81" spans="1:32" ht="11.25" customHeight="1" x14ac:dyDescent="0.25">
      <c r="A81" s="4" t="s">
        <v>21</v>
      </c>
      <c r="B81" s="4" t="s">
        <v>22</v>
      </c>
      <c r="C81" s="4" t="s">
        <v>23</v>
      </c>
      <c r="D81" s="4" t="s">
        <v>24</v>
      </c>
      <c r="E81" s="4" t="s">
        <v>28</v>
      </c>
      <c r="F81" s="4" t="s">
        <v>25</v>
      </c>
      <c r="G81" s="4" t="s">
        <v>25</v>
      </c>
      <c r="H81" s="4" t="s">
        <v>25</v>
      </c>
      <c r="I81" s="5">
        <v>44593</v>
      </c>
      <c r="J81" s="6">
        <v>0</v>
      </c>
      <c r="K81" s="6">
        <v>0</v>
      </c>
      <c r="L81" s="6">
        <v>16.940000000000001</v>
      </c>
      <c r="M81" s="6">
        <v>16.940000000000001</v>
      </c>
      <c r="N81" s="6">
        <v>16.940000000000001</v>
      </c>
      <c r="O81" s="6">
        <v>16.940000000000001</v>
      </c>
      <c r="P81" s="6">
        <v>17</v>
      </c>
      <c r="Q81" s="4" t="s">
        <v>26</v>
      </c>
      <c r="R81" s="4">
        <v>0</v>
      </c>
      <c r="S81" s="4">
        <v>0</v>
      </c>
      <c r="T81" s="4">
        <v>38</v>
      </c>
      <c r="U81" s="4">
        <v>76</v>
      </c>
      <c r="V81" s="6">
        <f>IF(ISERROR(VLOOKUP($S$81,'TAR FIN'!$A$1:$O$88,15,0)),0,VLOOKUP($S$81,'TAR FIN'!$A$1:$O$88,15,0))</f>
        <v>0</v>
      </c>
      <c r="W81" s="6">
        <f>IF(ISERROR(VLOOKUP($T$81,'TAR FIN'!$A$1:$O$88,15,0)),0,VLOOKUP($T$81,'TAR FIN'!$A$1:$O$88,15,0))</f>
        <v>68.53</v>
      </c>
      <c r="X81" s="6">
        <f>IF(ISERROR(VLOOKUP($U$81,'TAR FIN'!$A$1:$O$88,15,0)),0,VLOOKUP($U$81,'TAR FIN'!$A$1:$O$88,15,0))</f>
        <v>101.12</v>
      </c>
      <c r="Y81" s="6"/>
      <c r="Z81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81" s="6">
        <f>('TE BE'!$AB$12+'TE BF'!$AB$12+'TE CVA'!$AB$12)*(1-CUSTOS!$M$34)</f>
        <v>72.670649597686321</v>
      </c>
      <c r="AB81" s="6">
        <f t="shared" si="10"/>
        <v>0</v>
      </c>
      <c r="AC81" s="6">
        <f>(L81-M81)*(W81+X81)+($W$111+$X$111-$W$81-$X$81)*(L81)</f>
        <v>5336.9469999999992</v>
      </c>
      <c r="AD81" s="6">
        <f t="shared" si="12"/>
        <v>0</v>
      </c>
      <c r="AE81" s="6">
        <f ca="1">(L81-M81)*(Z81+AA81)+($Z$111+$AA$111-$Z$81-$AA$81)*(L81)</f>
        <v>5134.4173029049571</v>
      </c>
      <c r="AF81" s="4" t="s">
        <v>736</v>
      </c>
    </row>
    <row r="82" spans="1:32" ht="11.25" customHeight="1" x14ac:dyDescent="0.25">
      <c r="A82" s="4" t="s">
        <v>21</v>
      </c>
      <c r="B82" s="4" t="s">
        <v>22</v>
      </c>
      <c r="C82" s="4" t="s">
        <v>23</v>
      </c>
      <c r="D82" s="4" t="s">
        <v>24</v>
      </c>
      <c r="E82" s="4" t="s">
        <v>28</v>
      </c>
      <c r="F82" s="4" t="s">
        <v>25</v>
      </c>
      <c r="G82" s="4" t="s">
        <v>25</v>
      </c>
      <c r="H82" s="4" t="s">
        <v>25</v>
      </c>
      <c r="I82" s="5">
        <v>44621</v>
      </c>
      <c r="J82" s="6">
        <v>0</v>
      </c>
      <c r="K82" s="6">
        <v>0</v>
      </c>
      <c r="L82" s="6">
        <v>17.22</v>
      </c>
      <c r="M82" s="6">
        <v>17.22</v>
      </c>
      <c r="N82" s="6">
        <v>17.22</v>
      </c>
      <c r="O82" s="6">
        <v>17.22</v>
      </c>
      <c r="P82" s="6">
        <v>13</v>
      </c>
      <c r="Q82" s="4" t="s">
        <v>26</v>
      </c>
      <c r="R82" s="4">
        <v>0</v>
      </c>
      <c r="S82" s="4">
        <v>0</v>
      </c>
      <c r="T82" s="4">
        <v>38</v>
      </c>
      <c r="U82" s="4">
        <v>76</v>
      </c>
      <c r="V82" s="6">
        <f>IF(ISERROR(VLOOKUP($S$82,'TAR FIN'!$A$1:$O$88,15,0)),0,VLOOKUP($S$82,'TAR FIN'!$A$1:$O$88,15,0))</f>
        <v>0</v>
      </c>
      <c r="W82" s="6">
        <f>IF(ISERROR(VLOOKUP($T$82,'TAR FIN'!$A$1:$O$88,15,0)),0,VLOOKUP($T$82,'TAR FIN'!$A$1:$O$88,15,0))</f>
        <v>68.53</v>
      </c>
      <c r="X82" s="6">
        <f>IF(ISERROR(VLOOKUP($U$82,'TAR FIN'!$A$1:$O$88,15,0)),0,VLOOKUP($U$82,'TAR FIN'!$A$1:$O$88,15,0))</f>
        <v>101.12</v>
      </c>
      <c r="Y82" s="6"/>
      <c r="Z82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82" s="6">
        <f>('TE BE'!$AB$12+'TE BF'!$AB$12+'TE CVA'!$AB$12)*(1-CUSTOS!$M$34)</f>
        <v>72.670649597686321</v>
      </c>
      <c r="AB82" s="6">
        <f t="shared" si="10"/>
        <v>0</v>
      </c>
      <c r="AC82" s="6">
        <f>(L82-M82)*(W82+X82)+($W$111+$X$111-$W$82-$X$82)*(L82)</f>
        <v>5425.1609999999991</v>
      </c>
      <c r="AD82" s="6">
        <f t="shared" si="12"/>
        <v>0</v>
      </c>
      <c r="AE82" s="6">
        <f ca="1">(L82-M82)*(Z82+AA82)+($Z$111+$AA$111-$Z$82-$AA$82)*(L82)</f>
        <v>5219.2837046058639</v>
      </c>
      <c r="AF82" s="4" t="s">
        <v>736</v>
      </c>
    </row>
    <row r="83" spans="1:32" ht="11.25" customHeight="1" x14ac:dyDescent="0.25">
      <c r="A83" s="4" t="s">
        <v>21</v>
      </c>
      <c r="B83" s="4" t="s">
        <v>22</v>
      </c>
      <c r="C83" s="4" t="s">
        <v>23</v>
      </c>
      <c r="D83" s="4" t="s">
        <v>24</v>
      </c>
      <c r="E83" s="4" t="s">
        <v>28</v>
      </c>
      <c r="F83" s="4" t="s">
        <v>25</v>
      </c>
      <c r="G83" s="4" t="s">
        <v>25</v>
      </c>
      <c r="H83" s="4" t="s">
        <v>25</v>
      </c>
      <c r="I83" s="5">
        <v>44652</v>
      </c>
      <c r="J83" s="6">
        <v>0</v>
      </c>
      <c r="K83" s="6">
        <v>0</v>
      </c>
      <c r="L83" s="6">
        <v>17.399999999999999</v>
      </c>
      <c r="M83" s="6">
        <v>17.399999999999999</v>
      </c>
      <c r="N83" s="6">
        <v>17.399999999999999</v>
      </c>
      <c r="O83" s="6">
        <v>17.399999999999999</v>
      </c>
      <c r="P83" s="6">
        <v>24</v>
      </c>
      <c r="Q83" s="4" t="s">
        <v>26</v>
      </c>
      <c r="R83" s="4">
        <v>0</v>
      </c>
      <c r="S83" s="4">
        <v>0</v>
      </c>
      <c r="T83" s="4">
        <v>38</v>
      </c>
      <c r="U83" s="4">
        <v>76</v>
      </c>
      <c r="V83" s="6">
        <f>IF(ISERROR(VLOOKUP($S$83,'TAR FIN'!$A$1:$O$88,15,0)),0,VLOOKUP($S$83,'TAR FIN'!$A$1:$O$88,15,0))</f>
        <v>0</v>
      </c>
      <c r="W83" s="6">
        <f>IF(ISERROR(VLOOKUP($T$83,'TAR FIN'!$A$1:$O$88,15,0)),0,VLOOKUP($T$83,'TAR FIN'!$A$1:$O$88,15,0))</f>
        <v>68.53</v>
      </c>
      <c r="X83" s="6">
        <f>IF(ISERROR(VLOOKUP($U$83,'TAR FIN'!$A$1:$O$88,15,0)),0,VLOOKUP($U$83,'TAR FIN'!$A$1:$O$88,15,0))</f>
        <v>101.12</v>
      </c>
      <c r="Y83" s="6"/>
      <c r="Z83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83" s="6">
        <f>('TE BE'!$AB$12+'TE BF'!$AB$12+'TE CVA'!$AB$12)*(1-CUSTOS!$M$34)</f>
        <v>72.670649597686321</v>
      </c>
      <c r="AB83" s="6">
        <f t="shared" si="10"/>
        <v>0</v>
      </c>
      <c r="AC83" s="6">
        <f>(L83-M83)*(W83+X83)+($W$111+$X$111-$W$83-$X$83)*(L83)</f>
        <v>5481.869999999999</v>
      </c>
      <c r="AD83" s="6">
        <f t="shared" si="12"/>
        <v>0</v>
      </c>
      <c r="AE83" s="6">
        <f ca="1">(L83-M83)*(Z83+AA83)+($Z$111+$AA$111-$Z$83-$AA$83)*(L83)</f>
        <v>5273.8406771278769</v>
      </c>
      <c r="AF83" s="4" t="s">
        <v>736</v>
      </c>
    </row>
    <row r="84" spans="1:32" ht="11.25" customHeight="1" x14ac:dyDescent="0.25">
      <c r="A84" s="4" t="s">
        <v>21</v>
      </c>
      <c r="B84" s="4" t="s">
        <v>22</v>
      </c>
      <c r="C84" s="4" t="s">
        <v>23</v>
      </c>
      <c r="D84" s="4" t="s">
        <v>24</v>
      </c>
      <c r="E84" s="4" t="s">
        <v>28</v>
      </c>
      <c r="F84" s="4" t="s">
        <v>25</v>
      </c>
      <c r="G84" s="4" t="s">
        <v>25</v>
      </c>
      <c r="H84" s="4" t="s">
        <v>25</v>
      </c>
      <c r="I84" s="5">
        <v>44682</v>
      </c>
      <c r="J84" s="6">
        <v>0</v>
      </c>
      <c r="K84" s="6">
        <v>0</v>
      </c>
      <c r="L84" s="6">
        <v>17.7</v>
      </c>
      <c r="M84" s="6">
        <v>17.7</v>
      </c>
      <c r="N84" s="6">
        <v>17.7</v>
      </c>
      <c r="O84" s="6">
        <v>17.7</v>
      </c>
      <c r="P84" s="6">
        <v>23</v>
      </c>
      <c r="Q84" s="4" t="s">
        <v>26</v>
      </c>
      <c r="R84" s="4">
        <v>0</v>
      </c>
      <c r="S84" s="4">
        <v>0</v>
      </c>
      <c r="T84" s="4">
        <v>38</v>
      </c>
      <c r="U84" s="4">
        <v>76</v>
      </c>
      <c r="V84" s="6">
        <f>IF(ISERROR(VLOOKUP($S$84,'TAR FIN'!$A$1:$O$88,15,0)),0,VLOOKUP($S$84,'TAR FIN'!$A$1:$O$88,15,0))</f>
        <v>0</v>
      </c>
      <c r="W84" s="6">
        <f>IF(ISERROR(VLOOKUP($T$84,'TAR FIN'!$A$1:$O$88,15,0)),0,VLOOKUP($T$84,'TAR FIN'!$A$1:$O$88,15,0))</f>
        <v>68.53</v>
      </c>
      <c r="X84" s="6">
        <f>IF(ISERROR(VLOOKUP($U$84,'TAR FIN'!$A$1:$O$88,15,0)),0,VLOOKUP($U$84,'TAR FIN'!$A$1:$O$88,15,0))</f>
        <v>101.12</v>
      </c>
      <c r="Y84" s="6"/>
      <c r="Z84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84" s="6">
        <f>('TE BE'!$AB$12+'TE BF'!$AB$12+'TE CVA'!$AB$12)*(1-CUSTOS!$M$34)</f>
        <v>72.670649597686321</v>
      </c>
      <c r="AB84" s="6">
        <f t="shared" si="10"/>
        <v>0</v>
      </c>
      <c r="AC84" s="6">
        <f>(L84-M84)*(W84+X84)+($W$111+$X$111-$W$84-$X$84)*(L84)</f>
        <v>5576.3849999999993</v>
      </c>
      <c r="AD84" s="6">
        <f t="shared" si="12"/>
        <v>0</v>
      </c>
      <c r="AE84" s="6">
        <f ca="1">(L84-M84)*(Z84+AA84)+($Z$111+$AA$111-$Z$84-$AA$84)*(L84)</f>
        <v>5364.7689646645649</v>
      </c>
      <c r="AF84" s="4" t="s">
        <v>736</v>
      </c>
    </row>
    <row r="85" spans="1:32" ht="11.25" customHeight="1" x14ac:dyDescent="0.25">
      <c r="A85" s="4" t="s">
        <v>21</v>
      </c>
      <c r="B85" s="4" t="s">
        <v>22</v>
      </c>
      <c r="C85" s="4" t="s">
        <v>23</v>
      </c>
      <c r="D85" s="4" t="s">
        <v>24</v>
      </c>
      <c r="E85" s="4" t="s">
        <v>28</v>
      </c>
      <c r="F85" s="4" t="s">
        <v>25</v>
      </c>
      <c r="G85" s="4" t="s">
        <v>25</v>
      </c>
      <c r="H85" s="4" t="s">
        <v>25</v>
      </c>
      <c r="I85" s="5">
        <v>44713</v>
      </c>
      <c r="J85" s="6">
        <v>0</v>
      </c>
      <c r="K85" s="6">
        <v>0</v>
      </c>
      <c r="L85" s="6">
        <v>18.149999999999999</v>
      </c>
      <c r="M85" s="6">
        <v>18.149999999999999</v>
      </c>
      <c r="N85" s="6">
        <v>18.149999999999999</v>
      </c>
      <c r="O85" s="6">
        <v>18.149999999999999</v>
      </c>
      <c r="P85" s="6">
        <v>29</v>
      </c>
      <c r="Q85" s="4" t="s">
        <v>26</v>
      </c>
      <c r="R85" s="4">
        <v>0</v>
      </c>
      <c r="S85" s="4">
        <v>0</v>
      </c>
      <c r="T85" s="4">
        <v>38</v>
      </c>
      <c r="U85" s="4">
        <v>76</v>
      </c>
      <c r="V85" s="6">
        <f>IF(ISERROR(VLOOKUP($S$85,'TAR FIN'!$A$1:$O$88,15,0)),0,VLOOKUP($S$85,'TAR FIN'!$A$1:$O$88,15,0))</f>
        <v>0</v>
      </c>
      <c r="W85" s="6">
        <f>IF(ISERROR(VLOOKUP($T$85,'TAR FIN'!$A$1:$O$88,15,0)),0,VLOOKUP($T$85,'TAR FIN'!$A$1:$O$88,15,0))</f>
        <v>68.53</v>
      </c>
      <c r="X85" s="6">
        <f>IF(ISERROR(VLOOKUP($U$85,'TAR FIN'!$A$1:$O$88,15,0)),0,VLOOKUP($U$85,'TAR FIN'!$A$1:$O$88,15,0))</f>
        <v>101.12</v>
      </c>
      <c r="Y85" s="6"/>
      <c r="Z85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85" s="6">
        <f>('TE BE'!$AB$12+'TE BF'!$AB$12+'TE CVA'!$AB$12)*(1-CUSTOS!$M$34)</f>
        <v>72.670649597686321</v>
      </c>
      <c r="AB85" s="6">
        <f t="shared" si="10"/>
        <v>0</v>
      </c>
      <c r="AC85" s="6">
        <f>(L85-M85)*(W85+X85)+($W$111+$X$111-$W$85-$X$85)*(L85)</f>
        <v>5718.1574999999984</v>
      </c>
      <c r="AD85" s="6">
        <f t="shared" si="12"/>
        <v>0</v>
      </c>
      <c r="AE85" s="6">
        <f ca="1">(L85-M85)*(Z85+AA85)+($Z$111+$AA$111-$Z$85-$AA$85)*(L85)</f>
        <v>5501.161395969596</v>
      </c>
      <c r="AF85" s="4" t="s">
        <v>736</v>
      </c>
    </row>
    <row r="86" spans="1:32" ht="11.25" customHeight="1" x14ac:dyDescent="0.25">
      <c r="A86" s="4" t="s">
        <v>55</v>
      </c>
      <c r="B86" s="4" t="s">
        <v>22</v>
      </c>
      <c r="C86" s="4" t="s">
        <v>23</v>
      </c>
      <c r="D86" s="4" t="s">
        <v>24</v>
      </c>
      <c r="E86" s="4" t="s">
        <v>28</v>
      </c>
      <c r="F86" s="4" t="s">
        <v>25</v>
      </c>
      <c r="G86" s="4" t="s">
        <v>25</v>
      </c>
      <c r="H86" s="4" t="s">
        <v>25</v>
      </c>
      <c r="I86" s="5">
        <v>44743</v>
      </c>
      <c r="J86" s="6">
        <v>0</v>
      </c>
      <c r="K86" s="6">
        <v>0</v>
      </c>
      <c r="L86" s="6">
        <v>18.149999999999999</v>
      </c>
      <c r="M86" s="6">
        <v>18.149999999999999</v>
      </c>
      <c r="N86" s="6">
        <v>18.149999999999999</v>
      </c>
      <c r="O86" s="6">
        <v>18.149999999999999</v>
      </c>
      <c r="P86" s="6">
        <v>29</v>
      </c>
      <c r="Q86" s="4" t="s">
        <v>26</v>
      </c>
      <c r="R86" s="4">
        <v>0</v>
      </c>
      <c r="S86" s="4">
        <v>0</v>
      </c>
      <c r="T86" s="4">
        <v>38</v>
      </c>
      <c r="U86" s="4">
        <v>76</v>
      </c>
      <c r="V86" s="6">
        <f>IF(ISERROR(VLOOKUP($S$86,'TAR FIN'!$A$1:$O$88,15,0)),0,VLOOKUP($S$86,'TAR FIN'!$A$1:$O$88,15,0))</f>
        <v>0</v>
      </c>
      <c r="W86" s="6">
        <f>IF(ISERROR(VLOOKUP($T$86,'TAR FIN'!$A$1:$O$88,15,0)),0,VLOOKUP($T$86,'TAR FIN'!$A$1:$O$88,15,0))</f>
        <v>68.53</v>
      </c>
      <c r="X86" s="6">
        <f>IF(ISERROR(VLOOKUP($U$86,'TAR FIN'!$A$1:$O$88,15,0)),0,VLOOKUP($U$86,'TAR FIN'!$A$1:$O$88,15,0))</f>
        <v>101.12</v>
      </c>
      <c r="Y86" s="6"/>
      <c r="Z86" s="6">
        <f ca="1">('TUSD BE'!$AM$21+'TUSD BF'!$AM$21+'TUSD CVA'!$AM$21-('TUSD BE'!$P$21+'TUSD BF'!$P$21+'TUSD CVA'!$P$21)-('TUSD BE'!$Q$21+'TUSD BF'!$Q$21+'TUSD CVA'!$Q$21)-('TUSD BE'!$R$21+'TUSD BF'!$R$21+'TUSD CVA'!$R$21))*(1-CUSTOS!$M$34)</f>
        <v>90.533969057906674</v>
      </c>
      <c r="AA86" s="6">
        <f>('TE BE'!$AB$12+'TE BF'!$AB$12+'TE CVA'!$AB$12)*(1-CUSTOS!$M$34)</f>
        <v>72.670649597686321</v>
      </c>
      <c r="AB86" s="6">
        <f t="shared" si="10"/>
        <v>0</v>
      </c>
      <c r="AC86" s="6">
        <f>(L86-M86)*(W86+X86)+($W$111+$X$111-$W$86-$X$86)*(L86)</f>
        <v>5718.1574999999984</v>
      </c>
      <c r="AD86" s="6">
        <f t="shared" si="12"/>
        <v>0</v>
      </c>
      <c r="AE86" s="6">
        <f ca="1">(L86-M86)*(Z86+AA86)+($Z$111+$AA$111-$Z$86-$AA$86)*(L86)</f>
        <v>5501.161395969596</v>
      </c>
      <c r="AF86" s="4" t="s">
        <v>736</v>
      </c>
    </row>
    <row r="87" spans="1:32" ht="11.25" customHeight="1" x14ac:dyDescent="0.25">
      <c r="A87" s="4" t="s">
        <v>21</v>
      </c>
      <c r="B87" s="4" t="s">
        <v>22</v>
      </c>
      <c r="C87" s="4" t="s">
        <v>23</v>
      </c>
      <c r="D87" s="4" t="s">
        <v>24</v>
      </c>
      <c r="E87" s="4" t="s">
        <v>29</v>
      </c>
      <c r="F87" s="4" t="s">
        <v>25</v>
      </c>
      <c r="G87" s="4" t="s">
        <v>25</v>
      </c>
      <c r="H87" s="4" t="s">
        <v>25</v>
      </c>
      <c r="I87" s="5">
        <v>44409</v>
      </c>
      <c r="J87" s="6">
        <v>0</v>
      </c>
      <c r="K87" s="6">
        <v>0</v>
      </c>
      <c r="L87" s="6">
        <v>30.582999999999998</v>
      </c>
      <c r="M87" s="6">
        <v>30.582999999999998</v>
      </c>
      <c r="N87" s="6">
        <v>30.582999999999998</v>
      </c>
      <c r="O87" s="6">
        <v>30.582999999999998</v>
      </c>
      <c r="P87" s="6">
        <v>273</v>
      </c>
      <c r="Q87" s="4" t="s">
        <v>26</v>
      </c>
      <c r="R87" s="4">
        <v>0</v>
      </c>
      <c r="S87" s="4">
        <v>0</v>
      </c>
      <c r="T87" s="4">
        <v>39</v>
      </c>
      <c r="U87" s="4">
        <v>77</v>
      </c>
      <c r="V87" s="6">
        <f>IF(ISERROR(VLOOKUP($S$87,'TAR FIN'!$A$1:$O$88,15,0)),0,VLOOKUP($S$87,'TAR FIN'!$A$1:$O$88,15,0))</f>
        <v>0</v>
      </c>
      <c r="W87" s="6">
        <f>IF(ISERROR(VLOOKUP($T$87,'TAR FIN'!$A$1:$O$88,15,0)),0,VLOOKUP($T$87,'TAR FIN'!$A$1:$O$88,15,0))</f>
        <v>117.48</v>
      </c>
      <c r="X87" s="6">
        <f>IF(ISERROR(VLOOKUP($U$87,'TAR FIN'!$A$1:$O$88,15,0)),0,VLOOKUP($U$87,'TAR FIN'!$A$1:$O$88,15,0))</f>
        <v>173.34</v>
      </c>
      <c r="Y87" s="6"/>
      <c r="Z87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87" s="6">
        <f>('TE BE'!$AB$13+'TE BF'!$AB$13+'TE CVA'!$AB$13)*(1-CUSTOS!$M$35)</f>
        <v>124.57825645317655</v>
      </c>
      <c r="AB87" s="6">
        <f t="shared" si="10"/>
        <v>0</v>
      </c>
      <c r="AC87" s="6">
        <f>(L87-M87)*(W87+X87)+($W$111+$X$111-$W$87-$X$87)*(L87)</f>
        <v>5929.4320399999988</v>
      </c>
      <c r="AD87" s="6">
        <f t="shared" si="12"/>
        <v>0</v>
      </c>
      <c r="AE87" s="6">
        <f ca="1">(L87-M87)*(Z87+AA87)+($Z$111+$AA$111-$Z$87-$AA$87)*(L87)</f>
        <v>5704.3278312502871</v>
      </c>
      <c r="AF87" s="4" t="s">
        <v>736</v>
      </c>
    </row>
    <row r="88" spans="1:32" ht="11.25" customHeight="1" x14ac:dyDescent="0.25">
      <c r="A88" s="4" t="s">
        <v>21</v>
      </c>
      <c r="B88" s="4" t="s">
        <v>22</v>
      </c>
      <c r="C88" s="4" t="s">
        <v>23</v>
      </c>
      <c r="D88" s="4" t="s">
        <v>24</v>
      </c>
      <c r="E88" s="4" t="s">
        <v>29</v>
      </c>
      <c r="F88" s="4" t="s">
        <v>25</v>
      </c>
      <c r="G88" s="4" t="s">
        <v>25</v>
      </c>
      <c r="H88" s="4" t="s">
        <v>25</v>
      </c>
      <c r="I88" s="5">
        <v>44440</v>
      </c>
      <c r="J88" s="6">
        <v>0</v>
      </c>
      <c r="K88" s="6">
        <v>0</v>
      </c>
      <c r="L88" s="6">
        <v>30.933</v>
      </c>
      <c r="M88" s="6">
        <v>30.933</v>
      </c>
      <c r="N88" s="6">
        <v>30.933</v>
      </c>
      <c r="O88" s="6">
        <v>30.933</v>
      </c>
      <c r="P88" s="6">
        <v>205</v>
      </c>
      <c r="Q88" s="4" t="s">
        <v>26</v>
      </c>
      <c r="R88" s="4">
        <v>0</v>
      </c>
      <c r="S88" s="4">
        <v>0</v>
      </c>
      <c r="T88" s="4">
        <v>39</v>
      </c>
      <c r="U88" s="4">
        <v>77</v>
      </c>
      <c r="V88" s="6">
        <f>IF(ISERROR(VLOOKUP($S$88,'TAR FIN'!$A$1:$O$88,15,0)),0,VLOOKUP($S$88,'TAR FIN'!$A$1:$O$88,15,0))</f>
        <v>0</v>
      </c>
      <c r="W88" s="6">
        <f>IF(ISERROR(VLOOKUP($T$88,'TAR FIN'!$A$1:$O$88,15,0)),0,VLOOKUP($T$88,'TAR FIN'!$A$1:$O$88,15,0))</f>
        <v>117.48</v>
      </c>
      <c r="X88" s="6">
        <f>IF(ISERROR(VLOOKUP($U$88,'TAR FIN'!$A$1:$O$88,15,0)),0,VLOOKUP($U$88,'TAR FIN'!$A$1:$O$88,15,0))</f>
        <v>173.34</v>
      </c>
      <c r="Y88" s="6"/>
      <c r="Z88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88" s="6">
        <f>('TE BE'!$AB$13+'TE BF'!$AB$13+'TE CVA'!$AB$13)*(1-CUSTOS!$M$35)</f>
        <v>124.57825645317655</v>
      </c>
      <c r="AB88" s="6">
        <f t="shared" si="10"/>
        <v>0</v>
      </c>
      <c r="AC88" s="6">
        <f>(L88-M88)*(W88+X88)+($W$111+$X$111-$W$88-$X$88)*(L88)</f>
        <v>5997.290039999999</v>
      </c>
      <c r="AD88" s="6">
        <f t="shared" si="12"/>
        <v>0</v>
      </c>
      <c r="AE88" s="6">
        <f ca="1">(L88-M88)*(Z88+AA88)+($Z$111+$AA$111-$Z$88-$AA$88)*(L88)</f>
        <v>5769.6096787125243</v>
      </c>
      <c r="AF88" s="4" t="s">
        <v>736</v>
      </c>
    </row>
    <row r="89" spans="1:32" ht="11.25" customHeight="1" x14ac:dyDescent="0.25">
      <c r="A89" s="4" t="s">
        <v>21</v>
      </c>
      <c r="B89" s="4" t="s">
        <v>22</v>
      </c>
      <c r="C89" s="4" t="s">
        <v>23</v>
      </c>
      <c r="D89" s="4" t="s">
        <v>24</v>
      </c>
      <c r="E89" s="4" t="s">
        <v>29</v>
      </c>
      <c r="F89" s="4" t="s">
        <v>25</v>
      </c>
      <c r="G89" s="4" t="s">
        <v>25</v>
      </c>
      <c r="H89" s="4" t="s">
        <v>25</v>
      </c>
      <c r="I89" s="5">
        <v>44470</v>
      </c>
      <c r="J89" s="6">
        <v>0</v>
      </c>
      <c r="K89" s="6">
        <v>0</v>
      </c>
      <c r="L89" s="6">
        <v>28.279</v>
      </c>
      <c r="M89" s="6">
        <v>28.279</v>
      </c>
      <c r="N89" s="6">
        <v>28.279</v>
      </c>
      <c r="O89" s="6">
        <v>28.279</v>
      </c>
      <c r="P89" s="6">
        <v>263</v>
      </c>
      <c r="Q89" s="4" t="s">
        <v>26</v>
      </c>
      <c r="R89" s="4">
        <v>0</v>
      </c>
      <c r="S89" s="4">
        <v>0</v>
      </c>
      <c r="T89" s="4">
        <v>39</v>
      </c>
      <c r="U89" s="4">
        <v>77</v>
      </c>
      <c r="V89" s="6">
        <f>IF(ISERROR(VLOOKUP($S$89,'TAR FIN'!$A$1:$O$88,15,0)),0,VLOOKUP($S$89,'TAR FIN'!$A$1:$O$88,15,0))</f>
        <v>0</v>
      </c>
      <c r="W89" s="6">
        <f>IF(ISERROR(VLOOKUP($T$89,'TAR FIN'!$A$1:$O$88,15,0)),0,VLOOKUP($T$89,'TAR FIN'!$A$1:$O$88,15,0))</f>
        <v>117.48</v>
      </c>
      <c r="X89" s="6">
        <f>IF(ISERROR(VLOOKUP($U$89,'TAR FIN'!$A$1:$O$88,15,0)),0,VLOOKUP($U$89,'TAR FIN'!$A$1:$O$88,15,0))</f>
        <v>173.34</v>
      </c>
      <c r="Y89" s="6"/>
      <c r="Z89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89" s="6">
        <f>('TE BE'!$AB$13+'TE BF'!$AB$13+'TE CVA'!$AB$13)*(1-CUSTOS!$M$35)</f>
        <v>124.57825645317655</v>
      </c>
      <c r="AB89" s="6">
        <f t="shared" si="10"/>
        <v>0</v>
      </c>
      <c r="AC89" s="6">
        <f>(L89-M89)*(W89+X89)+($W$111+$X$111-$W$89-$X$89)*(L89)</f>
        <v>5482.7325199999987</v>
      </c>
      <c r="AD89" s="6">
        <f t="shared" si="12"/>
        <v>0</v>
      </c>
      <c r="AE89" s="6">
        <f ca="1">(L89-M89)*(Z89+AA89)+($Z$111+$AA$111-$Z$89-$AA$89)*(L89)</f>
        <v>5274.5867553845883</v>
      </c>
      <c r="AF89" s="4" t="s">
        <v>736</v>
      </c>
    </row>
    <row r="90" spans="1:32" ht="11.25" customHeight="1" x14ac:dyDescent="0.25">
      <c r="A90" s="4" t="s">
        <v>21</v>
      </c>
      <c r="B90" s="4" t="s">
        <v>22</v>
      </c>
      <c r="C90" s="4" t="s">
        <v>23</v>
      </c>
      <c r="D90" s="4" t="s">
        <v>24</v>
      </c>
      <c r="E90" s="4" t="s">
        <v>29</v>
      </c>
      <c r="F90" s="4" t="s">
        <v>25</v>
      </c>
      <c r="G90" s="4" t="s">
        <v>25</v>
      </c>
      <c r="H90" s="4" t="s">
        <v>25</v>
      </c>
      <c r="I90" s="5">
        <v>44501</v>
      </c>
      <c r="J90" s="6">
        <v>0</v>
      </c>
      <c r="K90" s="6">
        <v>0</v>
      </c>
      <c r="L90" s="6">
        <v>31.254000000000001</v>
      </c>
      <c r="M90" s="6">
        <v>31.254000000000001</v>
      </c>
      <c r="N90" s="6">
        <v>31.254000000000001</v>
      </c>
      <c r="O90" s="6">
        <v>31.254000000000001</v>
      </c>
      <c r="P90" s="6">
        <v>221</v>
      </c>
      <c r="Q90" s="4" t="s">
        <v>26</v>
      </c>
      <c r="R90" s="4">
        <v>0</v>
      </c>
      <c r="S90" s="4">
        <v>0</v>
      </c>
      <c r="T90" s="4">
        <v>39</v>
      </c>
      <c r="U90" s="4">
        <v>77</v>
      </c>
      <c r="V90" s="6">
        <f>IF(ISERROR(VLOOKUP($S$90,'TAR FIN'!$A$1:$O$88,15,0)),0,VLOOKUP($S$90,'TAR FIN'!$A$1:$O$88,15,0))</f>
        <v>0</v>
      </c>
      <c r="W90" s="6">
        <f>IF(ISERROR(VLOOKUP($T$90,'TAR FIN'!$A$1:$O$88,15,0)),0,VLOOKUP($T$90,'TAR FIN'!$A$1:$O$88,15,0))</f>
        <v>117.48</v>
      </c>
      <c r="X90" s="6">
        <f>IF(ISERROR(VLOOKUP($U$90,'TAR FIN'!$A$1:$O$88,15,0)),0,VLOOKUP($U$90,'TAR FIN'!$A$1:$O$88,15,0))</f>
        <v>173.34</v>
      </c>
      <c r="Y90" s="6"/>
      <c r="Z90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90" s="6">
        <f>('TE BE'!$AB$13+'TE BF'!$AB$13+'TE CVA'!$AB$13)*(1-CUSTOS!$M$35)</f>
        <v>124.57825645317655</v>
      </c>
      <c r="AB90" s="6">
        <f t="shared" si="10"/>
        <v>0</v>
      </c>
      <c r="AC90" s="6">
        <f>(L90-M90)*(W90+X90)+($W$111+$X$111-$W$90-$X$90)*(L90)</f>
        <v>6059.5255199999992</v>
      </c>
      <c r="AD90" s="6">
        <f t="shared" si="12"/>
        <v>0</v>
      </c>
      <c r="AE90" s="6">
        <f ca="1">(L90-M90)*(Z90+AA90)+($Z$111+$AA$111-$Z$90-$AA$90)*(L90)</f>
        <v>5829.4824588136053</v>
      </c>
      <c r="AF90" s="4" t="s">
        <v>736</v>
      </c>
    </row>
    <row r="91" spans="1:32" ht="11.25" customHeight="1" x14ac:dyDescent="0.25">
      <c r="A91" s="4" t="s">
        <v>21</v>
      </c>
      <c r="B91" s="4" t="s">
        <v>22</v>
      </c>
      <c r="C91" s="4" t="s">
        <v>23</v>
      </c>
      <c r="D91" s="4" t="s">
        <v>24</v>
      </c>
      <c r="E91" s="4" t="s">
        <v>29</v>
      </c>
      <c r="F91" s="4" t="s">
        <v>25</v>
      </c>
      <c r="G91" s="4" t="s">
        <v>25</v>
      </c>
      <c r="H91" s="4" t="s">
        <v>25</v>
      </c>
      <c r="I91" s="5">
        <v>44531</v>
      </c>
      <c r="J91" s="6">
        <v>0</v>
      </c>
      <c r="K91" s="6">
        <v>0</v>
      </c>
      <c r="L91" s="6">
        <v>32.868000000000002</v>
      </c>
      <c r="M91" s="6">
        <v>32.868000000000002</v>
      </c>
      <c r="N91" s="6">
        <v>32.868000000000002</v>
      </c>
      <c r="O91" s="6">
        <v>32.868000000000002</v>
      </c>
      <c r="P91" s="6">
        <v>183</v>
      </c>
      <c r="Q91" s="4" t="s">
        <v>26</v>
      </c>
      <c r="R91" s="4">
        <v>0</v>
      </c>
      <c r="S91" s="4">
        <v>0</v>
      </c>
      <c r="T91" s="4">
        <v>39</v>
      </c>
      <c r="U91" s="4">
        <v>77</v>
      </c>
      <c r="V91" s="6">
        <f>IF(ISERROR(VLOOKUP($S$91,'TAR FIN'!$A$1:$O$88,15,0)),0,VLOOKUP($S$91,'TAR FIN'!$A$1:$O$88,15,0))</f>
        <v>0</v>
      </c>
      <c r="W91" s="6">
        <f>IF(ISERROR(VLOOKUP($T$91,'TAR FIN'!$A$1:$O$88,15,0)),0,VLOOKUP($T$91,'TAR FIN'!$A$1:$O$88,15,0))</f>
        <v>117.48</v>
      </c>
      <c r="X91" s="6">
        <f>IF(ISERROR(VLOOKUP($U$91,'TAR FIN'!$A$1:$O$88,15,0)),0,VLOOKUP($U$91,'TAR FIN'!$A$1:$O$88,15,0))</f>
        <v>173.34</v>
      </c>
      <c r="Y91" s="6"/>
      <c r="Z91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91" s="6">
        <f>('TE BE'!$AB$13+'TE BF'!$AB$13+'TE CVA'!$AB$13)*(1-CUSTOS!$M$35)</f>
        <v>124.57825645317655</v>
      </c>
      <c r="AB91" s="6">
        <f t="shared" si="10"/>
        <v>0</v>
      </c>
      <c r="AC91" s="6">
        <f>(L91-M91)*(W91+X91)+($W$111+$X$111-$W$91-$X$91)*(L91)</f>
        <v>6372.4478399999989</v>
      </c>
      <c r="AD91" s="6">
        <f t="shared" si="12"/>
        <v>0</v>
      </c>
      <c r="AE91" s="6">
        <f ca="1">(L91-M91)*(Z91+AA91)+($Z$111+$AA$111-$Z$91-$AA$91)*(L91)</f>
        <v>6130.5250353966076</v>
      </c>
      <c r="AF91" s="4" t="s">
        <v>736</v>
      </c>
    </row>
    <row r="92" spans="1:32" ht="11.25" customHeight="1" x14ac:dyDescent="0.25">
      <c r="A92" s="4" t="s">
        <v>21</v>
      </c>
      <c r="B92" s="4" t="s">
        <v>22</v>
      </c>
      <c r="C92" s="4" t="s">
        <v>23</v>
      </c>
      <c r="D92" s="4" t="s">
        <v>24</v>
      </c>
      <c r="E92" s="4" t="s">
        <v>29</v>
      </c>
      <c r="F92" s="4" t="s">
        <v>25</v>
      </c>
      <c r="G92" s="4" t="s">
        <v>25</v>
      </c>
      <c r="H92" s="4" t="s">
        <v>25</v>
      </c>
      <c r="I92" s="5">
        <v>44562</v>
      </c>
      <c r="J92" s="6">
        <v>0</v>
      </c>
      <c r="K92" s="6">
        <v>0</v>
      </c>
      <c r="L92" s="6">
        <v>32.591999999999999</v>
      </c>
      <c r="M92" s="6">
        <v>32.591999999999999</v>
      </c>
      <c r="N92" s="6">
        <v>32.591999999999999</v>
      </c>
      <c r="O92" s="6">
        <v>32.591999999999999</v>
      </c>
      <c r="P92" s="6">
        <v>199</v>
      </c>
      <c r="Q92" s="4" t="s">
        <v>26</v>
      </c>
      <c r="R92" s="4">
        <v>0</v>
      </c>
      <c r="S92" s="4">
        <v>0</v>
      </c>
      <c r="T92" s="4">
        <v>39</v>
      </c>
      <c r="U92" s="4">
        <v>77</v>
      </c>
      <c r="V92" s="6">
        <f>IF(ISERROR(VLOOKUP($S$92,'TAR FIN'!$A$1:$O$88,15,0)),0,VLOOKUP($S$92,'TAR FIN'!$A$1:$O$88,15,0))</f>
        <v>0</v>
      </c>
      <c r="W92" s="6">
        <f>IF(ISERROR(VLOOKUP($T$92,'TAR FIN'!$A$1:$O$88,15,0)),0,VLOOKUP($T$92,'TAR FIN'!$A$1:$O$88,15,0))</f>
        <v>117.48</v>
      </c>
      <c r="X92" s="6">
        <f>IF(ISERROR(VLOOKUP($U$92,'TAR FIN'!$A$1:$O$88,15,0)),0,VLOOKUP($U$92,'TAR FIN'!$A$1:$O$88,15,0))</f>
        <v>173.34</v>
      </c>
      <c r="Y92" s="6"/>
      <c r="Z92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92" s="6">
        <f>('TE BE'!$AB$13+'TE BF'!$AB$13+'TE CVA'!$AB$13)*(1-CUSTOS!$M$35)</f>
        <v>124.57825645317655</v>
      </c>
      <c r="AB92" s="6">
        <f t="shared" si="10"/>
        <v>0</v>
      </c>
      <c r="AC92" s="6">
        <f>(L92-M92)*(W92+X92)+($W$111+$X$111-$W$92-$X$92)*(L92)</f>
        <v>6318.9369599999991</v>
      </c>
      <c r="AD92" s="6">
        <f t="shared" si="12"/>
        <v>0</v>
      </c>
      <c r="AE92" s="6">
        <f ca="1">(L92-M92)*(Z92+AA92)+($Z$111+$AA$111-$Z$92-$AA$92)*(L92)</f>
        <v>6079.0456356835284</v>
      </c>
      <c r="AF92" s="4" t="s">
        <v>736</v>
      </c>
    </row>
    <row r="93" spans="1:32" ht="11.25" customHeight="1" x14ac:dyDescent="0.25">
      <c r="A93" s="4" t="s">
        <v>21</v>
      </c>
      <c r="B93" s="4" t="s">
        <v>22</v>
      </c>
      <c r="C93" s="4" t="s">
        <v>23</v>
      </c>
      <c r="D93" s="4" t="s">
        <v>24</v>
      </c>
      <c r="E93" s="4" t="s">
        <v>29</v>
      </c>
      <c r="F93" s="4" t="s">
        <v>25</v>
      </c>
      <c r="G93" s="4" t="s">
        <v>25</v>
      </c>
      <c r="H93" s="4" t="s">
        <v>25</v>
      </c>
      <c r="I93" s="5">
        <v>44593</v>
      </c>
      <c r="J93" s="6">
        <v>0</v>
      </c>
      <c r="K93" s="6">
        <v>0</v>
      </c>
      <c r="L93" s="6">
        <v>31.766999999999999</v>
      </c>
      <c r="M93" s="6">
        <v>31.766999999999999</v>
      </c>
      <c r="N93" s="6">
        <v>31.766999999999999</v>
      </c>
      <c r="O93" s="6">
        <v>31.766999999999999</v>
      </c>
      <c r="P93" s="6">
        <v>252</v>
      </c>
      <c r="Q93" s="4" t="s">
        <v>26</v>
      </c>
      <c r="R93" s="4">
        <v>0</v>
      </c>
      <c r="S93" s="4">
        <v>0</v>
      </c>
      <c r="T93" s="4">
        <v>39</v>
      </c>
      <c r="U93" s="4">
        <v>77</v>
      </c>
      <c r="V93" s="6">
        <f>IF(ISERROR(VLOOKUP($S$93,'TAR FIN'!$A$1:$O$88,15,0)),0,VLOOKUP($S$93,'TAR FIN'!$A$1:$O$88,15,0))</f>
        <v>0</v>
      </c>
      <c r="W93" s="6">
        <f>IF(ISERROR(VLOOKUP($T$93,'TAR FIN'!$A$1:$O$88,15,0)),0,VLOOKUP($T$93,'TAR FIN'!$A$1:$O$88,15,0))</f>
        <v>117.48</v>
      </c>
      <c r="X93" s="6">
        <f>IF(ISERROR(VLOOKUP($U$93,'TAR FIN'!$A$1:$O$88,15,0)),0,VLOOKUP($U$93,'TAR FIN'!$A$1:$O$88,15,0))</f>
        <v>173.34</v>
      </c>
      <c r="Y93" s="6"/>
      <c r="Z93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93" s="6">
        <f>('TE BE'!$AB$13+'TE BF'!$AB$13+'TE CVA'!$AB$13)*(1-CUSTOS!$M$35)</f>
        <v>124.57825645317655</v>
      </c>
      <c r="AB93" s="6">
        <f t="shared" si="10"/>
        <v>0</v>
      </c>
      <c r="AC93" s="6">
        <f>(L93-M93)*(W93+X93)+($W$111+$X$111-$W$93-$X$93)*(L93)</f>
        <v>6158.9859599999991</v>
      </c>
      <c r="AD93" s="6">
        <f t="shared" si="12"/>
        <v>0</v>
      </c>
      <c r="AE93" s="6">
        <f ca="1">(L93-M93)*(Z93+AA93)+($Z$111+$AA$111-$Z$93-$AA$93)*(L93)</f>
        <v>5925.1669952368266</v>
      </c>
      <c r="AF93" s="4" t="s">
        <v>736</v>
      </c>
    </row>
    <row r="94" spans="1:32" ht="11.25" customHeight="1" x14ac:dyDescent="0.25">
      <c r="A94" s="4" t="s">
        <v>21</v>
      </c>
      <c r="B94" s="4" t="s">
        <v>22</v>
      </c>
      <c r="C94" s="4" t="s">
        <v>23</v>
      </c>
      <c r="D94" s="4" t="s">
        <v>24</v>
      </c>
      <c r="E94" s="4" t="s">
        <v>29</v>
      </c>
      <c r="F94" s="4" t="s">
        <v>25</v>
      </c>
      <c r="G94" s="4" t="s">
        <v>25</v>
      </c>
      <c r="H94" s="4" t="s">
        <v>25</v>
      </c>
      <c r="I94" s="5">
        <v>44621</v>
      </c>
      <c r="J94" s="6">
        <v>0</v>
      </c>
      <c r="K94" s="6">
        <v>0</v>
      </c>
      <c r="L94" s="6">
        <v>33.64</v>
      </c>
      <c r="M94" s="6">
        <v>33.64</v>
      </c>
      <c r="N94" s="6">
        <v>33.64</v>
      </c>
      <c r="O94" s="6">
        <v>33.64</v>
      </c>
      <c r="P94" s="6">
        <v>222</v>
      </c>
      <c r="Q94" s="4" t="s">
        <v>26</v>
      </c>
      <c r="R94" s="4">
        <v>0</v>
      </c>
      <c r="S94" s="4">
        <v>0</v>
      </c>
      <c r="T94" s="4">
        <v>39</v>
      </c>
      <c r="U94" s="4">
        <v>77</v>
      </c>
      <c r="V94" s="6">
        <f>IF(ISERROR(VLOOKUP($S$94,'TAR FIN'!$A$1:$O$88,15,0)),0,VLOOKUP($S$94,'TAR FIN'!$A$1:$O$88,15,0))</f>
        <v>0</v>
      </c>
      <c r="W94" s="6">
        <f>IF(ISERROR(VLOOKUP($T$94,'TAR FIN'!$A$1:$O$88,15,0)),0,VLOOKUP($T$94,'TAR FIN'!$A$1:$O$88,15,0))</f>
        <v>117.48</v>
      </c>
      <c r="X94" s="6">
        <f>IF(ISERROR(VLOOKUP($U$94,'TAR FIN'!$A$1:$O$88,15,0)),0,VLOOKUP($U$94,'TAR FIN'!$A$1:$O$88,15,0))</f>
        <v>173.34</v>
      </c>
      <c r="Y94" s="6"/>
      <c r="Z94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94" s="6">
        <f>('TE BE'!$AB$13+'TE BF'!$AB$13+'TE CVA'!$AB$13)*(1-CUSTOS!$M$35)</f>
        <v>124.57825645317655</v>
      </c>
      <c r="AB94" s="6">
        <f t="shared" si="10"/>
        <v>0</v>
      </c>
      <c r="AC94" s="6">
        <f>(L94-M94)*(W94+X94)+($W$111+$X$111-$W$94-$X$94)*(L94)</f>
        <v>6522.1231999999991</v>
      </c>
      <c r="AD94" s="6">
        <f t="shared" si="12"/>
        <v>0</v>
      </c>
      <c r="AE94" s="6">
        <f ca="1">(L94-M94)*(Z94+AA94)+($Z$111+$AA$111-$Z$94-$AA$94)*(L94)</f>
        <v>6274.5181389418849</v>
      </c>
      <c r="AF94" s="4" t="s">
        <v>736</v>
      </c>
    </row>
    <row r="95" spans="1:32" ht="11.25" customHeight="1" x14ac:dyDescent="0.25">
      <c r="A95" s="4" t="s">
        <v>21</v>
      </c>
      <c r="B95" s="4" t="s">
        <v>22</v>
      </c>
      <c r="C95" s="4" t="s">
        <v>23</v>
      </c>
      <c r="D95" s="4" t="s">
        <v>24</v>
      </c>
      <c r="E95" s="4" t="s">
        <v>29</v>
      </c>
      <c r="F95" s="4" t="s">
        <v>25</v>
      </c>
      <c r="G95" s="4" t="s">
        <v>25</v>
      </c>
      <c r="H95" s="4" t="s">
        <v>25</v>
      </c>
      <c r="I95" s="5">
        <v>44652</v>
      </c>
      <c r="J95" s="6">
        <v>0</v>
      </c>
      <c r="K95" s="6">
        <v>0</v>
      </c>
      <c r="L95" s="6">
        <v>31.475999999999999</v>
      </c>
      <c r="M95" s="6">
        <v>31.475999999999999</v>
      </c>
      <c r="N95" s="6">
        <v>31.475999999999999</v>
      </c>
      <c r="O95" s="6">
        <v>31.475999999999999</v>
      </c>
      <c r="P95" s="6">
        <v>266</v>
      </c>
      <c r="Q95" s="4" t="s">
        <v>26</v>
      </c>
      <c r="R95" s="4">
        <v>0</v>
      </c>
      <c r="S95" s="4">
        <v>0</v>
      </c>
      <c r="T95" s="4">
        <v>39</v>
      </c>
      <c r="U95" s="4">
        <v>77</v>
      </c>
      <c r="V95" s="6">
        <f>IF(ISERROR(VLOOKUP($S$95,'TAR FIN'!$A$1:$O$88,15,0)),0,VLOOKUP($S$95,'TAR FIN'!$A$1:$O$88,15,0))</f>
        <v>0</v>
      </c>
      <c r="W95" s="6">
        <f>IF(ISERROR(VLOOKUP($T$95,'TAR FIN'!$A$1:$O$88,15,0)),0,VLOOKUP($T$95,'TAR FIN'!$A$1:$O$88,15,0))</f>
        <v>117.48</v>
      </c>
      <c r="X95" s="6">
        <f>IF(ISERROR(VLOOKUP($U$95,'TAR FIN'!$A$1:$O$88,15,0)),0,VLOOKUP($U$95,'TAR FIN'!$A$1:$O$88,15,0))</f>
        <v>173.34</v>
      </c>
      <c r="Y95" s="6"/>
      <c r="Z95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95" s="6">
        <f>('TE BE'!$AB$13+'TE BF'!$AB$13+'TE CVA'!$AB$13)*(1-CUSTOS!$M$35)</f>
        <v>124.57825645317655</v>
      </c>
      <c r="AB95" s="6">
        <f t="shared" si="10"/>
        <v>0</v>
      </c>
      <c r="AC95" s="6">
        <f>(L95-M95)*(W95+X95)+($W$111+$X$111-$W$95-$X$95)*(L95)</f>
        <v>6102.5668799999985</v>
      </c>
      <c r="AD95" s="6">
        <f t="shared" si="12"/>
        <v>0</v>
      </c>
      <c r="AE95" s="6">
        <f ca="1">(L95-M95)*(Z95+AA95)+($Z$111+$AA$111-$Z$95-$AA$95)*(L95)</f>
        <v>5870.8898020610814</v>
      </c>
      <c r="AF95" s="4" t="s">
        <v>736</v>
      </c>
    </row>
    <row r="96" spans="1:32" ht="11.25" customHeight="1" x14ac:dyDescent="0.25">
      <c r="A96" s="4" t="s">
        <v>21</v>
      </c>
      <c r="B96" s="4" t="s">
        <v>22</v>
      </c>
      <c r="C96" s="4" t="s">
        <v>23</v>
      </c>
      <c r="D96" s="4" t="s">
        <v>24</v>
      </c>
      <c r="E96" s="4" t="s">
        <v>29</v>
      </c>
      <c r="F96" s="4" t="s">
        <v>25</v>
      </c>
      <c r="G96" s="4" t="s">
        <v>25</v>
      </c>
      <c r="H96" s="4" t="s">
        <v>25</v>
      </c>
      <c r="I96" s="5">
        <v>44682</v>
      </c>
      <c r="J96" s="6">
        <v>0</v>
      </c>
      <c r="K96" s="6">
        <v>0</v>
      </c>
      <c r="L96" s="6">
        <v>30.445</v>
      </c>
      <c r="M96" s="6">
        <v>30.445</v>
      </c>
      <c r="N96" s="6">
        <v>30.445</v>
      </c>
      <c r="O96" s="6">
        <v>30.445</v>
      </c>
      <c r="P96" s="6">
        <v>324</v>
      </c>
      <c r="Q96" s="4" t="s">
        <v>26</v>
      </c>
      <c r="R96" s="4">
        <v>0</v>
      </c>
      <c r="S96" s="4">
        <v>0</v>
      </c>
      <c r="T96" s="4">
        <v>39</v>
      </c>
      <c r="U96" s="4">
        <v>77</v>
      </c>
      <c r="V96" s="6">
        <f>IF(ISERROR(VLOOKUP($S$96,'TAR FIN'!$A$1:$O$88,15,0)),0,VLOOKUP($S$96,'TAR FIN'!$A$1:$O$88,15,0))</f>
        <v>0</v>
      </c>
      <c r="W96" s="6">
        <f>IF(ISERROR(VLOOKUP($T$96,'TAR FIN'!$A$1:$O$88,15,0)),0,VLOOKUP($T$96,'TAR FIN'!$A$1:$O$88,15,0))</f>
        <v>117.48</v>
      </c>
      <c r="X96" s="6">
        <f>IF(ISERROR(VLOOKUP($U$96,'TAR FIN'!$A$1:$O$88,15,0)),0,VLOOKUP($U$96,'TAR FIN'!$A$1:$O$88,15,0))</f>
        <v>173.34</v>
      </c>
      <c r="Y96" s="6"/>
      <c r="Z96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96" s="6">
        <f>('TE BE'!$AB$13+'TE BF'!$AB$13+'TE CVA'!$AB$13)*(1-CUSTOS!$M$35)</f>
        <v>124.57825645317655</v>
      </c>
      <c r="AB96" s="6">
        <f t="shared" si="10"/>
        <v>0</v>
      </c>
      <c r="AC96" s="6">
        <f>(L96-M96)*(W96+X96)+($W$111+$X$111-$W$96-$X$96)*(L96)</f>
        <v>5902.6765999999989</v>
      </c>
      <c r="AD96" s="6">
        <f t="shared" si="12"/>
        <v>0</v>
      </c>
      <c r="AE96" s="6">
        <f ca="1">(L96-M96)*(Z96+AA96)+($Z$111+$AA$111-$Z$96-$AA$96)*(L96)</f>
        <v>5678.588131393748</v>
      </c>
      <c r="AF96" s="4" t="s">
        <v>736</v>
      </c>
    </row>
    <row r="97" spans="1:32" ht="11.25" customHeight="1" x14ac:dyDescent="0.25">
      <c r="A97" s="4" t="s">
        <v>21</v>
      </c>
      <c r="B97" s="4" t="s">
        <v>22</v>
      </c>
      <c r="C97" s="4" t="s">
        <v>23</v>
      </c>
      <c r="D97" s="4" t="s">
        <v>24</v>
      </c>
      <c r="E97" s="4" t="s">
        <v>29</v>
      </c>
      <c r="F97" s="4" t="s">
        <v>25</v>
      </c>
      <c r="G97" s="4" t="s">
        <v>25</v>
      </c>
      <c r="H97" s="4" t="s">
        <v>25</v>
      </c>
      <c r="I97" s="5">
        <v>44713</v>
      </c>
      <c r="J97" s="6">
        <v>0</v>
      </c>
      <c r="K97" s="6">
        <v>0</v>
      </c>
      <c r="L97" s="6">
        <v>31.358000000000001</v>
      </c>
      <c r="M97" s="6">
        <v>31.358000000000001</v>
      </c>
      <c r="N97" s="6">
        <v>31.358000000000001</v>
      </c>
      <c r="O97" s="6">
        <v>31.358000000000001</v>
      </c>
      <c r="P97" s="6">
        <v>291</v>
      </c>
      <c r="Q97" s="4" t="s">
        <v>26</v>
      </c>
      <c r="R97" s="4">
        <v>0</v>
      </c>
      <c r="S97" s="4">
        <v>0</v>
      </c>
      <c r="T97" s="4">
        <v>39</v>
      </c>
      <c r="U97" s="4">
        <v>77</v>
      </c>
      <c r="V97" s="6">
        <f>IF(ISERROR(VLOOKUP($S$97,'TAR FIN'!$A$1:$O$88,15,0)),0,VLOOKUP($S$97,'TAR FIN'!$A$1:$O$88,15,0))</f>
        <v>0</v>
      </c>
      <c r="W97" s="6">
        <f>IF(ISERROR(VLOOKUP($T$97,'TAR FIN'!$A$1:$O$88,15,0)),0,VLOOKUP($T$97,'TAR FIN'!$A$1:$O$88,15,0))</f>
        <v>117.48</v>
      </c>
      <c r="X97" s="6">
        <f>IF(ISERROR(VLOOKUP($U$97,'TAR FIN'!$A$1:$O$88,15,0)),0,VLOOKUP($U$97,'TAR FIN'!$A$1:$O$88,15,0))</f>
        <v>173.34</v>
      </c>
      <c r="Y97" s="6"/>
      <c r="Z97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97" s="6">
        <f>('TE BE'!$AB$13+'TE BF'!$AB$13+'TE CVA'!$AB$13)*(1-CUSTOS!$M$35)</f>
        <v>124.57825645317655</v>
      </c>
      <c r="AB97" s="6">
        <f t="shared" si="10"/>
        <v>0</v>
      </c>
      <c r="AC97" s="6">
        <f>(L97-M97)*(W97+X97)+($W$111+$X$111-$W$97-$X$97)*(L97)</f>
        <v>6079.6890399999993</v>
      </c>
      <c r="AD97" s="6">
        <f t="shared" si="12"/>
        <v>0</v>
      </c>
      <c r="AE97" s="6">
        <f ca="1">(L97-M97)*(Z97+AA97)+($Z$111+$AA$111-$Z$97-$AA$97)*(L97)</f>
        <v>5848.8804934880982</v>
      </c>
      <c r="AF97" s="4" t="s">
        <v>736</v>
      </c>
    </row>
    <row r="98" spans="1:32" ht="11.25" customHeight="1" x14ac:dyDescent="0.25">
      <c r="A98" s="4" t="s">
        <v>55</v>
      </c>
      <c r="B98" s="4" t="s">
        <v>22</v>
      </c>
      <c r="C98" s="4" t="s">
        <v>23</v>
      </c>
      <c r="D98" s="4" t="s">
        <v>24</v>
      </c>
      <c r="E98" s="4" t="s">
        <v>29</v>
      </c>
      <c r="F98" s="4" t="s">
        <v>25</v>
      </c>
      <c r="G98" s="4" t="s">
        <v>25</v>
      </c>
      <c r="H98" s="4" t="s">
        <v>25</v>
      </c>
      <c r="I98" s="5">
        <v>44743</v>
      </c>
      <c r="J98" s="6">
        <v>0</v>
      </c>
      <c r="K98" s="6">
        <v>0</v>
      </c>
      <c r="L98" s="6">
        <v>31.358000000000001</v>
      </c>
      <c r="M98" s="6">
        <v>31.358000000000001</v>
      </c>
      <c r="N98" s="6">
        <v>31.358000000000001</v>
      </c>
      <c r="O98" s="6">
        <v>31.358000000000001</v>
      </c>
      <c r="P98" s="6">
        <v>291</v>
      </c>
      <c r="Q98" s="4" t="s">
        <v>26</v>
      </c>
      <c r="R98" s="4">
        <v>0</v>
      </c>
      <c r="S98" s="4">
        <v>0</v>
      </c>
      <c r="T98" s="4">
        <v>39</v>
      </c>
      <c r="U98" s="4">
        <v>77</v>
      </c>
      <c r="V98" s="6">
        <f>IF(ISERROR(VLOOKUP($S$98,'TAR FIN'!$A$1:$O$88,15,0)),0,VLOOKUP($S$98,'TAR FIN'!$A$1:$O$88,15,0))</f>
        <v>0</v>
      </c>
      <c r="W98" s="6">
        <f>IF(ISERROR(VLOOKUP($T$98,'TAR FIN'!$A$1:$O$88,15,0)),0,VLOOKUP($T$98,'TAR FIN'!$A$1:$O$88,15,0))</f>
        <v>117.48</v>
      </c>
      <c r="X98" s="6">
        <f>IF(ISERROR(VLOOKUP($U$98,'TAR FIN'!$A$1:$O$88,15,0)),0,VLOOKUP($U$98,'TAR FIN'!$A$1:$O$88,15,0))</f>
        <v>173.34</v>
      </c>
      <c r="Y98" s="6"/>
      <c r="Z98" s="6">
        <f ca="1">('TUSD BE'!$AM$22+'TUSD BF'!$AM$22+'TUSD CVA'!$AM$22-('TUSD BE'!$P$22+'TUSD BF'!$P$22+'TUSD CVA'!$P$22)-('TUSD BE'!$Q$22+'TUSD BF'!$Q$22+'TUSD CVA'!$Q$22)-('TUSD BE'!$R$22+'TUSD BF'!$R$22+'TUSD CVA'!$R$22))*(1-CUSTOS!$M$35)</f>
        <v>155.20108981355432</v>
      </c>
      <c r="AA98" s="6">
        <f>('TE BE'!$AB$13+'TE BF'!$AB$13+'TE CVA'!$AB$13)*(1-CUSTOS!$M$35)</f>
        <v>124.57825645317655</v>
      </c>
      <c r="AB98" s="6">
        <f t="shared" ref="AB98:AB129" si="14">(J98-K98)*V98</f>
        <v>0</v>
      </c>
      <c r="AC98" s="6">
        <f>(L98-M98)*(W98+X98)+($W$111+$X$111-$W$98-$X$98)*(L98)</f>
        <v>6079.6890399999993</v>
      </c>
      <c r="AD98" s="6">
        <f t="shared" ref="AD98:AD129" si="15">(J98-K98)*Y98</f>
        <v>0</v>
      </c>
      <c r="AE98" s="6">
        <f ca="1">(L98-M98)*(Z98+AA98)+($Z$111+$AA$111-$Z$98-$AA$98)*(L98)</f>
        <v>5848.8804934880982</v>
      </c>
      <c r="AF98" s="4" t="s">
        <v>736</v>
      </c>
    </row>
    <row r="99" spans="1:32" ht="11.25" customHeight="1" x14ac:dyDescent="0.25">
      <c r="A99" s="4" t="s">
        <v>21</v>
      </c>
      <c r="B99" s="4" t="s">
        <v>22</v>
      </c>
      <c r="C99" s="4" t="s">
        <v>23</v>
      </c>
      <c r="D99" s="4" t="s">
        <v>24</v>
      </c>
      <c r="E99" s="4" t="s">
        <v>30</v>
      </c>
      <c r="F99" s="4" t="s">
        <v>25</v>
      </c>
      <c r="G99" s="4" t="s">
        <v>25</v>
      </c>
      <c r="H99" s="4" t="s">
        <v>25</v>
      </c>
      <c r="I99" s="5">
        <v>44409</v>
      </c>
      <c r="J99" s="6">
        <v>0</v>
      </c>
      <c r="K99" s="6">
        <v>0</v>
      </c>
      <c r="L99" s="6">
        <v>13.061</v>
      </c>
      <c r="M99" s="6">
        <v>13.061</v>
      </c>
      <c r="N99" s="6">
        <v>13.061</v>
      </c>
      <c r="O99" s="6">
        <v>13.061</v>
      </c>
      <c r="P99" s="6">
        <v>261</v>
      </c>
      <c r="Q99" s="4" t="s">
        <v>26</v>
      </c>
      <c r="R99" s="4">
        <v>0</v>
      </c>
      <c r="S99" s="4">
        <v>0</v>
      </c>
      <c r="T99" s="4">
        <v>40</v>
      </c>
      <c r="U99" s="4">
        <v>78</v>
      </c>
      <c r="V99" s="6">
        <f>IF(ISERROR(VLOOKUP($S$99,'TAR FIN'!$A$1:$O$88,15,0)),0,VLOOKUP($S$99,'TAR FIN'!$A$1:$O$88,15,0))</f>
        <v>0</v>
      </c>
      <c r="W99" s="6">
        <f>IF(ISERROR(VLOOKUP($T$99,'TAR FIN'!$A$1:$O$88,15,0)),0,VLOOKUP($T$99,'TAR FIN'!$A$1:$O$88,15,0))</f>
        <v>176.22</v>
      </c>
      <c r="X99" s="6">
        <f>IF(ISERROR(VLOOKUP($U$99,'TAR FIN'!$A$1:$O$88,15,0)),0,VLOOKUP($U$99,'TAR FIN'!$A$1:$O$88,15,0))</f>
        <v>260.01</v>
      </c>
      <c r="Y99" s="6"/>
      <c r="Z99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99" s="6">
        <f>('TE BE'!$AB$14+'TE BF'!$AB$14+'TE CVA'!$AB$14)*(1-CUSTOS!$M$36)</f>
        <v>186.86738467976483</v>
      </c>
      <c r="AB99" s="6">
        <f t="shared" si="14"/>
        <v>0</v>
      </c>
      <c r="AC99" s="6">
        <f>(L99-M99)*(W99+X99)+($W$111+$X$111-$W$99-$X$99)*(L99)</f>
        <v>633.06667000000039</v>
      </c>
      <c r="AD99" s="6">
        <f t="shared" si="15"/>
        <v>0</v>
      </c>
      <c r="AE99" s="6">
        <f ca="1">(L99-M99)*(Z99+AA99)+($Z$111+$AA$111-$Z$99-$AA$99)*(L99)</f>
        <v>609.03300693162873</v>
      </c>
      <c r="AF99" s="4" t="s">
        <v>736</v>
      </c>
    </row>
    <row r="100" spans="1:32" ht="11.25" customHeight="1" x14ac:dyDescent="0.25">
      <c r="A100" s="4" t="s">
        <v>21</v>
      </c>
      <c r="B100" s="4" t="s">
        <v>22</v>
      </c>
      <c r="C100" s="4" t="s">
        <v>23</v>
      </c>
      <c r="D100" s="4" t="s">
        <v>24</v>
      </c>
      <c r="E100" s="4" t="s">
        <v>30</v>
      </c>
      <c r="F100" s="4" t="s">
        <v>25</v>
      </c>
      <c r="G100" s="4" t="s">
        <v>25</v>
      </c>
      <c r="H100" s="4" t="s">
        <v>25</v>
      </c>
      <c r="I100" s="5">
        <v>44440</v>
      </c>
      <c r="J100" s="6">
        <v>0</v>
      </c>
      <c r="K100" s="6">
        <v>0</v>
      </c>
      <c r="L100" s="6">
        <v>15.353999999999999</v>
      </c>
      <c r="M100" s="6">
        <v>15.353999999999999</v>
      </c>
      <c r="N100" s="6">
        <v>15.353999999999999</v>
      </c>
      <c r="O100" s="6">
        <v>15.353999999999999</v>
      </c>
      <c r="P100" s="6">
        <v>286</v>
      </c>
      <c r="Q100" s="4" t="s">
        <v>26</v>
      </c>
      <c r="R100" s="4">
        <v>0</v>
      </c>
      <c r="S100" s="4">
        <v>0</v>
      </c>
      <c r="T100" s="4">
        <v>40</v>
      </c>
      <c r="U100" s="4">
        <v>78</v>
      </c>
      <c r="V100" s="6">
        <f>IF(ISERROR(VLOOKUP($S$100,'TAR FIN'!$A$1:$O$88,15,0)),0,VLOOKUP($S$100,'TAR FIN'!$A$1:$O$88,15,0))</f>
        <v>0</v>
      </c>
      <c r="W100" s="6">
        <f>IF(ISERROR(VLOOKUP($T$100,'TAR FIN'!$A$1:$O$88,15,0)),0,VLOOKUP($T$100,'TAR FIN'!$A$1:$O$88,15,0))</f>
        <v>176.22</v>
      </c>
      <c r="X100" s="6">
        <f>IF(ISERROR(VLOOKUP($U$100,'TAR FIN'!$A$1:$O$88,15,0)),0,VLOOKUP($U$100,'TAR FIN'!$A$1:$O$88,15,0))</f>
        <v>260.01</v>
      </c>
      <c r="Y100" s="6"/>
      <c r="Z100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00" s="6">
        <f>('TE BE'!$AB$14+'TE BF'!$AB$14+'TE CVA'!$AB$14)*(1-CUSTOS!$M$36)</f>
        <v>186.86738467976483</v>
      </c>
      <c r="AB100" s="6">
        <f t="shared" si="14"/>
        <v>0</v>
      </c>
      <c r="AC100" s="6">
        <f>(L100-M100)*(W100+X100)+($W$111+$X$111-$W$100-$X$100)*(L100)</f>
        <v>744.20838000000037</v>
      </c>
      <c r="AD100" s="6">
        <f t="shared" si="15"/>
        <v>0</v>
      </c>
      <c r="AE100" s="6">
        <f ca="1">(L100-M100)*(Z100+AA100)+($Z$111+$AA$111-$Z$100-$AA$100)*(L100)</f>
        <v>715.95534709656431</v>
      </c>
      <c r="AF100" s="4" t="s">
        <v>736</v>
      </c>
    </row>
    <row r="101" spans="1:32" ht="11.25" customHeight="1" x14ac:dyDescent="0.25">
      <c r="A101" s="4" t="s">
        <v>21</v>
      </c>
      <c r="B101" s="4" t="s">
        <v>22</v>
      </c>
      <c r="C101" s="4" t="s">
        <v>23</v>
      </c>
      <c r="D101" s="4" t="s">
        <v>24</v>
      </c>
      <c r="E101" s="4" t="s">
        <v>30</v>
      </c>
      <c r="F101" s="4" t="s">
        <v>25</v>
      </c>
      <c r="G101" s="4" t="s">
        <v>25</v>
      </c>
      <c r="H101" s="4" t="s">
        <v>25</v>
      </c>
      <c r="I101" s="5">
        <v>44470</v>
      </c>
      <c r="J101" s="6">
        <v>0</v>
      </c>
      <c r="K101" s="6">
        <v>0</v>
      </c>
      <c r="L101" s="6">
        <v>10.358000000000001</v>
      </c>
      <c r="M101" s="6">
        <v>10.358000000000001</v>
      </c>
      <c r="N101" s="6">
        <v>10.358000000000001</v>
      </c>
      <c r="O101" s="6">
        <v>10.358000000000001</v>
      </c>
      <c r="P101" s="6">
        <v>232</v>
      </c>
      <c r="Q101" s="4" t="s">
        <v>26</v>
      </c>
      <c r="R101" s="4">
        <v>0</v>
      </c>
      <c r="S101" s="4">
        <v>0</v>
      </c>
      <c r="T101" s="4">
        <v>40</v>
      </c>
      <c r="U101" s="4">
        <v>78</v>
      </c>
      <c r="V101" s="6">
        <f>IF(ISERROR(VLOOKUP($S$101,'TAR FIN'!$A$1:$O$88,15,0)),0,VLOOKUP($S$101,'TAR FIN'!$A$1:$O$88,15,0))</f>
        <v>0</v>
      </c>
      <c r="W101" s="6">
        <f>IF(ISERROR(VLOOKUP($T$101,'TAR FIN'!$A$1:$O$88,15,0)),0,VLOOKUP($T$101,'TAR FIN'!$A$1:$O$88,15,0))</f>
        <v>176.22</v>
      </c>
      <c r="X101" s="6">
        <f>IF(ISERROR(VLOOKUP($U$101,'TAR FIN'!$A$1:$O$88,15,0)),0,VLOOKUP($U$101,'TAR FIN'!$A$1:$O$88,15,0))</f>
        <v>260.01</v>
      </c>
      <c r="Y101" s="6"/>
      <c r="Z101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01" s="6">
        <f>('TE BE'!$AB$14+'TE BF'!$AB$14+'TE CVA'!$AB$14)*(1-CUSTOS!$M$36)</f>
        <v>186.86738467976483</v>
      </c>
      <c r="AB101" s="6">
        <f t="shared" si="14"/>
        <v>0</v>
      </c>
      <c r="AC101" s="6">
        <f>(L101-M101)*(W101+X101)+($W$111+$X$111-$W$101-$X$101)*(L101)</f>
        <v>502.05226000000033</v>
      </c>
      <c r="AD101" s="6">
        <f t="shared" si="15"/>
        <v>0</v>
      </c>
      <c r="AE101" s="6">
        <f ca="1">(L101-M101)*(Z101+AA101)+($Z$111+$AA$111-$Z$101-$AA$101)*(L101)</f>
        <v>482.99241143846649</v>
      </c>
      <c r="AF101" s="4" t="s">
        <v>736</v>
      </c>
    </row>
    <row r="102" spans="1:32" ht="11.25" customHeight="1" x14ac:dyDescent="0.25">
      <c r="A102" s="4" t="s">
        <v>21</v>
      </c>
      <c r="B102" s="4" t="s">
        <v>22</v>
      </c>
      <c r="C102" s="4" t="s">
        <v>23</v>
      </c>
      <c r="D102" s="4" t="s">
        <v>24</v>
      </c>
      <c r="E102" s="4" t="s">
        <v>30</v>
      </c>
      <c r="F102" s="4" t="s">
        <v>25</v>
      </c>
      <c r="G102" s="4" t="s">
        <v>25</v>
      </c>
      <c r="H102" s="4" t="s">
        <v>25</v>
      </c>
      <c r="I102" s="5">
        <v>44501</v>
      </c>
      <c r="J102" s="6">
        <v>0</v>
      </c>
      <c r="K102" s="6">
        <v>0</v>
      </c>
      <c r="L102" s="6">
        <v>14.414</v>
      </c>
      <c r="M102" s="6">
        <v>14.414</v>
      </c>
      <c r="N102" s="6">
        <v>14.414</v>
      </c>
      <c r="O102" s="6">
        <v>14.414</v>
      </c>
      <c r="P102" s="6">
        <v>268</v>
      </c>
      <c r="Q102" s="4" t="s">
        <v>26</v>
      </c>
      <c r="R102" s="4">
        <v>0</v>
      </c>
      <c r="S102" s="4">
        <v>0</v>
      </c>
      <c r="T102" s="4">
        <v>40</v>
      </c>
      <c r="U102" s="4">
        <v>78</v>
      </c>
      <c r="V102" s="6">
        <f>IF(ISERROR(VLOOKUP($S$102,'TAR FIN'!$A$1:$O$88,15,0)),0,VLOOKUP($S$102,'TAR FIN'!$A$1:$O$88,15,0))</f>
        <v>0</v>
      </c>
      <c r="W102" s="6">
        <f>IF(ISERROR(VLOOKUP($T$102,'TAR FIN'!$A$1:$O$88,15,0)),0,VLOOKUP($T$102,'TAR FIN'!$A$1:$O$88,15,0))</f>
        <v>176.22</v>
      </c>
      <c r="X102" s="6">
        <f>IF(ISERROR(VLOOKUP($U$102,'TAR FIN'!$A$1:$O$88,15,0)),0,VLOOKUP($U$102,'TAR FIN'!$A$1:$O$88,15,0))</f>
        <v>260.01</v>
      </c>
      <c r="Y102" s="6"/>
      <c r="Z102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02" s="6">
        <f>('TE BE'!$AB$14+'TE BF'!$AB$14+'TE CVA'!$AB$14)*(1-CUSTOS!$M$36)</f>
        <v>186.86738467976483</v>
      </c>
      <c r="AB102" s="6">
        <f t="shared" si="14"/>
        <v>0</v>
      </c>
      <c r="AC102" s="6">
        <f>(L102-M102)*(W102+X102)+($W$111+$X$111-$W$102-$X$102)*(L102)</f>
        <v>698.64658000000043</v>
      </c>
      <c r="AD102" s="6">
        <f t="shared" si="15"/>
        <v>0</v>
      </c>
      <c r="AE102" s="6">
        <f ca="1">(L102-M102)*(Z102+AA102)+($Z$111+$AA$111-$Z$102-$AA$102)*(L102)</f>
        <v>672.12324951477649</v>
      </c>
      <c r="AF102" s="4" t="s">
        <v>736</v>
      </c>
    </row>
    <row r="103" spans="1:32" ht="11.25" customHeight="1" x14ac:dyDescent="0.25">
      <c r="A103" s="4" t="s">
        <v>21</v>
      </c>
      <c r="B103" s="4" t="s">
        <v>22</v>
      </c>
      <c r="C103" s="4" t="s">
        <v>23</v>
      </c>
      <c r="D103" s="4" t="s">
        <v>24</v>
      </c>
      <c r="E103" s="4" t="s">
        <v>30</v>
      </c>
      <c r="F103" s="4" t="s">
        <v>25</v>
      </c>
      <c r="G103" s="4" t="s">
        <v>25</v>
      </c>
      <c r="H103" s="4" t="s">
        <v>25</v>
      </c>
      <c r="I103" s="5">
        <v>44531</v>
      </c>
      <c r="J103" s="6">
        <v>0</v>
      </c>
      <c r="K103" s="6">
        <v>0</v>
      </c>
      <c r="L103" s="6">
        <v>18.116</v>
      </c>
      <c r="M103" s="6">
        <v>18.116</v>
      </c>
      <c r="N103" s="6">
        <v>18.116</v>
      </c>
      <c r="O103" s="6">
        <v>18.116</v>
      </c>
      <c r="P103" s="6">
        <v>312</v>
      </c>
      <c r="Q103" s="4" t="s">
        <v>26</v>
      </c>
      <c r="R103" s="4">
        <v>0</v>
      </c>
      <c r="S103" s="4">
        <v>0</v>
      </c>
      <c r="T103" s="4">
        <v>40</v>
      </c>
      <c r="U103" s="4">
        <v>78</v>
      </c>
      <c r="V103" s="6">
        <f>IF(ISERROR(VLOOKUP($S$103,'TAR FIN'!$A$1:$O$88,15,0)),0,VLOOKUP($S$103,'TAR FIN'!$A$1:$O$88,15,0))</f>
        <v>0</v>
      </c>
      <c r="W103" s="6">
        <f>IF(ISERROR(VLOOKUP($T$103,'TAR FIN'!$A$1:$O$88,15,0)),0,VLOOKUP($T$103,'TAR FIN'!$A$1:$O$88,15,0))</f>
        <v>176.22</v>
      </c>
      <c r="X103" s="6">
        <f>IF(ISERROR(VLOOKUP($U$103,'TAR FIN'!$A$1:$O$88,15,0)),0,VLOOKUP($U$103,'TAR FIN'!$A$1:$O$88,15,0))</f>
        <v>260.01</v>
      </c>
      <c r="Y103" s="6"/>
      <c r="Z103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03" s="6">
        <f>('TE BE'!$AB$14+'TE BF'!$AB$14+'TE CVA'!$AB$14)*(1-CUSTOS!$M$36)</f>
        <v>186.86738467976483</v>
      </c>
      <c r="AB103" s="6">
        <f t="shared" si="14"/>
        <v>0</v>
      </c>
      <c r="AC103" s="6">
        <f>(L103-M103)*(W103+X103)+($W$111+$X$111-$W$103-$X$103)*(L103)</f>
        <v>878.0825200000005</v>
      </c>
      <c r="AD103" s="6">
        <f t="shared" si="15"/>
        <v>0</v>
      </c>
      <c r="AE103" s="6">
        <f ca="1">(L103-M103)*(Z103+AA103)+($Z$111+$AA$111-$Z$103-$AA$103)*(L103)</f>
        <v>844.74710616134951</v>
      </c>
      <c r="AF103" s="4" t="s">
        <v>736</v>
      </c>
    </row>
    <row r="104" spans="1:32" ht="11.25" customHeight="1" x14ac:dyDescent="0.25">
      <c r="A104" s="4" t="s">
        <v>21</v>
      </c>
      <c r="B104" s="4" t="s">
        <v>22</v>
      </c>
      <c r="C104" s="4" t="s">
        <v>23</v>
      </c>
      <c r="D104" s="4" t="s">
        <v>24</v>
      </c>
      <c r="E104" s="4" t="s">
        <v>30</v>
      </c>
      <c r="F104" s="4" t="s">
        <v>25</v>
      </c>
      <c r="G104" s="4" t="s">
        <v>25</v>
      </c>
      <c r="H104" s="4" t="s">
        <v>25</v>
      </c>
      <c r="I104" s="5">
        <v>44562</v>
      </c>
      <c r="J104" s="6">
        <v>0</v>
      </c>
      <c r="K104" s="6">
        <v>0</v>
      </c>
      <c r="L104" s="6">
        <v>16.149999999999999</v>
      </c>
      <c r="M104" s="6">
        <v>16.149999999999999</v>
      </c>
      <c r="N104" s="6">
        <v>16.149999999999999</v>
      </c>
      <c r="O104" s="6">
        <v>16.149999999999999</v>
      </c>
      <c r="P104" s="6">
        <v>307</v>
      </c>
      <c r="Q104" s="4" t="s">
        <v>26</v>
      </c>
      <c r="R104" s="4">
        <v>0</v>
      </c>
      <c r="S104" s="4">
        <v>0</v>
      </c>
      <c r="T104" s="4">
        <v>40</v>
      </c>
      <c r="U104" s="4">
        <v>78</v>
      </c>
      <c r="V104" s="6">
        <f>IF(ISERROR(VLOOKUP($S$104,'TAR FIN'!$A$1:$O$88,15,0)),0,VLOOKUP($S$104,'TAR FIN'!$A$1:$O$88,15,0))</f>
        <v>0</v>
      </c>
      <c r="W104" s="6">
        <f>IF(ISERROR(VLOOKUP($T$104,'TAR FIN'!$A$1:$O$88,15,0)),0,VLOOKUP($T$104,'TAR FIN'!$A$1:$O$88,15,0))</f>
        <v>176.22</v>
      </c>
      <c r="X104" s="6">
        <f>IF(ISERROR(VLOOKUP($U$104,'TAR FIN'!$A$1:$O$88,15,0)),0,VLOOKUP($U$104,'TAR FIN'!$A$1:$O$88,15,0))</f>
        <v>260.01</v>
      </c>
      <c r="Y104" s="6"/>
      <c r="Z104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04" s="6">
        <f>('TE BE'!$AB$14+'TE BF'!$AB$14+'TE CVA'!$AB$14)*(1-CUSTOS!$M$36)</f>
        <v>186.86738467976483</v>
      </c>
      <c r="AB104" s="6">
        <f t="shared" si="14"/>
        <v>0</v>
      </c>
      <c r="AC104" s="6">
        <f>(L104-M104)*(W104+X104)+($W$111+$X$111-$W$104-$X$104)*(L104)</f>
        <v>782.79050000000041</v>
      </c>
      <c r="AD104" s="6">
        <f t="shared" si="15"/>
        <v>0</v>
      </c>
      <c r="AE104" s="6">
        <f ca="1">(L104-M104)*(Z104+AA104)+($Z$111+$AA$111-$Z$104-$AA$104)*(L104)</f>
        <v>753.07274036795059</v>
      </c>
      <c r="AF104" s="4" t="s">
        <v>736</v>
      </c>
    </row>
    <row r="105" spans="1:32" ht="11.25" customHeight="1" x14ac:dyDescent="0.25">
      <c r="A105" s="4" t="s">
        <v>21</v>
      </c>
      <c r="B105" s="4" t="s">
        <v>22</v>
      </c>
      <c r="C105" s="4" t="s">
        <v>23</v>
      </c>
      <c r="D105" s="4" t="s">
        <v>24</v>
      </c>
      <c r="E105" s="4" t="s">
        <v>30</v>
      </c>
      <c r="F105" s="4" t="s">
        <v>25</v>
      </c>
      <c r="G105" s="4" t="s">
        <v>25</v>
      </c>
      <c r="H105" s="4" t="s">
        <v>25</v>
      </c>
      <c r="I105" s="5">
        <v>44593</v>
      </c>
      <c r="J105" s="6">
        <v>0</v>
      </c>
      <c r="K105" s="6">
        <v>0</v>
      </c>
      <c r="L105" s="6">
        <v>13.394</v>
      </c>
      <c r="M105" s="6">
        <v>13.394</v>
      </c>
      <c r="N105" s="6">
        <v>13.394</v>
      </c>
      <c r="O105" s="6">
        <v>13.394</v>
      </c>
      <c r="P105" s="6">
        <v>273</v>
      </c>
      <c r="Q105" s="4" t="s">
        <v>26</v>
      </c>
      <c r="R105" s="4">
        <v>0</v>
      </c>
      <c r="S105" s="4">
        <v>0</v>
      </c>
      <c r="T105" s="4">
        <v>40</v>
      </c>
      <c r="U105" s="4">
        <v>78</v>
      </c>
      <c r="V105" s="6">
        <f>IF(ISERROR(VLOOKUP($S$105,'TAR FIN'!$A$1:$O$88,15,0)),0,VLOOKUP($S$105,'TAR FIN'!$A$1:$O$88,15,0))</f>
        <v>0</v>
      </c>
      <c r="W105" s="6">
        <f>IF(ISERROR(VLOOKUP($T$105,'TAR FIN'!$A$1:$O$88,15,0)),0,VLOOKUP($T$105,'TAR FIN'!$A$1:$O$88,15,0))</f>
        <v>176.22</v>
      </c>
      <c r="X105" s="6">
        <f>IF(ISERROR(VLOOKUP($U$105,'TAR FIN'!$A$1:$O$88,15,0)),0,VLOOKUP($U$105,'TAR FIN'!$A$1:$O$88,15,0))</f>
        <v>260.01</v>
      </c>
      <c r="Y105" s="6"/>
      <c r="Z105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05" s="6">
        <f>('TE BE'!$AB$14+'TE BF'!$AB$14+'TE CVA'!$AB$14)*(1-CUSTOS!$M$36)</f>
        <v>186.86738467976483</v>
      </c>
      <c r="AB105" s="6">
        <f t="shared" si="14"/>
        <v>0</v>
      </c>
      <c r="AC105" s="6">
        <f>(L105-M105)*(W105+X105)+($W$111+$X$111-$W$105-$X$105)*(L105)</f>
        <v>649.20718000000033</v>
      </c>
      <c r="AD105" s="6">
        <f t="shared" si="15"/>
        <v>0</v>
      </c>
      <c r="AE105" s="6">
        <f ca="1">(L105-M105)*(Z105+AA105)+($Z$111+$AA$111-$Z$105-$AA$105)*(L105)</f>
        <v>624.56076064943227</v>
      </c>
      <c r="AF105" s="4" t="s">
        <v>736</v>
      </c>
    </row>
    <row r="106" spans="1:32" ht="11.25" customHeight="1" x14ac:dyDescent="0.25">
      <c r="A106" s="4" t="s">
        <v>21</v>
      </c>
      <c r="B106" s="4" t="s">
        <v>22</v>
      </c>
      <c r="C106" s="4" t="s">
        <v>23</v>
      </c>
      <c r="D106" s="4" t="s">
        <v>24</v>
      </c>
      <c r="E106" s="4" t="s">
        <v>30</v>
      </c>
      <c r="F106" s="4" t="s">
        <v>25</v>
      </c>
      <c r="G106" s="4" t="s">
        <v>25</v>
      </c>
      <c r="H106" s="4" t="s">
        <v>25</v>
      </c>
      <c r="I106" s="5">
        <v>44621</v>
      </c>
      <c r="J106" s="6">
        <v>0</v>
      </c>
      <c r="K106" s="6">
        <v>0</v>
      </c>
      <c r="L106" s="6">
        <v>16.189</v>
      </c>
      <c r="M106" s="6">
        <v>16.189</v>
      </c>
      <c r="N106" s="6">
        <v>16.189</v>
      </c>
      <c r="O106" s="6">
        <v>16.189</v>
      </c>
      <c r="P106" s="6">
        <v>309</v>
      </c>
      <c r="Q106" s="4" t="s">
        <v>26</v>
      </c>
      <c r="R106" s="4">
        <v>0</v>
      </c>
      <c r="S106" s="4">
        <v>0</v>
      </c>
      <c r="T106" s="4">
        <v>40</v>
      </c>
      <c r="U106" s="4">
        <v>78</v>
      </c>
      <c r="V106" s="6">
        <f>IF(ISERROR(VLOOKUP($S$106,'TAR FIN'!$A$1:$O$88,15,0)),0,VLOOKUP($S$106,'TAR FIN'!$A$1:$O$88,15,0))</f>
        <v>0</v>
      </c>
      <c r="W106" s="6">
        <f>IF(ISERROR(VLOOKUP($T$106,'TAR FIN'!$A$1:$O$88,15,0)),0,VLOOKUP($T$106,'TAR FIN'!$A$1:$O$88,15,0))</f>
        <v>176.22</v>
      </c>
      <c r="X106" s="6">
        <f>IF(ISERROR(VLOOKUP($U$106,'TAR FIN'!$A$1:$O$88,15,0)),0,VLOOKUP($U$106,'TAR FIN'!$A$1:$O$88,15,0))</f>
        <v>260.01</v>
      </c>
      <c r="Y106" s="6"/>
      <c r="Z106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06" s="6">
        <f>('TE BE'!$AB$14+'TE BF'!$AB$14+'TE CVA'!$AB$14)*(1-CUSTOS!$M$36)</f>
        <v>186.86738467976483</v>
      </c>
      <c r="AB106" s="6">
        <f t="shared" si="14"/>
        <v>0</v>
      </c>
      <c r="AC106" s="6">
        <f>(L106-M106)*(W106+X106)+($W$111+$X$111-$W$106-$X$106)*(L106)</f>
        <v>784.68083000000047</v>
      </c>
      <c r="AD106" s="6">
        <f t="shared" si="15"/>
        <v>0</v>
      </c>
      <c r="AE106" s="6">
        <f ca="1">(L106-M106)*(Z106+AA106)+($Z$111+$AA$111-$Z$106-$AA$106)*(L106)</f>
        <v>754.89130611868438</v>
      </c>
      <c r="AF106" s="4" t="s">
        <v>736</v>
      </c>
    </row>
    <row r="107" spans="1:32" ht="11.25" customHeight="1" x14ac:dyDescent="0.25">
      <c r="A107" s="4" t="s">
        <v>21</v>
      </c>
      <c r="B107" s="4" t="s">
        <v>22</v>
      </c>
      <c r="C107" s="4" t="s">
        <v>23</v>
      </c>
      <c r="D107" s="4" t="s">
        <v>24</v>
      </c>
      <c r="E107" s="4" t="s">
        <v>30</v>
      </c>
      <c r="F107" s="4" t="s">
        <v>25</v>
      </c>
      <c r="G107" s="4" t="s">
        <v>25</v>
      </c>
      <c r="H107" s="4" t="s">
        <v>25</v>
      </c>
      <c r="I107" s="5">
        <v>44652</v>
      </c>
      <c r="J107" s="6">
        <v>0</v>
      </c>
      <c r="K107" s="6">
        <v>0</v>
      </c>
      <c r="L107" s="6">
        <v>12.414999999999999</v>
      </c>
      <c r="M107" s="6">
        <v>12.414999999999999</v>
      </c>
      <c r="N107" s="6">
        <v>12.414999999999999</v>
      </c>
      <c r="O107" s="6">
        <v>12.414999999999999</v>
      </c>
      <c r="P107" s="6">
        <v>268</v>
      </c>
      <c r="Q107" s="4" t="s">
        <v>26</v>
      </c>
      <c r="R107" s="4">
        <v>0</v>
      </c>
      <c r="S107" s="4">
        <v>0</v>
      </c>
      <c r="T107" s="4">
        <v>40</v>
      </c>
      <c r="U107" s="4">
        <v>78</v>
      </c>
      <c r="V107" s="6">
        <f>IF(ISERROR(VLOOKUP($S$107,'TAR FIN'!$A$1:$O$88,15,0)),0,VLOOKUP($S$107,'TAR FIN'!$A$1:$O$88,15,0))</f>
        <v>0</v>
      </c>
      <c r="W107" s="6">
        <f>IF(ISERROR(VLOOKUP($T$107,'TAR FIN'!$A$1:$O$88,15,0)),0,VLOOKUP($T$107,'TAR FIN'!$A$1:$O$88,15,0))</f>
        <v>176.22</v>
      </c>
      <c r="X107" s="6">
        <f>IF(ISERROR(VLOOKUP($U$107,'TAR FIN'!$A$1:$O$88,15,0)),0,VLOOKUP($U$107,'TAR FIN'!$A$1:$O$88,15,0))</f>
        <v>260.01</v>
      </c>
      <c r="Y107" s="6"/>
      <c r="Z107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07" s="6">
        <f>('TE BE'!$AB$14+'TE BF'!$AB$14+'TE CVA'!$AB$14)*(1-CUSTOS!$M$36)</f>
        <v>186.86738467976483</v>
      </c>
      <c r="AB107" s="6">
        <f t="shared" si="14"/>
        <v>0</v>
      </c>
      <c r="AC107" s="6">
        <f>(L107-M107)*(W107+X107)+($W$111+$X$111-$W$107-$X$107)*(L107)</f>
        <v>601.75505000000032</v>
      </c>
      <c r="AD107" s="6">
        <f t="shared" si="15"/>
        <v>0</v>
      </c>
      <c r="AE107" s="6">
        <f ca="1">(L107-M107)*(Z107+AA107)+($Z$111+$AA$111-$Z$107-$AA$107)*(L107)</f>
        <v>578.91009731691065</v>
      </c>
      <c r="AF107" s="4" t="s">
        <v>736</v>
      </c>
    </row>
    <row r="108" spans="1:32" ht="11.25" customHeight="1" x14ac:dyDescent="0.25">
      <c r="A108" s="4" t="s">
        <v>21</v>
      </c>
      <c r="B108" s="4" t="s">
        <v>22</v>
      </c>
      <c r="C108" s="4" t="s">
        <v>23</v>
      </c>
      <c r="D108" s="4" t="s">
        <v>24</v>
      </c>
      <c r="E108" s="4" t="s">
        <v>30</v>
      </c>
      <c r="F108" s="4" t="s">
        <v>25</v>
      </c>
      <c r="G108" s="4" t="s">
        <v>25</v>
      </c>
      <c r="H108" s="4" t="s">
        <v>25</v>
      </c>
      <c r="I108" s="5">
        <v>44682</v>
      </c>
      <c r="J108" s="6">
        <v>0</v>
      </c>
      <c r="K108" s="6">
        <v>0</v>
      </c>
      <c r="L108" s="6">
        <v>10.862</v>
      </c>
      <c r="M108" s="6">
        <v>10.862</v>
      </c>
      <c r="N108" s="6">
        <v>10.862</v>
      </c>
      <c r="O108" s="6">
        <v>10.862</v>
      </c>
      <c r="P108" s="6">
        <v>228</v>
      </c>
      <c r="Q108" s="4" t="s">
        <v>26</v>
      </c>
      <c r="R108" s="4">
        <v>0</v>
      </c>
      <c r="S108" s="4">
        <v>0</v>
      </c>
      <c r="T108" s="4">
        <v>40</v>
      </c>
      <c r="U108" s="4">
        <v>78</v>
      </c>
      <c r="V108" s="6">
        <f>IF(ISERROR(VLOOKUP($S$108,'TAR FIN'!$A$1:$O$88,15,0)),0,VLOOKUP($S$108,'TAR FIN'!$A$1:$O$88,15,0))</f>
        <v>0</v>
      </c>
      <c r="W108" s="6">
        <f>IF(ISERROR(VLOOKUP($T$108,'TAR FIN'!$A$1:$O$88,15,0)),0,VLOOKUP($T$108,'TAR FIN'!$A$1:$O$88,15,0))</f>
        <v>176.22</v>
      </c>
      <c r="X108" s="6">
        <f>IF(ISERROR(VLOOKUP($U$108,'TAR FIN'!$A$1:$O$88,15,0)),0,VLOOKUP($U$108,'TAR FIN'!$A$1:$O$88,15,0))</f>
        <v>260.01</v>
      </c>
      <c r="Y108" s="6"/>
      <c r="Z108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08" s="6">
        <f>('TE BE'!$AB$14+'TE BF'!$AB$14+'TE CVA'!$AB$14)*(1-CUSTOS!$M$36)</f>
        <v>186.86738467976483</v>
      </c>
      <c r="AB108" s="6">
        <f t="shared" si="14"/>
        <v>0</v>
      </c>
      <c r="AC108" s="6">
        <f>(L108-M108)*(W108+X108)+($W$111+$X$111-$W$108-$X$108)*(L108)</f>
        <v>526.48114000000032</v>
      </c>
      <c r="AD108" s="6">
        <f t="shared" si="15"/>
        <v>0</v>
      </c>
      <c r="AE108" s="6">
        <f ca="1">(L108-M108)*(Z108+AA108)+($Z$111+$AA$111-$Z$108-$AA$108)*(L108)</f>
        <v>506.49387652487184</v>
      </c>
      <c r="AF108" s="4" t="s">
        <v>736</v>
      </c>
    </row>
    <row r="109" spans="1:32" ht="11.25" customHeight="1" x14ac:dyDescent="0.25">
      <c r="A109" s="4" t="s">
        <v>21</v>
      </c>
      <c r="B109" s="4" t="s">
        <v>22</v>
      </c>
      <c r="C109" s="4" t="s">
        <v>23</v>
      </c>
      <c r="D109" s="4" t="s">
        <v>24</v>
      </c>
      <c r="E109" s="4" t="s">
        <v>30</v>
      </c>
      <c r="F109" s="4" t="s">
        <v>25</v>
      </c>
      <c r="G109" s="4" t="s">
        <v>25</v>
      </c>
      <c r="H109" s="4" t="s">
        <v>25</v>
      </c>
      <c r="I109" s="5">
        <v>44713</v>
      </c>
      <c r="J109" s="6">
        <v>0</v>
      </c>
      <c r="K109" s="6">
        <v>0</v>
      </c>
      <c r="L109" s="6">
        <v>12.992000000000001</v>
      </c>
      <c r="M109" s="6">
        <v>12.992000000000001</v>
      </c>
      <c r="N109" s="6">
        <v>12.992000000000001</v>
      </c>
      <c r="O109" s="6">
        <v>12.992000000000001</v>
      </c>
      <c r="P109" s="6">
        <v>259</v>
      </c>
      <c r="Q109" s="4" t="s">
        <v>26</v>
      </c>
      <c r="R109" s="4">
        <v>0</v>
      </c>
      <c r="S109" s="4">
        <v>0</v>
      </c>
      <c r="T109" s="4">
        <v>40</v>
      </c>
      <c r="U109" s="4">
        <v>78</v>
      </c>
      <c r="V109" s="6">
        <f>IF(ISERROR(VLOOKUP($S$109,'TAR FIN'!$A$1:$O$88,15,0)),0,VLOOKUP($S$109,'TAR FIN'!$A$1:$O$88,15,0))</f>
        <v>0</v>
      </c>
      <c r="W109" s="6">
        <f>IF(ISERROR(VLOOKUP($T$109,'TAR FIN'!$A$1:$O$88,15,0)),0,VLOOKUP($T$109,'TAR FIN'!$A$1:$O$88,15,0))</f>
        <v>176.22</v>
      </c>
      <c r="X109" s="6">
        <f>IF(ISERROR(VLOOKUP($U$109,'TAR FIN'!$A$1:$O$88,15,0)),0,VLOOKUP($U$109,'TAR FIN'!$A$1:$O$88,15,0))</f>
        <v>260.01</v>
      </c>
      <c r="Y109" s="6"/>
      <c r="Z109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09" s="6">
        <f>('TE BE'!$AB$14+'TE BF'!$AB$14+'TE CVA'!$AB$14)*(1-CUSTOS!$M$36)</f>
        <v>186.86738467976483</v>
      </c>
      <c r="AB109" s="6">
        <f t="shared" si="14"/>
        <v>0</v>
      </c>
      <c r="AC109" s="6">
        <f>(L109-M109)*(W109+X109)+($W$111+$X$111-$W$109-$X$109)*(L109)</f>
        <v>629.7222400000004</v>
      </c>
      <c r="AD109" s="6">
        <f t="shared" si="15"/>
        <v>0</v>
      </c>
      <c r="AE109" s="6">
        <f ca="1">(L109-M109)*(Z109+AA109)+($Z$111+$AA$111-$Z$109-$AA$109)*(L109)</f>
        <v>605.81554444956134</v>
      </c>
      <c r="AF109" s="4" t="s">
        <v>736</v>
      </c>
    </row>
    <row r="110" spans="1:32" ht="11.25" customHeight="1" x14ac:dyDescent="0.25">
      <c r="A110" s="4" t="s">
        <v>55</v>
      </c>
      <c r="B110" s="4" t="s">
        <v>22</v>
      </c>
      <c r="C110" s="4" t="s">
        <v>23</v>
      </c>
      <c r="D110" s="4" t="s">
        <v>24</v>
      </c>
      <c r="E110" s="4" t="s">
        <v>30</v>
      </c>
      <c r="F110" s="4" t="s">
        <v>25</v>
      </c>
      <c r="G110" s="4" t="s">
        <v>25</v>
      </c>
      <c r="H110" s="4" t="s">
        <v>25</v>
      </c>
      <c r="I110" s="5">
        <v>44743</v>
      </c>
      <c r="J110" s="6">
        <v>0</v>
      </c>
      <c r="K110" s="6">
        <v>0</v>
      </c>
      <c r="L110" s="6">
        <v>12.992000000000001</v>
      </c>
      <c r="M110" s="6">
        <v>12.992000000000001</v>
      </c>
      <c r="N110" s="6">
        <v>12.992000000000001</v>
      </c>
      <c r="O110" s="6">
        <v>12.992000000000001</v>
      </c>
      <c r="P110" s="6">
        <v>259</v>
      </c>
      <c r="Q110" s="4" t="s">
        <v>26</v>
      </c>
      <c r="R110" s="4">
        <v>0</v>
      </c>
      <c r="S110" s="4">
        <v>0</v>
      </c>
      <c r="T110" s="4">
        <v>40</v>
      </c>
      <c r="U110" s="4">
        <v>78</v>
      </c>
      <c r="V110" s="6">
        <f>IF(ISERROR(VLOOKUP($S$110,'TAR FIN'!$A$1:$O$88,15,0)),0,VLOOKUP($S$110,'TAR FIN'!$A$1:$O$88,15,0))</f>
        <v>0</v>
      </c>
      <c r="W110" s="6">
        <f>IF(ISERROR(VLOOKUP($T$110,'TAR FIN'!$A$1:$O$88,15,0)),0,VLOOKUP($T$110,'TAR FIN'!$A$1:$O$88,15,0))</f>
        <v>176.22</v>
      </c>
      <c r="X110" s="6">
        <f>IF(ISERROR(VLOOKUP($U$110,'TAR FIN'!$A$1:$O$88,15,0)),0,VLOOKUP($U$110,'TAR FIN'!$A$1:$O$88,15,0))</f>
        <v>260.01</v>
      </c>
      <c r="Y110" s="6"/>
      <c r="Z110" s="6">
        <f ca="1">('TUSD BE'!$AM$23+'TUSD BF'!$AM$23+'TUSD CVA'!$AM$23-('TUSD BE'!$P$23+'TUSD BF'!$P$23+'TUSD CVA'!$P$23)-('TUSD BE'!$Q$23+'TUSD BF'!$Q$23+'TUSD CVA'!$Q$23)-('TUSD BE'!$R$23+'TUSD BF'!$R$23+'TUSD CVA'!$R$23))*(1-CUSTOS!$M$36)</f>
        <v>232.80163472033146</v>
      </c>
      <c r="AA110" s="6">
        <f>('TE BE'!$AB$14+'TE BF'!$AB$14+'TE CVA'!$AB$14)*(1-CUSTOS!$M$36)</f>
        <v>186.86738467976483</v>
      </c>
      <c r="AB110" s="6">
        <f t="shared" si="14"/>
        <v>0</v>
      </c>
      <c r="AC110" s="6">
        <f>(L110-M110)*(W110+X110)+($W$111+$X$111-$W$110-$X$110)*(L110)</f>
        <v>629.7222400000004</v>
      </c>
      <c r="AD110" s="6">
        <f t="shared" si="15"/>
        <v>0</v>
      </c>
      <c r="AE110" s="6">
        <f ca="1">(L110-M110)*(Z110+AA110)+($Z$111+$AA$111-$Z$110-$AA$110)*(L110)</f>
        <v>605.81554444956134</v>
      </c>
      <c r="AF110" s="4" t="s">
        <v>736</v>
      </c>
    </row>
    <row r="111" spans="1:32" ht="11.25" customHeight="1" x14ac:dyDescent="0.25">
      <c r="A111" s="4" t="s">
        <v>21</v>
      </c>
      <c r="B111" s="4" t="s">
        <v>22</v>
      </c>
      <c r="C111" s="4" t="s">
        <v>23</v>
      </c>
      <c r="D111" s="4" t="s">
        <v>24</v>
      </c>
      <c r="E111" s="4" t="s">
        <v>31</v>
      </c>
      <c r="F111" s="4" t="s">
        <v>25</v>
      </c>
      <c r="G111" s="4" t="s">
        <v>25</v>
      </c>
      <c r="H111" s="4" t="s">
        <v>25</v>
      </c>
      <c r="I111" s="5">
        <v>44409</v>
      </c>
      <c r="J111" s="6">
        <v>0</v>
      </c>
      <c r="K111" s="6">
        <v>0</v>
      </c>
      <c r="L111" s="6">
        <v>0.874</v>
      </c>
      <c r="M111" s="6">
        <v>0.874</v>
      </c>
      <c r="N111" s="6">
        <v>0.874</v>
      </c>
      <c r="O111" s="6">
        <v>0.874</v>
      </c>
      <c r="P111" s="6">
        <v>22</v>
      </c>
      <c r="Q111" s="4" t="s">
        <v>26</v>
      </c>
      <c r="R111" s="4">
        <v>0</v>
      </c>
      <c r="S111" s="4">
        <v>0</v>
      </c>
      <c r="T111" s="4">
        <v>41</v>
      </c>
      <c r="U111" s="4">
        <v>79</v>
      </c>
      <c r="V111" s="6">
        <f>IF(ISERROR(VLOOKUP($S$111,'TAR FIN'!$A$1:$O$88,15,0)),0,VLOOKUP($S$111,'TAR FIN'!$A$1:$O$88,15,0))</f>
        <v>0</v>
      </c>
      <c r="W111" s="6">
        <f>IF(ISERROR(VLOOKUP($T$111,'TAR FIN'!$A$1:$O$88,15,0)),0,VLOOKUP($T$111,'TAR FIN'!$A$1:$O$88,15,0))</f>
        <v>195.8</v>
      </c>
      <c r="X111" s="6">
        <f>IF(ISERROR(VLOOKUP($U$111,'TAR FIN'!$A$1:$O$88,15,0)),0,VLOOKUP($U$111,'TAR FIN'!$A$1:$O$88,15,0))</f>
        <v>288.89999999999998</v>
      </c>
      <c r="Y111" s="6"/>
      <c r="Z111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11" s="6">
        <f>('TE BE'!$AB$15+'TE BF'!$AB$15+'TE CVA'!$AB$15)*(1-CUSTOS!$M$37)</f>
        <v>207.63042742196092</v>
      </c>
      <c r="AB111" s="6">
        <f t="shared" si="14"/>
        <v>0</v>
      </c>
      <c r="AC111" s="6">
        <f>(L111-M111)*(W111+X111)+($W$111+$X$111-$W$111-$X$111)*(L111)</f>
        <v>0</v>
      </c>
      <c r="AD111" s="6">
        <f t="shared" si="15"/>
        <v>0</v>
      </c>
      <c r="AE111" s="6">
        <f ca="1">(L111-M111)*(Z111+AA111)+($Z$111+$AA$111-$Z$111-$AA$111)*(L111)</f>
        <v>0</v>
      </c>
      <c r="AF111" s="4" t="s">
        <v>736</v>
      </c>
    </row>
    <row r="112" spans="1:32" ht="11.25" customHeight="1" x14ac:dyDescent="0.25">
      <c r="A112" s="4" t="s">
        <v>21</v>
      </c>
      <c r="B112" s="4" t="s">
        <v>22</v>
      </c>
      <c r="C112" s="4" t="s">
        <v>23</v>
      </c>
      <c r="D112" s="4" t="s">
        <v>24</v>
      </c>
      <c r="E112" s="4" t="s">
        <v>31</v>
      </c>
      <c r="F112" s="4" t="s">
        <v>25</v>
      </c>
      <c r="G112" s="4" t="s">
        <v>25</v>
      </c>
      <c r="H112" s="4" t="s">
        <v>25</v>
      </c>
      <c r="I112" s="5">
        <v>44440</v>
      </c>
      <c r="J112" s="6">
        <v>0</v>
      </c>
      <c r="K112" s="6">
        <v>0</v>
      </c>
      <c r="L112" s="6">
        <v>1.5940000000000001</v>
      </c>
      <c r="M112" s="6">
        <v>1.5940000000000001</v>
      </c>
      <c r="N112" s="6">
        <v>1.5940000000000001</v>
      </c>
      <c r="O112" s="6">
        <v>1.5940000000000001</v>
      </c>
      <c r="P112" s="6">
        <v>28</v>
      </c>
      <c r="Q112" s="4" t="s">
        <v>26</v>
      </c>
      <c r="R112" s="4">
        <v>0</v>
      </c>
      <c r="S112" s="4">
        <v>0</v>
      </c>
      <c r="T112" s="4">
        <v>41</v>
      </c>
      <c r="U112" s="4">
        <v>79</v>
      </c>
      <c r="V112" s="6">
        <f>IF(ISERROR(VLOOKUP($S$112,'TAR FIN'!$A$1:$O$88,15,0)),0,VLOOKUP($S$112,'TAR FIN'!$A$1:$O$88,15,0))</f>
        <v>0</v>
      </c>
      <c r="W112" s="6">
        <f>IF(ISERROR(VLOOKUP($T$112,'TAR FIN'!$A$1:$O$88,15,0)),0,VLOOKUP($T$112,'TAR FIN'!$A$1:$O$88,15,0))</f>
        <v>195.8</v>
      </c>
      <c r="X112" s="6">
        <f>IF(ISERROR(VLOOKUP($U$112,'TAR FIN'!$A$1:$O$88,15,0)),0,VLOOKUP($U$112,'TAR FIN'!$A$1:$O$88,15,0))</f>
        <v>288.89999999999998</v>
      </c>
      <c r="Y112" s="6"/>
      <c r="Z112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12" s="6">
        <f>('TE BE'!$AB$15+'TE BF'!$AB$15+'TE CVA'!$AB$15)*(1-CUSTOS!$M$37)</f>
        <v>207.63042742196092</v>
      </c>
      <c r="AB112" s="6">
        <f t="shared" si="14"/>
        <v>0</v>
      </c>
      <c r="AC112" s="6">
        <f>(L112-M112)*(W112+X112)+($W$111+$X$111-$W$112-$X$112)*(L112)</f>
        <v>0</v>
      </c>
      <c r="AD112" s="6">
        <f t="shared" si="15"/>
        <v>0</v>
      </c>
      <c r="AE112" s="6">
        <f ca="1">(L112-M112)*(Z112+AA112)+($Z$111+$AA$111-$Z$112-$AA$112)*(L112)</f>
        <v>0</v>
      </c>
      <c r="AF112" s="4" t="s">
        <v>736</v>
      </c>
    </row>
    <row r="113" spans="1:32" ht="11.25" customHeight="1" x14ac:dyDescent="0.25">
      <c r="A113" s="4" t="s">
        <v>21</v>
      </c>
      <c r="B113" s="4" t="s">
        <v>22</v>
      </c>
      <c r="C113" s="4" t="s">
        <v>23</v>
      </c>
      <c r="D113" s="4" t="s">
        <v>24</v>
      </c>
      <c r="E113" s="4" t="s">
        <v>31</v>
      </c>
      <c r="F113" s="4" t="s">
        <v>25</v>
      </c>
      <c r="G113" s="4" t="s">
        <v>25</v>
      </c>
      <c r="H113" s="4" t="s">
        <v>25</v>
      </c>
      <c r="I113" s="5">
        <v>44470</v>
      </c>
      <c r="J113" s="6">
        <v>0</v>
      </c>
      <c r="K113" s="6">
        <v>0</v>
      </c>
      <c r="L113" s="6">
        <v>0.61299999999999999</v>
      </c>
      <c r="M113" s="6">
        <v>0.61299999999999999</v>
      </c>
      <c r="N113" s="6">
        <v>0.61299999999999999</v>
      </c>
      <c r="O113" s="6">
        <v>0.61299999999999999</v>
      </c>
      <c r="P113" s="6">
        <v>14</v>
      </c>
      <c r="Q113" s="4" t="s">
        <v>26</v>
      </c>
      <c r="R113" s="4">
        <v>0</v>
      </c>
      <c r="S113" s="4">
        <v>0</v>
      </c>
      <c r="T113" s="4">
        <v>41</v>
      </c>
      <c r="U113" s="4">
        <v>79</v>
      </c>
      <c r="V113" s="6">
        <f>IF(ISERROR(VLOOKUP($S$113,'TAR FIN'!$A$1:$O$88,15,0)),0,VLOOKUP($S$113,'TAR FIN'!$A$1:$O$88,15,0))</f>
        <v>0</v>
      </c>
      <c r="W113" s="6">
        <f>IF(ISERROR(VLOOKUP($T$113,'TAR FIN'!$A$1:$O$88,15,0)),0,VLOOKUP($T$113,'TAR FIN'!$A$1:$O$88,15,0))</f>
        <v>195.8</v>
      </c>
      <c r="X113" s="6">
        <f>IF(ISERROR(VLOOKUP($U$113,'TAR FIN'!$A$1:$O$88,15,0)),0,VLOOKUP($U$113,'TAR FIN'!$A$1:$O$88,15,0))</f>
        <v>288.89999999999998</v>
      </c>
      <c r="Y113" s="6"/>
      <c r="Z113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13" s="6">
        <f>('TE BE'!$AB$15+'TE BF'!$AB$15+'TE CVA'!$AB$15)*(1-CUSTOS!$M$37)</f>
        <v>207.63042742196092</v>
      </c>
      <c r="AB113" s="6">
        <f t="shared" si="14"/>
        <v>0</v>
      </c>
      <c r="AC113" s="6">
        <f>(L113-M113)*(W113+X113)+($W$111+$X$111-$W$113-$X$113)*(L113)</f>
        <v>0</v>
      </c>
      <c r="AD113" s="6">
        <f t="shared" si="15"/>
        <v>0</v>
      </c>
      <c r="AE113" s="6">
        <f ca="1">(L113-M113)*(Z113+AA113)+($Z$111+$AA$111-$Z$113-$AA$113)*(L113)</f>
        <v>0</v>
      </c>
      <c r="AF113" s="4" t="s">
        <v>736</v>
      </c>
    </row>
    <row r="114" spans="1:32" ht="11.25" customHeight="1" x14ac:dyDescent="0.25">
      <c r="A114" s="4" t="s">
        <v>21</v>
      </c>
      <c r="B114" s="4" t="s">
        <v>22</v>
      </c>
      <c r="C114" s="4" t="s">
        <v>23</v>
      </c>
      <c r="D114" s="4" t="s">
        <v>24</v>
      </c>
      <c r="E114" s="4" t="s">
        <v>31</v>
      </c>
      <c r="F114" s="4" t="s">
        <v>25</v>
      </c>
      <c r="G114" s="4" t="s">
        <v>25</v>
      </c>
      <c r="H114" s="4" t="s">
        <v>25</v>
      </c>
      <c r="I114" s="5">
        <v>44501</v>
      </c>
      <c r="J114" s="6">
        <v>0</v>
      </c>
      <c r="K114" s="6">
        <v>0</v>
      </c>
      <c r="L114" s="6">
        <v>1.5680000000000001</v>
      </c>
      <c r="M114" s="6">
        <v>1.5680000000000001</v>
      </c>
      <c r="N114" s="6">
        <v>1.5680000000000001</v>
      </c>
      <c r="O114" s="6">
        <v>1.5680000000000001</v>
      </c>
      <c r="P114" s="6">
        <v>32</v>
      </c>
      <c r="Q114" s="4" t="s">
        <v>26</v>
      </c>
      <c r="R114" s="4">
        <v>0</v>
      </c>
      <c r="S114" s="4">
        <v>0</v>
      </c>
      <c r="T114" s="4">
        <v>41</v>
      </c>
      <c r="U114" s="4">
        <v>79</v>
      </c>
      <c r="V114" s="6">
        <f>IF(ISERROR(VLOOKUP($S$114,'TAR FIN'!$A$1:$O$88,15,0)),0,VLOOKUP($S$114,'TAR FIN'!$A$1:$O$88,15,0))</f>
        <v>0</v>
      </c>
      <c r="W114" s="6">
        <f>IF(ISERROR(VLOOKUP($T$114,'TAR FIN'!$A$1:$O$88,15,0)),0,VLOOKUP($T$114,'TAR FIN'!$A$1:$O$88,15,0))</f>
        <v>195.8</v>
      </c>
      <c r="X114" s="6">
        <f>IF(ISERROR(VLOOKUP($U$114,'TAR FIN'!$A$1:$O$88,15,0)),0,VLOOKUP($U$114,'TAR FIN'!$A$1:$O$88,15,0))</f>
        <v>288.89999999999998</v>
      </c>
      <c r="Y114" s="6"/>
      <c r="Z114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14" s="6">
        <f>('TE BE'!$AB$15+'TE BF'!$AB$15+'TE CVA'!$AB$15)*(1-CUSTOS!$M$37)</f>
        <v>207.63042742196092</v>
      </c>
      <c r="AB114" s="6">
        <f t="shared" si="14"/>
        <v>0</v>
      </c>
      <c r="AC114" s="6">
        <f>(L114-M114)*(W114+X114)+($W$111+$X$111-$W$114-$X$114)*(L114)</f>
        <v>0</v>
      </c>
      <c r="AD114" s="6">
        <f t="shared" si="15"/>
        <v>0</v>
      </c>
      <c r="AE114" s="6">
        <f ca="1">(L114-M114)*(Z114+AA114)+($Z$111+$AA$111-$Z$114-$AA$114)*(L114)</f>
        <v>0</v>
      </c>
      <c r="AF114" s="4" t="s">
        <v>736</v>
      </c>
    </row>
    <row r="115" spans="1:32" ht="11.25" customHeight="1" x14ac:dyDescent="0.25">
      <c r="A115" s="4" t="s">
        <v>21</v>
      </c>
      <c r="B115" s="4" t="s">
        <v>22</v>
      </c>
      <c r="C115" s="4" t="s">
        <v>23</v>
      </c>
      <c r="D115" s="4" t="s">
        <v>24</v>
      </c>
      <c r="E115" s="4" t="s">
        <v>31</v>
      </c>
      <c r="F115" s="4" t="s">
        <v>25</v>
      </c>
      <c r="G115" s="4" t="s">
        <v>25</v>
      </c>
      <c r="H115" s="4" t="s">
        <v>25</v>
      </c>
      <c r="I115" s="5">
        <v>44531</v>
      </c>
      <c r="J115" s="6">
        <v>0</v>
      </c>
      <c r="K115" s="6">
        <v>0</v>
      </c>
      <c r="L115" s="6">
        <v>2.3109999999999999</v>
      </c>
      <c r="M115" s="6">
        <v>2.3109999999999999</v>
      </c>
      <c r="N115" s="6">
        <v>2.3109999999999999</v>
      </c>
      <c r="O115" s="6">
        <v>2.3109999999999999</v>
      </c>
      <c r="P115" s="6">
        <v>39</v>
      </c>
      <c r="Q115" s="4" t="s">
        <v>26</v>
      </c>
      <c r="R115" s="4">
        <v>0</v>
      </c>
      <c r="S115" s="4">
        <v>0</v>
      </c>
      <c r="T115" s="4">
        <v>41</v>
      </c>
      <c r="U115" s="4">
        <v>79</v>
      </c>
      <c r="V115" s="6">
        <f>IF(ISERROR(VLOOKUP($S$115,'TAR FIN'!$A$1:$O$88,15,0)),0,VLOOKUP($S$115,'TAR FIN'!$A$1:$O$88,15,0))</f>
        <v>0</v>
      </c>
      <c r="W115" s="6">
        <f>IF(ISERROR(VLOOKUP($T$115,'TAR FIN'!$A$1:$O$88,15,0)),0,VLOOKUP($T$115,'TAR FIN'!$A$1:$O$88,15,0))</f>
        <v>195.8</v>
      </c>
      <c r="X115" s="6">
        <f>IF(ISERROR(VLOOKUP($U$115,'TAR FIN'!$A$1:$O$88,15,0)),0,VLOOKUP($U$115,'TAR FIN'!$A$1:$O$88,15,0))</f>
        <v>288.89999999999998</v>
      </c>
      <c r="Y115" s="6"/>
      <c r="Z115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15" s="6">
        <f>('TE BE'!$AB$15+'TE BF'!$AB$15+'TE CVA'!$AB$15)*(1-CUSTOS!$M$37)</f>
        <v>207.63042742196092</v>
      </c>
      <c r="AB115" s="6">
        <f t="shared" si="14"/>
        <v>0</v>
      </c>
      <c r="AC115" s="6">
        <f>(L115-M115)*(W115+X115)+($W$111+$X$111-$W$115-$X$115)*(L115)</f>
        <v>0</v>
      </c>
      <c r="AD115" s="6">
        <f t="shared" si="15"/>
        <v>0</v>
      </c>
      <c r="AE115" s="6">
        <f ca="1">(L115-M115)*(Z115+AA115)+($Z$111+$AA$111-$Z$115-$AA$115)*(L115)</f>
        <v>0</v>
      </c>
      <c r="AF115" s="4" t="s">
        <v>736</v>
      </c>
    </row>
    <row r="116" spans="1:32" ht="11.25" customHeight="1" x14ac:dyDescent="0.25">
      <c r="A116" s="4" t="s">
        <v>21</v>
      </c>
      <c r="B116" s="4" t="s">
        <v>22</v>
      </c>
      <c r="C116" s="4" t="s">
        <v>23</v>
      </c>
      <c r="D116" s="4" t="s">
        <v>24</v>
      </c>
      <c r="E116" s="4" t="s">
        <v>31</v>
      </c>
      <c r="F116" s="4" t="s">
        <v>25</v>
      </c>
      <c r="G116" s="4" t="s">
        <v>25</v>
      </c>
      <c r="H116" s="4" t="s">
        <v>25</v>
      </c>
      <c r="I116" s="5">
        <v>44562</v>
      </c>
      <c r="J116" s="6">
        <v>0</v>
      </c>
      <c r="K116" s="6">
        <v>0</v>
      </c>
      <c r="L116" s="6">
        <v>1.925</v>
      </c>
      <c r="M116" s="6">
        <v>1.925</v>
      </c>
      <c r="N116" s="6">
        <v>1.925</v>
      </c>
      <c r="O116" s="6">
        <v>1.925</v>
      </c>
      <c r="P116" s="6">
        <v>34</v>
      </c>
      <c r="Q116" s="4" t="s">
        <v>26</v>
      </c>
      <c r="R116" s="4">
        <v>0</v>
      </c>
      <c r="S116" s="4">
        <v>0</v>
      </c>
      <c r="T116" s="4">
        <v>41</v>
      </c>
      <c r="U116" s="4">
        <v>79</v>
      </c>
      <c r="V116" s="6">
        <f>IF(ISERROR(VLOOKUP($S$116,'TAR FIN'!$A$1:$O$88,15,0)),0,VLOOKUP($S$116,'TAR FIN'!$A$1:$O$88,15,0))</f>
        <v>0</v>
      </c>
      <c r="W116" s="6">
        <f>IF(ISERROR(VLOOKUP($T$116,'TAR FIN'!$A$1:$O$88,15,0)),0,VLOOKUP($T$116,'TAR FIN'!$A$1:$O$88,15,0))</f>
        <v>195.8</v>
      </c>
      <c r="X116" s="6">
        <f>IF(ISERROR(VLOOKUP($U$116,'TAR FIN'!$A$1:$O$88,15,0)),0,VLOOKUP($U$116,'TAR FIN'!$A$1:$O$88,15,0))</f>
        <v>288.89999999999998</v>
      </c>
      <c r="Y116" s="6"/>
      <c r="Z116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16" s="6">
        <f>('TE BE'!$AB$15+'TE BF'!$AB$15+'TE CVA'!$AB$15)*(1-CUSTOS!$M$37)</f>
        <v>207.63042742196092</v>
      </c>
      <c r="AB116" s="6">
        <f t="shared" si="14"/>
        <v>0</v>
      </c>
      <c r="AC116" s="6">
        <f>(L116-M116)*(W116+X116)+($W$111+$X$111-$W$116-$X$116)*(L116)</f>
        <v>0</v>
      </c>
      <c r="AD116" s="6">
        <f t="shared" si="15"/>
        <v>0</v>
      </c>
      <c r="AE116" s="6">
        <f ca="1">(L116-M116)*(Z116+AA116)+($Z$111+$AA$111-$Z$116-$AA$116)*(L116)</f>
        <v>0</v>
      </c>
      <c r="AF116" s="4" t="s">
        <v>736</v>
      </c>
    </row>
    <row r="117" spans="1:32" ht="11.25" customHeight="1" x14ac:dyDescent="0.25">
      <c r="A117" s="4" t="s">
        <v>21</v>
      </c>
      <c r="B117" s="4" t="s">
        <v>22</v>
      </c>
      <c r="C117" s="4" t="s">
        <v>23</v>
      </c>
      <c r="D117" s="4" t="s">
        <v>24</v>
      </c>
      <c r="E117" s="4" t="s">
        <v>31</v>
      </c>
      <c r="F117" s="4" t="s">
        <v>25</v>
      </c>
      <c r="G117" s="4" t="s">
        <v>25</v>
      </c>
      <c r="H117" s="4" t="s">
        <v>25</v>
      </c>
      <c r="I117" s="5">
        <v>44593</v>
      </c>
      <c r="J117" s="6">
        <v>0</v>
      </c>
      <c r="K117" s="6">
        <v>0</v>
      </c>
      <c r="L117" s="6">
        <v>1.6319999999999999</v>
      </c>
      <c r="M117" s="6">
        <v>1.6319999999999999</v>
      </c>
      <c r="N117" s="6">
        <v>1.6319999999999999</v>
      </c>
      <c r="O117" s="6">
        <v>1.6319999999999999</v>
      </c>
      <c r="P117" s="6">
        <v>23</v>
      </c>
      <c r="Q117" s="4" t="s">
        <v>26</v>
      </c>
      <c r="R117" s="4">
        <v>0</v>
      </c>
      <c r="S117" s="4">
        <v>0</v>
      </c>
      <c r="T117" s="4">
        <v>41</v>
      </c>
      <c r="U117" s="4">
        <v>79</v>
      </c>
      <c r="V117" s="6">
        <f>IF(ISERROR(VLOOKUP($S$117,'TAR FIN'!$A$1:$O$88,15,0)),0,VLOOKUP($S$117,'TAR FIN'!$A$1:$O$88,15,0))</f>
        <v>0</v>
      </c>
      <c r="W117" s="6">
        <f>IF(ISERROR(VLOOKUP($T$117,'TAR FIN'!$A$1:$O$88,15,0)),0,VLOOKUP($T$117,'TAR FIN'!$A$1:$O$88,15,0))</f>
        <v>195.8</v>
      </c>
      <c r="X117" s="6">
        <f>IF(ISERROR(VLOOKUP($U$117,'TAR FIN'!$A$1:$O$88,15,0)),0,VLOOKUP($U$117,'TAR FIN'!$A$1:$O$88,15,0))</f>
        <v>288.89999999999998</v>
      </c>
      <c r="Y117" s="6"/>
      <c r="Z117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17" s="6">
        <f>('TE BE'!$AB$15+'TE BF'!$AB$15+'TE CVA'!$AB$15)*(1-CUSTOS!$M$37)</f>
        <v>207.63042742196092</v>
      </c>
      <c r="AB117" s="6">
        <f t="shared" si="14"/>
        <v>0</v>
      </c>
      <c r="AC117" s="6">
        <f>(L117-M117)*(W117+X117)+($W$111+$X$111-$W$117-$X$117)*(L117)</f>
        <v>0</v>
      </c>
      <c r="AD117" s="6">
        <f t="shared" si="15"/>
        <v>0</v>
      </c>
      <c r="AE117" s="6">
        <f ca="1">(L117-M117)*(Z117+AA117)+($Z$111+$AA$111-$Z$117-$AA$117)*(L117)</f>
        <v>0</v>
      </c>
      <c r="AF117" s="4" t="s">
        <v>736</v>
      </c>
    </row>
    <row r="118" spans="1:32" ht="11.25" customHeight="1" x14ac:dyDescent="0.25">
      <c r="A118" s="4" t="s">
        <v>21</v>
      </c>
      <c r="B118" s="4" t="s">
        <v>22</v>
      </c>
      <c r="C118" s="4" t="s">
        <v>23</v>
      </c>
      <c r="D118" s="4" t="s">
        <v>24</v>
      </c>
      <c r="E118" s="4" t="s">
        <v>31</v>
      </c>
      <c r="F118" s="4" t="s">
        <v>25</v>
      </c>
      <c r="G118" s="4" t="s">
        <v>25</v>
      </c>
      <c r="H118" s="4" t="s">
        <v>25</v>
      </c>
      <c r="I118" s="5">
        <v>44621</v>
      </c>
      <c r="J118" s="6">
        <v>0</v>
      </c>
      <c r="K118" s="6">
        <v>0</v>
      </c>
      <c r="L118" s="6">
        <v>2.0339999999999998</v>
      </c>
      <c r="M118" s="6">
        <v>2.0339999999999998</v>
      </c>
      <c r="N118" s="6">
        <v>2.0339999999999998</v>
      </c>
      <c r="O118" s="6">
        <v>2.0339999999999998</v>
      </c>
      <c r="P118" s="6">
        <v>30</v>
      </c>
      <c r="Q118" s="4" t="s">
        <v>26</v>
      </c>
      <c r="R118" s="4">
        <v>0</v>
      </c>
      <c r="S118" s="4">
        <v>0</v>
      </c>
      <c r="T118" s="4">
        <v>41</v>
      </c>
      <c r="U118" s="4">
        <v>79</v>
      </c>
      <c r="V118" s="6">
        <f>IF(ISERROR(VLOOKUP($S$118,'TAR FIN'!$A$1:$O$88,15,0)),0,VLOOKUP($S$118,'TAR FIN'!$A$1:$O$88,15,0))</f>
        <v>0</v>
      </c>
      <c r="W118" s="6">
        <f>IF(ISERROR(VLOOKUP($T$118,'TAR FIN'!$A$1:$O$88,15,0)),0,VLOOKUP($T$118,'TAR FIN'!$A$1:$O$88,15,0))</f>
        <v>195.8</v>
      </c>
      <c r="X118" s="6">
        <f>IF(ISERROR(VLOOKUP($U$118,'TAR FIN'!$A$1:$O$88,15,0)),0,VLOOKUP($U$118,'TAR FIN'!$A$1:$O$88,15,0))</f>
        <v>288.89999999999998</v>
      </c>
      <c r="Y118" s="6"/>
      <c r="Z118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18" s="6">
        <f>('TE BE'!$AB$15+'TE BF'!$AB$15+'TE CVA'!$AB$15)*(1-CUSTOS!$M$37)</f>
        <v>207.63042742196092</v>
      </c>
      <c r="AB118" s="6">
        <f t="shared" si="14"/>
        <v>0</v>
      </c>
      <c r="AC118" s="6">
        <f>(L118-M118)*(W118+X118)+($W$111+$X$111-$W$118-$X$118)*(L118)</f>
        <v>0</v>
      </c>
      <c r="AD118" s="6">
        <f t="shared" si="15"/>
        <v>0</v>
      </c>
      <c r="AE118" s="6">
        <f ca="1">(L118-M118)*(Z118+AA118)+($Z$111+$AA$111-$Z$118-$AA$118)*(L118)</f>
        <v>0</v>
      </c>
      <c r="AF118" s="4" t="s">
        <v>736</v>
      </c>
    </row>
    <row r="119" spans="1:32" ht="11.25" customHeight="1" x14ac:dyDescent="0.25">
      <c r="A119" s="4" t="s">
        <v>21</v>
      </c>
      <c r="B119" s="4" t="s">
        <v>22</v>
      </c>
      <c r="C119" s="4" t="s">
        <v>23</v>
      </c>
      <c r="D119" s="4" t="s">
        <v>24</v>
      </c>
      <c r="E119" s="4" t="s">
        <v>31</v>
      </c>
      <c r="F119" s="4" t="s">
        <v>25</v>
      </c>
      <c r="G119" s="4" t="s">
        <v>25</v>
      </c>
      <c r="H119" s="4" t="s">
        <v>25</v>
      </c>
      <c r="I119" s="5">
        <v>44652</v>
      </c>
      <c r="J119" s="6">
        <v>0</v>
      </c>
      <c r="K119" s="6">
        <v>0</v>
      </c>
      <c r="L119" s="6">
        <v>0.96599999999999997</v>
      </c>
      <c r="M119" s="6">
        <v>0.96599999999999997</v>
      </c>
      <c r="N119" s="6">
        <v>0.96599999999999997</v>
      </c>
      <c r="O119" s="6">
        <v>0.96599999999999997</v>
      </c>
      <c r="P119" s="6">
        <v>22</v>
      </c>
      <c r="Q119" s="4" t="s">
        <v>26</v>
      </c>
      <c r="R119" s="4">
        <v>0</v>
      </c>
      <c r="S119" s="4">
        <v>0</v>
      </c>
      <c r="T119" s="4">
        <v>41</v>
      </c>
      <c r="U119" s="4">
        <v>79</v>
      </c>
      <c r="V119" s="6">
        <f>IF(ISERROR(VLOOKUP($S$119,'TAR FIN'!$A$1:$O$88,15,0)),0,VLOOKUP($S$119,'TAR FIN'!$A$1:$O$88,15,0))</f>
        <v>0</v>
      </c>
      <c r="W119" s="6">
        <f>IF(ISERROR(VLOOKUP($T$119,'TAR FIN'!$A$1:$O$88,15,0)),0,VLOOKUP($T$119,'TAR FIN'!$A$1:$O$88,15,0))</f>
        <v>195.8</v>
      </c>
      <c r="X119" s="6">
        <f>IF(ISERROR(VLOOKUP($U$119,'TAR FIN'!$A$1:$O$88,15,0)),0,VLOOKUP($U$119,'TAR FIN'!$A$1:$O$88,15,0))</f>
        <v>288.89999999999998</v>
      </c>
      <c r="Y119" s="6"/>
      <c r="Z119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19" s="6">
        <f>('TE BE'!$AB$15+'TE BF'!$AB$15+'TE CVA'!$AB$15)*(1-CUSTOS!$M$37)</f>
        <v>207.63042742196092</v>
      </c>
      <c r="AB119" s="6">
        <f t="shared" si="14"/>
        <v>0</v>
      </c>
      <c r="AC119" s="6">
        <f>(L119-M119)*(W119+X119)+($W$111+$X$111-$W$119-$X$119)*(L119)</f>
        <v>0</v>
      </c>
      <c r="AD119" s="6">
        <f t="shared" si="15"/>
        <v>0</v>
      </c>
      <c r="AE119" s="6">
        <f ca="1">(L119-M119)*(Z119+AA119)+($Z$111+$AA$111-$Z$119-$AA$119)*(L119)</f>
        <v>0</v>
      </c>
      <c r="AF119" s="4" t="s">
        <v>736</v>
      </c>
    </row>
    <row r="120" spans="1:32" ht="11.25" customHeight="1" x14ac:dyDescent="0.25">
      <c r="A120" s="4" t="s">
        <v>21</v>
      </c>
      <c r="B120" s="4" t="s">
        <v>22</v>
      </c>
      <c r="C120" s="4" t="s">
        <v>23</v>
      </c>
      <c r="D120" s="4" t="s">
        <v>24</v>
      </c>
      <c r="E120" s="4" t="s">
        <v>31</v>
      </c>
      <c r="F120" s="4" t="s">
        <v>25</v>
      </c>
      <c r="G120" s="4" t="s">
        <v>25</v>
      </c>
      <c r="H120" s="4" t="s">
        <v>25</v>
      </c>
      <c r="I120" s="5">
        <v>44682</v>
      </c>
      <c r="J120" s="6">
        <v>0</v>
      </c>
      <c r="K120" s="6">
        <v>0</v>
      </c>
      <c r="L120" s="6">
        <v>1.1439999999999999</v>
      </c>
      <c r="M120" s="6">
        <v>1.1439999999999999</v>
      </c>
      <c r="N120" s="6">
        <v>1.1439999999999999</v>
      </c>
      <c r="O120" s="6">
        <v>1.1439999999999999</v>
      </c>
      <c r="P120" s="6">
        <v>15</v>
      </c>
      <c r="Q120" s="4" t="s">
        <v>26</v>
      </c>
      <c r="R120" s="4">
        <v>0</v>
      </c>
      <c r="S120" s="4">
        <v>0</v>
      </c>
      <c r="T120" s="4">
        <v>41</v>
      </c>
      <c r="U120" s="4">
        <v>79</v>
      </c>
      <c r="V120" s="6">
        <f>IF(ISERROR(VLOOKUP($S$120,'TAR FIN'!$A$1:$O$88,15,0)),0,VLOOKUP($S$120,'TAR FIN'!$A$1:$O$88,15,0))</f>
        <v>0</v>
      </c>
      <c r="W120" s="6">
        <f>IF(ISERROR(VLOOKUP($T$120,'TAR FIN'!$A$1:$O$88,15,0)),0,VLOOKUP($T$120,'TAR FIN'!$A$1:$O$88,15,0))</f>
        <v>195.8</v>
      </c>
      <c r="X120" s="6">
        <f>IF(ISERROR(VLOOKUP($U$120,'TAR FIN'!$A$1:$O$88,15,0)),0,VLOOKUP($U$120,'TAR FIN'!$A$1:$O$88,15,0))</f>
        <v>288.89999999999998</v>
      </c>
      <c r="Y120" s="6"/>
      <c r="Z120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20" s="6">
        <f>('TE BE'!$AB$15+'TE BF'!$AB$15+'TE CVA'!$AB$15)*(1-CUSTOS!$M$37)</f>
        <v>207.63042742196092</v>
      </c>
      <c r="AB120" s="6">
        <f t="shared" si="14"/>
        <v>0</v>
      </c>
      <c r="AC120" s="6">
        <f>(L120-M120)*(W120+X120)+($W$111+$X$111-$W$120-$X$120)*(L120)</f>
        <v>0</v>
      </c>
      <c r="AD120" s="6">
        <f t="shared" si="15"/>
        <v>0</v>
      </c>
      <c r="AE120" s="6">
        <f ca="1">(L120-M120)*(Z120+AA120)+($Z$111+$AA$111-$Z$120-$AA$120)*(L120)</f>
        <v>0</v>
      </c>
      <c r="AF120" s="4" t="s">
        <v>736</v>
      </c>
    </row>
    <row r="121" spans="1:32" ht="11.25" customHeight="1" x14ac:dyDescent="0.25">
      <c r="A121" s="4" t="s">
        <v>21</v>
      </c>
      <c r="B121" s="4" t="s">
        <v>22</v>
      </c>
      <c r="C121" s="4" t="s">
        <v>23</v>
      </c>
      <c r="D121" s="4" t="s">
        <v>24</v>
      </c>
      <c r="E121" s="4" t="s">
        <v>31</v>
      </c>
      <c r="F121" s="4" t="s">
        <v>25</v>
      </c>
      <c r="G121" s="4" t="s">
        <v>25</v>
      </c>
      <c r="H121" s="4" t="s">
        <v>25</v>
      </c>
      <c r="I121" s="5">
        <v>44713</v>
      </c>
      <c r="J121" s="6">
        <v>0</v>
      </c>
      <c r="K121" s="6">
        <v>0</v>
      </c>
      <c r="L121" s="6">
        <v>1.573</v>
      </c>
      <c r="M121" s="6">
        <v>1.573</v>
      </c>
      <c r="N121" s="6">
        <v>1.573</v>
      </c>
      <c r="O121" s="6">
        <v>1.573</v>
      </c>
      <c r="P121" s="6">
        <v>26</v>
      </c>
      <c r="Q121" s="4" t="s">
        <v>26</v>
      </c>
      <c r="R121" s="4">
        <v>0</v>
      </c>
      <c r="S121" s="4">
        <v>0</v>
      </c>
      <c r="T121" s="4">
        <v>41</v>
      </c>
      <c r="U121" s="4">
        <v>79</v>
      </c>
      <c r="V121" s="6">
        <f>IF(ISERROR(VLOOKUP($S$121,'TAR FIN'!$A$1:$O$88,15,0)),0,VLOOKUP($S$121,'TAR FIN'!$A$1:$O$88,15,0))</f>
        <v>0</v>
      </c>
      <c r="W121" s="6">
        <f>IF(ISERROR(VLOOKUP($T$121,'TAR FIN'!$A$1:$O$88,15,0)),0,VLOOKUP($T$121,'TAR FIN'!$A$1:$O$88,15,0))</f>
        <v>195.8</v>
      </c>
      <c r="X121" s="6">
        <f>IF(ISERROR(VLOOKUP($U$121,'TAR FIN'!$A$1:$O$88,15,0)),0,VLOOKUP($U$121,'TAR FIN'!$A$1:$O$88,15,0))</f>
        <v>288.89999999999998</v>
      </c>
      <c r="Y121" s="6"/>
      <c r="Z121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21" s="6">
        <f>('TE BE'!$AB$15+'TE BF'!$AB$15+'TE CVA'!$AB$15)*(1-CUSTOS!$M$37)</f>
        <v>207.63042742196092</v>
      </c>
      <c r="AB121" s="6">
        <f t="shared" si="14"/>
        <v>0</v>
      </c>
      <c r="AC121" s="6">
        <f>(L121-M121)*(W121+X121)+($W$111+$X$111-$W$121-$X$121)*(L121)</f>
        <v>0</v>
      </c>
      <c r="AD121" s="6">
        <f t="shared" si="15"/>
        <v>0</v>
      </c>
      <c r="AE121" s="6">
        <f ca="1">(L121-M121)*(Z121+AA121)+($Z$111+$AA$111-$Z$121-$AA$121)*(L121)</f>
        <v>0</v>
      </c>
      <c r="AF121" s="4" t="s">
        <v>736</v>
      </c>
    </row>
    <row r="122" spans="1:32" ht="11.25" customHeight="1" x14ac:dyDescent="0.25">
      <c r="A122" s="4" t="s">
        <v>55</v>
      </c>
      <c r="B122" s="4" t="s">
        <v>22</v>
      </c>
      <c r="C122" s="4" t="s">
        <v>23</v>
      </c>
      <c r="D122" s="4" t="s">
        <v>24</v>
      </c>
      <c r="E122" s="4" t="s">
        <v>31</v>
      </c>
      <c r="F122" s="4" t="s">
        <v>25</v>
      </c>
      <c r="G122" s="4" t="s">
        <v>25</v>
      </c>
      <c r="H122" s="4" t="s">
        <v>25</v>
      </c>
      <c r="I122" s="5">
        <v>44743</v>
      </c>
      <c r="J122" s="6">
        <v>0</v>
      </c>
      <c r="K122" s="6">
        <v>0</v>
      </c>
      <c r="L122" s="6">
        <v>1.573</v>
      </c>
      <c r="M122" s="6">
        <v>1.573</v>
      </c>
      <c r="N122" s="6">
        <v>1.573</v>
      </c>
      <c r="O122" s="6">
        <v>1.573</v>
      </c>
      <c r="P122" s="6">
        <v>26</v>
      </c>
      <c r="Q122" s="4" t="s">
        <v>26</v>
      </c>
      <c r="R122" s="4">
        <v>0</v>
      </c>
      <c r="S122" s="4">
        <v>0</v>
      </c>
      <c r="T122" s="4">
        <v>41</v>
      </c>
      <c r="U122" s="4">
        <v>79</v>
      </c>
      <c r="V122" s="6">
        <f>IF(ISERROR(VLOOKUP($S$122,'TAR FIN'!$A$1:$O$88,15,0)),0,VLOOKUP($S$122,'TAR FIN'!$A$1:$O$88,15,0))</f>
        <v>0</v>
      </c>
      <c r="W122" s="6">
        <f>IF(ISERROR(VLOOKUP($T$122,'TAR FIN'!$A$1:$O$88,15,0)),0,VLOOKUP($T$122,'TAR FIN'!$A$1:$O$88,15,0))</f>
        <v>195.8</v>
      </c>
      <c r="X122" s="6">
        <f>IF(ISERROR(VLOOKUP($U$122,'TAR FIN'!$A$1:$O$88,15,0)),0,VLOOKUP($U$122,'TAR FIN'!$A$1:$O$88,15,0))</f>
        <v>288.89999999999998</v>
      </c>
      <c r="Y122" s="6"/>
      <c r="Z122" s="6">
        <f ca="1">('TUSD BE'!$AM$24+'TUSD BF'!$AM$24+'TUSD CVA'!$AM$24-('TUSD BE'!$P$24+'TUSD BF'!$P$24+'TUSD CVA'!$P$24)-('TUSD BE'!$Q$24+'TUSD BF'!$Q$24+'TUSD CVA'!$Q$24)-('TUSD BE'!$R$24+'TUSD BF'!$R$24+'TUSD CVA'!$R$24))*(1-CUSTOS!$M$37)</f>
        <v>258.66848302259052</v>
      </c>
      <c r="AA122" s="6">
        <f>('TE BE'!$AB$15+'TE BF'!$AB$15+'TE CVA'!$AB$15)*(1-CUSTOS!$M$37)</f>
        <v>207.63042742196092</v>
      </c>
      <c r="AB122" s="6">
        <f t="shared" si="14"/>
        <v>0</v>
      </c>
      <c r="AC122" s="6">
        <f>(L122-M122)*(W122+X122)+($W$111+$X$111-$W$122-$X$122)*(L122)</f>
        <v>0</v>
      </c>
      <c r="AD122" s="6">
        <f t="shared" si="15"/>
        <v>0</v>
      </c>
      <c r="AE122" s="6">
        <f ca="1">(L122-M122)*(Z122+AA122)+($Z$111+$AA$111-$Z$122-$AA$122)*(L122)</f>
        <v>0</v>
      </c>
      <c r="AF122" s="4" t="s">
        <v>736</v>
      </c>
    </row>
    <row r="123" spans="1:32" ht="11.25" customHeight="1" x14ac:dyDescent="0.25">
      <c r="A123" s="4" t="s">
        <v>21</v>
      </c>
      <c r="B123" s="4" t="s">
        <v>41</v>
      </c>
      <c r="C123" s="4" t="s">
        <v>23</v>
      </c>
      <c r="D123" s="4" t="s">
        <v>42</v>
      </c>
      <c r="E123" s="4" t="s">
        <v>50</v>
      </c>
      <c r="F123" s="4" t="s">
        <v>51</v>
      </c>
      <c r="G123" s="4" t="s">
        <v>25</v>
      </c>
      <c r="H123" s="4" t="s">
        <v>25</v>
      </c>
      <c r="I123" s="5">
        <v>44409</v>
      </c>
      <c r="J123" s="6">
        <v>0</v>
      </c>
      <c r="K123" s="6">
        <v>0</v>
      </c>
      <c r="L123" s="6">
        <v>0.25800000000000001</v>
      </c>
      <c r="M123" s="6">
        <v>0.25800000000000001</v>
      </c>
      <c r="N123" s="6">
        <v>0.25800000000000001</v>
      </c>
      <c r="O123" s="6">
        <v>0.25800000000000001</v>
      </c>
      <c r="P123" s="6">
        <v>0</v>
      </c>
      <c r="Q123" s="4" t="s">
        <v>26</v>
      </c>
      <c r="R123" s="4">
        <v>0</v>
      </c>
      <c r="S123" s="4">
        <v>0</v>
      </c>
      <c r="T123" s="4">
        <v>50</v>
      </c>
      <c r="U123" s="4">
        <v>1</v>
      </c>
      <c r="V123" s="6">
        <f>IF(ISERROR(VLOOKUP($S$123,'TAR FIN'!$A$1:$O$88,15,0)),0,VLOOKUP($S$123,'TAR FIN'!$A$1:$O$88,15,0))</f>
        <v>0</v>
      </c>
      <c r="W123" s="6">
        <f>IF(ISERROR(VLOOKUP($T$123,'TAR FIN'!$A$1:$O$88,15,0)),0,VLOOKUP($T$123,'TAR FIN'!$A$1:$O$88,15,0))</f>
        <v>237.52</v>
      </c>
      <c r="X123" s="6">
        <f>IF(ISERROR(VLOOKUP($U$123,'TAR FIN'!$A$1:$O$88,15,0)),0,VLOOKUP($U$123,'TAR FIN'!$A$1:$O$88,15,0))</f>
        <v>254.23</v>
      </c>
      <c r="Y123" s="6"/>
      <c r="Z123" s="6">
        <f ca="1">('TUSD BE'!$AM$33+'TUSD BF'!$AM$33+'TUSD CVA'!$AM$33)*(1-CUSTOS!$M$38)</f>
        <v>329.38655465139976</v>
      </c>
      <c r="AA123" s="6">
        <f>('TE BE'!$AB$24+'TE BF'!$AB$24+'TE CVA'!$AB$24)*(1-CUSTOS!$M$38)</f>
        <v>195.17260177664326</v>
      </c>
      <c r="AB123" s="6">
        <f t="shared" si="14"/>
        <v>0</v>
      </c>
      <c r="AC123" s="6">
        <f>(L123-M123)*(W123+X123)+($W$74+$X$74-$W$123-$X$123)*(L123)</f>
        <v>17.301479999999994</v>
      </c>
      <c r="AD123" s="6">
        <f t="shared" si="15"/>
        <v>0</v>
      </c>
      <c r="AE123" s="6">
        <f ca="1">(L123-M123)*(Z123+AA123)+($Z$74+$AA$74-$Z$123-$AA$123)*(L123)</f>
        <v>8.6384848313894746</v>
      </c>
      <c r="AF123" s="4" t="s">
        <v>737</v>
      </c>
    </row>
    <row r="124" spans="1:32" ht="11.25" customHeight="1" x14ac:dyDescent="0.25">
      <c r="A124" s="4" t="s">
        <v>21</v>
      </c>
      <c r="B124" s="4" t="s">
        <v>41</v>
      </c>
      <c r="C124" s="4" t="s">
        <v>23</v>
      </c>
      <c r="D124" s="4" t="s">
        <v>42</v>
      </c>
      <c r="E124" s="4" t="s">
        <v>50</v>
      </c>
      <c r="F124" s="4" t="s">
        <v>51</v>
      </c>
      <c r="G124" s="4" t="s">
        <v>25</v>
      </c>
      <c r="H124" s="4" t="s">
        <v>25</v>
      </c>
      <c r="I124" s="5">
        <v>44440</v>
      </c>
      <c r="J124" s="6">
        <v>0</v>
      </c>
      <c r="K124" s="6">
        <v>0</v>
      </c>
      <c r="L124" s="6">
        <v>0.254</v>
      </c>
      <c r="M124" s="6">
        <v>0.254</v>
      </c>
      <c r="N124" s="6">
        <v>0.254</v>
      </c>
      <c r="O124" s="6">
        <v>0.254</v>
      </c>
      <c r="P124" s="6">
        <v>0</v>
      </c>
      <c r="Q124" s="4" t="s">
        <v>26</v>
      </c>
      <c r="R124" s="4">
        <v>0</v>
      </c>
      <c r="S124" s="4">
        <v>0</v>
      </c>
      <c r="T124" s="4">
        <v>50</v>
      </c>
      <c r="U124" s="4">
        <v>1</v>
      </c>
      <c r="V124" s="6">
        <f>IF(ISERROR(VLOOKUP($S$124,'TAR FIN'!$A$1:$O$88,15,0)),0,VLOOKUP($S$124,'TAR FIN'!$A$1:$O$88,15,0))</f>
        <v>0</v>
      </c>
      <c r="W124" s="6">
        <f>IF(ISERROR(VLOOKUP($T$124,'TAR FIN'!$A$1:$O$88,15,0)),0,VLOOKUP($T$124,'TAR FIN'!$A$1:$O$88,15,0))</f>
        <v>237.52</v>
      </c>
      <c r="X124" s="6">
        <f>IF(ISERROR(VLOOKUP($U$124,'TAR FIN'!$A$1:$O$88,15,0)),0,VLOOKUP($U$124,'TAR FIN'!$A$1:$O$88,15,0))</f>
        <v>254.23</v>
      </c>
      <c r="Y124" s="6"/>
      <c r="Z124" s="6">
        <f ca="1">('TUSD BE'!$AM$33+'TUSD BF'!$AM$33+'TUSD CVA'!$AM$33)*(1-CUSTOS!$M$38)</f>
        <v>329.38655465139976</v>
      </c>
      <c r="AA124" s="6">
        <f>('TE BE'!$AB$24+'TE BF'!$AB$24+'TE CVA'!$AB$24)*(1-CUSTOS!$M$38)</f>
        <v>195.17260177664326</v>
      </c>
      <c r="AB124" s="6">
        <f t="shared" si="14"/>
        <v>0</v>
      </c>
      <c r="AC124" s="6">
        <f>(L124-M124)*(W124+X124)+($W$74+$X$74-$W$124-$X$124)*(L124)</f>
        <v>17.033239999999992</v>
      </c>
      <c r="AD124" s="6">
        <f t="shared" si="15"/>
        <v>0</v>
      </c>
      <c r="AE124" s="6">
        <f ca="1">(L124-M124)*(Z124+AA124)+($Z$74+$AA$74-$Z$124-$AA$124)*(L124)</f>
        <v>8.5045548340035921</v>
      </c>
      <c r="AF124" s="4" t="s">
        <v>737</v>
      </c>
    </row>
    <row r="125" spans="1:32" ht="11.25" customHeight="1" x14ac:dyDescent="0.25">
      <c r="A125" s="4" t="s">
        <v>21</v>
      </c>
      <c r="B125" s="4" t="s">
        <v>41</v>
      </c>
      <c r="C125" s="4" t="s">
        <v>23</v>
      </c>
      <c r="D125" s="4" t="s">
        <v>42</v>
      </c>
      <c r="E125" s="4" t="s">
        <v>50</v>
      </c>
      <c r="F125" s="4" t="s">
        <v>51</v>
      </c>
      <c r="G125" s="4" t="s">
        <v>25</v>
      </c>
      <c r="H125" s="4" t="s">
        <v>25</v>
      </c>
      <c r="I125" s="5">
        <v>44470</v>
      </c>
      <c r="J125" s="6">
        <v>0</v>
      </c>
      <c r="K125" s="6">
        <v>0</v>
      </c>
      <c r="L125" s="6">
        <v>0.224</v>
      </c>
      <c r="M125" s="6">
        <v>0.224</v>
      </c>
      <c r="N125" s="6">
        <v>0.224</v>
      </c>
      <c r="O125" s="6">
        <v>0.224</v>
      </c>
      <c r="P125" s="6">
        <v>0</v>
      </c>
      <c r="Q125" s="4" t="s">
        <v>26</v>
      </c>
      <c r="R125" s="4">
        <v>0</v>
      </c>
      <c r="S125" s="4">
        <v>0</v>
      </c>
      <c r="T125" s="4">
        <v>50</v>
      </c>
      <c r="U125" s="4">
        <v>1</v>
      </c>
      <c r="V125" s="6">
        <f>IF(ISERROR(VLOOKUP($S$125,'TAR FIN'!$A$1:$O$88,15,0)),0,VLOOKUP($S$125,'TAR FIN'!$A$1:$O$88,15,0))</f>
        <v>0</v>
      </c>
      <c r="W125" s="6">
        <f>IF(ISERROR(VLOOKUP($T$125,'TAR FIN'!$A$1:$O$88,15,0)),0,VLOOKUP($T$125,'TAR FIN'!$A$1:$O$88,15,0))</f>
        <v>237.52</v>
      </c>
      <c r="X125" s="6">
        <f>IF(ISERROR(VLOOKUP($U$125,'TAR FIN'!$A$1:$O$88,15,0)),0,VLOOKUP($U$125,'TAR FIN'!$A$1:$O$88,15,0))</f>
        <v>254.23</v>
      </c>
      <c r="Y125" s="6"/>
      <c r="Z125" s="6">
        <f ca="1">('TUSD BE'!$AM$33+'TUSD BF'!$AM$33+'TUSD CVA'!$AM$33)*(1-CUSTOS!$M$38)</f>
        <v>329.38655465139976</v>
      </c>
      <c r="AA125" s="6">
        <f>('TE BE'!$AB$24+'TE BF'!$AB$24+'TE CVA'!$AB$24)*(1-CUSTOS!$M$38)</f>
        <v>195.17260177664326</v>
      </c>
      <c r="AB125" s="6">
        <f t="shared" si="14"/>
        <v>0</v>
      </c>
      <c r="AC125" s="6">
        <f>(L125-M125)*(W125+X125)+($W$74+$X$74-$W$125-$X$125)*(L125)</f>
        <v>15.021439999999995</v>
      </c>
      <c r="AD125" s="6">
        <f t="shared" si="15"/>
        <v>0</v>
      </c>
      <c r="AE125" s="6">
        <f ca="1">(L125-M125)*(Z125+AA125)+($Z$74+$AA$74-$Z$125-$AA$125)*(L125)</f>
        <v>7.5000798536094662</v>
      </c>
      <c r="AF125" s="4" t="s">
        <v>737</v>
      </c>
    </row>
    <row r="126" spans="1:32" ht="11.25" customHeight="1" x14ac:dyDescent="0.25">
      <c r="A126" s="4" t="s">
        <v>21</v>
      </c>
      <c r="B126" s="4" t="s">
        <v>41</v>
      </c>
      <c r="C126" s="4" t="s">
        <v>23</v>
      </c>
      <c r="D126" s="4" t="s">
        <v>42</v>
      </c>
      <c r="E126" s="4" t="s">
        <v>50</v>
      </c>
      <c r="F126" s="4" t="s">
        <v>51</v>
      </c>
      <c r="G126" s="4" t="s">
        <v>25</v>
      </c>
      <c r="H126" s="4" t="s">
        <v>25</v>
      </c>
      <c r="I126" s="5">
        <v>44501</v>
      </c>
      <c r="J126" s="6">
        <v>0</v>
      </c>
      <c r="K126" s="6">
        <v>0</v>
      </c>
      <c r="L126" s="6">
        <v>0.25800000000000001</v>
      </c>
      <c r="M126" s="6">
        <v>0.25800000000000001</v>
      </c>
      <c r="N126" s="6">
        <v>0.25800000000000001</v>
      </c>
      <c r="O126" s="6">
        <v>0.25800000000000001</v>
      </c>
      <c r="P126" s="6">
        <v>0</v>
      </c>
      <c r="Q126" s="4" t="s">
        <v>26</v>
      </c>
      <c r="R126" s="4">
        <v>0</v>
      </c>
      <c r="S126" s="4">
        <v>0</v>
      </c>
      <c r="T126" s="4">
        <v>50</v>
      </c>
      <c r="U126" s="4">
        <v>1</v>
      </c>
      <c r="V126" s="6">
        <f>IF(ISERROR(VLOOKUP($S$126,'TAR FIN'!$A$1:$O$88,15,0)),0,VLOOKUP($S$126,'TAR FIN'!$A$1:$O$88,15,0))</f>
        <v>0</v>
      </c>
      <c r="W126" s="6">
        <f>IF(ISERROR(VLOOKUP($T$126,'TAR FIN'!$A$1:$O$88,15,0)),0,VLOOKUP($T$126,'TAR FIN'!$A$1:$O$88,15,0))</f>
        <v>237.52</v>
      </c>
      <c r="X126" s="6">
        <f>IF(ISERROR(VLOOKUP($U$126,'TAR FIN'!$A$1:$O$88,15,0)),0,VLOOKUP($U$126,'TAR FIN'!$A$1:$O$88,15,0))</f>
        <v>254.23</v>
      </c>
      <c r="Y126" s="6"/>
      <c r="Z126" s="6">
        <f ca="1">('TUSD BE'!$AM$33+'TUSD BF'!$AM$33+'TUSD CVA'!$AM$33)*(1-CUSTOS!$M$38)</f>
        <v>329.38655465139976</v>
      </c>
      <c r="AA126" s="6">
        <f>('TE BE'!$AB$24+'TE BF'!$AB$24+'TE CVA'!$AB$24)*(1-CUSTOS!$M$38)</f>
        <v>195.17260177664326</v>
      </c>
      <c r="AB126" s="6">
        <f t="shared" si="14"/>
        <v>0</v>
      </c>
      <c r="AC126" s="6">
        <f>(L126-M126)*(W126+X126)+($W$74+$X$74-$W$126-$X$126)*(L126)</f>
        <v>17.301479999999994</v>
      </c>
      <c r="AD126" s="6">
        <f t="shared" si="15"/>
        <v>0</v>
      </c>
      <c r="AE126" s="6">
        <f ca="1">(L126-M126)*(Z126+AA126)+($Z$74+$AA$74-$Z$126-$AA$126)*(L126)</f>
        <v>8.6384848313894746</v>
      </c>
      <c r="AF126" s="4" t="s">
        <v>737</v>
      </c>
    </row>
    <row r="127" spans="1:32" ht="11.25" customHeight="1" x14ac:dyDescent="0.25">
      <c r="A127" s="4" t="s">
        <v>21</v>
      </c>
      <c r="B127" s="4" t="s">
        <v>41</v>
      </c>
      <c r="C127" s="4" t="s">
        <v>23</v>
      </c>
      <c r="D127" s="4" t="s">
        <v>42</v>
      </c>
      <c r="E127" s="4" t="s">
        <v>50</v>
      </c>
      <c r="F127" s="4" t="s">
        <v>51</v>
      </c>
      <c r="G127" s="4" t="s">
        <v>25</v>
      </c>
      <c r="H127" s="4" t="s">
        <v>25</v>
      </c>
      <c r="I127" s="5">
        <v>44531</v>
      </c>
      <c r="J127" s="6">
        <v>0</v>
      </c>
      <c r="K127" s="6">
        <v>0</v>
      </c>
      <c r="L127" s="6">
        <v>0.377</v>
      </c>
      <c r="M127" s="6">
        <v>0.377</v>
      </c>
      <c r="N127" s="6">
        <v>0.377</v>
      </c>
      <c r="O127" s="6">
        <v>0.377</v>
      </c>
      <c r="P127" s="6">
        <v>0</v>
      </c>
      <c r="Q127" s="4" t="s">
        <v>26</v>
      </c>
      <c r="R127" s="4">
        <v>0</v>
      </c>
      <c r="S127" s="4">
        <v>0</v>
      </c>
      <c r="T127" s="4">
        <v>50</v>
      </c>
      <c r="U127" s="4">
        <v>1</v>
      </c>
      <c r="V127" s="6">
        <f>IF(ISERROR(VLOOKUP($S$127,'TAR FIN'!$A$1:$O$88,15,0)),0,VLOOKUP($S$127,'TAR FIN'!$A$1:$O$88,15,0))</f>
        <v>0</v>
      </c>
      <c r="W127" s="6">
        <f>IF(ISERROR(VLOOKUP($T$127,'TAR FIN'!$A$1:$O$88,15,0)),0,VLOOKUP($T$127,'TAR FIN'!$A$1:$O$88,15,0))</f>
        <v>237.52</v>
      </c>
      <c r="X127" s="6">
        <f>IF(ISERROR(VLOOKUP($U$127,'TAR FIN'!$A$1:$O$88,15,0)),0,VLOOKUP($U$127,'TAR FIN'!$A$1:$O$88,15,0))</f>
        <v>254.23</v>
      </c>
      <c r="Y127" s="6"/>
      <c r="Z127" s="6">
        <f ca="1">('TUSD BE'!$AM$33+'TUSD BF'!$AM$33+'TUSD CVA'!$AM$33)*(1-CUSTOS!$M$38)</f>
        <v>329.38655465139976</v>
      </c>
      <c r="AA127" s="6">
        <f>('TE BE'!$AB$24+'TE BF'!$AB$24+'TE CVA'!$AB$24)*(1-CUSTOS!$M$38)</f>
        <v>195.17260177664326</v>
      </c>
      <c r="AB127" s="6">
        <f t="shared" si="14"/>
        <v>0</v>
      </c>
      <c r="AC127" s="6">
        <f>(L127-M127)*(W127+X127)+($W$74+$X$74-$W$127-$X$127)*(L127)</f>
        <v>25.28161999999999</v>
      </c>
      <c r="AD127" s="6">
        <f t="shared" si="15"/>
        <v>0</v>
      </c>
      <c r="AE127" s="6">
        <f ca="1">(L127-M127)*(Z127+AA127)+($Z$74+$AA$74-$Z$127-$AA$127)*(L127)</f>
        <v>12.622902253619504</v>
      </c>
      <c r="AF127" s="4" t="s">
        <v>737</v>
      </c>
    </row>
    <row r="128" spans="1:32" ht="11.25" customHeight="1" x14ac:dyDescent="0.25">
      <c r="A128" s="4" t="s">
        <v>21</v>
      </c>
      <c r="B128" s="4" t="s">
        <v>41</v>
      </c>
      <c r="C128" s="4" t="s">
        <v>23</v>
      </c>
      <c r="D128" s="4" t="s">
        <v>42</v>
      </c>
      <c r="E128" s="4" t="s">
        <v>50</v>
      </c>
      <c r="F128" s="4" t="s">
        <v>51</v>
      </c>
      <c r="G128" s="4" t="s">
        <v>25</v>
      </c>
      <c r="H128" s="4" t="s">
        <v>25</v>
      </c>
      <c r="I128" s="5">
        <v>44562</v>
      </c>
      <c r="J128" s="6">
        <v>0</v>
      </c>
      <c r="K128" s="6">
        <v>0</v>
      </c>
      <c r="L128" s="6">
        <v>0.316</v>
      </c>
      <c r="M128" s="6">
        <v>0.316</v>
      </c>
      <c r="N128" s="6">
        <v>0.316</v>
      </c>
      <c r="O128" s="6">
        <v>0.316</v>
      </c>
      <c r="P128" s="6">
        <v>0</v>
      </c>
      <c r="Q128" s="4" t="s">
        <v>26</v>
      </c>
      <c r="R128" s="4">
        <v>0</v>
      </c>
      <c r="S128" s="4">
        <v>0</v>
      </c>
      <c r="T128" s="4">
        <v>50</v>
      </c>
      <c r="U128" s="4">
        <v>1</v>
      </c>
      <c r="V128" s="6">
        <f>IF(ISERROR(VLOOKUP($S$128,'TAR FIN'!$A$1:$O$88,15,0)),0,VLOOKUP($S$128,'TAR FIN'!$A$1:$O$88,15,0))</f>
        <v>0</v>
      </c>
      <c r="W128" s="6">
        <f>IF(ISERROR(VLOOKUP($T$128,'TAR FIN'!$A$1:$O$88,15,0)),0,VLOOKUP($T$128,'TAR FIN'!$A$1:$O$88,15,0))</f>
        <v>237.52</v>
      </c>
      <c r="X128" s="6">
        <f>IF(ISERROR(VLOOKUP($U$128,'TAR FIN'!$A$1:$O$88,15,0)),0,VLOOKUP($U$128,'TAR FIN'!$A$1:$O$88,15,0))</f>
        <v>254.23</v>
      </c>
      <c r="Y128" s="6"/>
      <c r="Z128" s="6">
        <f ca="1">('TUSD BE'!$AM$33+'TUSD BF'!$AM$33+'TUSD CVA'!$AM$33)*(1-CUSTOS!$M$38)</f>
        <v>329.38655465139976</v>
      </c>
      <c r="AA128" s="6">
        <f>('TE BE'!$AB$24+'TE BF'!$AB$24+'TE CVA'!$AB$24)*(1-CUSTOS!$M$38)</f>
        <v>195.17260177664326</v>
      </c>
      <c r="AB128" s="6">
        <f t="shared" si="14"/>
        <v>0</v>
      </c>
      <c r="AC128" s="6">
        <f>(L128-M128)*(W128+X128)+($W$74+$X$74-$W$128-$X$128)*(L128)</f>
        <v>21.190959999999993</v>
      </c>
      <c r="AD128" s="6">
        <f t="shared" si="15"/>
        <v>0</v>
      </c>
      <c r="AE128" s="6">
        <f ca="1">(L128-M128)*(Z128+AA128)+($Z$74+$AA$74-$Z$128-$AA$128)*(L128)</f>
        <v>10.580469793484783</v>
      </c>
      <c r="AF128" s="4" t="s">
        <v>737</v>
      </c>
    </row>
    <row r="129" spans="1:32" ht="11.25" customHeight="1" x14ac:dyDescent="0.25">
      <c r="A129" s="4" t="s">
        <v>21</v>
      </c>
      <c r="B129" s="4" t="s">
        <v>41</v>
      </c>
      <c r="C129" s="4" t="s">
        <v>23</v>
      </c>
      <c r="D129" s="4" t="s">
        <v>42</v>
      </c>
      <c r="E129" s="4" t="s">
        <v>50</v>
      </c>
      <c r="F129" s="4" t="s">
        <v>51</v>
      </c>
      <c r="G129" s="4" t="s">
        <v>25</v>
      </c>
      <c r="H129" s="4" t="s">
        <v>25</v>
      </c>
      <c r="I129" s="5">
        <v>44593</v>
      </c>
      <c r="J129" s="6">
        <v>0</v>
      </c>
      <c r="K129" s="6">
        <v>0</v>
      </c>
      <c r="L129" s="6">
        <v>0.61</v>
      </c>
      <c r="M129" s="6">
        <v>0.61</v>
      </c>
      <c r="N129" s="6">
        <v>0.61</v>
      </c>
      <c r="O129" s="6">
        <v>0.61</v>
      </c>
      <c r="P129" s="6">
        <v>0</v>
      </c>
      <c r="Q129" s="4" t="s">
        <v>26</v>
      </c>
      <c r="R129" s="4">
        <v>0</v>
      </c>
      <c r="S129" s="4">
        <v>0</v>
      </c>
      <c r="T129" s="4">
        <v>50</v>
      </c>
      <c r="U129" s="4">
        <v>1</v>
      </c>
      <c r="V129" s="6">
        <f>IF(ISERROR(VLOOKUP($S$129,'TAR FIN'!$A$1:$O$88,15,0)),0,VLOOKUP($S$129,'TAR FIN'!$A$1:$O$88,15,0))</f>
        <v>0</v>
      </c>
      <c r="W129" s="6">
        <f>IF(ISERROR(VLOOKUP($T$129,'TAR FIN'!$A$1:$O$88,15,0)),0,VLOOKUP($T$129,'TAR FIN'!$A$1:$O$88,15,0))</f>
        <v>237.52</v>
      </c>
      <c r="X129" s="6">
        <f>IF(ISERROR(VLOOKUP($U$129,'TAR FIN'!$A$1:$O$88,15,0)),0,VLOOKUP($U$129,'TAR FIN'!$A$1:$O$88,15,0))</f>
        <v>254.23</v>
      </c>
      <c r="Y129" s="6"/>
      <c r="Z129" s="6">
        <f ca="1">('TUSD BE'!$AM$33+'TUSD BF'!$AM$33+'TUSD CVA'!$AM$33)*(1-CUSTOS!$M$38)</f>
        <v>329.38655465139976</v>
      </c>
      <c r="AA129" s="6">
        <f>('TE BE'!$AB$24+'TE BF'!$AB$24+'TE CVA'!$AB$24)*(1-CUSTOS!$M$38)</f>
        <v>195.17260177664326</v>
      </c>
      <c r="AB129" s="6">
        <f t="shared" si="14"/>
        <v>0</v>
      </c>
      <c r="AC129" s="6">
        <f>(L129-M129)*(W129+X129)+($W$74+$X$74-$W$129-$X$129)*(L129)</f>
        <v>40.906599999999983</v>
      </c>
      <c r="AD129" s="6">
        <f t="shared" si="15"/>
        <v>0</v>
      </c>
      <c r="AE129" s="6">
        <f ca="1">(L129-M129)*(Z129+AA129)+($Z$74+$AA$74-$Z$129-$AA$129)*(L129)</f>
        <v>20.424324601347205</v>
      </c>
      <c r="AF129" s="4" t="s">
        <v>737</v>
      </c>
    </row>
    <row r="130" spans="1:32" ht="11.25" customHeight="1" x14ac:dyDescent="0.25">
      <c r="A130" s="4" t="s">
        <v>21</v>
      </c>
      <c r="B130" s="4" t="s">
        <v>41</v>
      </c>
      <c r="C130" s="4" t="s">
        <v>23</v>
      </c>
      <c r="D130" s="4" t="s">
        <v>42</v>
      </c>
      <c r="E130" s="4" t="s">
        <v>50</v>
      </c>
      <c r="F130" s="4" t="s">
        <v>51</v>
      </c>
      <c r="G130" s="4" t="s">
        <v>25</v>
      </c>
      <c r="H130" s="4" t="s">
        <v>25</v>
      </c>
      <c r="I130" s="5">
        <v>44621</v>
      </c>
      <c r="J130" s="6">
        <v>0</v>
      </c>
      <c r="K130" s="6">
        <v>0</v>
      </c>
      <c r="L130" s="6">
        <v>0.22900000000000001</v>
      </c>
      <c r="M130" s="6">
        <v>0.22900000000000001</v>
      </c>
      <c r="N130" s="6">
        <v>0.22900000000000001</v>
      </c>
      <c r="O130" s="6">
        <v>0.22900000000000001</v>
      </c>
      <c r="P130" s="6">
        <v>0</v>
      </c>
      <c r="Q130" s="4" t="s">
        <v>26</v>
      </c>
      <c r="R130" s="4">
        <v>0</v>
      </c>
      <c r="S130" s="4">
        <v>0</v>
      </c>
      <c r="T130" s="4">
        <v>50</v>
      </c>
      <c r="U130" s="4">
        <v>1</v>
      </c>
      <c r="V130" s="6">
        <f>IF(ISERROR(VLOOKUP($S$130,'TAR FIN'!$A$1:$O$88,15,0)),0,VLOOKUP($S$130,'TAR FIN'!$A$1:$O$88,15,0))</f>
        <v>0</v>
      </c>
      <c r="W130" s="6">
        <f>IF(ISERROR(VLOOKUP($T$130,'TAR FIN'!$A$1:$O$88,15,0)),0,VLOOKUP($T$130,'TAR FIN'!$A$1:$O$88,15,0))</f>
        <v>237.52</v>
      </c>
      <c r="X130" s="6">
        <f>IF(ISERROR(VLOOKUP($U$130,'TAR FIN'!$A$1:$O$88,15,0)),0,VLOOKUP($U$130,'TAR FIN'!$A$1:$O$88,15,0))</f>
        <v>254.23</v>
      </c>
      <c r="Y130" s="6"/>
      <c r="Z130" s="6">
        <f ca="1">('TUSD BE'!$AM$33+'TUSD BF'!$AM$33+'TUSD CVA'!$AM$33)*(1-CUSTOS!$M$38)</f>
        <v>329.38655465139976</v>
      </c>
      <c r="AA130" s="6">
        <f>('TE BE'!$AB$24+'TE BF'!$AB$24+'TE CVA'!$AB$24)*(1-CUSTOS!$M$38)</f>
        <v>195.17260177664326</v>
      </c>
      <c r="AB130" s="6">
        <f t="shared" ref="AB130:AB161" si="16">(J130-K130)*V130</f>
        <v>0</v>
      </c>
      <c r="AC130" s="6">
        <f>(L130-M130)*(W130+X130)+($W$74+$X$74-$W$130-$X$130)*(L130)</f>
        <v>15.356739999999995</v>
      </c>
      <c r="AD130" s="6">
        <f t="shared" ref="AD130:AD161" si="17">(J130-K130)*Y130</f>
        <v>0</v>
      </c>
      <c r="AE130" s="6">
        <f ca="1">(L130-M130)*(Z130+AA130)+($Z$74+$AA$74-$Z$130-$AA$130)*(L130)</f>
        <v>7.6674923503418206</v>
      </c>
      <c r="AF130" s="4" t="s">
        <v>737</v>
      </c>
    </row>
    <row r="131" spans="1:32" ht="11.25" customHeight="1" x14ac:dyDescent="0.25">
      <c r="A131" s="4" t="s">
        <v>21</v>
      </c>
      <c r="B131" s="4" t="s">
        <v>41</v>
      </c>
      <c r="C131" s="4" t="s">
        <v>23</v>
      </c>
      <c r="D131" s="4" t="s">
        <v>42</v>
      </c>
      <c r="E131" s="4" t="s">
        <v>50</v>
      </c>
      <c r="F131" s="4" t="s">
        <v>51</v>
      </c>
      <c r="G131" s="4" t="s">
        <v>25</v>
      </c>
      <c r="H131" s="4" t="s">
        <v>25</v>
      </c>
      <c r="I131" s="5">
        <v>44652</v>
      </c>
      <c r="J131" s="6">
        <v>0</v>
      </c>
      <c r="K131" s="6">
        <v>0</v>
      </c>
      <c r="L131" s="6">
        <v>0.29899999999999999</v>
      </c>
      <c r="M131" s="6">
        <v>0.29899999999999999</v>
      </c>
      <c r="N131" s="6">
        <v>0.29899999999999999</v>
      </c>
      <c r="O131" s="6">
        <v>0.29899999999999999</v>
      </c>
      <c r="P131" s="6">
        <v>0</v>
      </c>
      <c r="Q131" s="4" t="s">
        <v>26</v>
      </c>
      <c r="R131" s="4">
        <v>0</v>
      </c>
      <c r="S131" s="4">
        <v>0</v>
      </c>
      <c r="T131" s="4">
        <v>50</v>
      </c>
      <c r="U131" s="4">
        <v>1</v>
      </c>
      <c r="V131" s="6">
        <f>IF(ISERROR(VLOOKUP($S$131,'TAR FIN'!$A$1:$O$88,15,0)),0,VLOOKUP($S$131,'TAR FIN'!$A$1:$O$88,15,0))</f>
        <v>0</v>
      </c>
      <c r="W131" s="6">
        <f>IF(ISERROR(VLOOKUP($T$131,'TAR FIN'!$A$1:$O$88,15,0)),0,VLOOKUP($T$131,'TAR FIN'!$A$1:$O$88,15,0))</f>
        <v>237.52</v>
      </c>
      <c r="X131" s="6">
        <f>IF(ISERROR(VLOOKUP($U$131,'TAR FIN'!$A$1:$O$88,15,0)),0,VLOOKUP($U$131,'TAR FIN'!$A$1:$O$88,15,0))</f>
        <v>254.23</v>
      </c>
      <c r="Y131" s="6"/>
      <c r="Z131" s="6">
        <f ca="1">('TUSD BE'!$AM$33+'TUSD BF'!$AM$33+'TUSD CVA'!$AM$33)*(1-CUSTOS!$M$38)</f>
        <v>329.38655465139976</v>
      </c>
      <c r="AA131" s="6">
        <f>('TE BE'!$AB$24+'TE BF'!$AB$24+'TE CVA'!$AB$24)*(1-CUSTOS!$M$38)</f>
        <v>195.17260177664326</v>
      </c>
      <c r="AB131" s="6">
        <f t="shared" si="16"/>
        <v>0</v>
      </c>
      <c r="AC131" s="6">
        <f>(L131-M131)*(W131+X131)+($W$74+$X$74-$W$131-$X$131)*(L131)</f>
        <v>20.05093999999999</v>
      </c>
      <c r="AD131" s="6">
        <f t="shared" si="17"/>
        <v>0</v>
      </c>
      <c r="AE131" s="6">
        <f ca="1">(L131-M131)*(Z131+AA131)+($Z$74+$AA$74-$Z$131-$AA$131)*(L131)</f>
        <v>10.011267304594778</v>
      </c>
      <c r="AF131" s="4" t="s">
        <v>737</v>
      </c>
    </row>
    <row r="132" spans="1:32" ht="11.25" customHeight="1" x14ac:dyDescent="0.25">
      <c r="A132" s="4" t="s">
        <v>21</v>
      </c>
      <c r="B132" s="4" t="s">
        <v>41</v>
      </c>
      <c r="C132" s="4" t="s">
        <v>23</v>
      </c>
      <c r="D132" s="4" t="s">
        <v>42</v>
      </c>
      <c r="E132" s="4" t="s">
        <v>50</v>
      </c>
      <c r="F132" s="4" t="s">
        <v>51</v>
      </c>
      <c r="G132" s="4" t="s">
        <v>25</v>
      </c>
      <c r="H132" s="4" t="s">
        <v>25</v>
      </c>
      <c r="I132" s="5">
        <v>44682</v>
      </c>
      <c r="J132" s="6">
        <v>0</v>
      </c>
      <c r="K132" s="6">
        <v>0</v>
      </c>
      <c r="L132" s="6">
        <v>0.2</v>
      </c>
      <c r="M132" s="6">
        <v>0.2</v>
      </c>
      <c r="N132" s="6">
        <v>0.2</v>
      </c>
      <c r="O132" s="6">
        <v>0.2</v>
      </c>
      <c r="P132" s="6">
        <v>0</v>
      </c>
      <c r="Q132" s="4" t="s">
        <v>26</v>
      </c>
      <c r="R132" s="4">
        <v>0</v>
      </c>
      <c r="S132" s="4">
        <v>0</v>
      </c>
      <c r="T132" s="4">
        <v>50</v>
      </c>
      <c r="U132" s="4">
        <v>1</v>
      </c>
      <c r="V132" s="6">
        <f>IF(ISERROR(VLOOKUP($S$132,'TAR FIN'!$A$1:$O$88,15,0)),0,VLOOKUP($S$132,'TAR FIN'!$A$1:$O$88,15,0))</f>
        <v>0</v>
      </c>
      <c r="W132" s="6">
        <f>IF(ISERROR(VLOOKUP($T$132,'TAR FIN'!$A$1:$O$88,15,0)),0,VLOOKUP($T$132,'TAR FIN'!$A$1:$O$88,15,0))</f>
        <v>237.52</v>
      </c>
      <c r="X132" s="6">
        <f>IF(ISERROR(VLOOKUP($U$132,'TAR FIN'!$A$1:$O$88,15,0)),0,VLOOKUP($U$132,'TAR FIN'!$A$1:$O$88,15,0))</f>
        <v>254.23</v>
      </c>
      <c r="Y132" s="6"/>
      <c r="Z132" s="6">
        <f ca="1">('TUSD BE'!$AM$33+'TUSD BF'!$AM$33+'TUSD CVA'!$AM$33)*(1-CUSTOS!$M$38)</f>
        <v>329.38655465139976</v>
      </c>
      <c r="AA132" s="6">
        <f>('TE BE'!$AB$24+'TE BF'!$AB$24+'TE CVA'!$AB$24)*(1-CUSTOS!$M$38)</f>
        <v>195.17260177664326</v>
      </c>
      <c r="AB132" s="6">
        <f t="shared" si="16"/>
        <v>0</v>
      </c>
      <c r="AC132" s="6">
        <f>(L132-M132)*(W132+X132)+($W$74+$X$74-$W$132-$X$132)*(L132)</f>
        <v>13.411999999999995</v>
      </c>
      <c r="AD132" s="6">
        <f t="shared" si="17"/>
        <v>0</v>
      </c>
      <c r="AE132" s="6">
        <f ca="1">(L132-M132)*(Z132+AA132)+($Z$74+$AA$74-$Z$132-$AA$132)*(L132)</f>
        <v>6.6964998692941666</v>
      </c>
      <c r="AF132" s="4" t="s">
        <v>737</v>
      </c>
    </row>
    <row r="133" spans="1:32" ht="11.25" customHeight="1" x14ac:dyDescent="0.25">
      <c r="A133" s="4" t="s">
        <v>21</v>
      </c>
      <c r="B133" s="4" t="s">
        <v>41</v>
      </c>
      <c r="C133" s="4" t="s">
        <v>23</v>
      </c>
      <c r="D133" s="4" t="s">
        <v>42</v>
      </c>
      <c r="E133" s="4" t="s">
        <v>50</v>
      </c>
      <c r="F133" s="4" t="s">
        <v>51</v>
      </c>
      <c r="G133" s="4" t="s">
        <v>25</v>
      </c>
      <c r="H133" s="4" t="s">
        <v>25</v>
      </c>
      <c r="I133" s="5">
        <v>44713</v>
      </c>
      <c r="J133" s="6">
        <v>0</v>
      </c>
      <c r="K133" s="6">
        <v>0</v>
      </c>
      <c r="L133" s="6">
        <v>0.51900000000000002</v>
      </c>
      <c r="M133" s="6">
        <v>0.51900000000000002</v>
      </c>
      <c r="N133" s="6">
        <v>0.51900000000000002</v>
      </c>
      <c r="O133" s="6">
        <v>0.51900000000000002</v>
      </c>
      <c r="P133" s="6">
        <v>0</v>
      </c>
      <c r="Q133" s="4" t="s">
        <v>26</v>
      </c>
      <c r="R133" s="4">
        <v>0</v>
      </c>
      <c r="S133" s="4">
        <v>0</v>
      </c>
      <c r="T133" s="4">
        <v>50</v>
      </c>
      <c r="U133" s="4">
        <v>1</v>
      </c>
      <c r="V133" s="6">
        <f>IF(ISERROR(VLOOKUP($S$133,'TAR FIN'!$A$1:$O$88,15,0)),0,VLOOKUP($S$133,'TAR FIN'!$A$1:$O$88,15,0))</f>
        <v>0</v>
      </c>
      <c r="W133" s="6">
        <f>IF(ISERROR(VLOOKUP($T$133,'TAR FIN'!$A$1:$O$88,15,0)),0,VLOOKUP($T$133,'TAR FIN'!$A$1:$O$88,15,0))</f>
        <v>237.52</v>
      </c>
      <c r="X133" s="6">
        <f>IF(ISERROR(VLOOKUP($U$133,'TAR FIN'!$A$1:$O$88,15,0)),0,VLOOKUP($U$133,'TAR FIN'!$A$1:$O$88,15,0))</f>
        <v>254.23</v>
      </c>
      <c r="Y133" s="6"/>
      <c r="Z133" s="6">
        <f ca="1">('TUSD BE'!$AM$33+'TUSD BF'!$AM$33+'TUSD CVA'!$AM$33)*(1-CUSTOS!$M$38)</f>
        <v>329.38655465139976</v>
      </c>
      <c r="AA133" s="6">
        <f>('TE BE'!$AB$24+'TE BF'!$AB$24+'TE CVA'!$AB$24)*(1-CUSTOS!$M$38)</f>
        <v>195.17260177664326</v>
      </c>
      <c r="AB133" s="6">
        <f t="shared" si="16"/>
        <v>0</v>
      </c>
      <c r="AC133" s="6">
        <f>(L133-M133)*(W133+X133)+($W$74+$X$74-$W$133-$X$133)*(L133)</f>
        <v>34.80413999999999</v>
      </c>
      <c r="AD133" s="6">
        <f t="shared" si="17"/>
        <v>0</v>
      </c>
      <c r="AE133" s="6">
        <f ca="1">(L133-M133)*(Z133+AA133)+($Z$74+$AA$74-$Z$133-$AA$133)*(L133)</f>
        <v>17.377417160818361</v>
      </c>
      <c r="AF133" s="4" t="s">
        <v>737</v>
      </c>
    </row>
    <row r="134" spans="1:32" ht="11.25" customHeight="1" x14ac:dyDescent="0.25">
      <c r="A134" s="4" t="s">
        <v>55</v>
      </c>
      <c r="B134" s="4" t="s">
        <v>41</v>
      </c>
      <c r="C134" s="4" t="s">
        <v>23</v>
      </c>
      <c r="D134" s="4" t="s">
        <v>42</v>
      </c>
      <c r="E134" s="4" t="s">
        <v>50</v>
      </c>
      <c r="F134" s="4" t="s">
        <v>51</v>
      </c>
      <c r="G134" s="4" t="s">
        <v>25</v>
      </c>
      <c r="H134" s="4" t="s">
        <v>25</v>
      </c>
      <c r="I134" s="5">
        <v>44743</v>
      </c>
      <c r="J134" s="6">
        <v>0</v>
      </c>
      <c r="K134" s="6">
        <v>0</v>
      </c>
      <c r="L134" s="6">
        <v>0.51900000000000002</v>
      </c>
      <c r="M134" s="6">
        <v>0.51900000000000002</v>
      </c>
      <c r="N134" s="6">
        <v>0.51900000000000002</v>
      </c>
      <c r="O134" s="6">
        <v>0.51900000000000002</v>
      </c>
      <c r="P134" s="6">
        <v>0</v>
      </c>
      <c r="Q134" s="4" t="s">
        <v>26</v>
      </c>
      <c r="R134" s="4">
        <v>0</v>
      </c>
      <c r="S134" s="4">
        <v>0</v>
      </c>
      <c r="T134" s="4">
        <v>50</v>
      </c>
      <c r="U134" s="4">
        <v>1</v>
      </c>
      <c r="V134" s="6">
        <f>IF(ISERROR(VLOOKUP($S$134,'TAR FIN'!$A$1:$O$88,15,0)),0,VLOOKUP($S$134,'TAR FIN'!$A$1:$O$88,15,0))</f>
        <v>0</v>
      </c>
      <c r="W134" s="6">
        <f>IF(ISERROR(VLOOKUP($T$134,'TAR FIN'!$A$1:$O$88,15,0)),0,VLOOKUP($T$134,'TAR FIN'!$A$1:$O$88,15,0))</f>
        <v>237.52</v>
      </c>
      <c r="X134" s="6">
        <f>IF(ISERROR(VLOOKUP($U$134,'TAR FIN'!$A$1:$O$88,15,0)),0,VLOOKUP($U$134,'TAR FIN'!$A$1:$O$88,15,0))</f>
        <v>254.23</v>
      </c>
      <c r="Y134" s="6"/>
      <c r="Z134" s="6">
        <f ca="1">('TUSD BE'!$AM$33+'TUSD BF'!$AM$33+'TUSD CVA'!$AM$33)*(1-CUSTOS!$M$38)</f>
        <v>329.38655465139976</v>
      </c>
      <c r="AA134" s="6">
        <f>('TE BE'!$AB$24+'TE BF'!$AB$24+'TE CVA'!$AB$24)*(1-CUSTOS!$M$38)</f>
        <v>195.17260177664326</v>
      </c>
      <c r="AB134" s="6">
        <f t="shared" si="16"/>
        <v>0</v>
      </c>
      <c r="AC134" s="6">
        <f>(L134-M134)*(W134+X134)+($W$74+$X$74-$W$134-$X$134)*(L134)</f>
        <v>34.80413999999999</v>
      </c>
      <c r="AD134" s="6">
        <f t="shared" si="17"/>
        <v>0</v>
      </c>
      <c r="AE134" s="6">
        <f ca="1">(L134-M134)*(Z134+AA134)+($Z$74+$AA$74-$Z$134-$AA$134)*(L134)</f>
        <v>17.377417160818361</v>
      </c>
      <c r="AF134" s="4" t="s">
        <v>737</v>
      </c>
    </row>
    <row r="135" spans="1:32" ht="11.25" customHeight="1" x14ac:dyDescent="0.25">
      <c r="A135" s="4" t="s">
        <v>21</v>
      </c>
      <c r="B135" s="4" t="s">
        <v>41</v>
      </c>
      <c r="C135" s="4" t="s">
        <v>23</v>
      </c>
      <c r="D135" s="4" t="s">
        <v>42</v>
      </c>
      <c r="E135" s="4" t="s">
        <v>50</v>
      </c>
      <c r="F135" s="4" t="s">
        <v>52</v>
      </c>
      <c r="G135" s="4" t="s">
        <v>25</v>
      </c>
      <c r="H135" s="4" t="s">
        <v>25</v>
      </c>
      <c r="I135" s="5">
        <v>44409</v>
      </c>
      <c r="J135" s="6">
        <v>0</v>
      </c>
      <c r="K135" s="6">
        <v>0</v>
      </c>
      <c r="L135" s="6">
        <v>0.374</v>
      </c>
      <c r="M135" s="6">
        <v>0.14960000000000001</v>
      </c>
      <c r="N135" s="6">
        <v>0.374</v>
      </c>
      <c r="O135" s="6">
        <v>0.14960000000000001</v>
      </c>
      <c r="P135" s="6">
        <v>0</v>
      </c>
      <c r="Q135" s="4" t="s">
        <v>26</v>
      </c>
      <c r="R135" s="4">
        <v>0</v>
      </c>
      <c r="S135" s="4">
        <v>0</v>
      </c>
      <c r="T135" s="4">
        <v>50</v>
      </c>
      <c r="U135" s="4">
        <v>1</v>
      </c>
      <c r="V135" s="6">
        <f>IF(ISERROR(VLOOKUP($S$135,'TAR FIN'!$A$1:$O$88,15,0)),0,VLOOKUP($S$135,'TAR FIN'!$A$1:$O$88,15,0))</f>
        <v>0</v>
      </c>
      <c r="W135" s="6">
        <f>IF(ISERROR(VLOOKUP($T$135,'TAR FIN'!$A$1:$O$88,15,0)),0,VLOOKUP($T$135,'TAR FIN'!$A$1:$O$88,15,0))</f>
        <v>237.52</v>
      </c>
      <c r="X135" s="6">
        <f>IF(ISERROR(VLOOKUP($U$135,'TAR FIN'!$A$1:$O$88,15,0)),0,VLOOKUP($U$135,'TAR FIN'!$A$1:$O$88,15,0))</f>
        <v>254.23</v>
      </c>
      <c r="Y135" s="6"/>
      <c r="Z135" s="6">
        <f ca="1">('TUSD BE'!$AM$33+'TUSD BF'!$AM$33+'TUSD CVA'!$AM$33)*(1-CUSTOS!$M$38)</f>
        <v>329.38655465139976</v>
      </c>
      <c r="AA135" s="6">
        <f>('TE BE'!$AB$24+'TE BF'!$AB$24+'TE CVA'!$AB$24)*(1-CUSTOS!$M$38)</f>
        <v>195.17260177664326</v>
      </c>
      <c r="AB135" s="6">
        <f t="shared" si="16"/>
        <v>0</v>
      </c>
      <c r="AC135" s="6">
        <f>(L135-M135)*(W135+X135)+($W$74+$X$74-$W$135-$X$135)*(L135)</f>
        <v>135.42913999999999</v>
      </c>
      <c r="AD135" s="6">
        <f t="shared" si="17"/>
        <v>0</v>
      </c>
      <c r="AE135" s="6">
        <f ca="1">(L135-M135)*(Z135+AA135)+($Z$74+$AA$74-$Z$135-$AA$135)*(L135)</f>
        <v>130.23352945803293</v>
      </c>
      <c r="AF135" s="4" t="s">
        <v>738</v>
      </c>
    </row>
    <row r="136" spans="1:32" ht="11.25" customHeight="1" x14ac:dyDescent="0.25">
      <c r="A136" s="4" t="s">
        <v>21</v>
      </c>
      <c r="B136" s="4" t="s">
        <v>41</v>
      </c>
      <c r="C136" s="4" t="s">
        <v>23</v>
      </c>
      <c r="D136" s="4" t="s">
        <v>42</v>
      </c>
      <c r="E136" s="4" t="s">
        <v>50</v>
      </c>
      <c r="F136" s="4" t="s">
        <v>52</v>
      </c>
      <c r="G136" s="4" t="s">
        <v>25</v>
      </c>
      <c r="H136" s="4" t="s">
        <v>25</v>
      </c>
      <c r="I136" s="5">
        <v>44440</v>
      </c>
      <c r="J136" s="6">
        <v>0</v>
      </c>
      <c r="K136" s="6">
        <v>0</v>
      </c>
      <c r="L136" s="6">
        <v>0.47699999999999998</v>
      </c>
      <c r="M136" s="6">
        <v>0.1908</v>
      </c>
      <c r="N136" s="6">
        <v>0.47699999999999998</v>
      </c>
      <c r="O136" s="6">
        <v>0.1908</v>
      </c>
      <c r="P136" s="6">
        <v>0</v>
      </c>
      <c r="Q136" s="4" t="s">
        <v>26</v>
      </c>
      <c r="R136" s="4">
        <v>0</v>
      </c>
      <c r="S136" s="4">
        <v>0</v>
      </c>
      <c r="T136" s="4">
        <v>50</v>
      </c>
      <c r="U136" s="4">
        <v>1</v>
      </c>
      <c r="V136" s="6">
        <f>IF(ISERROR(VLOOKUP($S$136,'TAR FIN'!$A$1:$O$88,15,0)),0,VLOOKUP($S$136,'TAR FIN'!$A$1:$O$88,15,0))</f>
        <v>0</v>
      </c>
      <c r="W136" s="6">
        <f>IF(ISERROR(VLOOKUP($T$136,'TAR FIN'!$A$1:$O$88,15,0)),0,VLOOKUP($T$136,'TAR FIN'!$A$1:$O$88,15,0))</f>
        <v>237.52</v>
      </c>
      <c r="X136" s="6">
        <f>IF(ISERROR(VLOOKUP($U$136,'TAR FIN'!$A$1:$O$88,15,0)),0,VLOOKUP($U$136,'TAR FIN'!$A$1:$O$88,15,0))</f>
        <v>254.23</v>
      </c>
      <c r="Y136" s="6"/>
      <c r="Z136" s="6">
        <f ca="1">('TUSD BE'!$AM$33+'TUSD BF'!$AM$33+'TUSD CVA'!$AM$33)*(1-CUSTOS!$M$38)</f>
        <v>329.38655465139976</v>
      </c>
      <c r="AA136" s="6">
        <f>('TE BE'!$AB$24+'TE BF'!$AB$24+'TE CVA'!$AB$24)*(1-CUSTOS!$M$38)</f>
        <v>195.17260177664326</v>
      </c>
      <c r="AB136" s="6">
        <f t="shared" si="16"/>
        <v>0</v>
      </c>
      <c r="AC136" s="6">
        <f>(L136-M136)*(W136+X136)+($W$74+$X$74-$W$136-$X$136)*(L136)</f>
        <v>172.72647000000001</v>
      </c>
      <c r="AD136" s="6">
        <f t="shared" si="17"/>
        <v>0</v>
      </c>
      <c r="AE136" s="6">
        <f ca="1">(L136-M136)*(Z136+AA136)+($Z$74+$AA$74-$Z$136-$AA$136)*(L136)</f>
        <v>166.0999827579725</v>
      </c>
      <c r="AF136" s="4" t="s">
        <v>738</v>
      </c>
    </row>
    <row r="137" spans="1:32" ht="11.25" customHeight="1" x14ac:dyDescent="0.25">
      <c r="A137" s="4" t="s">
        <v>21</v>
      </c>
      <c r="B137" s="4" t="s">
        <v>41</v>
      </c>
      <c r="C137" s="4" t="s">
        <v>23</v>
      </c>
      <c r="D137" s="4" t="s">
        <v>42</v>
      </c>
      <c r="E137" s="4" t="s">
        <v>50</v>
      </c>
      <c r="F137" s="4" t="s">
        <v>52</v>
      </c>
      <c r="G137" s="4" t="s">
        <v>25</v>
      </c>
      <c r="H137" s="4" t="s">
        <v>25</v>
      </c>
      <c r="I137" s="5">
        <v>44470</v>
      </c>
      <c r="J137" s="6">
        <v>0</v>
      </c>
      <c r="K137" s="6">
        <v>0</v>
      </c>
      <c r="L137" s="6">
        <v>0.41799999999999998</v>
      </c>
      <c r="M137" s="6">
        <v>0.16719999999999999</v>
      </c>
      <c r="N137" s="6">
        <v>0.41799999999999998</v>
      </c>
      <c r="O137" s="6">
        <v>0.16719999999999999</v>
      </c>
      <c r="P137" s="6">
        <v>0</v>
      </c>
      <c r="Q137" s="4" t="s">
        <v>26</v>
      </c>
      <c r="R137" s="4">
        <v>0</v>
      </c>
      <c r="S137" s="4">
        <v>0</v>
      </c>
      <c r="T137" s="4">
        <v>50</v>
      </c>
      <c r="U137" s="4">
        <v>1</v>
      </c>
      <c r="V137" s="6">
        <f>IF(ISERROR(VLOOKUP($S$137,'TAR FIN'!$A$1:$O$88,15,0)),0,VLOOKUP($S$137,'TAR FIN'!$A$1:$O$88,15,0))</f>
        <v>0</v>
      </c>
      <c r="W137" s="6">
        <f>IF(ISERROR(VLOOKUP($T$137,'TAR FIN'!$A$1:$O$88,15,0)),0,VLOOKUP($T$137,'TAR FIN'!$A$1:$O$88,15,0))</f>
        <v>237.52</v>
      </c>
      <c r="X137" s="6">
        <f>IF(ISERROR(VLOOKUP($U$137,'TAR FIN'!$A$1:$O$88,15,0)),0,VLOOKUP($U$137,'TAR FIN'!$A$1:$O$88,15,0))</f>
        <v>254.23</v>
      </c>
      <c r="Y137" s="6"/>
      <c r="Z137" s="6">
        <f ca="1">('TUSD BE'!$AM$33+'TUSD BF'!$AM$33+'TUSD CVA'!$AM$33)*(1-CUSTOS!$M$38)</f>
        <v>329.38655465139976</v>
      </c>
      <c r="AA137" s="6">
        <f>('TE BE'!$AB$24+'TE BF'!$AB$24+'TE CVA'!$AB$24)*(1-CUSTOS!$M$38)</f>
        <v>195.17260177664326</v>
      </c>
      <c r="AB137" s="6">
        <f t="shared" si="16"/>
        <v>0</v>
      </c>
      <c r="AC137" s="6">
        <f>(L137-M137)*(W137+X137)+($W$74+$X$74-$W$137-$X$137)*(L137)</f>
        <v>151.36198000000002</v>
      </c>
      <c r="AD137" s="6">
        <f t="shared" si="17"/>
        <v>0</v>
      </c>
      <c r="AE137" s="6">
        <f ca="1">(L137-M137)*(Z137+AA137)+($Z$74+$AA$74-$Z$137-$AA$137)*(L137)</f>
        <v>145.55512115897801</v>
      </c>
      <c r="AF137" s="4" t="s">
        <v>738</v>
      </c>
    </row>
    <row r="138" spans="1:32" ht="11.25" customHeight="1" x14ac:dyDescent="0.25">
      <c r="A138" s="4" t="s">
        <v>21</v>
      </c>
      <c r="B138" s="4" t="s">
        <v>41</v>
      </c>
      <c r="C138" s="4" t="s">
        <v>23</v>
      </c>
      <c r="D138" s="4" t="s">
        <v>42</v>
      </c>
      <c r="E138" s="4" t="s">
        <v>50</v>
      </c>
      <c r="F138" s="4" t="s">
        <v>52</v>
      </c>
      <c r="G138" s="4" t="s">
        <v>25</v>
      </c>
      <c r="H138" s="4" t="s">
        <v>25</v>
      </c>
      <c r="I138" s="5">
        <v>44501</v>
      </c>
      <c r="J138" s="6">
        <v>0</v>
      </c>
      <c r="K138" s="6">
        <v>0</v>
      </c>
      <c r="L138" s="6">
        <v>1.002</v>
      </c>
      <c r="M138" s="6">
        <v>0.40079999999999999</v>
      </c>
      <c r="N138" s="6">
        <v>1.002</v>
      </c>
      <c r="O138" s="6">
        <v>0.40079999999999999</v>
      </c>
      <c r="P138" s="6">
        <v>0</v>
      </c>
      <c r="Q138" s="4" t="s">
        <v>26</v>
      </c>
      <c r="R138" s="4">
        <v>0</v>
      </c>
      <c r="S138" s="4">
        <v>0</v>
      </c>
      <c r="T138" s="4">
        <v>50</v>
      </c>
      <c r="U138" s="4">
        <v>1</v>
      </c>
      <c r="V138" s="6">
        <f>IF(ISERROR(VLOOKUP($S$138,'TAR FIN'!$A$1:$O$88,15,0)),0,VLOOKUP($S$138,'TAR FIN'!$A$1:$O$88,15,0))</f>
        <v>0</v>
      </c>
      <c r="W138" s="6">
        <f>IF(ISERROR(VLOOKUP($T$138,'TAR FIN'!$A$1:$O$88,15,0)),0,VLOOKUP($T$138,'TAR FIN'!$A$1:$O$88,15,0))</f>
        <v>237.52</v>
      </c>
      <c r="X138" s="6">
        <f>IF(ISERROR(VLOOKUP($U$138,'TAR FIN'!$A$1:$O$88,15,0)),0,VLOOKUP($U$138,'TAR FIN'!$A$1:$O$88,15,0))</f>
        <v>254.23</v>
      </c>
      <c r="Y138" s="6"/>
      <c r="Z138" s="6">
        <f ca="1">('TUSD BE'!$AM$33+'TUSD BF'!$AM$33+'TUSD CVA'!$AM$33)*(1-CUSTOS!$M$38)</f>
        <v>329.38655465139976</v>
      </c>
      <c r="AA138" s="6">
        <f>('TE BE'!$AB$24+'TE BF'!$AB$24+'TE CVA'!$AB$24)*(1-CUSTOS!$M$38)</f>
        <v>195.17260177664326</v>
      </c>
      <c r="AB138" s="6">
        <f t="shared" si="16"/>
        <v>0</v>
      </c>
      <c r="AC138" s="6">
        <f>(L138-M138)*(W138+X138)+($W$74+$X$74-$W$138-$X$138)*(L138)</f>
        <v>362.83421999999996</v>
      </c>
      <c r="AD138" s="6">
        <f t="shared" si="17"/>
        <v>0</v>
      </c>
      <c r="AE138" s="6">
        <f ca="1">(L138-M138)*(Z138+AA138)+($Z$74+$AA$74-$Z$138-$AA$138)*(L138)</f>
        <v>348.91442918970318</v>
      </c>
      <c r="AF138" s="4" t="s">
        <v>738</v>
      </c>
    </row>
    <row r="139" spans="1:32" ht="11.25" customHeight="1" x14ac:dyDescent="0.25">
      <c r="A139" s="4" t="s">
        <v>21</v>
      </c>
      <c r="B139" s="4" t="s">
        <v>41</v>
      </c>
      <c r="C139" s="4" t="s">
        <v>23</v>
      </c>
      <c r="D139" s="4" t="s">
        <v>42</v>
      </c>
      <c r="E139" s="4" t="s">
        <v>50</v>
      </c>
      <c r="F139" s="4" t="s">
        <v>52</v>
      </c>
      <c r="G139" s="4" t="s">
        <v>25</v>
      </c>
      <c r="H139" s="4" t="s">
        <v>25</v>
      </c>
      <c r="I139" s="5">
        <v>44531</v>
      </c>
      <c r="J139" s="6">
        <v>0</v>
      </c>
      <c r="K139" s="6">
        <v>0</v>
      </c>
      <c r="L139" s="6">
        <v>3.3149999999999999</v>
      </c>
      <c r="M139" s="6">
        <v>1.3260000000000001</v>
      </c>
      <c r="N139" s="6">
        <v>3.3149999999999999</v>
      </c>
      <c r="O139" s="6">
        <v>1.3260000000000001</v>
      </c>
      <c r="P139" s="6">
        <v>0</v>
      </c>
      <c r="Q139" s="4" t="s">
        <v>26</v>
      </c>
      <c r="R139" s="4">
        <v>0</v>
      </c>
      <c r="S139" s="4">
        <v>0</v>
      </c>
      <c r="T139" s="4">
        <v>50</v>
      </c>
      <c r="U139" s="4">
        <v>1</v>
      </c>
      <c r="V139" s="6">
        <f>IF(ISERROR(VLOOKUP($S$139,'TAR FIN'!$A$1:$O$88,15,0)),0,VLOOKUP($S$139,'TAR FIN'!$A$1:$O$88,15,0))</f>
        <v>0</v>
      </c>
      <c r="W139" s="6">
        <f>IF(ISERROR(VLOOKUP($T$139,'TAR FIN'!$A$1:$O$88,15,0)),0,VLOOKUP($T$139,'TAR FIN'!$A$1:$O$88,15,0))</f>
        <v>237.52</v>
      </c>
      <c r="X139" s="6">
        <f>IF(ISERROR(VLOOKUP($U$139,'TAR FIN'!$A$1:$O$88,15,0)),0,VLOOKUP($U$139,'TAR FIN'!$A$1:$O$88,15,0))</f>
        <v>254.23</v>
      </c>
      <c r="Y139" s="6"/>
      <c r="Z139" s="6">
        <f ca="1">('TUSD BE'!$AM$33+'TUSD BF'!$AM$33+'TUSD CVA'!$AM$33)*(1-CUSTOS!$M$38)</f>
        <v>329.38655465139976</v>
      </c>
      <c r="AA139" s="6">
        <f>('TE BE'!$AB$24+'TE BF'!$AB$24+'TE CVA'!$AB$24)*(1-CUSTOS!$M$38)</f>
        <v>195.17260177664326</v>
      </c>
      <c r="AB139" s="6">
        <f t="shared" si="16"/>
        <v>0</v>
      </c>
      <c r="AC139" s="6">
        <f>(L139-M139)*(W139+X139)+($W$74+$X$74-$W$139-$X$139)*(L139)</f>
        <v>1200.39465</v>
      </c>
      <c r="AD139" s="6">
        <f t="shared" si="17"/>
        <v>0</v>
      </c>
      <c r="AE139" s="6">
        <f ca="1">(L139-M139)*(Z139+AA139)+($Z$74+$AA$74-$Z$139-$AA$139)*(L139)</f>
        <v>1154.3426474689284</v>
      </c>
      <c r="AF139" s="4" t="s">
        <v>738</v>
      </c>
    </row>
    <row r="140" spans="1:32" ht="11.25" customHeight="1" x14ac:dyDescent="0.25">
      <c r="A140" s="4" t="s">
        <v>21</v>
      </c>
      <c r="B140" s="4" t="s">
        <v>41</v>
      </c>
      <c r="C140" s="4" t="s">
        <v>23</v>
      </c>
      <c r="D140" s="4" t="s">
        <v>42</v>
      </c>
      <c r="E140" s="4" t="s">
        <v>50</v>
      </c>
      <c r="F140" s="4" t="s">
        <v>52</v>
      </c>
      <c r="G140" s="4" t="s">
        <v>25</v>
      </c>
      <c r="H140" s="4" t="s">
        <v>25</v>
      </c>
      <c r="I140" s="5">
        <v>44562</v>
      </c>
      <c r="J140" s="6">
        <v>0</v>
      </c>
      <c r="K140" s="6">
        <v>0</v>
      </c>
      <c r="L140" s="6">
        <v>1.873</v>
      </c>
      <c r="M140" s="6">
        <v>0.74919999999999998</v>
      </c>
      <c r="N140" s="6">
        <v>1.873</v>
      </c>
      <c r="O140" s="6">
        <v>0.74919999999999998</v>
      </c>
      <c r="P140" s="6">
        <v>0</v>
      </c>
      <c r="Q140" s="4" t="s">
        <v>26</v>
      </c>
      <c r="R140" s="4">
        <v>0</v>
      </c>
      <c r="S140" s="4">
        <v>0</v>
      </c>
      <c r="T140" s="4">
        <v>50</v>
      </c>
      <c r="U140" s="4">
        <v>1</v>
      </c>
      <c r="V140" s="6">
        <f>IF(ISERROR(VLOOKUP($S$140,'TAR FIN'!$A$1:$O$88,15,0)),0,VLOOKUP($S$140,'TAR FIN'!$A$1:$O$88,15,0))</f>
        <v>0</v>
      </c>
      <c r="W140" s="6">
        <f>IF(ISERROR(VLOOKUP($T$140,'TAR FIN'!$A$1:$O$88,15,0)),0,VLOOKUP($T$140,'TAR FIN'!$A$1:$O$88,15,0))</f>
        <v>237.52</v>
      </c>
      <c r="X140" s="6">
        <f>IF(ISERROR(VLOOKUP($U$140,'TAR FIN'!$A$1:$O$88,15,0)),0,VLOOKUP($U$140,'TAR FIN'!$A$1:$O$88,15,0))</f>
        <v>254.23</v>
      </c>
      <c r="Y140" s="6"/>
      <c r="Z140" s="6">
        <f ca="1">('TUSD BE'!$AM$33+'TUSD BF'!$AM$33+'TUSD CVA'!$AM$33)*(1-CUSTOS!$M$38)</f>
        <v>329.38655465139976</v>
      </c>
      <c r="AA140" s="6">
        <f>('TE BE'!$AB$24+'TE BF'!$AB$24+'TE CVA'!$AB$24)*(1-CUSTOS!$M$38)</f>
        <v>195.17260177664326</v>
      </c>
      <c r="AB140" s="6">
        <f t="shared" si="16"/>
        <v>0</v>
      </c>
      <c r="AC140" s="6">
        <f>(L140-M140)*(W140+X140)+($W$74+$X$74-$W$140-$X$140)*(L140)</f>
        <v>678.23203000000001</v>
      </c>
      <c r="AD140" s="6">
        <f t="shared" si="17"/>
        <v>0</v>
      </c>
      <c r="AE140" s="6">
        <f ca="1">(L140-M140)*(Z140+AA140)+($Z$74+$AA$74-$Z$140-$AA$140)*(L140)</f>
        <v>652.21230126977468</v>
      </c>
      <c r="AF140" s="4" t="s">
        <v>738</v>
      </c>
    </row>
    <row r="141" spans="1:32" ht="11.25" customHeight="1" x14ac:dyDescent="0.25">
      <c r="A141" s="4" t="s">
        <v>21</v>
      </c>
      <c r="B141" s="4" t="s">
        <v>41</v>
      </c>
      <c r="C141" s="4" t="s">
        <v>23</v>
      </c>
      <c r="D141" s="4" t="s">
        <v>42</v>
      </c>
      <c r="E141" s="4" t="s">
        <v>50</v>
      </c>
      <c r="F141" s="4" t="s">
        <v>52</v>
      </c>
      <c r="G141" s="4" t="s">
        <v>25</v>
      </c>
      <c r="H141" s="4" t="s">
        <v>25</v>
      </c>
      <c r="I141" s="5">
        <v>44593</v>
      </c>
      <c r="J141" s="6">
        <v>0</v>
      </c>
      <c r="K141" s="6">
        <v>0</v>
      </c>
      <c r="L141" s="6">
        <v>0.86899999999999999</v>
      </c>
      <c r="M141" s="6">
        <v>0.34760000000000002</v>
      </c>
      <c r="N141" s="6">
        <v>0.86899999999999999</v>
      </c>
      <c r="O141" s="6">
        <v>0.34760000000000002</v>
      </c>
      <c r="P141" s="6">
        <v>0</v>
      </c>
      <c r="Q141" s="4" t="s">
        <v>26</v>
      </c>
      <c r="R141" s="4">
        <v>0</v>
      </c>
      <c r="S141" s="4">
        <v>0</v>
      </c>
      <c r="T141" s="4">
        <v>50</v>
      </c>
      <c r="U141" s="4">
        <v>1</v>
      </c>
      <c r="V141" s="6">
        <f>IF(ISERROR(VLOOKUP($S$141,'TAR FIN'!$A$1:$O$88,15,0)),0,VLOOKUP($S$141,'TAR FIN'!$A$1:$O$88,15,0))</f>
        <v>0</v>
      </c>
      <c r="W141" s="6">
        <f>IF(ISERROR(VLOOKUP($T$141,'TAR FIN'!$A$1:$O$88,15,0)),0,VLOOKUP($T$141,'TAR FIN'!$A$1:$O$88,15,0))</f>
        <v>237.52</v>
      </c>
      <c r="X141" s="6">
        <f>IF(ISERROR(VLOOKUP($U$141,'TAR FIN'!$A$1:$O$88,15,0)),0,VLOOKUP($U$141,'TAR FIN'!$A$1:$O$88,15,0))</f>
        <v>254.23</v>
      </c>
      <c r="Y141" s="6"/>
      <c r="Z141" s="6">
        <f ca="1">('TUSD BE'!$AM$33+'TUSD BF'!$AM$33+'TUSD CVA'!$AM$33)*(1-CUSTOS!$M$38)</f>
        <v>329.38655465139976</v>
      </c>
      <c r="AA141" s="6">
        <f>('TE BE'!$AB$24+'TE BF'!$AB$24+'TE CVA'!$AB$24)*(1-CUSTOS!$M$38)</f>
        <v>195.17260177664326</v>
      </c>
      <c r="AB141" s="6">
        <f t="shared" si="16"/>
        <v>0</v>
      </c>
      <c r="AC141" s="6">
        <f>(L141-M141)*(W141+X141)+($W$74+$X$74-$W$141-$X$141)*(L141)</f>
        <v>314.67358999999993</v>
      </c>
      <c r="AD141" s="6">
        <f t="shared" si="17"/>
        <v>0</v>
      </c>
      <c r="AE141" s="6">
        <f ca="1">(L141-M141)*(Z141+AA141)+($Z$74+$AA$74-$Z$141-$AA$141)*(L141)</f>
        <v>302.60143609366474</v>
      </c>
      <c r="AF141" s="4" t="s">
        <v>738</v>
      </c>
    </row>
    <row r="142" spans="1:32" ht="11.25" customHeight="1" x14ac:dyDescent="0.25">
      <c r="A142" s="4" t="s">
        <v>21</v>
      </c>
      <c r="B142" s="4" t="s">
        <v>41</v>
      </c>
      <c r="C142" s="4" t="s">
        <v>23</v>
      </c>
      <c r="D142" s="4" t="s">
        <v>42</v>
      </c>
      <c r="E142" s="4" t="s">
        <v>50</v>
      </c>
      <c r="F142" s="4" t="s">
        <v>52</v>
      </c>
      <c r="G142" s="4" t="s">
        <v>25</v>
      </c>
      <c r="H142" s="4" t="s">
        <v>25</v>
      </c>
      <c r="I142" s="5">
        <v>44621</v>
      </c>
      <c r="J142" s="6">
        <v>0</v>
      </c>
      <c r="K142" s="6">
        <v>0</v>
      </c>
      <c r="L142" s="6">
        <v>0.53500000000000003</v>
      </c>
      <c r="M142" s="6">
        <v>0.214</v>
      </c>
      <c r="N142" s="6">
        <v>0.53500000000000003</v>
      </c>
      <c r="O142" s="6">
        <v>0.214</v>
      </c>
      <c r="P142" s="6">
        <v>0</v>
      </c>
      <c r="Q142" s="4" t="s">
        <v>26</v>
      </c>
      <c r="R142" s="4">
        <v>0</v>
      </c>
      <c r="S142" s="4">
        <v>0</v>
      </c>
      <c r="T142" s="4">
        <v>50</v>
      </c>
      <c r="U142" s="4">
        <v>1</v>
      </c>
      <c r="V142" s="6">
        <f>IF(ISERROR(VLOOKUP($S$142,'TAR FIN'!$A$1:$O$88,15,0)),0,VLOOKUP($S$142,'TAR FIN'!$A$1:$O$88,15,0))</f>
        <v>0</v>
      </c>
      <c r="W142" s="6">
        <f>IF(ISERROR(VLOOKUP($T$142,'TAR FIN'!$A$1:$O$88,15,0)),0,VLOOKUP($T$142,'TAR FIN'!$A$1:$O$88,15,0))</f>
        <v>237.52</v>
      </c>
      <c r="X142" s="6">
        <f>IF(ISERROR(VLOOKUP($U$142,'TAR FIN'!$A$1:$O$88,15,0)),0,VLOOKUP($U$142,'TAR FIN'!$A$1:$O$88,15,0))</f>
        <v>254.23</v>
      </c>
      <c r="Y142" s="6"/>
      <c r="Z142" s="6">
        <f ca="1">('TUSD BE'!$AM$33+'TUSD BF'!$AM$33+'TUSD CVA'!$AM$33)*(1-CUSTOS!$M$38)</f>
        <v>329.38655465139976</v>
      </c>
      <c r="AA142" s="6">
        <f>('TE BE'!$AB$24+'TE BF'!$AB$24+'TE CVA'!$AB$24)*(1-CUSTOS!$M$38)</f>
        <v>195.17260177664326</v>
      </c>
      <c r="AB142" s="6">
        <f t="shared" si="16"/>
        <v>0</v>
      </c>
      <c r="AC142" s="6">
        <f>(L142-M142)*(W142+X142)+($W$74+$X$74-$W$142-$X$142)*(L142)</f>
        <v>193.72885000000002</v>
      </c>
      <c r="AD142" s="6">
        <f t="shared" si="17"/>
        <v>0</v>
      </c>
      <c r="AE142" s="6">
        <f ca="1">(L142-M142)*(Z142+AA142)+($Z$74+$AA$74-$Z$142-$AA$142)*(L142)</f>
        <v>186.29662636376375</v>
      </c>
      <c r="AF142" s="4" t="s">
        <v>738</v>
      </c>
    </row>
    <row r="143" spans="1:32" ht="11.25" customHeight="1" x14ac:dyDescent="0.25">
      <c r="A143" s="4" t="s">
        <v>21</v>
      </c>
      <c r="B143" s="4" t="s">
        <v>41</v>
      </c>
      <c r="C143" s="4" t="s">
        <v>23</v>
      </c>
      <c r="D143" s="4" t="s">
        <v>42</v>
      </c>
      <c r="E143" s="4" t="s">
        <v>50</v>
      </c>
      <c r="F143" s="4" t="s">
        <v>52</v>
      </c>
      <c r="G143" s="4" t="s">
        <v>25</v>
      </c>
      <c r="H143" s="4" t="s">
        <v>25</v>
      </c>
      <c r="I143" s="5">
        <v>44652</v>
      </c>
      <c r="J143" s="6">
        <v>0</v>
      </c>
      <c r="K143" s="6">
        <v>0</v>
      </c>
      <c r="L143" s="6">
        <v>0.30099999999999999</v>
      </c>
      <c r="M143" s="6">
        <v>0.12039999999999999</v>
      </c>
      <c r="N143" s="6">
        <v>0.30099999999999999</v>
      </c>
      <c r="O143" s="6">
        <v>0.12039999999999999</v>
      </c>
      <c r="P143" s="6">
        <v>0</v>
      </c>
      <c r="Q143" s="4" t="s">
        <v>26</v>
      </c>
      <c r="R143" s="4">
        <v>0</v>
      </c>
      <c r="S143" s="4">
        <v>0</v>
      </c>
      <c r="T143" s="4">
        <v>50</v>
      </c>
      <c r="U143" s="4">
        <v>1</v>
      </c>
      <c r="V143" s="6">
        <f>IF(ISERROR(VLOOKUP($S$143,'TAR FIN'!$A$1:$O$88,15,0)),0,VLOOKUP($S$143,'TAR FIN'!$A$1:$O$88,15,0))</f>
        <v>0</v>
      </c>
      <c r="W143" s="6">
        <f>IF(ISERROR(VLOOKUP($T$143,'TAR FIN'!$A$1:$O$88,15,0)),0,VLOOKUP($T$143,'TAR FIN'!$A$1:$O$88,15,0))</f>
        <v>237.52</v>
      </c>
      <c r="X143" s="6">
        <f>IF(ISERROR(VLOOKUP($U$143,'TAR FIN'!$A$1:$O$88,15,0)),0,VLOOKUP($U$143,'TAR FIN'!$A$1:$O$88,15,0))</f>
        <v>254.23</v>
      </c>
      <c r="Y143" s="6"/>
      <c r="Z143" s="6">
        <f ca="1">('TUSD BE'!$AM$33+'TUSD BF'!$AM$33+'TUSD CVA'!$AM$33)*(1-CUSTOS!$M$38)</f>
        <v>329.38655465139976</v>
      </c>
      <c r="AA143" s="6">
        <f>('TE BE'!$AB$24+'TE BF'!$AB$24+'TE CVA'!$AB$24)*(1-CUSTOS!$M$38)</f>
        <v>195.17260177664326</v>
      </c>
      <c r="AB143" s="6">
        <f t="shared" si="16"/>
        <v>0</v>
      </c>
      <c r="AC143" s="6">
        <f>(L143-M143)*(W143+X143)+($W$74+$X$74-$W$143-$X$143)*(L143)</f>
        <v>108.99510999999998</v>
      </c>
      <c r="AD143" s="6">
        <f t="shared" si="17"/>
        <v>0</v>
      </c>
      <c r="AE143" s="6">
        <f ca="1">(L143-M143)*(Z143+AA143)+($Z$74+$AA$74-$Z$143-$AA$143)*(L143)</f>
        <v>104.81361595419229</v>
      </c>
      <c r="AF143" s="4" t="s">
        <v>738</v>
      </c>
    </row>
    <row r="144" spans="1:32" ht="11.25" customHeight="1" x14ac:dyDescent="0.25">
      <c r="A144" s="4" t="s">
        <v>21</v>
      </c>
      <c r="B144" s="4" t="s">
        <v>41</v>
      </c>
      <c r="C144" s="4" t="s">
        <v>23</v>
      </c>
      <c r="D144" s="4" t="s">
        <v>42</v>
      </c>
      <c r="E144" s="4" t="s">
        <v>50</v>
      </c>
      <c r="F144" s="4" t="s">
        <v>52</v>
      </c>
      <c r="G144" s="4" t="s">
        <v>25</v>
      </c>
      <c r="H144" s="4" t="s">
        <v>25</v>
      </c>
      <c r="I144" s="5">
        <v>44682</v>
      </c>
      <c r="J144" s="6">
        <v>0</v>
      </c>
      <c r="K144" s="6">
        <v>0</v>
      </c>
      <c r="L144" s="6">
        <v>0.2</v>
      </c>
      <c r="M144" s="6">
        <v>0.08</v>
      </c>
      <c r="N144" s="6">
        <v>0.2</v>
      </c>
      <c r="O144" s="6">
        <v>0.08</v>
      </c>
      <c r="P144" s="6">
        <v>0</v>
      </c>
      <c r="Q144" s="4" t="s">
        <v>26</v>
      </c>
      <c r="R144" s="4">
        <v>0</v>
      </c>
      <c r="S144" s="4">
        <v>0</v>
      </c>
      <c r="T144" s="4">
        <v>50</v>
      </c>
      <c r="U144" s="4">
        <v>1</v>
      </c>
      <c r="V144" s="6">
        <f>IF(ISERROR(VLOOKUP($S$144,'TAR FIN'!$A$1:$O$88,15,0)),0,VLOOKUP($S$144,'TAR FIN'!$A$1:$O$88,15,0))</f>
        <v>0</v>
      </c>
      <c r="W144" s="6">
        <f>IF(ISERROR(VLOOKUP($T$144,'TAR FIN'!$A$1:$O$88,15,0)),0,VLOOKUP($T$144,'TAR FIN'!$A$1:$O$88,15,0))</f>
        <v>237.52</v>
      </c>
      <c r="X144" s="6">
        <f>IF(ISERROR(VLOOKUP($U$144,'TAR FIN'!$A$1:$O$88,15,0)),0,VLOOKUP($U$144,'TAR FIN'!$A$1:$O$88,15,0))</f>
        <v>254.23</v>
      </c>
      <c r="Y144" s="6"/>
      <c r="Z144" s="6">
        <f ca="1">('TUSD BE'!$AM$33+'TUSD BF'!$AM$33+'TUSD CVA'!$AM$33)*(1-CUSTOS!$M$38)</f>
        <v>329.38655465139976</v>
      </c>
      <c r="AA144" s="6">
        <f>('TE BE'!$AB$24+'TE BF'!$AB$24+'TE CVA'!$AB$24)*(1-CUSTOS!$M$38)</f>
        <v>195.17260177664326</v>
      </c>
      <c r="AB144" s="6">
        <f t="shared" si="16"/>
        <v>0</v>
      </c>
      <c r="AC144" s="6">
        <f>(L144-M144)*(W144+X144)+($W$74+$X$74-$W$144-$X$144)*(L144)</f>
        <v>72.421999999999997</v>
      </c>
      <c r="AD144" s="6">
        <f t="shared" si="17"/>
        <v>0</v>
      </c>
      <c r="AE144" s="6">
        <f ca="1">(L144-M144)*(Z144+AA144)+($Z$74+$AA$74-$Z$144-$AA$144)*(L144)</f>
        <v>69.643598640659334</v>
      </c>
      <c r="AF144" s="4" t="s">
        <v>738</v>
      </c>
    </row>
    <row r="145" spans="1:32" ht="11.25" customHeight="1" x14ac:dyDescent="0.25">
      <c r="A145" s="4" t="s">
        <v>21</v>
      </c>
      <c r="B145" s="4" t="s">
        <v>41</v>
      </c>
      <c r="C145" s="4" t="s">
        <v>23</v>
      </c>
      <c r="D145" s="4" t="s">
        <v>42</v>
      </c>
      <c r="E145" s="4" t="s">
        <v>50</v>
      </c>
      <c r="F145" s="4" t="s">
        <v>52</v>
      </c>
      <c r="G145" s="4" t="s">
        <v>25</v>
      </c>
      <c r="H145" s="4" t="s">
        <v>25</v>
      </c>
      <c r="I145" s="5">
        <v>44713</v>
      </c>
      <c r="J145" s="6">
        <v>0</v>
      </c>
      <c r="K145" s="6">
        <v>0</v>
      </c>
      <c r="L145" s="6">
        <v>0.54</v>
      </c>
      <c r="M145" s="6">
        <v>0.216</v>
      </c>
      <c r="N145" s="6">
        <v>0.54</v>
      </c>
      <c r="O145" s="6">
        <v>0.216</v>
      </c>
      <c r="P145" s="6">
        <v>0</v>
      </c>
      <c r="Q145" s="4" t="s">
        <v>26</v>
      </c>
      <c r="R145" s="4">
        <v>0</v>
      </c>
      <c r="S145" s="4">
        <v>0</v>
      </c>
      <c r="T145" s="4">
        <v>50</v>
      </c>
      <c r="U145" s="4">
        <v>1</v>
      </c>
      <c r="V145" s="6">
        <f>IF(ISERROR(VLOOKUP($S$145,'TAR FIN'!$A$1:$O$88,15,0)),0,VLOOKUP($S$145,'TAR FIN'!$A$1:$O$88,15,0))</f>
        <v>0</v>
      </c>
      <c r="W145" s="6">
        <f>IF(ISERROR(VLOOKUP($T$145,'TAR FIN'!$A$1:$O$88,15,0)),0,VLOOKUP($T$145,'TAR FIN'!$A$1:$O$88,15,0))</f>
        <v>237.52</v>
      </c>
      <c r="X145" s="6">
        <f>IF(ISERROR(VLOOKUP($U$145,'TAR FIN'!$A$1:$O$88,15,0)),0,VLOOKUP($U$145,'TAR FIN'!$A$1:$O$88,15,0))</f>
        <v>254.23</v>
      </c>
      <c r="Y145" s="6"/>
      <c r="Z145" s="6">
        <f ca="1">('TUSD BE'!$AM$33+'TUSD BF'!$AM$33+'TUSD CVA'!$AM$33)*(1-CUSTOS!$M$38)</f>
        <v>329.38655465139976</v>
      </c>
      <c r="AA145" s="6">
        <f>('TE BE'!$AB$24+'TE BF'!$AB$24+'TE CVA'!$AB$24)*(1-CUSTOS!$M$38)</f>
        <v>195.17260177664326</v>
      </c>
      <c r="AB145" s="6">
        <f t="shared" si="16"/>
        <v>0</v>
      </c>
      <c r="AC145" s="6">
        <f>(L145-M145)*(W145+X145)+($W$74+$X$74-$W$145-$X$145)*(L145)</f>
        <v>195.5394</v>
      </c>
      <c r="AD145" s="6">
        <f t="shared" si="17"/>
        <v>0</v>
      </c>
      <c r="AE145" s="6">
        <f ca="1">(L145-M145)*(Z145+AA145)+($Z$74+$AA$74-$Z$145-$AA$145)*(L145)</f>
        <v>188.03771632978021</v>
      </c>
      <c r="AF145" s="4" t="s">
        <v>738</v>
      </c>
    </row>
    <row r="146" spans="1:32" ht="11.25" customHeight="1" x14ac:dyDescent="0.25">
      <c r="A146" s="4" t="s">
        <v>55</v>
      </c>
      <c r="B146" s="4" t="s">
        <v>41</v>
      </c>
      <c r="C146" s="4" t="s">
        <v>23</v>
      </c>
      <c r="D146" s="4" t="s">
        <v>42</v>
      </c>
      <c r="E146" s="4" t="s">
        <v>50</v>
      </c>
      <c r="F146" s="4" t="s">
        <v>52</v>
      </c>
      <c r="G146" s="4" t="s">
        <v>25</v>
      </c>
      <c r="H146" s="4" t="s">
        <v>25</v>
      </c>
      <c r="I146" s="5">
        <v>44743</v>
      </c>
      <c r="J146" s="6">
        <v>0</v>
      </c>
      <c r="K146" s="6">
        <v>0</v>
      </c>
      <c r="L146" s="6">
        <v>0.54</v>
      </c>
      <c r="M146" s="6">
        <v>0.216</v>
      </c>
      <c r="N146" s="6">
        <v>0.54</v>
      </c>
      <c r="O146" s="6">
        <v>0.216</v>
      </c>
      <c r="P146" s="6">
        <v>0</v>
      </c>
      <c r="Q146" s="4" t="s">
        <v>26</v>
      </c>
      <c r="R146" s="4">
        <v>0</v>
      </c>
      <c r="S146" s="4">
        <v>0</v>
      </c>
      <c r="T146" s="4">
        <v>50</v>
      </c>
      <c r="U146" s="4">
        <v>1</v>
      </c>
      <c r="V146" s="6">
        <f>IF(ISERROR(VLOOKUP($S$146,'TAR FIN'!$A$1:$O$88,15,0)),0,VLOOKUP($S$146,'TAR FIN'!$A$1:$O$88,15,0))</f>
        <v>0</v>
      </c>
      <c r="W146" s="6">
        <f>IF(ISERROR(VLOOKUP($T$146,'TAR FIN'!$A$1:$O$88,15,0)),0,VLOOKUP($T$146,'TAR FIN'!$A$1:$O$88,15,0))</f>
        <v>237.52</v>
      </c>
      <c r="X146" s="6">
        <f>IF(ISERROR(VLOOKUP($U$146,'TAR FIN'!$A$1:$O$88,15,0)),0,VLOOKUP($U$146,'TAR FIN'!$A$1:$O$88,15,0))</f>
        <v>254.23</v>
      </c>
      <c r="Y146" s="6"/>
      <c r="Z146" s="6">
        <f ca="1">('TUSD BE'!$AM$33+'TUSD BF'!$AM$33+'TUSD CVA'!$AM$33)*(1-CUSTOS!$M$38)</f>
        <v>329.38655465139976</v>
      </c>
      <c r="AA146" s="6">
        <f>('TE BE'!$AB$24+'TE BF'!$AB$24+'TE CVA'!$AB$24)*(1-CUSTOS!$M$38)</f>
        <v>195.17260177664326</v>
      </c>
      <c r="AB146" s="6">
        <f t="shared" si="16"/>
        <v>0</v>
      </c>
      <c r="AC146" s="6">
        <f>(L146-M146)*(W146+X146)+($W$74+$X$74-$W$146-$X$146)*(L146)</f>
        <v>195.5394</v>
      </c>
      <c r="AD146" s="6">
        <f t="shared" si="17"/>
        <v>0</v>
      </c>
      <c r="AE146" s="6">
        <f ca="1">(L146-M146)*(Z146+AA146)+($Z$74+$AA$74-$Z$146-$AA$146)*(L146)</f>
        <v>188.03771632978021</v>
      </c>
      <c r="AF146" s="4" t="s">
        <v>738</v>
      </c>
    </row>
    <row r="147" spans="1:32" ht="11.25" customHeight="1" x14ac:dyDescent="0.25">
      <c r="A147" s="4" t="s">
        <v>21</v>
      </c>
      <c r="B147" s="4" t="s">
        <v>41</v>
      </c>
      <c r="C147" s="4" t="s">
        <v>23</v>
      </c>
      <c r="D147" s="4" t="s">
        <v>42</v>
      </c>
      <c r="E147" s="4" t="s">
        <v>53</v>
      </c>
      <c r="F147" s="4" t="s">
        <v>51</v>
      </c>
      <c r="G147" s="4" t="s">
        <v>25</v>
      </c>
      <c r="H147" s="4" t="s">
        <v>25</v>
      </c>
      <c r="I147" s="5">
        <v>44409</v>
      </c>
      <c r="J147" s="6">
        <v>0</v>
      </c>
      <c r="K147" s="6">
        <v>0</v>
      </c>
      <c r="L147" s="6">
        <v>0.496</v>
      </c>
      <c r="M147" s="6">
        <v>0.496</v>
      </c>
      <c r="N147" s="6">
        <v>0.496</v>
      </c>
      <c r="O147" s="6">
        <v>0.496</v>
      </c>
      <c r="P147" s="6">
        <v>0</v>
      </c>
      <c r="Q147" s="4" t="s">
        <v>26</v>
      </c>
      <c r="R147" s="4">
        <v>0</v>
      </c>
      <c r="S147" s="4">
        <v>0</v>
      </c>
      <c r="T147" s="4">
        <v>50</v>
      </c>
      <c r="U147" s="4">
        <v>1</v>
      </c>
      <c r="V147" s="6">
        <f>IF(ISERROR(VLOOKUP($S$147,'TAR FIN'!$A$1:$O$88,15,0)),0,VLOOKUP($S$147,'TAR FIN'!$A$1:$O$88,15,0))</f>
        <v>0</v>
      </c>
      <c r="W147" s="6">
        <f>IF(ISERROR(VLOOKUP($T$147,'TAR FIN'!$A$1:$O$88,15,0)),0,VLOOKUP($T$147,'TAR FIN'!$A$1:$O$88,15,0))</f>
        <v>237.52</v>
      </c>
      <c r="X147" s="6">
        <f>IF(ISERROR(VLOOKUP($U$147,'TAR FIN'!$A$1:$O$88,15,0)),0,VLOOKUP($U$147,'TAR FIN'!$A$1:$O$88,15,0))</f>
        <v>254.23</v>
      </c>
      <c r="Y147" s="6"/>
      <c r="Z147" s="6">
        <f ca="1">('TUSD BE'!$AM$33+'TUSD BF'!$AM$33+'TUSD CVA'!$AM$33)*(1-CUSTOS!$M$38)</f>
        <v>329.38655465139976</v>
      </c>
      <c r="AA147" s="6">
        <f>('TE BE'!$AB$24+'TE BF'!$AB$24+'TE CVA'!$AB$24)*(1-CUSTOS!$M$38)</f>
        <v>195.17260177664326</v>
      </c>
      <c r="AB147" s="6">
        <f t="shared" si="16"/>
        <v>0</v>
      </c>
      <c r="AC147" s="6">
        <f>(L147-M147)*(W147+X147)+($W$74+$X$74-$W$147-$X$147)*(L147)</f>
        <v>33.261759999999988</v>
      </c>
      <c r="AD147" s="6">
        <f t="shared" si="17"/>
        <v>0</v>
      </c>
      <c r="AE147" s="6">
        <f ca="1">(L147-M147)*(Z147+AA147)+($Z$74+$AA$74-$Z$147-$AA$147)*(L147)</f>
        <v>16.607319675849531</v>
      </c>
      <c r="AF147" s="4" t="s">
        <v>737</v>
      </c>
    </row>
    <row r="148" spans="1:32" ht="11.25" customHeight="1" x14ac:dyDescent="0.25">
      <c r="A148" s="4" t="s">
        <v>21</v>
      </c>
      <c r="B148" s="4" t="s">
        <v>41</v>
      </c>
      <c r="C148" s="4" t="s">
        <v>23</v>
      </c>
      <c r="D148" s="4" t="s">
        <v>42</v>
      </c>
      <c r="E148" s="4" t="s">
        <v>53</v>
      </c>
      <c r="F148" s="4" t="s">
        <v>51</v>
      </c>
      <c r="G148" s="4" t="s">
        <v>25</v>
      </c>
      <c r="H148" s="4" t="s">
        <v>25</v>
      </c>
      <c r="I148" s="5">
        <v>44440</v>
      </c>
      <c r="J148" s="6">
        <v>0</v>
      </c>
      <c r="K148" s="6">
        <v>0</v>
      </c>
      <c r="L148" s="6">
        <v>9.2999999999999999E-2</v>
      </c>
      <c r="M148" s="6">
        <v>9.2999999999999999E-2</v>
      </c>
      <c r="N148" s="6">
        <v>9.2999999999999999E-2</v>
      </c>
      <c r="O148" s="6">
        <v>9.2999999999999999E-2</v>
      </c>
      <c r="P148" s="6">
        <v>0</v>
      </c>
      <c r="Q148" s="4" t="s">
        <v>26</v>
      </c>
      <c r="R148" s="4">
        <v>0</v>
      </c>
      <c r="S148" s="4">
        <v>0</v>
      </c>
      <c r="T148" s="4">
        <v>50</v>
      </c>
      <c r="U148" s="4">
        <v>1</v>
      </c>
      <c r="V148" s="6">
        <f>IF(ISERROR(VLOOKUP($S$148,'TAR FIN'!$A$1:$O$88,15,0)),0,VLOOKUP($S$148,'TAR FIN'!$A$1:$O$88,15,0))</f>
        <v>0</v>
      </c>
      <c r="W148" s="6">
        <f>IF(ISERROR(VLOOKUP($T$148,'TAR FIN'!$A$1:$O$88,15,0)),0,VLOOKUP($T$148,'TAR FIN'!$A$1:$O$88,15,0))</f>
        <v>237.52</v>
      </c>
      <c r="X148" s="6">
        <f>IF(ISERROR(VLOOKUP($U$148,'TAR FIN'!$A$1:$O$88,15,0)),0,VLOOKUP($U$148,'TAR FIN'!$A$1:$O$88,15,0))</f>
        <v>254.23</v>
      </c>
      <c r="Y148" s="6"/>
      <c r="Z148" s="6">
        <f ca="1">('TUSD BE'!$AM$33+'TUSD BF'!$AM$33+'TUSD CVA'!$AM$33)*(1-CUSTOS!$M$38)</f>
        <v>329.38655465139976</v>
      </c>
      <c r="AA148" s="6">
        <f>('TE BE'!$AB$24+'TE BF'!$AB$24+'TE CVA'!$AB$24)*(1-CUSTOS!$M$38)</f>
        <v>195.17260177664326</v>
      </c>
      <c r="AB148" s="6">
        <f t="shared" si="16"/>
        <v>0</v>
      </c>
      <c r="AC148" s="6">
        <f>(L148-M148)*(W148+X148)+($W$74+$X$74-$W$148-$X$148)*(L148)</f>
        <v>6.2365799999999973</v>
      </c>
      <c r="AD148" s="6">
        <f t="shared" si="17"/>
        <v>0</v>
      </c>
      <c r="AE148" s="6">
        <f ca="1">(L148-M148)*(Z148+AA148)+($Z$74+$AA$74-$Z$148-$AA$148)*(L148)</f>
        <v>3.1138724392217871</v>
      </c>
      <c r="AF148" s="4" t="s">
        <v>737</v>
      </c>
    </row>
    <row r="149" spans="1:32" ht="11.25" customHeight="1" x14ac:dyDescent="0.25">
      <c r="A149" s="4" t="s">
        <v>21</v>
      </c>
      <c r="B149" s="4" t="s">
        <v>41</v>
      </c>
      <c r="C149" s="4" t="s">
        <v>23</v>
      </c>
      <c r="D149" s="4" t="s">
        <v>42</v>
      </c>
      <c r="E149" s="4" t="s">
        <v>53</v>
      </c>
      <c r="F149" s="4" t="s">
        <v>52</v>
      </c>
      <c r="G149" s="4" t="s">
        <v>25</v>
      </c>
      <c r="H149" s="4" t="s">
        <v>25</v>
      </c>
      <c r="I149" s="5">
        <v>44409</v>
      </c>
      <c r="J149" s="6">
        <v>0</v>
      </c>
      <c r="K149" s="6">
        <v>0</v>
      </c>
      <c r="L149" s="6">
        <v>1.4019999999999999</v>
      </c>
      <c r="M149" s="6">
        <v>0.56079999999999997</v>
      </c>
      <c r="N149" s="6">
        <v>1.4019999999999999</v>
      </c>
      <c r="O149" s="6">
        <v>0.56079999999999997</v>
      </c>
      <c r="P149" s="6">
        <v>0</v>
      </c>
      <c r="Q149" s="4" t="s">
        <v>26</v>
      </c>
      <c r="R149" s="4">
        <v>0</v>
      </c>
      <c r="S149" s="4">
        <v>0</v>
      </c>
      <c r="T149" s="4">
        <v>50</v>
      </c>
      <c r="U149" s="4">
        <v>1</v>
      </c>
      <c r="V149" s="6">
        <f>IF(ISERROR(VLOOKUP($S$149,'TAR FIN'!$A$1:$O$88,15,0)),0,VLOOKUP($S$149,'TAR FIN'!$A$1:$O$88,15,0))</f>
        <v>0</v>
      </c>
      <c r="W149" s="6">
        <f>IF(ISERROR(VLOOKUP($T$149,'TAR FIN'!$A$1:$O$88,15,0)),0,VLOOKUP($T$149,'TAR FIN'!$A$1:$O$88,15,0))</f>
        <v>237.52</v>
      </c>
      <c r="X149" s="6">
        <f>IF(ISERROR(VLOOKUP($U$149,'TAR FIN'!$A$1:$O$88,15,0)),0,VLOOKUP($U$149,'TAR FIN'!$A$1:$O$88,15,0))</f>
        <v>254.23</v>
      </c>
      <c r="Y149" s="6"/>
      <c r="Z149" s="6">
        <f ca="1">('TUSD BE'!$AM$33+'TUSD BF'!$AM$33+'TUSD CVA'!$AM$33)*(1-CUSTOS!$M$38)</f>
        <v>329.38655465139976</v>
      </c>
      <c r="AA149" s="6">
        <f>('TE BE'!$AB$24+'TE BF'!$AB$24+'TE CVA'!$AB$24)*(1-CUSTOS!$M$38)</f>
        <v>195.17260177664326</v>
      </c>
      <c r="AB149" s="6">
        <f t="shared" si="16"/>
        <v>0</v>
      </c>
      <c r="AC149" s="6">
        <f>(L149-M149)*(W149+X149)+($W$74+$X$74-$W$149-$X$149)*(L149)</f>
        <v>507.67821999999995</v>
      </c>
      <c r="AD149" s="6">
        <f t="shared" si="17"/>
        <v>0</v>
      </c>
      <c r="AE149" s="6">
        <f ca="1">(L149-M149)*(Z149+AA149)+($Z$74+$AA$74-$Z$149-$AA$149)*(L149)</f>
        <v>488.20162647102188</v>
      </c>
      <c r="AF149" s="4" t="s">
        <v>738</v>
      </c>
    </row>
    <row r="150" spans="1:32" ht="11.25" customHeight="1" x14ac:dyDescent="0.25">
      <c r="A150" s="4" t="s">
        <v>21</v>
      </c>
      <c r="B150" s="4" t="s">
        <v>41</v>
      </c>
      <c r="C150" s="4" t="s">
        <v>23</v>
      </c>
      <c r="D150" s="4" t="s">
        <v>42</v>
      </c>
      <c r="E150" s="4" t="s">
        <v>53</v>
      </c>
      <c r="F150" s="4" t="s">
        <v>52</v>
      </c>
      <c r="G150" s="4" t="s">
        <v>25</v>
      </c>
      <c r="H150" s="4" t="s">
        <v>25</v>
      </c>
      <c r="I150" s="5">
        <v>44440</v>
      </c>
      <c r="J150" s="6">
        <v>0</v>
      </c>
      <c r="K150" s="6">
        <v>0</v>
      </c>
      <c r="L150" s="6">
        <v>7.0000000000000001E-3</v>
      </c>
      <c r="M150" s="6">
        <v>2.8E-3</v>
      </c>
      <c r="N150" s="6">
        <v>7.0000000000000001E-3</v>
      </c>
      <c r="O150" s="6">
        <v>2.8E-3</v>
      </c>
      <c r="P150" s="6">
        <v>0</v>
      </c>
      <c r="Q150" s="4" t="s">
        <v>26</v>
      </c>
      <c r="R150" s="4">
        <v>0</v>
      </c>
      <c r="S150" s="4">
        <v>0</v>
      </c>
      <c r="T150" s="4">
        <v>50</v>
      </c>
      <c r="U150" s="4">
        <v>1</v>
      </c>
      <c r="V150" s="6">
        <f>IF(ISERROR(VLOOKUP($S$150,'TAR FIN'!$A$1:$O$88,15,0)),0,VLOOKUP($S$150,'TAR FIN'!$A$1:$O$88,15,0))</f>
        <v>0</v>
      </c>
      <c r="W150" s="6">
        <f>IF(ISERROR(VLOOKUP($T$150,'TAR FIN'!$A$1:$O$88,15,0)),0,VLOOKUP($T$150,'TAR FIN'!$A$1:$O$88,15,0))</f>
        <v>237.52</v>
      </c>
      <c r="X150" s="6">
        <f>IF(ISERROR(VLOOKUP($U$150,'TAR FIN'!$A$1:$O$88,15,0)),0,VLOOKUP($U$150,'TAR FIN'!$A$1:$O$88,15,0))</f>
        <v>254.23</v>
      </c>
      <c r="Y150" s="6"/>
      <c r="Z150" s="6">
        <f ca="1">('TUSD BE'!$AM$33+'TUSD BF'!$AM$33+'TUSD CVA'!$AM$33)*(1-CUSTOS!$M$38)</f>
        <v>329.38655465139976</v>
      </c>
      <c r="AA150" s="6">
        <f>('TE BE'!$AB$24+'TE BF'!$AB$24+'TE CVA'!$AB$24)*(1-CUSTOS!$M$38)</f>
        <v>195.17260177664326</v>
      </c>
      <c r="AB150" s="6">
        <f t="shared" si="16"/>
        <v>0</v>
      </c>
      <c r="AC150" s="6">
        <f>(L150-M150)*(W150+X150)+($W$74+$X$74-$W$150-$X$150)*(L150)</f>
        <v>2.5347700000000004</v>
      </c>
      <c r="AD150" s="6">
        <f t="shared" si="17"/>
        <v>0</v>
      </c>
      <c r="AE150" s="6">
        <f ca="1">(L150-M150)*(Z150+AA150)+($Z$74+$AA$74-$Z$150-$AA$150)*(L150)</f>
        <v>2.4375259524230768</v>
      </c>
      <c r="AF150" s="4" t="s">
        <v>738</v>
      </c>
    </row>
    <row r="151" spans="1:32" ht="11.25" customHeight="1" x14ac:dyDescent="0.25">
      <c r="A151" s="4" t="s">
        <v>21</v>
      </c>
      <c r="B151" s="4" t="s">
        <v>41</v>
      </c>
      <c r="C151" s="4" t="s">
        <v>23</v>
      </c>
      <c r="D151" s="4" t="s">
        <v>42</v>
      </c>
      <c r="E151" s="4" t="s">
        <v>25</v>
      </c>
      <c r="F151" s="4" t="s">
        <v>25</v>
      </c>
      <c r="G151" s="4" t="s">
        <v>25</v>
      </c>
      <c r="H151" s="4" t="s">
        <v>25</v>
      </c>
      <c r="I151" s="5">
        <v>44409</v>
      </c>
      <c r="J151" s="6">
        <v>0</v>
      </c>
      <c r="K151" s="6">
        <v>0</v>
      </c>
      <c r="L151" s="6">
        <v>274.19200000000001</v>
      </c>
      <c r="M151" s="6">
        <v>274.19200000000001</v>
      </c>
      <c r="N151" s="6">
        <v>274.19200000000001</v>
      </c>
      <c r="O151" s="6">
        <v>274.19200000000001</v>
      </c>
      <c r="P151" s="6">
        <v>711</v>
      </c>
      <c r="Q151" s="4" t="s">
        <v>26</v>
      </c>
      <c r="R151" s="4">
        <v>0</v>
      </c>
      <c r="S151" s="4">
        <v>0</v>
      </c>
      <c r="T151" s="4">
        <v>50</v>
      </c>
      <c r="U151" s="4">
        <v>1</v>
      </c>
      <c r="V151" s="6">
        <f>IF(ISERROR(VLOOKUP($S$151,'TAR FIN'!$A$1:$O$88,15,0)),0,VLOOKUP($S$151,'TAR FIN'!$A$1:$O$88,15,0))</f>
        <v>0</v>
      </c>
      <c r="W151" s="6">
        <f>IF(ISERROR(VLOOKUP($T$151,'TAR FIN'!$A$1:$O$88,15,0)),0,VLOOKUP($T$151,'TAR FIN'!$A$1:$O$88,15,0))</f>
        <v>237.52</v>
      </c>
      <c r="X151" s="6">
        <f>IF(ISERROR(VLOOKUP($U$151,'TAR FIN'!$A$1:$O$88,15,0)),0,VLOOKUP($U$151,'TAR FIN'!$A$1:$O$88,15,0))</f>
        <v>254.23</v>
      </c>
      <c r="Y151" s="6"/>
      <c r="Z151" s="6">
        <f ca="1">('TUSD BE'!$AM$33+'TUSD BF'!$AM$33+'TUSD CVA'!$AM$33)*(1-CUSTOS!$M$38)</f>
        <v>329.38655465139976</v>
      </c>
      <c r="AA151" s="6">
        <f>('TE BE'!$AB$24+'TE BF'!$AB$24+'TE CVA'!$AB$24)*(1-CUSTOS!$M$38)</f>
        <v>195.17260177664326</v>
      </c>
      <c r="AB151" s="6">
        <f t="shared" si="16"/>
        <v>0</v>
      </c>
      <c r="AC151" s="6">
        <f>(L151-M151)*(W151+X151)+($W$74+$X$74-$W$151-$X$151)*(L151)</f>
        <v>18387.315519999993</v>
      </c>
      <c r="AD151" s="6">
        <f t="shared" si="17"/>
        <v>0</v>
      </c>
      <c r="AE151" s="6">
        <f ca="1">(L151-M151)*(Z151+AA151)+($Z$74+$AA$74-$Z$151-$AA$151)*(L151)</f>
        <v>9180.6334608075304</v>
      </c>
      <c r="AF151" s="4" t="s">
        <v>737</v>
      </c>
    </row>
    <row r="152" spans="1:32" ht="11.25" customHeight="1" x14ac:dyDescent="0.25">
      <c r="A152" s="4" t="s">
        <v>27</v>
      </c>
      <c r="B152" s="4" t="s">
        <v>41</v>
      </c>
      <c r="C152" s="4" t="s">
        <v>23</v>
      </c>
      <c r="D152" s="4" t="s">
        <v>42</v>
      </c>
      <c r="E152" s="4" t="s">
        <v>25</v>
      </c>
      <c r="F152" s="4" t="s">
        <v>25</v>
      </c>
      <c r="G152" s="4" t="s">
        <v>25</v>
      </c>
      <c r="H152" s="4" t="s">
        <v>25</v>
      </c>
      <c r="I152" s="5">
        <v>44409</v>
      </c>
      <c r="J152" s="6">
        <v>0</v>
      </c>
      <c r="K152" s="6">
        <v>0</v>
      </c>
      <c r="L152" s="6">
        <v>2.69</v>
      </c>
      <c r="M152" s="6">
        <v>2.69</v>
      </c>
      <c r="N152" s="6">
        <v>2.69</v>
      </c>
      <c r="O152" s="6">
        <v>2.69</v>
      </c>
      <c r="P152" s="6">
        <v>17</v>
      </c>
      <c r="Q152" s="4" t="s">
        <v>26</v>
      </c>
      <c r="R152" s="4">
        <v>0</v>
      </c>
      <c r="S152" s="4">
        <v>0</v>
      </c>
      <c r="T152" s="4">
        <v>50</v>
      </c>
      <c r="U152" s="4">
        <v>1</v>
      </c>
      <c r="V152" s="6">
        <f>IF(ISERROR(VLOOKUP($S$152,'TAR FIN'!$A$1:$O$88,15,0)),0,VLOOKUP($S$152,'TAR FIN'!$A$1:$O$88,15,0))</f>
        <v>0</v>
      </c>
      <c r="W152" s="6">
        <f>IF(ISERROR(VLOOKUP($T$152,'TAR FIN'!$A$1:$O$88,15,0)),0,VLOOKUP($T$152,'TAR FIN'!$A$1:$O$88,15,0))</f>
        <v>237.52</v>
      </c>
      <c r="X152" s="6">
        <f>IF(ISERROR(VLOOKUP($U$152,'TAR FIN'!$A$1:$O$88,15,0)),0,VLOOKUP($U$152,'TAR FIN'!$A$1:$O$88,15,0))</f>
        <v>254.23</v>
      </c>
      <c r="Y152" s="6"/>
      <c r="Z152" s="6">
        <f ca="1">('TUSD BE'!$AM$33+'TUSD BF'!$AM$33+'TUSD CVA'!$AM$33)*(1-CUSTOS!$M$38)</f>
        <v>329.38655465139976</v>
      </c>
      <c r="AA152" s="6">
        <f>('TE BE'!$AB$24+'TE BF'!$AB$24+'TE CVA'!$AB$24)*(1-CUSTOS!$M$38)</f>
        <v>195.17260177664326</v>
      </c>
      <c r="AB152" s="6">
        <f t="shared" si="16"/>
        <v>0</v>
      </c>
      <c r="AC152" s="6">
        <f>(L152-M152)*(W152+X152)+($W$74+$X$74-$W$152-$X$152)*(L152)</f>
        <v>180.39139999999992</v>
      </c>
      <c r="AD152" s="6">
        <f t="shared" si="17"/>
        <v>0</v>
      </c>
      <c r="AE152" s="6">
        <f ca="1">(L152-M152)*(Z152+AA152)+($Z$74+$AA$74-$Z$152-$AA$152)*(L152)</f>
        <v>90.067923242006529</v>
      </c>
      <c r="AF152" s="4" t="s">
        <v>737</v>
      </c>
    </row>
    <row r="153" spans="1:32" ht="11.25" customHeight="1" x14ac:dyDescent="0.25">
      <c r="A153" s="4" t="s">
        <v>21</v>
      </c>
      <c r="B153" s="4" t="s">
        <v>41</v>
      </c>
      <c r="C153" s="4" t="s">
        <v>23</v>
      </c>
      <c r="D153" s="4" t="s">
        <v>42</v>
      </c>
      <c r="E153" s="4" t="s">
        <v>25</v>
      </c>
      <c r="F153" s="4" t="s">
        <v>25</v>
      </c>
      <c r="G153" s="4" t="s">
        <v>25</v>
      </c>
      <c r="H153" s="4" t="s">
        <v>25</v>
      </c>
      <c r="I153" s="5">
        <v>44440</v>
      </c>
      <c r="J153" s="6">
        <v>0</v>
      </c>
      <c r="K153" s="6">
        <v>0</v>
      </c>
      <c r="L153" s="6">
        <v>270.55799999999999</v>
      </c>
      <c r="M153" s="6">
        <v>270.55799999999999</v>
      </c>
      <c r="N153" s="6">
        <v>270.55799999999999</v>
      </c>
      <c r="O153" s="6">
        <v>270.55799999999999</v>
      </c>
      <c r="P153" s="6">
        <v>712</v>
      </c>
      <c r="Q153" s="4" t="s">
        <v>26</v>
      </c>
      <c r="R153" s="4">
        <v>0</v>
      </c>
      <c r="S153" s="4">
        <v>0</v>
      </c>
      <c r="T153" s="4">
        <v>50</v>
      </c>
      <c r="U153" s="4">
        <v>1</v>
      </c>
      <c r="V153" s="6">
        <f>IF(ISERROR(VLOOKUP($S$153,'TAR FIN'!$A$1:$O$88,15,0)),0,VLOOKUP($S$153,'TAR FIN'!$A$1:$O$88,15,0))</f>
        <v>0</v>
      </c>
      <c r="W153" s="6">
        <f>IF(ISERROR(VLOOKUP($T$153,'TAR FIN'!$A$1:$O$88,15,0)),0,VLOOKUP($T$153,'TAR FIN'!$A$1:$O$88,15,0))</f>
        <v>237.52</v>
      </c>
      <c r="X153" s="6">
        <f>IF(ISERROR(VLOOKUP($U$153,'TAR FIN'!$A$1:$O$88,15,0)),0,VLOOKUP($U$153,'TAR FIN'!$A$1:$O$88,15,0))</f>
        <v>254.23</v>
      </c>
      <c r="Y153" s="6"/>
      <c r="Z153" s="6">
        <f ca="1">('TUSD BE'!$AM$33+'TUSD BF'!$AM$33+'TUSD CVA'!$AM$33)*(1-CUSTOS!$M$38)</f>
        <v>329.38655465139976</v>
      </c>
      <c r="AA153" s="6">
        <f>('TE BE'!$AB$24+'TE BF'!$AB$24+'TE CVA'!$AB$24)*(1-CUSTOS!$M$38)</f>
        <v>195.17260177664326</v>
      </c>
      <c r="AB153" s="6">
        <f t="shared" si="16"/>
        <v>0</v>
      </c>
      <c r="AC153" s="6">
        <f>(L153-M153)*(W153+X153)+($W$74+$X$74-$W$153-$X$153)*(L153)</f>
        <v>18143.619479999994</v>
      </c>
      <c r="AD153" s="6">
        <f t="shared" si="17"/>
        <v>0</v>
      </c>
      <c r="AE153" s="6">
        <f ca="1">(L153-M153)*(Z153+AA153)+($Z$74+$AA$74-$Z$153-$AA$153)*(L153)</f>
        <v>9058.9580581824557</v>
      </c>
      <c r="AF153" s="4" t="s">
        <v>737</v>
      </c>
    </row>
    <row r="154" spans="1:32" ht="11.25" customHeight="1" x14ac:dyDescent="0.25">
      <c r="A154" s="4" t="s">
        <v>27</v>
      </c>
      <c r="B154" s="4" t="s">
        <v>41</v>
      </c>
      <c r="C154" s="4" t="s">
        <v>23</v>
      </c>
      <c r="D154" s="4" t="s">
        <v>42</v>
      </c>
      <c r="E154" s="4" t="s">
        <v>25</v>
      </c>
      <c r="F154" s="4" t="s">
        <v>25</v>
      </c>
      <c r="G154" s="4" t="s">
        <v>25</v>
      </c>
      <c r="H154" s="4" t="s">
        <v>25</v>
      </c>
      <c r="I154" s="5">
        <v>44440</v>
      </c>
      <c r="J154" s="6">
        <v>0</v>
      </c>
      <c r="K154" s="6">
        <v>0</v>
      </c>
      <c r="L154" s="6">
        <v>6.202</v>
      </c>
      <c r="M154" s="6">
        <v>6.202</v>
      </c>
      <c r="N154" s="6">
        <v>6.202</v>
      </c>
      <c r="O154" s="6">
        <v>6.202</v>
      </c>
      <c r="P154" s="6">
        <v>19</v>
      </c>
      <c r="Q154" s="4" t="s">
        <v>26</v>
      </c>
      <c r="R154" s="4">
        <v>0</v>
      </c>
      <c r="S154" s="4">
        <v>0</v>
      </c>
      <c r="T154" s="4">
        <v>50</v>
      </c>
      <c r="U154" s="4">
        <v>1</v>
      </c>
      <c r="V154" s="6">
        <f>IF(ISERROR(VLOOKUP($S$154,'TAR FIN'!$A$1:$O$88,15,0)),0,VLOOKUP($S$154,'TAR FIN'!$A$1:$O$88,15,0))</f>
        <v>0</v>
      </c>
      <c r="W154" s="6">
        <f>IF(ISERROR(VLOOKUP($T$154,'TAR FIN'!$A$1:$O$88,15,0)),0,VLOOKUP($T$154,'TAR FIN'!$A$1:$O$88,15,0))</f>
        <v>237.52</v>
      </c>
      <c r="X154" s="6">
        <f>IF(ISERROR(VLOOKUP($U$154,'TAR FIN'!$A$1:$O$88,15,0)),0,VLOOKUP($U$154,'TAR FIN'!$A$1:$O$88,15,0))</f>
        <v>254.23</v>
      </c>
      <c r="Y154" s="6"/>
      <c r="Z154" s="6">
        <f ca="1">('TUSD BE'!$AM$33+'TUSD BF'!$AM$33+'TUSD CVA'!$AM$33)*(1-CUSTOS!$M$38)</f>
        <v>329.38655465139976</v>
      </c>
      <c r="AA154" s="6">
        <f>('TE BE'!$AB$24+'TE BF'!$AB$24+'TE CVA'!$AB$24)*(1-CUSTOS!$M$38)</f>
        <v>195.17260177664326</v>
      </c>
      <c r="AB154" s="6">
        <f t="shared" si="16"/>
        <v>0</v>
      </c>
      <c r="AC154" s="6">
        <f>(L154-M154)*(W154+X154)+($W$74+$X$74-$W$154-$X$154)*(L154)</f>
        <v>415.90611999999982</v>
      </c>
      <c r="AD154" s="6">
        <f t="shared" si="17"/>
        <v>0</v>
      </c>
      <c r="AE154" s="6">
        <f ca="1">(L154-M154)*(Z154+AA154)+($Z$74+$AA$74-$Z$154-$AA$154)*(L154)</f>
        <v>207.65846094681208</v>
      </c>
      <c r="AF154" s="4" t="s">
        <v>737</v>
      </c>
    </row>
    <row r="155" spans="1:32" ht="11.25" customHeight="1" x14ac:dyDescent="0.25">
      <c r="A155" s="4" t="s">
        <v>21</v>
      </c>
      <c r="B155" s="4" t="s">
        <v>41</v>
      </c>
      <c r="C155" s="4" t="s">
        <v>23</v>
      </c>
      <c r="D155" s="4" t="s">
        <v>42</v>
      </c>
      <c r="E155" s="4" t="s">
        <v>25</v>
      </c>
      <c r="F155" s="4" t="s">
        <v>25</v>
      </c>
      <c r="G155" s="4" t="s">
        <v>25</v>
      </c>
      <c r="H155" s="4" t="s">
        <v>25</v>
      </c>
      <c r="I155" s="5">
        <v>44470</v>
      </c>
      <c r="J155" s="6">
        <v>0</v>
      </c>
      <c r="K155" s="6">
        <v>0</v>
      </c>
      <c r="L155" s="6">
        <v>266.101</v>
      </c>
      <c r="M155" s="6">
        <v>266.101</v>
      </c>
      <c r="N155" s="6">
        <v>266.101</v>
      </c>
      <c r="O155" s="6">
        <v>266.101</v>
      </c>
      <c r="P155" s="6">
        <v>712</v>
      </c>
      <c r="Q155" s="4" t="s">
        <v>26</v>
      </c>
      <c r="R155" s="4">
        <v>0</v>
      </c>
      <c r="S155" s="4">
        <v>0</v>
      </c>
      <c r="T155" s="4">
        <v>50</v>
      </c>
      <c r="U155" s="4">
        <v>1</v>
      </c>
      <c r="V155" s="6">
        <f>IF(ISERROR(VLOOKUP($S$155,'TAR FIN'!$A$1:$O$88,15,0)),0,VLOOKUP($S$155,'TAR FIN'!$A$1:$O$88,15,0))</f>
        <v>0</v>
      </c>
      <c r="W155" s="6">
        <f>IF(ISERROR(VLOOKUP($T$155,'TAR FIN'!$A$1:$O$88,15,0)),0,VLOOKUP($T$155,'TAR FIN'!$A$1:$O$88,15,0))</f>
        <v>237.52</v>
      </c>
      <c r="X155" s="6">
        <f>IF(ISERROR(VLOOKUP($U$155,'TAR FIN'!$A$1:$O$88,15,0)),0,VLOOKUP($U$155,'TAR FIN'!$A$1:$O$88,15,0))</f>
        <v>254.23</v>
      </c>
      <c r="Y155" s="6"/>
      <c r="Z155" s="6">
        <f ca="1">('TUSD BE'!$AM$33+'TUSD BF'!$AM$33+'TUSD CVA'!$AM$33)*(1-CUSTOS!$M$38)</f>
        <v>329.38655465139976</v>
      </c>
      <c r="AA155" s="6">
        <f>('TE BE'!$AB$24+'TE BF'!$AB$24+'TE CVA'!$AB$24)*(1-CUSTOS!$M$38)</f>
        <v>195.17260177664326</v>
      </c>
      <c r="AB155" s="6">
        <f t="shared" si="16"/>
        <v>0</v>
      </c>
      <c r="AC155" s="6">
        <f>(L155-M155)*(W155+X155)+($W$74+$X$74-$W$155-$X$155)*(L155)</f>
        <v>17844.733059999991</v>
      </c>
      <c r="AD155" s="6">
        <f t="shared" si="17"/>
        <v>0</v>
      </c>
      <c r="AE155" s="6">
        <f ca="1">(L155-M155)*(Z155+AA155)+($Z$74+$AA$74-$Z$155-$AA$155)*(L155)</f>
        <v>8909.7265585952355</v>
      </c>
      <c r="AF155" s="4" t="s">
        <v>737</v>
      </c>
    </row>
    <row r="156" spans="1:32" ht="11.25" customHeight="1" x14ac:dyDescent="0.25">
      <c r="A156" s="4" t="s">
        <v>27</v>
      </c>
      <c r="B156" s="4" t="s">
        <v>41</v>
      </c>
      <c r="C156" s="4" t="s">
        <v>23</v>
      </c>
      <c r="D156" s="4" t="s">
        <v>42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44470</v>
      </c>
      <c r="J156" s="6">
        <v>0</v>
      </c>
      <c r="K156" s="6">
        <v>0</v>
      </c>
      <c r="L156" s="6">
        <v>4.1890000000000001</v>
      </c>
      <c r="M156" s="6">
        <v>4.1890000000000001</v>
      </c>
      <c r="N156" s="6">
        <v>4.1890000000000001</v>
      </c>
      <c r="O156" s="6">
        <v>4.1890000000000001</v>
      </c>
      <c r="P156" s="6">
        <v>20</v>
      </c>
      <c r="Q156" s="4" t="s">
        <v>26</v>
      </c>
      <c r="R156" s="4">
        <v>0</v>
      </c>
      <c r="S156" s="4">
        <v>0</v>
      </c>
      <c r="T156" s="4">
        <v>50</v>
      </c>
      <c r="U156" s="4">
        <v>1</v>
      </c>
      <c r="V156" s="6">
        <f>IF(ISERROR(VLOOKUP($S$156,'TAR FIN'!$A$1:$O$88,15,0)),0,VLOOKUP($S$156,'TAR FIN'!$A$1:$O$88,15,0))</f>
        <v>0</v>
      </c>
      <c r="W156" s="6">
        <f>IF(ISERROR(VLOOKUP($T$156,'TAR FIN'!$A$1:$O$88,15,0)),0,VLOOKUP($T$156,'TAR FIN'!$A$1:$O$88,15,0))</f>
        <v>237.52</v>
      </c>
      <c r="X156" s="6">
        <f>IF(ISERROR(VLOOKUP($U$156,'TAR FIN'!$A$1:$O$88,15,0)),0,VLOOKUP($U$156,'TAR FIN'!$A$1:$O$88,15,0))</f>
        <v>254.23</v>
      </c>
      <c r="Y156" s="6"/>
      <c r="Z156" s="6">
        <f ca="1">('TUSD BE'!$AM$33+'TUSD BF'!$AM$33+'TUSD CVA'!$AM$33)*(1-CUSTOS!$M$38)</f>
        <v>329.38655465139976</v>
      </c>
      <c r="AA156" s="6">
        <f>('TE BE'!$AB$24+'TE BF'!$AB$24+'TE CVA'!$AB$24)*(1-CUSTOS!$M$38)</f>
        <v>195.17260177664326</v>
      </c>
      <c r="AB156" s="6">
        <f t="shared" si="16"/>
        <v>0</v>
      </c>
      <c r="AC156" s="6">
        <f>(L156-M156)*(W156+X156)+($W$74+$X$74-$W$156-$X$156)*(L156)</f>
        <v>280.91433999999987</v>
      </c>
      <c r="AD156" s="6">
        <f t="shared" si="17"/>
        <v>0</v>
      </c>
      <c r="AE156" s="6">
        <f ca="1">(L156-M156)*(Z156+AA156)+($Z$74+$AA$74-$Z$156-$AA$156)*(L156)</f>
        <v>140.25818976236633</v>
      </c>
      <c r="AF156" s="4" t="s">
        <v>737</v>
      </c>
    </row>
    <row r="157" spans="1:32" ht="11.25" customHeight="1" x14ac:dyDescent="0.25">
      <c r="A157" s="4" t="s">
        <v>21</v>
      </c>
      <c r="B157" s="4" t="s">
        <v>41</v>
      </c>
      <c r="C157" s="4" t="s">
        <v>23</v>
      </c>
      <c r="D157" s="4" t="s">
        <v>42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44501</v>
      </c>
      <c r="J157" s="6">
        <v>0</v>
      </c>
      <c r="K157" s="6">
        <v>0</v>
      </c>
      <c r="L157" s="6">
        <v>276.16699999999997</v>
      </c>
      <c r="M157" s="6">
        <v>276.16699999999997</v>
      </c>
      <c r="N157" s="6">
        <v>276.16699999999997</v>
      </c>
      <c r="O157" s="6">
        <v>276.16699999999997</v>
      </c>
      <c r="P157" s="6">
        <v>711</v>
      </c>
      <c r="Q157" s="4" t="s">
        <v>26</v>
      </c>
      <c r="R157" s="4">
        <v>0</v>
      </c>
      <c r="S157" s="4">
        <v>0</v>
      </c>
      <c r="T157" s="4">
        <v>50</v>
      </c>
      <c r="U157" s="4">
        <v>1</v>
      </c>
      <c r="V157" s="6">
        <f>IF(ISERROR(VLOOKUP($S$157,'TAR FIN'!$A$1:$O$88,15,0)),0,VLOOKUP($S$157,'TAR FIN'!$A$1:$O$88,15,0))</f>
        <v>0</v>
      </c>
      <c r="W157" s="6">
        <f>IF(ISERROR(VLOOKUP($T$157,'TAR FIN'!$A$1:$O$88,15,0)),0,VLOOKUP($T$157,'TAR FIN'!$A$1:$O$88,15,0))</f>
        <v>237.52</v>
      </c>
      <c r="X157" s="6">
        <f>IF(ISERROR(VLOOKUP($U$157,'TAR FIN'!$A$1:$O$88,15,0)),0,VLOOKUP($U$157,'TAR FIN'!$A$1:$O$88,15,0))</f>
        <v>254.23</v>
      </c>
      <c r="Y157" s="6"/>
      <c r="Z157" s="6">
        <f ca="1">('TUSD BE'!$AM$33+'TUSD BF'!$AM$33+'TUSD CVA'!$AM$33)*(1-CUSTOS!$M$38)</f>
        <v>329.38655465139976</v>
      </c>
      <c r="AA157" s="6">
        <f>('TE BE'!$AB$24+'TE BF'!$AB$24+'TE CVA'!$AB$24)*(1-CUSTOS!$M$38)</f>
        <v>195.17260177664326</v>
      </c>
      <c r="AB157" s="6">
        <f t="shared" si="16"/>
        <v>0</v>
      </c>
      <c r="AC157" s="6">
        <f>(L157-M157)*(W157+X157)+($W$74+$X$74-$W$157-$X$157)*(L157)</f>
        <v>18519.75901999999</v>
      </c>
      <c r="AD157" s="6">
        <f t="shared" si="17"/>
        <v>0</v>
      </c>
      <c r="AE157" s="6">
        <f ca="1">(L157-M157)*(Z157+AA157)+($Z$74+$AA$74-$Z$157-$AA$157)*(L157)</f>
        <v>9246.7613970168095</v>
      </c>
      <c r="AF157" s="4" t="s">
        <v>737</v>
      </c>
    </row>
    <row r="158" spans="1:32" ht="11.25" customHeight="1" x14ac:dyDescent="0.25">
      <c r="A158" s="4" t="s">
        <v>27</v>
      </c>
      <c r="B158" s="4" t="s">
        <v>41</v>
      </c>
      <c r="C158" s="4" t="s">
        <v>23</v>
      </c>
      <c r="D158" s="4" t="s">
        <v>42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44501</v>
      </c>
      <c r="J158" s="6">
        <v>0</v>
      </c>
      <c r="K158" s="6">
        <v>0</v>
      </c>
      <c r="L158" s="6">
        <v>8.4710000000000001</v>
      </c>
      <c r="M158" s="6">
        <v>8.4710000000000001</v>
      </c>
      <c r="N158" s="6">
        <v>8.4710000000000001</v>
      </c>
      <c r="O158" s="6">
        <v>8.4710000000000001</v>
      </c>
      <c r="P158" s="6">
        <v>23</v>
      </c>
      <c r="Q158" s="4" t="s">
        <v>26</v>
      </c>
      <c r="R158" s="4">
        <v>0</v>
      </c>
      <c r="S158" s="4">
        <v>0</v>
      </c>
      <c r="T158" s="4">
        <v>50</v>
      </c>
      <c r="U158" s="4">
        <v>1</v>
      </c>
      <c r="V158" s="6">
        <f>IF(ISERROR(VLOOKUP($S$158,'TAR FIN'!$A$1:$O$88,15,0)),0,VLOOKUP($S$158,'TAR FIN'!$A$1:$O$88,15,0))</f>
        <v>0</v>
      </c>
      <c r="W158" s="6">
        <f>IF(ISERROR(VLOOKUP($T$158,'TAR FIN'!$A$1:$O$88,15,0)),0,VLOOKUP($T$158,'TAR FIN'!$A$1:$O$88,15,0))</f>
        <v>237.52</v>
      </c>
      <c r="X158" s="6">
        <f>IF(ISERROR(VLOOKUP($U$158,'TAR FIN'!$A$1:$O$88,15,0)),0,VLOOKUP($U$158,'TAR FIN'!$A$1:$O$88,15,0))</f>
        <v>254.23</v>
      </c>
      <c r="Y158" s="6"/>
      <c r="Z158" s="6">
        <f ca="1">('TUSD BE'!$AM$33+'TUSD BF'!$AM$33+'TUSD CVA'!$AM$33)*(1-CUSTOS!$M$38)</f>
        <v>329.38655465139976</v>
      </c>
      <c r="AA158" s="6">
        <f>('TE BE'!$AB$24+'TE BF'!$AB$24+'TE CVA'!$AB$24)*(1-CUSTOS!$M$38)</f>
        <v>195.17260177664326</v>
      </c>
      <c r="AB158" s="6">
        <f t="shared" si="16"/>
        <v>0</v>
      </c>
      <c r="AC158" s="6">
        <f>(L158-M158)*(W158+X158)+($W$74+$X$74-$W$158-$X$158)*(L158)</f>
        <v>568.06525999999974</v>
      </c>
      <c r="AD158" s="6">
        <f t="shared" si="17"/>
        <v>0</v>
      </c>
      <c r="AE158" s="6">
        <f ca="1">(L158-M158)*(Z158+AA158)+($Z$74+$AA$74-$Z$158-$AA$158)*(L158)</f>
        <v>283.63025196395444</v>
      </c>
      <c r="AF158" s="4" t="s">
        <v>737</v>
      </c>
    </row>
    <row r="159" spans="1:32" ht="11.25" customHeight="1" x14ac:dyDescent="0.25">
      <c r="A159" s="4" t="s">
        <v>21</v>
      </c>
      <c r="B159" s="4" t="s">
        <v>41</v>
      </c>
      <c r="C159" s="4" t="s">
        <v>23</v>
      </c>
      <c r="D159" s="4" t="s">
        <v>42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44531</v>
      </c>
      <c r="J159" s="6">
        <v>0</v>
      </c>
      <c r="K159" s="6">
        <v>0</v>
      </c>
      <c r="L159" s="6">
        <v>279.435</v>
      </c>
      <c r="M159" s="6">
        <v>279.435</v>
      </c>
      <c r="N159" s="6">
        <v>279.435</v>
      </c>
      <c r="O159" s="6">
        <v>279.435</v>
      </c>
      <c r="P159" s="6">
        <v>707</v>
      </c>
      <c r="Q159" s="4" t="s">
        <v>26</v>
      </c>
      <c r="R159" s="4">
        <v>0</v>
      </c>
      <c r="S159" s="4">
        <v>0</v>
      </c>
      <c r="T159" s="4">
        <v>50</v>
      </c>
      <c r="U159" s="4">
        <v>1</v>
      </c>
      <c r="V159" s="6">
        <f>IF(ISERROR(VLOOKUP($S$159,'TAR FIN'!$A$1:$O$88,15,0)),0,VLOOKUP($S$159,'TAR FIN'!$A$1:$O$88,15,0))</f>
        <v>0</v>
      </c>
      <c r="W159" s="6">
        <f>IF(ISERROR(VLOOKUP($T$159,'TAR FIN'!$A$1:$O$88,15,0)),0,VLOOKUP($T$159,'TAR FIN'!$A$1:$O$88,15,0))</f>
        <v>237.52</v>
      </c>
      <c r="X159" s="6">
        <f>IF(ISERROR(VLOOKUP($U$159,'TAR FIN'!$A$1:$O$88,15,0)),0,VLOOKUP($U$159,'TAR FIN'!$A$1:$O$88,15,0))</f>
        <v>254.23</v>
      </c>
      <c r="Y159" s="6"/>
      <c r="Z159" s="6">
        <f ca="1">('TUSD BE'!$AM$33+'TUSD BF'!$AM$33+'TUSD CVA'!$AM$33)*(1-CUSTOS!$M$38)</f>
        <v>329.38655465139976</v>
      </c>
      <c r="AA159" s="6">
        <f>('TE BE'!$AB$24+'TE BF'!$AB$24+'TE CVA'!$AB$24)*(1-CUSTOS!$M$38)</f>
        <v>195.17260177664326</v>
      </c>
      <c r="AB159" s="6">
        <f t="shared" si="16"/>
        <v>0</v>
      </c>
      <c r="AC159" s="6">
        <f>(L159-M159)*(W159+X159)+($W$74+$X$74-$W$159-$X$159)*(L159)</f>
        <v>18738.911099999994</v>
      </c>
      <c r="AD159" s="6">
        <f t="shared" si="17"/>
        <v>0</v>
      </c>
      <c r="AE159" s="6">
        <f ca="1">(L159-M159)*(Z159+AA159)+($Z$74+$AA$74-$Z$159-$AA$159)*(L159)</f>
        <v>9356.1822048810773</v>
      </c>
      <c r="AF159" s="4" t="s">
        <v>737</v>
      </c>
    </row>
    <row r="160" spans="1:32" ht="11.25" customHeight="1" x14ac:dyDescent="0.25">
      <c r="A160" s="4" t="s">
        <v>27</v>
      </c>
      <c r="B160" s="4" t="s">
        <v>41</v>
      </c>
      <c r="C160" s="4" t="s">
        <v>23</v>
      </c>
      <c r="D160" s="4" t="s">
        <v>42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44531</v>
      </c>
      <c r="J160" s="6">
        <v>0</v>
      </c>
      <c r="K160" s="6">
        <v>0</v>
      </c>
      <c r="L160" s="6">
        <v>9.2650000000000006</v>
      </c>
      <c r="M160" s="6">
        <v>9.2650000000000006</v>
      </c>
      <c r="N160" s="6">
        <v>9.2650000000000006</v>
      </c>
      <c r="O160" s="6">
        <v>9.2650000000000006</v>
      </c>
      <c r="P160" s="6">
        <v>26</v>
      </c>
      <c r="Q160" s="4" t="s">
        <v>26</v>
      </c>
      <c r="R160" s="4">
        <v>0</v>
      </c>
      <c r="S160" s="4">
        <v>0</v>
      </c>
      <c r="T160" s="4">
        <v>50</v>
      </c>
      <c r="U160" s="4">
        <v>1</v>
      </c>
      <c r="V160" s="6">
        <f>IF(ISERROR(VLOOKUP($S$160,'TAR FIN'!$A$1:$O$88,15,0)),0,VLOOKUP($S$160,'TAR FIN'!$A$1:$O$88,15,0))</f>
        <v>0</v>
      </c>
      <c r="W160" s="6">
        <f>IF(ISERROR(VLOOKUP($T$160,'TAR FIN'!$A$1:$O$88,15,0)),0,VLOOKUP($T$160,'TAR FIN'!$A$1:$O$88,15,0))</f>
        <v>237.52</v>
      </c>
      <c r="X160" s="6">
        <f>IF(ISERROR(VLOOKUP($U$160,'TAR FIN'!$A$1:$O$88,15,0)),0,VLOOKUP($U$160,'TAR FIN'!$A$1:$O$88,15,0))</f>
        <v>254.23</v>
      </c>
      <c r="Y160" s="6"/>
      <c r="Z160" s="6">
        <f ca="1">('TUSD BE'!$AM$33+'TUSD BF'!$AM$33+'TUSD CVA'!$AM$33)*(1-CUSTOS!$M$38)</f>
        <v>329.38655465139976</v>
      </c>
      <c r="AA160" s="6">
        <f>('TE BE'!$AB$24+'TE BF'!$AB$24+'TE CVA'!$AB$24)*(1-CUSTOS!$M$38)</f>
        <v>195.17260177664326</v>
      </c>
      <c r="AB160" s="6">
        <f t="shared" si="16"/>
        <v>0</v>
      </c>
      <c r="AC160" s="6">
        <f>(L160-M160)*(W160+X160)+($W$74+$X$74-$W$160-$X$160)*(L160)</f>
        <v>621.31089999999983</v>
      </c>
      <c r="AD160" s="6">
        <f t="shared" si="17"/>
        <v>0</v>
      </c>
      <c r="AE160" s="6">
        <f ca="1">(L160-M160)*(Z160+AA160)+($Z$74+$AA$74-$Z$160-$AA$160)*(L160)</f>
        <v>310.21535644505229</v>
      </c>
      <c r="AF160" s="4" t="s">
        <v>737</v>
      </c>
    </row>
    <row r="161" spans="1:32" ht="11.25" customHeight="1" x14ac:dyDescent="0.25">
      <c r="A161" s="4" t="s">
        <v>21</v>
      </c>
      <c r="B161" s="4" t="s">
        <v>41</v>
      </c>
      <c r="C161" s="4" t="s">
        <v>23</v>
      </c>
      <c r="D161" s="4" t="s">
        <v>42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44562</v>
      </c>
      <c r="J161" s="6">
        <v>0</v>
      </c>
      <c r="K161" s="6">
        <v>0</v>
      </c>
      <c r="L161" s="6">
        <v>277.08</v>
      </c>
      <c r="M161" s="6">
        <v>277.08</v>
      </c>
      <c r="N161" s="6">
        <v>277.08</v>
      </c>
      <c r="O161" s="6">
        <v>277.08</v>
      </c>
      <c r="P161" s="6">
        <v>707</v>
      </c>
      <c r="Q161" s="4" t="s">
        <v>26</v>
      </c>
      <c r="R161" s="4">
        <v>0</v>
      </c>
      <c r="S161" s="4">
        <v>0</v>
      </c>
      <c r="T161" s="4">
        <v>50</v>
      </c>
      <c r="U161" s="4">
        <v>1</v>
      </c>
      <c r="V161" s="6">
        <f>IF(ISERROR(VLOOKUP($S$161,'TAR FIN'!$A$1:$O$88,15,0)),0,VLOOKUP($S$161,'TAR FIN'!$A$1:$O$88,15,0))</f>
        <v>0</v>
      </c>
      <c r="W161" s="6">
        <f>IF(ISERROR(VLOOKUP($T$161,'TAR FIN'!$A$1:$O$88,15,0)),0,VLOOKUP($T$161,'TAR FIN'!$A$1:$O$88,15,0))</f>
        <v>237.52</v>
      </c>
      <c r="X161" s="6">
        <f>IF(ISERROR(VLOOKUP($U$161,'TAR FIN'!$A$1:$O$88,15,0)),0,VLOOKUP($U$161,'TAR FIN'!$A$1:$O$88,15,0))</f>
        <v>254.23</v>
      </c>
      <c r="Y161" s="6"/>
      <c r="Z161" s="6">
        <f ca="1">('TUSD BE'!$AM$33+'TUSD BF'!$AM$33+'TUSD CVA'!$AM$33)*(1-CUSTOS!$M$38)</f>
        <v>329.38655465139976</v>
      </c>
      <c r="AA161" s="6">
        <f>('TE BE'!$AB$24+'TE BF'!$AB$24+'TE CVA'!$AB$24)*(1-CUSTOS!$M$38)</f>
        <v>195.17260177664326</v>
      </c>
      <c r="AB161" s="6">
        <f t="shared" si="16"/>
        <v>0</v>
      </c>
      <c r="AC161" s="6">
        <f>(L161-M161)*(W161+X161)+($W$74+$X$74-$W$161-$X$161)*(L161)</f>
        <v>18580.984799999991</v>
      </c>
      <c r="AD161" s="6">
        <f t="shared" si="17"/>
        <v>0</v>
      </c>
      <c r="AE161" s="6">
        <f ca="1">(L161-M161)*(Z161+AA161)+($Z$74+$AA$74-$Z$161-$AA$161)*(L161)</f>
        <v>9277.3309189201373</v>
      </c>
      <c r="AF161" s="4" t="s">
        <v>737</v>
      </c>
    </row>
    <row r="162" spans="1:32" ht="11.25" customHeight="1" x14ac:dyDescent="0.25">
      <c r="A162" s="4" t="s">
        <v>27</v>
      </c>
      <c r="B162" s="4" t="s">
        <v>41</v>
      </c>
      <c r="C162" s="4" t="s">
        <v>23</v>
      </c>
      <c r="D162" s="4" t="s">
        <v>42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44562</v>
      </c>
      <c r="J162" s="6">
        <v>0</v>
      </c>
      <c r="K162" s="6">
        <v>0</v>
      </c>
      <c r="L162" s="6">
        <v>11.061999999999999</v>
      </c>
      <c r="M162" s="6">
        <v>11.061999999999999</v>
      </c>
      <c r="N162" s="6">
        <v>11.061999999999999</v>
      </c>
      <c r="O162" s="6">
        <v>11.061999999999999</v>
      </c>
      <c r="P162" s="6">
        <v>27</v>
      </c>
      <c r="Q162" s="4" t="s">
        <v>26</v>
      </c>
      <c r="R162" s="4">
        <v>0</v>
      </c>
      <c r="S162" s="4">
        <v>0</v>
      </c>
      <c r="T162" s="4">
        <v>50</v>
      </c>
      <c r="U162" s="4">
        <v>1</v>
      </c>
      <c r="V162" s="6">
        <f>IF(ISERROR(VLOOKUP($S$162,'TAR FIN'!$A$1:$O$88,15,0)),0,VLOOKUP($S$162,'TAR FIN'!$A$1:$O$88,15,0))</f>
        <v>0</v>
      </c>
      <c r="W162" s="6">
        <f>IF(ISERROR(VLOOKUP($T$162,'TAR FIN'!$A$1:$O$88,15,0)),0,VLOOKUP($T$162,'TAR FIN'!$A$1:$O$88,15,0))</f>
        <v>237.52</v>
      </c>
      <c r="X162" s="6">
        <f>IF(ISERROR(VLOOKUP($U$162,'TAR FIN'!$A$1:$O$88,15,0)),0,VLOOKUP($U$162,'TAR FIN'!$A$1:$O$88,15,0))</f>
        <v>254.23</v>
      </c>
      <c r="Y162" s="6"/>
      <c r="Z162" s="6">
        <f ca="1">('TUSD BE'!$AM$33+'TUSD BF'!$AM$33+'TUSD CVA'!$AM$33)*(1-CUSTOS!$M$38)</f>
        <v>329.38655465139976</v>
      </c>
      <c r="AA162" s="6">
        <f>('TE BE'!$AB$24+'TE BF'!$AB$24+'TE CVA'!$AB$24)*(1-CUSTOS!$M$38)</f>
        <v>195.17260177664326</v>
      </c>
      <c r="AB162" s="6">
        <f t="shared" ref="AB162:AB174" si="18">(J162-K162)*V162</f>
        <v>0</v>
      </c>
      <c r="AC162" s="6">
        <f>(L162-M162)*(W162+X162)+($W$74+$X$74-$W$162-$X$162)*(L162)</f>
        <v>741.81771999999967</v>
      </c>
      <c r="AD162" s="6">
        <f t="shared" ref="AD162:AD174" si="19">(J162-K162)*Y162</f>
        <v>0</v>
      </c>
      <c r="AE162" s="6">
        <f ca="1">(L162-M162)*(Z162+AA162)+($Z$74+$AA$74-$Z$162-$AA$162)*(L162)</f>
        <v>370.38340777066031</v>
      </c>
      <c r="AF162" s="4" t="s">
        <v>737</v>
      </c>
    </row>
    <row r="163" spans="1:32" ht="11.25" customHeight="1" x14ac:dyDescent="0.25">
      <c r="A163" s="4" t="s">
        <v>21</v>
      </c>
      <c r="B163" s="4" t="s">
        <v>41</v>
      </c>
      <c r="C163" s="4" t="s">
        <v>23</v>
      </c>
      <c r="D163" s="4" t="s">
        <v>42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44593</v>
      </c>
      <c r="J163" s="6">
        <v>0</v>
      </c>
      <c r="K163" s="6">
        <v>0</v>
      </c>
      <c r="L163" s="6">
        <v>264.673</v>
      </c>
      <c r="M163" s="6">
        <v>264.673</v>
      </c>
      <c r="N163" s="6">
        <v>264.673</v>
      </c>
      <c r="O163" s="6">
        <v>264.673</v>
      </c>
      <c r="P163" s="6">
        <v>700</v>
      </c>
      <c r="Q163" s="4" t="s">
        <v>26</v>
      </c>
      <c r="R163" s="4">
        <v>0</v>
      </c>
      <c r="S163" s="4">
        <v>0</v>
      </c>
      <c r="T163" s="4">
        <v>50</v>
      </c>
      <c r="U163" s="4">
        <v>1</v>
      </c>
      <c r="V163" s="6">
        <f>IF(ISERROR(VLOOKUP($S$163,'TAR FIN'!$A$1:$O$88,15,0)),0,VLOOKUP($S$163,'TAR FIN'!$A$1:$O$88,15,0))</f>
        <v>0</v>
      </c>
      <c r="W163" s="6">
        <f>IF(ISERROR(VLOOKUP($T$163,'TAR FIN'!$A$1:$O$88,15,0)),0,VLOOKUP($T$163,'TAR FIN'!$A$1:$O$88,15,0))</f>
        <v>237.52</v>
      </c>
      <c r="X163" s="6">
        <f>IF(ISERROR(VLOOKUP($U$163,'TAR FIN'!$A$1:$O$88,15,0)),0,VLOOKUP($U$163,'TAR FIN'!$A$1:$O$88,15,0))</f>
        <v>254.23</v>
      </c>
      <c r="Y163" s="6"/>
      <c r="Z163" s="6">
        <f ca="1">('TUSD BE'!$AM$33+'TUSD BF'!$AM$33+'TUSD CVA'!$AM$33)*(1-CUSTOS!$M$38)</f>
        <v>329.38655465139976</v>
      </c>
      <c r="AA163" s="6">
        <f>('TE BE'!$AB$24+'TE BF'!$AB$24+'TE CVA'!$AB$24)*(1-CUSTOS!$M$38)</f>
        <v>195.17260177664326</v>
      </c>
      <c r="AB163" s="6">
        <f t="shared" si="18"/>
        <v>0</v>
      </c>
      <c r="AC163" s="6">
        <f>(L163-M163)*(W163+X163)+($W$74+$X$74-$W$163-$X$163)*(L163)</f>
        <v>17748.971379999992</v>
      </c>
      <c r="AD163" s="6">
        <f t="shared" si="19"/>
        <v>0</v>
      </c>
      <c r="AE163" s="6">
        <f ca="1">(L163-M163)*(Z163+AA163)+($Z$74+$AA$74-$Z$163-$AA$163)*(L163)</f>
        <v>8861.9135495284736</v>
      </c>
      <c r="AF163" s="4" t="s">
        <v>737</v>
      </c>
    </row>
    <row r="164" spans="1:32" ht="11.25" customHeight="1" x14ac:dyDescent="0.25">
      <c r="A164" s="4" t="s">
        <v>27</v>
      </c>
      <c r="B164" s="4" t="s">
        <v>41</v>
      </c>
      <c r="C164" s="4" t="s">
        <v>23</v>
      </c>
      <c r="D164" s="4" t="s">
        <v>42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44593</v>
      </c>
      <c r="J164" s="6">
        <v>0</v>
      </c>
      <c r="K164" s="6">
        <v>0</v>
      </c>
      <c r="L164" s="6">
        <v>10.478999999999999</v>
      </c>
      <c r="M164" s="6">
        <v>10.478999999999999</v>
      </c>
      <c r="N164" s="6">
        <v>10.478999999999999</v>
      </c>
      <c r="O164" s="6">
        <v>10.478999999999999</v>
      </c>
      <c r="P164" s="6">
        <v>33</v>
      </c>
      <c r="Q164" s="4" t="s">
        <v>26</v>
      </c>
      <c r="R164" s="4">
        <v>0</v>
      </c>
      <c r="S164" s="4">
        <v>0</v>
      </c>
      <c r="T164" s="4">
        <v>50</v>
      </c>
      <c r="U164" s="4">
        <v>1</v>
      </c>
      <c r="V164" s="6">
        <f>IF(ISERROR(VLOOKUP($S$164,'TAR FIN'!$A$1:$O$88,15,0)),0,VLOOKUP($S$164,'TAR FIN'!$A$1:$O$88,15,0))</f>
        <v>0</v>
      </c>
      <c r="W164" s="6">
        <f>IF(ISERROR(VLOOKUP($T$164,'TAR FIN'!$A$1:$O$88,15,0)),0,VLOOKUP($T$164,'TAR FIN'!$A$1:$O$88,15,0))</f>
        <v>237.52</v>
      </c>
      <c r="X164" s="6">
        <f>IF(ISERROR(VLOOKUP($U$164,'TAR FIN'!$A$1:$O$88,15,0)),0,VLOOKUP($U$164,'TAR FIN'!$A$1:$O$88,15,0))</f>
        <v>254.23</v>
      </c>
      <c r="Y164" s="6"/>
      <c r="Z164" s="6">
        <f ca="1">('TUSD BE'!$AM$33+'TUSD BF'!$AM$33+'TUSD CVA'!$AM$33)*(1-CUSTOS!$M$38)</f>
        <v>329.38655465139976</v>
      </c>
      <c r="AA164" s="6">
        <f>('TE BE'!$AB$24+'TE BF'!$AB$24+'TE CVA'!$AB$24)*(1-CUSTOS!$M$38)</f>
        <v>195.17260177664326</v>
      </c>
      <c r="AB164" s="6">
        <f t="shared" si="18"/>
        <v>0</v>
      </c>
      <c r="AC164" s="6">
        <f>(L164-M164)*(W164+X164)+($W$74+$X$74-$W$164-$X$164)*(L164)</f>
        <v>702.72173999999973</v>
      </c>
      <c r="AD164" s="6">
        <f t="shared" si="19"/>
        <v>0</v>
      </c>
      <c r="AE164" s="6">
        <f ca="1">(L164-M164)*(Z164+AA164)+($Z$74+$AA$74-$Z$164-$AA$164)*(L164)</f>
        <v>350.8631106516678</v>
      </c>
      <c r="AF164" s="4" t="s">
        <v>737</v>
      </c>
    </row>
    <row r="165" spans="1:32" ht="11.25" customHeight="1" x14ac:dyDescent="0.25">
      <c r="A165" s="4" t="s">
        <v>21</v>
      </c>
      <c r="B165" s="4" t="s">
        <v>41</v>
      </c>
      <c r="C165" s="4" t="s">
        <v>23</v>
      </c>
      <c r="D165" s="4" t="s">
        <v>42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44621</v>
      </c>
      <c r="J165" s="6">
        <v>0</v>
      </c>
      <c r="K165" s="6">
        <v>0</v>
      </c>
      <c r="L165" s="6">
        <v>263.85599999999999</v>
      </c>
      <c r="M165" s="6">
        <v>263.85599999999999</v>
      </c>
      <c r="N165" s="6">
        <v>263.85599999999999</v>
      </c>
      <c r="O165" s="6">
        <v>263.85599999999999</v>
      </c>
      <c r="P165" s="6">
        <v>697</v>
      </c>
      <c r="Q165" s="4" t="s">
        <v>26</v>
      </c>
      <c r="R165" s="4">
        <v>0</v>
      </c>
      <c r="S165" s="4">
        <v>0</v>
      </c>
      <c r="T165" s="4">
        <v>50</v>
      </c>
      <c r="U165" s="4">
        <v>1</v>
      </c>
      <c r="V165" s="6">
        <f>IF(ISERROR(VLOOKUP($S$165,'TAR FIN'!$A$1:$O$88,15,0)),0,VLOOKUP($S$165,'TAR FIN'!$A$1:$O$88,15,0))</f>
        <v>0</v>
      </c>
      <c r="W165" s="6">
        <f>IF(ISERROR(VLOOKUP($T$165,'TAR FIN'!$A$1:$O$88,15,0)),0,VLOOKUP($T$165,'TAR FIN'!$A$1:$O$88,15,0))</f>
        <v>237.52</v>
      </c>
      <c r="X165" s="6">
        <f>IF(ISERROR(VLOOKUP($U$165,'TAR FIN'!$A$1:$O$88,15,0)),0,VLOOKUP($U$165,'TAR FIN'!$A$1:$O$88,15,0))</f>
        <v>254.23</v>
      </c>
      <c r="Y165" s="6"/>
      <c r="Z165" s="6">
        <f ca="1">('TUSD BE'!$AM$33+'TUSD BF'!$AM$33+'TUSD CVA'!$AM$33)*(1-CUSTOS!$M$38)</f>
        <v>329.38655465139976</v>
      </c>
      <c r="AA165" s="6">
        <f>('TE BE'!$AB$24+'TE BF'!$AB$24+'TE CVA'!$AB$24)*(1-CUSTOS!$M$38)</f>
        <v>195.17260177664326</v>
      </c>
      <c r="AB165" s="6">
        <f t="shared" si="18"/>
        <v>0</v>
      </c>
      <c r="AC165" s="6">
        <f>(L165-M165)*(W165+X165)+($W$74+$X$74-$W$165-$X$165)*(L165)</f>
        <v>17694.183359999992</v>
      </c>
      <c r="AD165" s="6">
        <f t="shared" si="19"/>
        <v>0</v>
      </c>
      <c r="AE165" s="6">
        <f ca="1">(L165-M165)*(Z165+AA165)+($Z$74+$AA$74-$Z$165-$AA$165)*(L165)</f>
        <v>8834.558347562408</v>
      </c>
      <c r="AF165" s="4" t="s">
        <v>737</v>
      </c>
    </row>
    <row r="166" spans="1:32" ht="11.25" customHeight="1" x14ac:dyDescent="0.25">
      <c r="A166" s="4" t="s">
        <v>27</v>
      </c>
      <c r="B166" s="4" t="s">
        <v>41</v>
      </c>
      <c r="C166" s="4" t="s">
        <v>23</v>
      </c>
      <c r="D166" s="4" t="s">
        <v>42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44621</v>
      </c>
      <c r="J166" s="6">
        <v>0</v>
      </c>
      <c r="K166" s="6">
        <v>0</v>
      </c>
      <c r="L166" s="6">
        <v>14.637</v>
      </c>
      <c r="M166" s="6">
        <v>14.637</v>
      </c>
      <c r="N166" s="6">
        <v>14.637</v>
      </c>
      <c r="O166" s="6">
        <v>14.637</v>
      </c>
      <c r="P166" s="6">
        <v>35</v>
      </c>
      <c r="Q166" s="4" t="s">
        <v>26</v>
      </c>
      <c r="R166" s="4">
        <v>0</v>
      </c>
      <c r="S166" s="4">
        <v>0</v>
      </c>
      <c r="T166" s="4">
        <v>50</v>
      </c>
      <c r="U166" s="4">
        <v>1</v>
      </c>
      <c r="V166" s="6">
        <f>IF(ISERROR(VLOOKUP($S$166,'TAR FIN'!$A$1:$O$88,15,0)),0,VLOOKUP($S$166,'TAR FIN'!$A$1:$O$88,15,0))</f>
        <v>0</v>
      </c>
      <c r="W166" s="6">
        <f>IF(ISERROR(VLOOKUP($T$166,'TAR FIN'!$A$1:$O$88,15,0)),0,VLOOKUP($T$166,'TAR FIN'!$A$1:$O$88,15,0))</f>
        <v>237.52</v>
      </c>
      <c r="X166" s="6">
        <f>IF(ISERROR(VLOOKUP($U$166,'TAR FIN'!$A$1:$O$88,15,0)),0,VLOOKUP($U$166,'TAR FIN'!$A$1:$O$88,15,0))</f>
        <v>254.23</v>
      </c>
      <c r="Y166" s="6"/>
      <c r="Z166" s="6">
        <f ca="1">('TUSD BE'!$AM$33+'TUSD BF'!$AM$33+'TUSD CVA'!$AM$33)*(1-CUSTOS!$M$38)</f>
        <v>329.38655465139976</v>
      </c>
      <c r="AA166" s="6">
        <f>('TE BE'!$AB$24+'TE BF'!$AB$24+'TE CVA'!$AB$24)*(1-CUSTOS!$M$38)</f>
        <v>195.17260177664326</v>
      </c>
      <c r="AB166" s="6">
        <f t="shared" si="18"/>
        <v>0</v>
      </c>
      <c r="AC166" s="6">
        <f>(L166-M166)*(W166+X166)+($W$74+$X$74-$W$166-$X$166)*(L166)</f>
        <v>981.55721999999969</v>
      </c>
      <c r="AD166" s="6">
        <f t="shared" si="19"/>
        <v>0</v>
      </c>
      <c r="AE166" s="6">
        <f ca="1">(L166-M166)*(Z166+AA166)+($Z$74+$AA$74-$Z$166-$AA$166)*(L166)</f>
        <v>490.08334293429357</v>
      </c>
      <c r="AF166" s="4" t="s">
        <v>737</v>
      </c>
    </row>
    <row r="167" spans="1:32" ht="11.25" customHeight="1" x14ac:dyDescent="0.25">
      <c r="A167" s="4" t="s">
        <v>21</v>
      </c>
      <c r="B167" s="4" t="s">
        <v>41</v>
      </c>
      <c r="C167" s="4" t="s">
        <v>23</v>
      </c>
      <c r="D167" s="4" t="s">
        <v>42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44652</v>
      </c>
      <c r="J167" s="6">
        <v>0</v>
      </c>
      <c r="K167" s="6">
        <v>0</v>
      </c>
      <c r="L167" s="6">
        <v>253.28200000000001</v>
      </c>
      <c r="M167" s="6">
        <v>253.28200000000001</v>
      </c>
      <c r="N167" s="6">
        <v>253.28200000000001</v>
      </c>
      <c r="O167" s="6">
        <v>253.28200000000001</v>
      </c>
      <c r="P167" s="6">
        <v>695</v>
      </c>
      <c r="Q167" s="4" t="s">
        <v>26</v>
      </c>
      <c r="R167" s="4">
        <v>0</v>
      </c>
      <c r="S167" s="4">
        <v>0</v>
      </c>
      <c r="T167" s="4">
        <v>50</v>
      </c>
      <c r="U167" s="4">
        <v>1</v>
      </c>
      <c r="V167" s="6">
        <f>IF(ISERROR(VLOOKUP($S$167,'TAR FIN'!$A$1:$O$88,15,0)),0,VLOOKUP($S$167,'TAR FIN'!$A$1:$O$88,15,0))</f>
        <v>0</v>
      </c>
      <c r="W167" s="6">
        <f>IF(ISERROR(VLOOKUP($T$167,'TAR FIN'!$A$1:$O$88,15,0)),0,VLOOKUP($T$167,'TAR FIN'!$A$1:$O$88,15,0))</f>
        <v>237.52</v>
      </c>
      <c r="X167" s="6">
        <f>IF(ISERROR(VLOOKUP($U$167,'TAR FIN'!$A$1:$O$88,15,0)),0,VLOOKUP($U$167,'TAR FIN'!$A$1:$O$88,15,0))</f>
        <v>254.23</v>
      </c>
      <c r="Y167" s="6"/>
      <c r="Z167" s="6">
        <f ca="1">('TUSD BE'!$AM$33+'TUSD BF'!$AM$33+'TUSD CVA'!$AM$33)*(1-CUSTOS!$M$38)</f>
        <v>329.38655465139976</v>
      </c>
      <c r="AA167" s="6">
        <f>('TE BE'!$AB$24+'TE BF'!$AB$24+'TE CVA'!$AB$24)*(1-CUSTOS!$M$38)</f>
        <v>195.17260177664326</v>
      </c>
      <c r="AB167" s="6">
        <f t="shared" si="18"/>
        <v>0</v>
      </c>
      <c r="AC167" s="6">
        <f>(L167-M167)*(W167+X167)+($W$74+$X$74-$W$167-$X$167)*(L167)</f>
        <v>16985.090919999995</v>
      </c>
      <c r="AD167" s="6">
        <f t="shared" si="19"/>
        <v>0</v>
      </c>
      <c r="AE167" s="6">
        <f ca="1">(L167-M167)*(Z167+AA167)+($Z$74+$AA$74-$Z$167-$AA$167)*(L167)</f>
        <v>8480.514399472826</v>
      </c>
      <c r="AF167" s="4" t="s">
        <v>737</v>
      </c>
    </row>
    <row r="168" spans="1:32" ht="11.25" customHeight="1" x14ac:dyDescent="0.25">
      <c r="A168" s="4" t="s">
        <v>27</v>
      </c>
      <c r="B168" s="4" t="s">
        <v>41</v>
      </c>
      <c r="C168" s="4" t="s">
        <v>23</v>
      </c>
      <c r="D168" s="4" t="s">
        <v>42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44652</v>
      </c>
      <c r="J168" s="6">
        <v>0</v>
      </c>
      <c r="K168" s="6">
        <v>0</v>
      </c>
      <c r="L168" s="6">
        <v>13.574999999999999</v>
      </c>
      <c r="M168" s="6">
        <v>13.574999999999999</v>
      </c>
      <c r="N168" s="6">
        <v>13.574999999999999</v>
      </c>
      <c r="O168" s="6">
        <v>13.574999999999999</v>
      </c>
      <c r="P168" s="6">
        <v>40</v>
      </c>
      <c r="Q168" s="4" t="s">
        <v>26</v>
      </c>
      <c r="R168" s="4">
        <v>0</v>
      </c>
      <c r="S168" s="4">
        <v>0</v>
      </c>
      <c r="T168" s="4">
        <v>50</v>
      </c>
      <c r="U168" s="4">
        <v>1</v>
      </c>
      <c r="V168" s="6">
        <f>IF(ISERROR(VLOOKUP($S$168,'TAR FIN'!$A$1:$O$88,15,0)),0,VLOOKUP($S$168,'TAR FIN'!$A$1:$O$88,15,0))</f>
        <v>0</v>
      </c>
      <c r="W168" s="6">
        <f>IF(ISERROR(VLOOKUP($T$168,'TAR FIN'!$A$1:$O$88,15,0)),0,VLOOKUP($T$168,'TAR FIN'!$A$1:$O$88,15,0))</f>
        <v>237.52</v>
      </c>
      <c r="X168" s="6">
        <f>IF(ISERROR(VLOOKUP($U$168,'TAR FIN'!$A$1:$O$88,15,0)),0,VLOOKUP($U$168,'TAR FIN'!$A$1:$O$88,15,0))</f>
        <v>254.23</v>
      </c>
      <c r="Y168" s="6"/>
      <c r="Z168" s="6">
        <f ca="1">('TUSD BE'!$AM$33+'TUSD BF'!$AM$33+'TUSD CVA'!$AM$33)*(1-CUSTOS!$M$38)</f>
        <v>329.38655465139976</v>
      </c>
      <c r="AA168" s="6">
        <f>('TE BE'!$AB$24+'TE BF'!$AB$24+'TE CVA'!$AB$24)*(1-CUSTOS!$M$38)</f>
        <v>195.17260177664326</v>
      </c>
      <c r="AB168" s="6">
        <f t="shared" si="18"/>
        <v>0</v>
      </c>
      <c r="AC168" s="6">
        <f>(L168-M168)*(W168+X168)+($W$74+$X$74-$W$168-$X$168)*(L168)</f>
        <v>910.33949999999959</v>
      </c>
      <c r="AD168" s="6">
        <f t="shared" si="19"/>
        <v>0</v>
      </c>
      <c r="AE168" s="6">
        <f ca="1">(L168-M168)*(Z168+AA168)+($Z$74+$AA$74-$Z$168-$AA$168)*(L168)</f>
        <v>454.52492862834151</v>
      </c>
      <c r="AF168" s="4" t="s">
        <v>737</v>
      </c>
    </row>
    <row r="169" spans="1:32" ht="11.25" customHeight="1" x14ac:dyDescent="0.25">
      <c r="A169" s="4" t="s">
        <v>21</v>
      </c>
      <c r="B169" s="4" t="s">
        <v>41</v>
      </c>
      <c r="C169" s="4" t="s">
        <v>23</v>
      </c>
      <c r="D169" s="4" t="s">
        <v>42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44682</v>
      </c>
      <c r="J169" s="6">
        <v>0</v>
      </c>
      <c r="K169" s="6">
        <v>0</v>
      </c>
      <c r="L169" s="6">
        <v>275.17200000000003</v>
      </c>
      <c r="M169" s="6">
        <v>275.17200000000003</v>
      </c>
      <c r="N169" s="6">
        <v>275.17200000000003</v>
      </c>
      <c r="O169" s="6">
        <v>275.17200000000003</v>
      </c>
      <c r="P169" s="6">
        <v>689</v>
      </c>
      <c r="Q169" s="4" t="s">
        <v>26</v>
      </c>
      <c r="R169" s="4">
        <v>0</v>
      </c>
      <c r="S169" s="4">
        <v>0</v>
      </c>
      <c r="T169" s="4">
        <v>50</v>
      </c>
      <c r="U169" s="4">
        <v>1</v>
      </c>
      <c r="V169" s="6">
        <f>IF(ISERROR(VLOOKUP($S$169,'TAR FIN'!$A$1:$O$88,15,0)),0,VLOOKUP($S$169,'TAR FIN'!$A$1:$O$88,15,0))</f>
        <v>0</v>
      </c>
      <c r="W169" s="6">
        <f>IF(ISERROR(VLOOKUP($T$169,'TAR FIN'!$A$1:$O$88,15,0)),0,VLOOKUP($T$169,'TAR FIN'!$A$1:$O$88,15,0))</f>
        <v>237.52</v>
      </c>
      <c r="X169" s="6">
        <f>IF(ISERROR(VLOOKUP($U$169,'TAR FIN'!$A$1:$O$88,15,0)),0,VLOOKUP($U$169,'TAR FIN'!$A$1:$O$88,15,0))</f>
        <v>254.23</v>
      </c>
      <c r="Y169" s="6"/>
      <c r="Z169" s="6">
        <f ca="1">('TUSD BE'!$AM$33+'TUSD BF'!$AM$33+'TUSD CVA'!$AM$33)*(1-CUSTOS!$M$38)</f>
        <v>329.38655465139976</v>
      </c>
      <c r="AA169" s="6">
        <f>('TE BE'!$AB$24+'TE BF'!$AB$24+'TE CVA'!$AB$24)*(1-CUSTOS!$M$38)</f>
        <v>195.17260177664326</v>
      </c>
      <c r="AB169" s="6">
        <f t="shared" si="18"/>
        <v>0</v>
      </c>
      <c r="AC169" s="6">
        <f>(L169-M169)*(W169+X169)+($W$74+$X$74-$W$169-$X$169)*(L169)</f>
        <v>18453.034319999995</v>
      </c>
      <c r="AD169" s="6">
        <f t="shared" si="19"/>
        <v>0</v>
      </c>
      <c r="AE169" s="6">
        <f ca="1">(L169-M169)*(Z169+AA169)+($Z$74+$AA$74-$Z$169-$AA$169)*(L169)</f>
        <v>9213.4463101670717</v>
      </c>
      <c r="AF169" s="4" t="s">
        <v>737</v>
      </c>
    </row>
    <row r="170" spans="1:32" ht="11.25" customHeight="1" x14ac:dyDescent="0.25">
      <c r="A170" s="4" t="s">
        <v>27</v>
      </c>
      <c r="B170" s="4" t="s">
        <v>41</v>
      </c>
      <c r="C170" s="4" t="s">
        <v>23</v>
      </c>
      <c r="D170" s="4" t="s">
        <v>42</v>
      </c>
      <c r="E170" s="4" t="s">
        <v>25</v>
      </c>
      <c r="F170" s="4" t="s">
        <v>25</v>
      </c>
      <c r="G170" s="4" t="s">
        <v>25</v>
      </c>
      <c r="H170" s="4" t="s">
        <v>25</v>
      </c>
      <c r="I170" s="5">
        <v>44682</v>
      </c>
      <c r="J170" s="6">
        <v>0</v>
      </c>
      <c r="K170" s="6">
        <v>0</v>
      </c>
      <c r="L170" s="6">
        <v>9.4760000000000009</v>
      </c>
      <c r="M170" s="6">
        <v>9.4760000000000009</v>
      </c>
      <c r="N170" s="6">
        <v>9.4760000000000009</v>
      </c>
      <c r="O170" s="6">
        <v>9.4760000000000009</v>
      </c>
      <c r="P170" s="6">
        <v>42</v>
      </c>
      <c r="Q170" s="4" t="s">
        <v>26</v>
      </c>
      <c r="R170" s="4">
        <v>0</v>
      </c>
      <c r="S170" s="4">
        <v>0</v>
      </c>
      <c r="T170" s="4">
        <v>50</v>
      </c>
      <c r="U170" s="4">
        <v>1</v>
      </c>
      <c r="V170" s="6">
        <f>IF(ISERROR(VLOOKUP($S$170,'TAR FIN'!$A$1:$O$88,15,0)),0,VLOOKUP($S$170,'TAR FIN'!$A$1:$O$88,15,0))</f>
        <v>0</v>
      </c>
      <c r="W170" s="6">
        <f>IF(ISERROR(VLOOKUP($T$170,'TAR FIN'!$A$1:$O$88,15,0)),0,VLOOKUP($T$170,'TAR FIN'!$A$1:$O$88,15,0))</f>
        <v>237.52</v>
      </c>
      <c r="X170" s="6">
        <f>IF(ISERROR(VLOOKUP($U$170,'TAR FIN'!$A$1:$O$88,15,0)),0,VLOOKUP($U$170,'TAR FIN'!$A$1:$O$88,15,0))</f>
        <v>254.23</v>
      </c>
      <c r="Y170" s="6"/>
      <c r="Z170" s="6">
        <f ca="1">('TUSD BE'!$AM$33+'TUSD BF'!$AM$33+'TUSD CVA'!$AM$33)*(1-CUSTOS!$M$38)</f>
        <v>329.38655465139976</v>
      </c>
      <c r="AA170" s="6">
        <f>('TE BE'!$AB$24+'TE BF'!$AB$24+'TE CVA'!$AB$24)*(1-CUSTOS!$M$38)</f>
        <v>195.17260177664326</v>
      </c>
      <c r="AB170" s="6">
        <f t="shared" si="18"/>
        <v>0</v>
      </c>
      <c r="AC170" s="6">
        <f>(L170-M170)*(W170+X170)+($W$74+$X$74-$W$170-$X$170)*(L170)</f>
        <v>635.46055999999976</v>
      </c>
      <c r="AD170" s="6">
        <f t="shared" si="19"/>
        <v>0</v>
      </c>
      <c r="AE170" s="6">
        <f ca="1">(L170-M170)*(Z170+AA170)+($Z$74+$AA$74-$Z$170-$AA$170)*(L170)</f>
        <v>317.28016380715763</v>
      </c>
      <c r="AF170" s="4" t="s">
        <v>737</v>
      </c>
    </row>
    <row r="171" spans="1:32" ht="11.25" customHeight="1" x14ac:dyDescent="0.25">
      <c r="A171" s="4" t="s">
        <v>21</v>
      </c>
      <c r="B171" s="4" t="s">
        <v>41</v>
      </c>
      <c r="C171" s="4" t="s">
        <v>23</v>
      </c>
      <c r="D171" s="4" t="s">
        <v>42</v>
      </c>
      <c r="E171" s="4" t="s">
        <v>25</v>
      </c>
      <c r="F171" s="4" t="s">
        <v>25</v>
      </c>
      <c r="G171" s="4" t="s">
        <v>25</v>
      </c>
      <c r="H171" s="4" t="s">
        <v>25</v>
      </c>
      <c r="I171" s="5">
        <v>44713</v>
      </c>
      <c r="J171" s="6">
        <v>0</v>
      </c>
      <c r="K171" s="6">
        <v>0</v>
      </c>
      <c r="L171" s="6">
        <v>252.16800000000001</v>
      </c>
      <c r="M171" s="6">
        <v>252.16800000000001</v>
      </c>
      <c r="N171" s="6">
        <v>252.16800000000001</v>
      </c>
      <c r="O171" s="6">
        <v>252.16800000000001</v>
      </c>
      <c r="P171" s="6">
        <v>709</v>
      </c>
      <c r="Q171" s="4" t="s">
        <v>26</v>
      </c>
      <c r="R171" s="4">
        <v>0</v>
      </c>
      <c r="S171" s="4">
        <v>0</v>
      </c>
      <c r="T171" s="4">
        <v>50</v>
      </c>
      <c r="U171" s="4">
        <v>1</v>
      </c>
      <c r="V171" s="6">
        <f>IF(ISERROR(VLOOKUP($S$171,'TAR FIN'!$A$1:$O$88,15,0)),0,VLOOKUP($S$171,'TAR FIN'!$A$1:$O$88,15,0))</f>
        <v>0</v>
      </c>
      <c r="W171" s="6">
        <f>IF(ISERROR(VLOOKUP($T$171,'TAR FIN'!$A$1:$O$88,15,0)),0,VLOOKUP($T$171,'TAR FIN'!$A$1:$O$88,15,0))</f>
        <v>237.52</v>
      </c>
      <c r="X171" s="6">
        <f>IF(ISERROR(VLOOKUP($U$171,'TAR FIN'!$A$1:$O$88,15,0)),0,VLOOKUP($U$171,'TAR FIN'!$A$1:$O$88,15,0))</f>
        <v>254.23</v>
      </c>
      <c r="Y171" s="6"/>
      <c r="Z171" s="6">
        <f ca="1">('TUSD BE'!$AM$33+'TUSD BF'!$AM$33+'TUSD CVA'!$AM$33)*(1-CUSTOS!$M$38)</f>
        <v>329.38655465139976</v>
      </c>
      <c r="AA171" s="6">
        <f>('TE BE'!$AB$24+'TE BF'!$AB$24+'TE CVA'!$AB$24)*(1-CUSTOS!$M$38)</f>
        <v>195.17260177664326</v>
      </c>
      <c r="AB171" s="6">
        <f t="shared" si="18"/>
        <v>0</v>
      </c>
      <c r="AC171" s="6">
        <f>(L171-M171)*(W171+X171)+($W$74+$X$74-$W$171-$X$171)*(L171)</f>
        <v>16910.386079999993</v>
      </c>
      <c r="AD171" s="6">
        <f t="shared" si="19"/>
        <v>0</v>
      </c>
      <c r="AE171" s="6">
        <f ca="1">(L171-M171)*(Z171+AA171)+($Z$74+$AA$74-$Z$171-$AA$171)*(L171)</f>
        <v>8443.2148952008574</v>
      </c>
      <c r="AF171" s="4" t="s">
        <v>737</v>
      </c>
    </row>
    <row r="172" spans="1:32" ht="11.25" customHeight="1" x14ac:dyDescent="0.25">
      <c r="A172" s="4" t="s">
        <v>27</v>
      </c>
      <c r="B172" s="4" t="s">
        <v>41</v>
      </c>
      <c r="C172" s="4" t="s">
        <v>23</v>
      </c>
      <c r="D172" s="4" t="s">
        <v>42</v>
      </c>
      <c r="E172" s="4" t="s">
        <v>25</v>
      </c>
      <c r="F172" s="4" t="s">
        <v>25</v>
      </c>
      <c r="G172" s="4" t="s">
        <v>25</v>
      </c>
      <c r="H172" s="4" t="s">
        <v>25</v>
      </c>
      <c r="I172" s="5">
        <v>44713</v>
      </c>
      <c r="J172" s="6">
        <v>0</v>
      </c>
      <c r="K172" s="6">
        <v>0</v>
      </c>
      <c r="L172" s="6">
        <v>12.196999999999999</v>
      </c>
      <c r="M172" s="6">
        <v>12.196999999999999</v>
      </c>
      <c r="N172" s="6">
        <v>12.196999999999999</v>
      </c>
      <c r="O172" s="6">
        <v>12.196999999999999</v>
      </c>
      <c r="P172" s="6">
        <v>44</v>
      </c>
      <c r="Q172" s="4" t="s">
        <v>26</v>
      </c>
      <c r="R172" s="4">
        <v>0</v>
      </c>
      <c r="S172" s="4">
        <v>0</v>
      </c>
      <c r="T172" s="4">
        <v>50</v>
      </c>
      <c r="U172" s="4">
        <v>1</v>
      </c>
      <c r="V172" s="6">
        <f>IF(ISERROR(VLOOKUP($S$172,'TAR FIN'!$A$1:$O$88,15,0)),0,VLOOKUP($S$172,'TAR FIN'!$A$1:$O$88,15,0))</f>
        <v>0</v>
      </c>
      <c r="W172" s="6">
        <f>IF(ISERROR(VLOOKUP($T$172,'TAR FIN'!$A$1:$O$88,15,0)),0,VLOOKUP($T$172,'TAR FIN'!$A$1:$O$88,15,0))</f>
        <v>237.52</v>
      </c>
      <c r="X172" s="6">
        <f>IF(ISERROR(VLOOKUP($U$172,'TAR FIN'!$A$1:$O$88,15,0)),0,VLOOKUP($U$172,'TAR FIN'!$A$1:$O$88,15,0))</f>
        <v>254.23</v>
      </c>
      <c r="Y172" s="6"/>
      <c r="Z172" s="6">
        <f ca="1">('TUSD BE'!$AM$33+'TUSD BF'!$AM$33+'TUSD CVA'!$AM$33)*(1-CUSTOS!$M$38)</f>
        <v>329.38655465139976</v>
      </c>
      <c r="AA172" s="6">
        <f>('TE BE'!$AB$24+'TE BF'!$AB$24+'TE CVA'!$AB$24)*(1-CUSTOS!$M$38)</f>
        <v>195.17260177664326</v>
      </c>
      <c r="AB172" s="6">
        <f t="shared" si="18"/>
        <v>0</v>
      </c>
      <c r="AC172" s="6">
        <f>(L172-M172)*(W172+X172)+($W$74+$X$74-$W$172-$X$172)*(L172)</f>
        <v>817.93081999999958</v>
      </c>
      <c r="AD172" s="6">
        <f t="shared" si="19"/>
        <v>0</v>
      </c>
      <c r="AE172" s="6">
        <f ca="1">(L172-M172)*(Z172+AA172)+($Z$74+$AA$74-$Z$172-$AA$172)*(L172)</f>
        <v>408.38604452890468</v>
      </c>
      <c r="AF172" s="4" t="s">
        <v>737</v>
      </c>
    </row>
    <row r="173" spans="1:32" ht="11.25" customHeight="1" x14ac:dyDescent="0.25">
      <c r="A173" s="4" t="s">
        <v>55</v>
      </c>
      <c r="B173" s="4" t="s">
        <v>41</v>
      </c>
      <c r="C173" s="4" t="s">
        <v>23</v>
      </c>
      <c r="D173" s="4" t="s">
        <v>42</v>
      </c>
      <c r="E173" s="4" t="s">
        <v>25</v>
      </c>
      <c r="F173" s="4" t="s">
        <v>25</v>
      </c>
      <c r="G173" s="4" t="s">
        <v>25</v>
      </c>
      <c r="H173" s="4" t="s">
        <v>25</v>
      </c>
      <c r="I173" s="5">
        <v>44743</v>
      </c>
      <c r="J173" s="6">
        <v>0</v>
      </c>
      <c r="K173" s="6">
        <v>0</v>
      </c>
      <c r="L173" s="6">
        <v>252.16800000000001</v>
      </c>
      <c r="M173" s="6">
        <v>252.16800000000001</v>
      </c>
      <c r="N173" s="6">
        <v>252.16800000000001</v>
      </c>
      <c r="O173" s="6">
        <v>252.16800000000001</v>
      </c>
      <c r="P173" s="6">
        <v>709</v>
      </c>
      <c r="Q173" s="4" t="s">
        <v>26</v>
      </c>
      <c r="R173" s="4">
        <v>0</v>
      </c>
      <c r="S173" s="4">
        <v>0</v>
      </c>
      <c r="T173" s="4">
        <v>50</v>
      </c>
      <c r="U173" s="4">
        <v>1</v>
      </c>
      <c r="V173" s="6">
        <f>IF(ISERROR(VLOOKUP($S$173,'TAR FIN'!$A$1:$O$88,15,0)),0,VLOOKUP($S$173,'TAR FIN'!$A$1:$O$88,15,0))</f>
        <v>0</v>
      </c>
      <c r="W173" s="6">
        <f>IF(ISERROR(VLOOKUP($T$173,'TAR FIN'!$A$1:$O$88,15,0)),0,VLOOKUP($T$173,'TAR FIN'!$A$1:$O$88,15,0))</f>
        <v>237.52</v>
      </c>
      <c r="X173" s="6">
        <f>IF(ISERROR(VLOOKUP($U$173,'TAR FIN'!$A$1:$O$88,15,0)),0,VLOOKUP($U$173,'TAR FIN'!$A$1:$O$88,15,0))</f>
        <v>254.23</v>
      </c>
      <c r="Y173" s="6"/>
      <c r="Z173" s="6">
        <f ca="1">('TUSD BE'!$AM$33+'TUSD BF'!$AM$33+'TUSD CVA'!$AM$33)*(1-CUSTOS!$M$38)</f>
        <v>329.38655465139976</v>
      </c>
      <c r="AA173" s="6">
        <f>('TE BE'!$AB$24+'TE BF'!$AB$24+'TE CVA'!$AB$24)*(1-CUSTOS!$M$38)</f>
        <v>195.17260177664326</v>
      </c>
      <c r="AB173" s="6">
        <f t="shared" si="18"/>
        <v>0</v>
      </c>
      <c r="AC173" s="6">
        <f>(L173-M173)*(W173+X173)+($W$74+$X$74-$W$173-$X$173)*(L173)</f>
        <v>16910.386079999993</v>
      </c>
      <c r="AD173" s="6">
        <f t="shared" si="19"/>
        <v>0</v>
      </c>
      <c r="AE173" s="6">
        <f ca="1">(L173-M173)*(Z173+AA173)+($Z$74+$AA$74-$Z$173-$AA$173)*(L173)</f>
        <v>8443.2148952008574</v>
      </c>
      <c r="AF173" s="4" t="s">
        <v>737</v>
      </c>
    </row>
    <row r="174" spans="1:32" ht="11.25" customHeight="1" x14ac:dyDescent="0.25">
      <c r="A174" s="4" t="s">
        <v>55</v>
      </c>
      <c r="B174" s="4" t="s">
        <v>41</v>
      </c>
      <c r="C174" s="4" t="s">
        <v>23</v>
      </c>
      <c r="D174" s="4" t="s">
        <v>42</v>
      </c>
      <c r="E174" s="4" t="s">
        <v>25</v>
      </c>
      <c r="F174" s="4" t="s">
        <v>25</v>
      </c>
      <c r="G174" s="4" t="s">
        <v>25</v>
      </c>
      <c r="H174" s="4" t="s">
        <v>25</v>
      </c>
      <c r="I174" s="5">
        <v>44743</v>
      </c>
      <c r="J174" s="6">
        <v>0</v>
      </c>
      <c r="K174" s="6">
        <v>0</v>
      </c>
      <c r="L174" s="6">
        <v>12.196999999999999</v>
      </c>
      <c r="M174" s="6">
        <v>12.196999999999999</v>
      </c>
      <c r="N174" s="6">
        <v>12.196999999999999</v>
      </c>
      <c r="O174" s="6">
        <v>12.196999999999999</v>
      </c>
      <c r="P174" s="6">
        <v>44</v>
      </c>
      <c r="Q174" s="4" t="s">
        <v>26</v>
      </c>
      <c r="R174" s="4">
        <v>0</v>
      </c>
      <c r="S174" s="4">
        <v>0</v>
      </c>
      <c r="T174" s="4">
        <v>50</v>
      </c>
      <c r="U174" s="4">
        <v>1</v>
      </c>
      <c r="V174" s="6">
        <f>IF(ISERROR(VLOOKUP($S$174,'TAR FIN'!$A$1:$O$88,15,0)),0,VLOOKUP($S$174,'TAR FIN'!$A$1:$O$88,15,0))</f>
        <v>0</v>
      </c>
      <c r="W174" s="6">
        <f>IF(ISERROR(VLOOKUP($T$174,'TAR FIN'!$A$1:$O$88,15,0)),0,VLOOKUP($T$174,'TAR FIN'!$A$1:$O$88,15,0))</f>
        <v>237.52</v>
      </c>
      <c r="X174" s="6">
        <f>IF(ISERROR(VLOOKUP($U$174,'TAR FIN'!$A$1:$O$88,15,0)),0,VLOOKUP($U$174,'TAR FIN'!$A$1:$O$88,15,0))</f>
        <v>254.23</v>
      </c>
      <c r="Y174" s="6"/>
      <c r="Z174" s="6">
        <f ca="1">('TUSD BE'!$AM$33+'TUSD BF'!$AM$33+'TUSD CVA'!$AM$33)*(1-CUSTOS!$M$38)</f>
        <v>329.38655465139976</v>
      </c>
      <c r="AA174" s="6">
        <f>('TE BE'!$AB$24+'TE BF'!$AB$24+'TE CVA'!$AB$24)*(1-CUSTOS!$M$38)</f>
        <v>195.17260177664326</v>
      </c>
      <c r="AB174" s="6">
        <f t="shared" si="18"/>
        <v>0</v>
      </c>
      <c r="AC174" s="6">
        <f>(L174-M174)*(W174+X174)+($W$74+$X$74-$W$174-$X$174)*(L174)</f>
        <v>817.93081999999958</v>
      </c>
      <c r="AD174" s="6">
        <f t="shared" si="19"/>
        <v>0</v>
      </c>
      <c r="AE174" s="6">
        <f ca="1">(L174-M174)*(Z174+AA174)+($Z$74+$AA$74-$Z$174-$AA$174)*(L174)</f>
        <v>408.38604452890468</v>
      </c>
      <c r="AF174" s="4" t="s">
        <v>737</v>
      </c>
    </row>
    <row r="175" spans="1:32" ht="11.25" customHeight="1" x14ac:dyDescent="0.25">
      <c r="A175" s="4" t="s">
        <v>21</v>
      </c>
      <c r="B175" s="4" t="s">
        <v>36</v>
      </c>
      <c r="C175" s="4" t="s">
        <v>23</v>
      </c>
      <c r="D175" s="4" t="s">
        <v>47</v>
      </c>
      <c r="E175" s="4" t="s">
        <v>48</v>
      </c>
      <c r="F175" s="4" t="s">
        <v>25</v>
      </c>
      <c r="G175" s="4" t="s">
        <v>25</v>
      </c>
      <c r="H175" s="4" t="s">
        <v>25</v>
      </c>
      <c r="I175" s="5">
        <v>44409</v>
      </c>
      <c r="J175" s="6">
        <v>0</v>
      </c>
      <c r="K175" s="58">
        <v>0</v>
      </c>
      <c r="L175" s="6">
        <v>19.503</v>
      </c>
      <c r="M175" s="58">
        <v>19.503</v>
      </c>
      <c r="N175" s="6">
        <v>19.503</v>
      </c>
      <c r="O175" s="58">
        <v>19.503</v>
      </c>
      <c r="P175" s="6">
        <v>8</v>
      </c>
      <c r="Q175" s="4" t="s">
        <v>26</v>
      </c>
      <c r="R175" s="4">
        <v>0</v>
      </c>
      <c r="S175" s="4">
        <v>0</v>
      </c>
      <c r="T175" s="4">
        <v>65</v>
      </c>
      <c r="U175" s="4">
        <v>25</v>
      </c>
      <c r="V175" s="58">
        <f>IF(ISERROR(VLOOKUP($S$175,'TAR FIN'!$A$1:$O$88,15,0)),0,VLOOKUP($S$175,'TAR FIN'!$A$1:$O$88,15,0))</f>
        <v>0</v>
      </c>
      <c r="W175" s="58">
        <f>IF(ISERROR(VLOOKUP($T$175,'TAR FIN'!$A$1:$O$88,15,0)),0,VLOOKUP($T$175,'TAR FIN'!$A$1:$O$88,15,0))*(1-0.06)</f>
        <v>253.71540000000002</v>
      </c>
      <c r="X175" s="58">
        <f>IF(ISERROR(VLOOKUP($U$175,'TAR FIN'!$A$1:$O$88,15,0)),0,VLOOKUP($U$175,'TAR FIN'!$A$1:$O$88,15,0))*(1-0.06)</f>
        <v>271.56599999999997</v>
      </c>
      <c r="Y175" s="58"/>
      <c r="Z175" s="58">
        <f ca="1">('TUSD BE'!$AM$48+'TUSD BF'!$AM$48+'TUSD CVA'!$AM$48)*1*(1-0.03)</f>
        <v>339.89889150197632</v>
      </c>
      <c r="AA175" s="58">
        <f>('TE BE'!$AB$39+'TE BF'!$AB$39+'TE CVA'!$AB$39)*1*(1-0.03)</f>
        <v>201.40151459930209</v>
      </c>
      <c r="AB175" s="58">
        <f>(SUBSIDIO!$J$175*SUBSIDIO!$V$175)*(0.06)/(1-0.06)</f>
        <v>0</v>
      </c>
      <c r="AC175" s="58">
        <f>((SUBSIDIO!$L$175*SUBSIDIO!$W$175)+(SUBSIDIO!$N$175*SUBSIDIO!$X$175))*(0.06)/(1-0.06)</f>
        <v>653.90828580000004</v>
      </c>
      <c r="AD175" s="58">
        <f>(SUBSIDIO!$J$175*SUBSIDIO!$Y$175)*(0.03)/(1-0.03)</f>
        <v>0</v>
      </c>
      <c r="AE175" s="58">
        <f ca="1">((SUBSIDIO!$L$175*SUBSIDIO!$Z$175)+(SUBSIDIO!$N$175*SUBSIDIO!$AA$175))*(0.03)/(1-0.03)</f>
        <v>326.50459237711027</v>
      </c>
      <c r="AF175" s="4" t="s">
        <v>735</v>
      </c>
    </row>
    <row r="176" spans="1:32" ht="11.25" customHeight="1" x14ac:dyDescent="0.25">
      <c r="A176" s="4" t="s">
        <v>21</v>
      </c>
      <c r="B176" s="4" t="s">
        <v>36</v>
      </c>
      <c r="C176" s="4" t="s">
        <v>23</v>
      </c>
      <c r="D176" s="4" t="s">
        <v>47</v>
      </c>
      <c r="E176" s="4" t="s">
        <v>48</v>
      </c>
      <c r="F176" s="4" t="s">
        <v>25</v>
      </c>
      <c r="G176" s="4" t="s">
        <v>25</v>
      </c>
      <c r="H176" s="4" t="s">
        <v>25</v>
      </c>
      <c r="I176" s="5">
        <v>44440</v>
      </c>
      <c r="J176" s="6">
        <v>0</v>
      </c>
      <c r="K176" s="58">
        <v>0</v>
      </c>
      <c r="L176" s="6">
        <v>21.786999999999999</v>
      </c>
      <c r="M176" s="58">
        <v>21.786999999999999</v>
      </c>
      <c r="N176" s="6">
        <v>21.786999999999999</v>
      </c>
      <c r="O176" s="58">
        <v>21.786999999999999</v>
      </c>
      <c r="P176" s="6">
        <v>8</v>
      </c>
      <c r="Q176" s="4" t="s">
        <v>26</v>
      </c>
      <c r="R176" s="4">
        <v>0</v>
      </c>
      <c r="S176" s="4">
        <v>0</v>
      </c>
      <c r="T176" s="4">
        <v>65</v>
      </c>
      <c r="U176" s="4">
        <v>25</v>
      </c>
      <c r="V176" s="58">
        <f>IF(ISERROR(VLOOKUP($S$176,'TAR FIN'!$A$1:$O$88,15,0)),0,VLOOKUP($S$176,'TAR FIN'!$A$1:$O$88,15,0))</f>
        <v>0</v>
      </c>
      <c r="W176" s="58">
        <f>IF(ISERROR(VLOOKUP($T$176,'TAR FIN'!$A$1:$O$88,15,0)),0,VLOOKUP($T$176,'TAR FIN'!$A$1:$O$88,15,0))*(1-0.06)</f>
        <v>253.71540000000002</v>
      </c>
      <c r="X176" s="58">
        <f>IF(ISERROR(VLOOKUP($U$176,'TAR FIN'!$A$1:$O$88,15,0)),0,VLOOKUP($U$176,'TAR FIN'!$A$1:$O$88,15,0))*(1-0.06)</f>
        <v>271.56599999999997</v>
      </c>
      <c r="Y176" s="58"/>
      <c r="Z176" s="58">
        <f ca="1">('TUSD BE'!$AM$48+'TUSD BF'!$AM$48+'TUSD CVA'!$AM$48)*1*(1-0.03)</f>
        <v>339.89889150197632</v>
      </c>
      <c r="AA176" s="58">
        <f>('TE BE'!$AB$39+'TE BF'!$AB$39+'TE CVA'!$AB$39)*1*(1-0.03)</f>
        <v>201.40151459930209</v>
      </c>
      <c r="AB176" s="58">
        <f>(SUBSIDIO!$J$176*SUBSIDIO!$V$176)*(0.06)/(1-0.06)</f>
        <v>0</v>
      </c>
      <c r="AC176" s="58">
        <f>((SUBSIDIO!$L$176*SUBSIDIO!$W$176)+(SUBSIDIO!$N$176*SUBSIDIO!$X$176))*(0.06)/(1-0.06)</f>
        <v>730.48760819999995</v>
      </c>
      <c r="AD176" s="58">
        <f>(SUBSIDIO!$J$176*SUBSIDIO!$Y$176)*(0.03)/(1-0.03)</f>
        <v>0</v>
      </c>
      <c r="AE176" s="58">
        <f ca="1">((SUBSIDIO!$L$176*SUBSIDIO!$Z$176)+(SUBSIDIO!$N$176*SUBSIDIO!$AA$176))*(0.03)/(1-0.03)</f>
        <v>364.74160663077993</v>
      </c>
      <c r="AF176" s="4" t="s">
        <v>735</v>
      </c>
    </row>
    <row r="177" spans="1:32" ht="11.25" customHeight="1" x14ac:dyDescent="0.25">
      <c r="A177" s="4" t="s">
        <v>21</v>
      </c>
      <c r="B177" s="4" t="s">
        <v>36</v>
      </c>
      <c r="C177" s="4" t="s">
        <v>23</v>
      </c>
      <c r="D177" s="4" t="s">
        <v>47</v>
      </c>
      <c r="E177" s="4" t="s">
        <v>48</v>
      </c>
      <c r="F177" s="4" t="s">
        <v>25</v>
      </c>
      <c r="G177" s="4" t="s">
        <v>25</v>
      </c>
      <c r="H177" s="4" t="s">
        <v>25</v>
      </c>
      <c r="I177" s="5">
        <v>44470</v>
      </c>
      <c r="J177" s="6">
        <v>0</v>
      </c>
      <c r="K177" s="58">
        <v>0</v>
      </c>
      <c r="L177" s="6">
        <v>19.158000000000001</v>
      </c>
      <c r="M177" s="58">
        <v>19.158000000000001</v>
      </c>
      <c r="N177" s="6">
        <v>19.158000000000001</v>
      </c>
      <c r="O177" s="58">
        <v>19.158000000000001</v>
      </c>
      <c r="P177" s="6">
        <v>8</v>
      </c>
      <c r="Q177" s="4" t="s">
        <v>26</v>
      </c>
      <c r="R177" s="4">
        <v>0</v>
      </c>
      <c r="S177" s="4">
        <v>0</v>
      </c>
      <c r="T177" s="4">
        <v>65</v>
      </c>
      <c r="U177" s="4">
        <v>25</v>
      </c>
      <c r="V177" s="58">
        <f>IF(ISERROR(VLOOKUP($S$177,'TAR FIN'!$A$1:$O$88,15,0)),0,VLOOKUP($S$177,'TAR FIN'!$A$1:$O$88,15,0))</f>
        <v>0</v>
      </c>
      <c r="W177" s="58">
        <f>IF(ISERROR(VLOOKUP($T$177,'TAR FIN'!$A$1:$O$88,15,0)),0,VLOOKUP($T$177,'TAR FIN'!$A$1:$O$88,15,0))*(1-0.06)</f>
        <v>253.71540000000002</v>
      </c>
      <c r="X177" s="58">
        <f>IF(ISERROR(VLOOKUP($U$177,'TAR FIN'!$A$1:$O$88,15,0)),0,VLOOKUP($U$177,'TAR FIN'!$A$1:$O$88,15,0))*(1-0.06)</f>
        <v>271.56599999999997</v>
      </c>
      <c r="Y177" s="58"/>
      <c r="Z177" s="58">
        <f ca="1">('TUSD BE'!$AM$48+'TUSD BF'!$AM$48+'TUSD CVA'!$AM$48)*1*(1-0.03)</f>
        <v>339.89889150197632</v>
      </c>
      <c r="AA177" s="58">
        <f>('TE BE'!$AB$39+'TE BF'!$AB$39+'TE CVA'!$AB$39)*1*(1-0.03)</f>
        <v>201.40151459930209</v>
      </c>
      <c r="AB177" s="58">
        <f>(SUBSIDIO!$J$177*SUBSIDIO!$V$177)*(0.06)/(1-0.06)</f>
        <v>0</v>
      </c>
      <c r="AC177" s="58">
        <f>((SUBSIDIO!$L$177*SUBSIDIO!$W$177)+(SUBSIDIO!$N$177*SUBSIDIO!$X$177))*(0.06)/(1-0.06)</f>
        <v>642.34091880000005</v>
      </c>
      <c r="AD177" s="58">
        <f>(SUBSIDIO!$J$177*SUBSIDIO!$Y$177)*(0.03)/(1-0.03)</f>
        <v>0</v>
      </c>
      <c r="AE177" s="58">
        <f ca="1">((SUBSIDIO!$L$177*SUBSIDIO!$Z$177)+(SUBSIDIO!$N$177*SUBSIDIO!$AA$177))*(0.03)/(1-0.03)</f>
        <v>320.72886123984415</v>
      </c>
      <c r="AF177" s="4" t="s">
        <v>735</v>
      </c>
    </row>
    <row r="178" spans="1:32" ht="11.25" customHeight="1" x14ac:dyDescent="0.25">
      <c r="A178" s="4" t="s">
        <v>21</v>
      </c>
      <c r="B178" s="4" t="s">
        <v>36</v>
      </c>
      <c r="C178" s="4" t="s">
        <v>23</v>
      </c>
      <c r="D178" s="4" t="s">
        <v>47</v>
      </c>
      <c r="E178" s="4" t="s">
        <v>48</v>
      </c>
      <c r="F178" s="4" t="s">
        <v>25</v>
      </c>
      <c r="G178" s="4" t="s">
        <v>25</v>
      </c>
      <c r="H178" s="4" t="s">
        <v>25</v>
      </c>
      <c r="I178" s="5">
        <v>44501</v>
      </c>
      <c r="J178" s="6">
        <v>0</v>
      </c>
      <c r="K178" s="58">
        <v>0</v>
      </c>
      <c r="L178" s="6">
        <v>20.58</v>
      </c>
      <c r="M178" s="58">
        <v>20.58</v>
      </c>
      <c r="N178" s="6">
        <v>20.58</v>
      </c>
      <c r="O178" s="58">
        <v>20.58</v>
      </c>
      <c r="P178" s="6">
        <v>8</v>
      </c>
      <c r="Q178" s="4" t="s">
        <v>26</v>
      </c>
      <c r="R178" s="4">
        <v>0</v>
      </c>
      <c r="S178" s="4">
        <v>0</v>
      </c>
      <c r="T178" s="4">
        <v>65</v>
      </c>
      <c r="U178" s="4">
        <v>25</v>
      </c>
      <c r="V178" s="58">
        <f>IF(ISERROR(VLOOKUP($S$178,'TAR FIN'!$A$1:$O$88,15,0)),0,VLOOKUP($S$178,'TAR FIN'!$A$1:$O$88,15,0))</f>
        <v>0</v>
      </c>
      <c r="W178" s="58">
        <f>IF(ISERROR(VLOOKUP($T$178,'TAR FIN'!$A$1:$O$88,15,0)),0,VLOOKUP($T$178,'TAR FIN'!$A$1:$O$88,15,0))*(1-0.06)</f>
        <v>253.71540000000002</v>
      </c>
      <c r="X178" s="58">
        <f>IF(ISERROR(VLOOKUP($U$178,'TAR FIN'!$A$1:$O$88,15,0)),0,VLOOKUP($U$178,'TAR FIN'!$A$1:$O$88,15,0))*(1-0.06)</f>
        <v>271.56599999999997</v>
      </c>
      <c r="Y178" s="58"/>
      <c r="Z178" s="58">
        <f ca="1">('TUSD BE'!$AM$48+'TUSD BF'!$AM$48+'TUSD CVA'!$AM$48)*1*(1-0.03)</f>
        <v>339.89889150197632</v>
      </c>
      <c r="AA178" s="58">
        <f>('TE BE'!$AB$39+'TE BF'!$AB$39+'TE CVA'!$AB$39)*1*(1-0.03)</f>
        <v>201.40151459930209</v>
      </c>
      <c r="AB178" s="58">
        <f>(SUBSIDIO!$J$178*SUBSIDIO!$V$178)*(0.06)/(1-0.06)</f>
        <v>0</v>
      </c>
      <c r="AC178" s="58">
        <f>((SUBSIDIO!$L$178*SUBSIDIO!$W$178)+(SUBSIDIO!$N$178*SUBSIDIO!$X$178))*(0.06)/(1-0.06)</f>
        <v>690.01858800000002</v>
      </c>
      <c r="AD178" s="58">
        <f>(SUBSIDIO!$J$178*SUBSIDIO!$Y$178)*(0.03)/(1-0.03)</f>
        <v>0</v>
      </c>
      <c r="AE178" s="58">
        <f ca="1">((SUBSIDIO!$L$178*SUBSIDIO!$Z$178)+(SUBSIDIO!$N$178*SUBSIDIO!$AA$178))*(0.03)/(1-0.03)</f>
        <v>344.53491827518485</v>
      </c>
      <c r="AF178" s="4" t="s">
        <v>735</v>
      </c>
    </row>
    <row r="179" spans="1:32" ht="11.25" customHeight="1" x14ac:dyDescent="0.25">
      <c r="A179" s="4" t="s">
        <v>21</v>
      </c>
      <c r="B179" s="4" t="s">
        <v>36</v>
      </c>
      <c r="C179" s="4" t="s">
        <v>23</v>
      </c>
      <c r="D179" s="4" t="s">
        <v>47</v>
      </c>
      <c r="E179" s="4" t="s">
        <v>48</v>
      </c>
      <c r="F179" s="4" t="s">
        <v>25</v>
      </c>
      <c r="G179" s="4" t="s">
        <v>25</v>
      </c>
      <c r="H179" s="4" t="s">
        <v>25</v>
      </c>
      <c r="I179" s="5">
        <v>44531</v>
      </c>
      <c r="J179" s="6">
        <v>0</v>
      </c>
      <c r="K179" s="58">
        <v>0</v>
      </c>
      <c r="L179" s="6">
        <v>22.370999999999999</v>
      </c>
      <c r="M179" s="58">
        <v>22.370999999999999</v>
      </c>
      <c r="N179" s="6">
        <v>22.370999999999999</v>
      </c>
      <c r="O179" s="58">
        <v>22.370999999999999</v>
      </c>
      <c r="P179" s="6">
        <v>8</v>
      </c>
      <c r="Q179" s="4" t="s">
        <v>26</v>
      </c>
      <c r="R179" s="4">
        <v>0</v>
      </c>
      <c r="S179" s="4">
        <v>0</v>
      </c>
      <c r="T179" s="4">
        <v>65</v>
      </c>
      <c r="U179" s="4">
        <v>25</v>
      </c>
      <c r="V179" s="58">
        <f>IF(ISERROR(VLOOKUP($S$179,'TAR FIN'!$A$1:$O$88,15,0)),0,VLOOKUP($S$179,'TAR FIN'!$A$1:$O$88,15,0))</f>
        <v>0</v>
      </c>
      <c r="W179" s="58">
        <f>IF(ISERROR(VLOOKUP($T$179,'TAR FIN'!$A$1:$O$88,15,0)),0,VLOOKUP($T$179,'TAR FIN'!$A$1:$O$88,15,0))*(1-0.06)</f>
        <v>253.71540000000002</v>
      </c>
      <c r="X179" s="58">
        <f>IF(ISERROR(VLOOKUP($U$179,'TAR FIN'!$A$1:$O$88,15,0)),0,VLOOKUP($U$179,'TAR FIN'!$A$1:$O$88,15,0))*(1-0.06)</f>
        <v>271.56599999999997</v>
      </c>
      <c r="Y179" s="58"/>
      <c r="Z179" s="58">
        <f ca="1">('TUSD BE'!$AM$48+'TUSD BF'!$AM$48+'TUSD CVA'!$AM$48)*1*(1-0.03)</f>
        <v>339.89889150197632</v>
      </c>
      <c r="AA179" s="58">
        <f>('TE BE'!$AB$39+'TE BF'!$AB$39+'TE CVA'!$AB$39)*1*(1-0.03)</f>
        <v>201.40151459930209</v>
      </c>
      <c r="AB179" s="58">
        <f>(SUBSIDIO!$J$179*SUBSIDIO!$V$179)*(0.06)/(1-0.06)</f>
        <v>0</v>
      </c>
      <c r="AC179" s="58">
        <f>((SUBSIDIO!$L$179*SUBSIDIO!$W$179)+(SUBSIDIO!$N$179*SUBSIDIO!$X$179))*(0.06)/(1-0.06)</f>
        <v>750.06831060000002</v>
      </c>
      <c r="AD179" s="58">
        <f>(SUBSIDIO!$J$179*SUBSIDIO!$Y$179)*(0.03)/(1-0.03)</f>
        <v>0</v>
      </c>
      <c r="AE179" s="58">
        <f ca="1">((SUBSIDIO!$L$179*SUBSIDIO!$Z$179)+(SUBSIDIO!$N$179*SUBSIDIO!$AA$179))*(0.03)/(1-0.03)</f>
        <v>374.51849643994944</v>
      </c>
      <c r="AF179" s="4" t="s">
        <v>735</v>
      </c>
    </row>
    <row r="180" spans="1:32" ht="11.25" customHeight="1" x14ac:dyDescent="0.25">
      <c r="A180" s="4" t="s">
        <v>21</v>
      </c>
      <c r="B180" s="4" t="s">
        <v>36</v>
      </c>
      <c r="C180" s="4" t="s">
        <v>23</v>
      </c>
      <c r="D180" s="4" t="s">
        <v>47</v>
      </c>
      <c r="E180" s="4" t="s">
        <v>48</v>
      </c>
      <c r="F180" s="4" t="s">
        <v>25</v>
      </c>
      <c r="G180" s="4" t="s">
        <v>25</v>
      </c>
      <c r="H180" s="4" t="s">
        <v>25</v>
      </c>
      <c r="I180" s="5">
        <v>44562</v>
      </c>
      <c r="J180" s="6">
        <v>0</v>
      </c>
      <c r="K180" s="58">
        <v>0</v>
      </c>
      <c r="L180" s="6">
        <v>19.013000000000002</v>
      </c>
      <c r="M180" s="58">
        <v>19.013000000000002</v>
      </c>
      <c r="N180" s="6">
        <v>19.013000000000002</v>
      </c>
      <c r="O180" s="58">
        <v>19.013000000000002</v>
      </c>
      <c r="P180" s="6">
        <v>8</v>
      </c>
      <c r="Q180" s="4" t="s">
        <v>26</v>
      </c>
      <c r="R180" s="4">
        <v>0</v>
      </c>
      <c r="S180" s="4">
        <v>0</v>
      </c>
      <c r="T180" s="4">
        <v>65</v>
      </c>
      <c r="U180" s="4">
        <v>25</v>
      </c>
      <c r="V180" s="58">
        <f>IF(ISERROR(VLOOKUP($S$180,'TAR FIN'!$A$1:$O$88,15,0)),0,VLOOKUP($S$180,'TAR FIN'!$A$1:$O$88,15,0))</f>
        <v>0</v>
      </c>
      <c r="W180" s="58">
        <f>IF(ISERROR(VLOOKUP($T$180,'TAR FIN'!$A$1:$O$88,15,0)),0,VLOOKUP($T$180,'TAR FIN'!$A$1:$O$88,15,0))*(1-0.06)</f>
        <v>253.71540000000002</v>
      </c>
      <c r="X180" s="58">
        <f>IF(ISERROR(VLOOKUP($U$180,'TAR FIN'!$A$1:$O$88,15,0)),0,VLOOKUP($U$180,'TAR FIN'!$A$1:$O$88,15,0))*(1-0.06)</f>
        <v>271.56599999999997</v>
      </c>
      <c r="Y180" s="58"/>
      <c r="Z180" s="58">
        <f ca="1">('TUSD BE'!$AM$48+'TUSD BF'!$AM$48+'TUSD CVA'!$AM$48)*1*(1-0.03)</f>
        <v>339.89889150197632</v>
      </c>
      <c r="AA180" s="58">
        <f>('TE BE'!$AB$39+'TE BF'!$AB$39+'TE CVA'!$AB$39)*1*(1-0.03)</f>
        <v>201.40151459930209</v>
      </c>
      <c r="AB180" s="58">
        <f>(SUBSIDIO!$J$180*SUBSIDIO!$V$180)*(0.06)/(1-0.06)</f>
        <v>0</v>
      </c>
      <c r="AC180" s="58">
        <f>((SUBSIDIO!$L$180*SUBSIDIO!$W$180)+(SUBSIDIO!$N$180*SUBSIDIO!$X$180))*(0.06)/(1-0.06)</f>
        <v>637.47927179999999</v>
      </c>
      <c r="AD180" s="58">
        <f>(SUBSIDIO!$J$180*SUBSIDIO!$Y$180)*(0.03)/(1-0.03)</f>
        <v>0</v>
      </c>
      <c r="AE180" s="58">
        <f ca="1">((SUBSIDIO!$L$180*SUBSIDIO!$Z$180)+(SUBSIDIO!$N$180*SUBSIDIO!$AA$180))*(0.03)/(1-0.03)</f>
        <v>318.30138003722493</v>
      </c>
      <c r="AF180" s="4" t="s">
        <v>735</v>
      </c>
    </row>
    <row r="181" spans="1:32" ht="11.25" customHeight="1" x14ac:dyDescent="0.25">
      <c r="A181" s="4" t="s">
        <v>21</v>
      </c>
      <c r="B181" s="4" t="s">
        <v>36</v>
      </c>
      <c r="C181" s="4" t="s">
        <v>23</v>
      </c>
      <c r="D181" s="4" t="s">
        <v>47</v>
      </c>
      <c r="E181" s="4" t="s">
        <v>48</v>
      </c>
      <c r="F181" s="4" t="s">
        <v>25</v>
      </c>
      <c r="G181" s="4" t="s">
        <v>25</v>
      </c>
      <c r="H181" s="4" t="s">
        <v>25</v>
      </c>
      <c r="I181" s="5">
        <v>44593</v>
      </c>
      <c r="J181" s="6">
        <v>0</v>
      </c>
      <c r="K181" s="58">
        <v>0</v>
      </c>
      <c r="L181" s="6">
        <v>17.38</v>
      </c>
      <c r="M181" s="58">
        <v>17.38</v>
      </c>
      <c r="N181" s="6">
        <v>17.38</v>
      </c>
      <c r="O181" s="58">
        <v>17.38</v>
      </c>
      <c r="P181" s="6">
        <v>8</v>
      </c>
      <c r="Q181" s="4" t="s">
        <v>26</v>
      </c>
      <c r="R181" s="4">
        <v>0</v>
      </c>
      <c r="S181" s="4">
        <v>0</v>
      </c>
      <c r="T181" s="4">
        <v>65</v>
      </c>
      <c r="U181" s="4">
        <v>25</v>
      </c>
      <c r="V181" s="58">
        <f>IF(ISERROR(VLOOKUP($S$181,'TAR FIN'!$A$1:$O$88,15,0)),0,VLOOKUP($S$181,'TAR FIN'!$A$1:$O$88,15,0))</f>
        <v>0</v>
      </c>
      <c r="W181" s="58">
        <f>IF(ISERROR(VLOOKUP($T$181,'TAR FIN'!$A$1:$O$88,15,0)),0,VLOOKUP($T$181,'TAR FIN'!$A$1:$O$88,15,0))*(1-0.06)</f>
        <v>253.71540000000002</v>
      </c>
      <c r="X181" s="58">
        <f>IF(ISERROR(VLOOKUP($U$181,'TAR FIN'!$A$1:$O$88,15,0)),0,VLOOKUP($U$181,'TAR FIN'!$A$1:$O$88,15,0))*(1-0.06)</f>
        <v>271.56599999999997</v>
      </c>
      <c r="Y181" s="58"/>
      <c r="Z181" s="58">
        <f ca="1">('TUSD BE'!$AM$48+'TUSD BF'!$AM$48+'TUSD CVA'!$AM$48)*1*(1-0.03)</f>
        <v>339.89889150197632</v>
      </c>
      <c r="AA181" s="58">
        <f>('TE BE'!$AB$39+'TE BF'!$AB$39+'TE CVA'!$AB$39)*1*(1-0.03)</f>
        <v>201.40151459930209</v>
      </c>
      <c r="AB181" s="58">
        <f>(SUBSIDIO!$J$181*SUBSIDIO!$V$181)*(0.06)/(1-0.06)</f>
        <v>0</v>
      </c>
      <c r="AC181" s="58">
        <f>((SUBSIDIO!$L$181*SUBSIDIO!$W$181)+(SUBSIDIO!$N$181*SUBSIDIO!$X$181))*(0.06)/(1-0.06)</f>
        <v>582.72706800000003</v>
      </c>
      <c r="AD181" s="58">
        <f>(SUBSIDIO!$J$181*SUBSIDIO!$Y$181)*(0.03)/(1-0.03)</f>
        <v>0</v>
      </c>
      <c r="AE181" s="58">
        <f ca="1">((SUBSIDIO!$L$181*SUBSIDIO!$Z$181)+(SUBSIDIO!$N$181*SUBSIDIO!$AA$181))*(0.03)/(1-0.03)</f>
        <v>290.96291932083147</v>
      </c>
      <c r="AF181" s="4" t="s">
        <v>735</v>
      </c>
    </row>
    <row r="182" spans="1:32" ht="11.25" customHeight="1" x14ac:dyDescent="0.25">
      <c r="A182" s="4" t="s">
        <v>21</v>
      </c>
      <c r="B182" s="4" t="s">
        <v>36</v>
      </c>
      <c r="C182" s="4" t="s">
        <v>23</v>
      </c>
      <c r="D182" s="4" t="s">
        <v>47</v>
      </c>
      <c r="E182" s="4" t="s">
        <v>48</v>
      </c>
      <c r="F182" s="4" t="s">
        <v>25</v>
      </c>
      <c r="G182" s="4" t="s">
        <v>25</v>
      </c>
      <c r="H182" s="4" t="s">
        <v>25</v>
      </c>
      <c r="I182" s="5">
        <v>44621</v>
      </c>
      <c r="J182" s="6">
        <v>0</v>
      </c>
      <c r="K182" s="58">
        <v>0</v>
      </c>
      <c r="L182" s="6">
        <v>19.004999999999999</v>
      </c>
      <c r="M182" s="58">
        <v>19.004999999999999</v>
      </c>
      <c r="N182" s="6">
        <v>19.004999999999999</v>
      </c>
      <c r="O182" s="58">
        <v>19.004999999999999</v>
      </c>
      <c r="P182" s="6">
        <v>8</v>
      </c>
      <c r="Q182" s="4" t="s">
        <v>26</v>
      </c>
      <c r="R182" s="4">
        <v>0</v>
      </c>
      <c r="S182" s="4">
        <v>0</v>
      </c>
      <c r="T182" s="4">
        <v>65</v>
      </c>
      <c r="U182" s="4">
        <v>25</v>
      </c>
      <c r="V182" s="58">
        <f>IF(ISERROR(VLOOKUP($S$182,'TAR FIN'!$A$1:$O$88,15,0)),0,VLOOKUP($S$182,'TAR FIN'!$A$1:$O$88,15,0))</f>
        <v>0</v>
      </c>
      <c r="W182" s="58">
        <f>IF(ISERROR(VLOOKUP($T$182,'TAR FIN'!$A$1:$O$88,15,0)),0,VLOOKUP($T$182,'TAR FIN'!$A$1:$O$88,15,0))*(1-0.06)</f>
        <v>253.71540000000002</v>
      </c>
      <c r="X182" s="58">
        <f>IF(ISERROR(VLOOKUP($U$182,'TAR FIN'!$A$1:$O$88,15,0)),0,VLOOKUP($U$182,'TAR FIN'!$A$1:$O$88,15,0))*(1-0.06)</f>
        <v>271.56599999999997</v>
      </c>
      <c r="Y182" s="58"/>
      <c r="Z182" s="58">
        <f ca="1">('TUSD BE'!$AM$48+'TUSD BF'!$AM$48+'TUSD CVA'!$AM$48)*1*(1-0.03)</f>
        <v>339.89889150197632</v>
      </c>
      <c r="AA182" s="58">
        <f>('TE BE'!$AB$39+'TE BF'!$AB$39+'TE CVA'!$AB$39)*1*(1-0.03)</f>
        <v>201.40151459930209</v>
      </c>
      <c r="AB182" s="58">
        <f>(SUBSIDIO!$J$182*SUBSIDIO!$V$182)*(0.06)/(1-0.06)</f>
        <v>0</v>
      </c>
      <c r="AC182" s="58">
        <f>((SUBSIDIO!$L$182*SUBSIDIO!$W$182)+(SUBSIDIO!$N$182*SUBSIDIO!$X$182))*(0.06)/(1-0.06)</f>
        <v>637.2110429999999</v>
      </c>
      <c r="AD182" s="58">
        <f>(SUBSIDIO!$J$182*SUBSIDIO!$Y$182)*(0.03)/(1-0.03)</f>
        <v>0</v>
      </c>
      <c r="AE182" s="58">
        <f ca="1">((SUBSIDIO!$L$182*SUBSIDIO!$Z$182)+(SUBSIDIO!$N$182*SUBSIDIO!$AA$182))*(0.03)/(1-0.03)</f>
        <v>318.16745003983908</v>
      </c>
      <c r="AF182" s="4" t="s">
        <v>735</v>
      </c>
    </row>
    <row r="183" spans="1:32" ht="11.25" customHeight="1" x14ac:dyDescent="0.25">
      <c r="A183" s="4" t="s">
        <v>21</v>
      </c>
      <c r="B183" s="4" t="s">
        <v>36</v>
      </c>
      <c r="C183" s="4" t="s">
        <v>23</v>
      </c>
      <c r="D183" s="4" t="s">
        <v>47</v>
      </c>
      <c r="E183" s="4" t="s">
        <v>48</v>
      </c>
      <c r="F183" s="4" t="s">
        <v>25</v>
      </c>
      <c r="G183" s="4" t="s">
        <v>25</v>
      </c>
      <c r="H183" s="4" t="s">
        <v>25</v>
      </c>
      <c r="I183" s="5">
        <v>44652</v>
      </c>
      <c r="J183" s="6">
        <v>0</v>
      </c>
      <c r="K183" s="58">
        <v>0</v>
      </c>
      <c r="L183" s="6">
        <v>17.613</v>
      </c>
      <c r="M183" s="58">
        <v>17.613</v>
      </c>
      <c r="N183" s="6">
        <v>17.613</v>
      </c>
      <c r="O183" s="58">
        <v>17.613</v>
      </c>
      <c r="P183" s="6">
        <v>8</v>
      </c>
      <c r="Q183" s="4" t="s">
        <v>26</v>
      </c>
      <c r="R183" s="4">
        <v>0</v>
      </c>
      <c r="S183" s="4">
        <v>0</v>
      </c>
      <c r="T183" s="4">
        <v>65</v>
      </c>
      <c r="U183" s="4">
        <v>25</v>
      </c>
      <c r="V183" s="58">
        <f>IF(ISERROR(VLOOKUP($S$183,'TAR FIN'!$A$1:$O$88,15,0)),0,VLOOKUP($S$183,'TAR FIN'!$A$1:$O$88,15,0))</f>
        <v>0</v>
      </c>
      <c r="W183" s="58">
        <f>IF(ISERROR(VLOOKUP($T$183,'TAR FIN'!$A$1:$O$88,15,0)),0,VLOOKUP($T$183,'TAR FIN'!$A$1:$O$88,15,0))*(1-0.06)</f>
        <v>253.71540000000002</v>
      </c>
      <c r="X183" s="58">
        <f>IF(ISERROR(VLOOKUP($U$183,'TAR FIN'!$A$1:$O$88,15,0)),0,VLOOKUP($U$183,'TAR FIN'!$A$1:$O$88,15,0))*(1-0.06)</f>
        <v>271.56599999999997</v>
      </c>
      <c r="Y183" s="58"/>
      <c r="Z183" s="58">
        <f ca="1">('TUSD BE'!$AM$48+'TUSD BF'!$AM$48+'TUSD CVA'!$AM$48)*1*(1-0.03)</f>
        <v>339.89889150197632</v>
      </c>
      <c r="AA183" s="58">
        <f>('TE BE'!$AB$39+'TE BF'!$AB$39+'TE CVA'!$AB$39)*1*(1-0.03)</f>
        <v>201.40151459930209</v>
      </c>
      <c r="AB183" s="58">
        <f>(SUBSIDIO!$J$183*SUBSIDIO!$V$183)*(0.06)/(1-0.06)</f>
        <v>0</v>
      </c>
      <c r="AC183" s="58">
        <f>((SUBSIDIO!$L$183*SUBSIDIO!$W$183)+(SUBSIDIO!$N$183*SUBSIDIO!$X$183))*(0.06)/(1-0.06)</f>
        <v>590.53923179999992</v>
      </c>
      <c r="AD183" s="58">
        <f>(SUBSIDIO!$J$183*SUBSIDIO!$Y$183)*(0.03)/(1-0.03)</f>
        <v>0</v>
      </c>
      <c r="AE183" s="58">
        <f ca="1">((SUBSIDIO!$L$183*SUBSIDIO!$Z$183)+(SUBSIDIO!$N$183*SUBSIDIO!$AA$183))*(0.03)/(1-0.03)</f>
        <v>294.86363049469537</v>
      </c>
      <c r="AF183" s="4" t="s">
        <v>735</v>
      </c>
    </row>
    <row r="184" spans="1:32" ht="11.25" customHeight="1" x14ac:dyDescent="0.25">
      <c r="A184" s="4" t="s">
        <v>21</v>
      </c>
      <c r="B184" s="4" t="s">
        <v>36</v>
      </c>
      <c r="C184" s="4" t="s">
        <v>23</v>
      </c>
      <c r="D184" s="4" t="s">
        <v>47</v>
      </c>
      <c r="E184" s="4" t="s">
        <v>48</v>
      </c>
      <c r="F184" s="4" t="s">
        <v>25</v>
      </c>
      <c r="G184" s="4" t="s">
        <v>25</v>
      </c>
      <c r="H184" s="4" t="s">
        <v>25</v>
      </c>
      <c r="I184" s="5">
        <v>44682</v>
      </c>
      <c r="J184" s="6">
        <v>0</v>
      </c>
      <c r="K184" s="58">
        <v>0</v>
      </c>
      <c r="L184" s="6">
        <v>15.208</v>
      </c>
      <c r="M184" s="58">
        <v>15.208</v>
      </c>
      <c r="N184" s="6">
        <v>15.208</v>
      </c>
      <c r="O184" s="58">
        <v>15.208</v>
      </c>
      <c r="P184" s="6">
        <v>8</v>
      </c>
      <c r="Q184" s="4" t="s">
        <v>26</v>
      </c>
      <c r="R184" s="4">
        <v>0</v>
      </c>
      <c r="S184" s="4">
        <v>0</v>
      </c>
      <c r="T184" s="4">
        <v>65</v>
      </c>
      <c r="U184" s="4">
        <v>25</v>
      </c>
      <c r="V184" s="58">
        <f>IF(ISERROR(VLOOKUP($S$184,'TAR FIN'!$A$1:$O$88,15,0)),0,VLOOKUP($S$184,'TAR FIN'!$A$1:$O$88,15,0))</f>
        <v>0</v>
      </c>
      <c r="W184" s="58">
        <f>IF(ISERROR(VLOOKUP($T$184,'TAR FIN'!$A$1:$O$88,15,0)),0,VLOOKUP($T$184,'TAR FIN'!$A$1:$O$88,15,0))*(1-0.06)</f>
        <v>253.71540000000002</v>
      </c>
      <c r="X184" s="58">
        <f>IF(ISERROR(VLOOKUP($U$184,'TAR FIN'!$A$1:$O$88,15,0)),0,VLOOKUP($U$184,'TAR FIN'!$A$1:$O$88,15,0))*(1-0.06)</f>
        <v>271.56599999999997</v>
      </c>
      <c r="Y184" s="58"/>
      <c r="Z184" s="58">
        <f ca="1">('TUSD BE'!$AM$48+'TUSD BF'!$AM$48+'TUSD CVA'!$AM$48)*1*(1-0.03)</f>
        <v>339.89889150197632</v>
      </c>
      <c r="AA184" s="58">
        <f>('TE BE'!$AB$39+'TE BF'!$AB$39+'TE CVA'!$AB$39)*1*(1-0.03)</f>
        <v>201.40151459930209</v>
      </c>
      <c r="AB184" s="58">
        <f>(SUBSIDIO!$J$184*SUBSIDIO!$V$184)*(0.06)/(1-0.06)</f>
        <v>0</v>
      </c>
      <c r="AC184" s="58">
        <f>((SUBSIDIO!$L$184*SUBSIDIO!$W$184)+(SUBSIDIO!$N$184*SUBSIDIO!$X$184))*(0.06)/(1-0.06)</f>
        <v>509.90294879999999</v>
      </c>
      <c r="AD184" s="58">
        <f>(SUBSIDIO!$J$184*SUBSIDIO!$Y$184)*(0.03)/(1-0.03)</f>
        <v>0</v>
      </c>
      <c r="AE184" s="58">
        <f ca="1">((SUBSIDIO!$L$184*SUBSIDIO!$Z$184)+(SUBSIDIO!$N$184*SUBSIDIO!$AA$184))*(0.03)/(1-0.03)</f>
        <v>254.60092503056418</v>
      </c>
      <c r="AF184" s="4" t="s">
        <v>735</v>
      </c>
    </row>
    <row r="185" spans="1:32" ht="11.25" customHeight="1" x14ac:dyDescent="0.25">
      <c r="A185" s="4" t="s">
        <v>21</v>
      </c>
      <c r="B185" s="4" t="s">
        <v>36</v>
      </c>
      <c r="C185" s="4" t="s">
        <v>23</v>
      </c>
      <c r="D185" s="4" t="s">
        <v>47</v>
      </c>
      <c r="E185" s="4" t="s">
        <v>48</v>
      </c>
      <c r="F185" s="4" t="s">
        <v>25</v>
      </c>
      <c r="G185" s="4" t="s">
        <v>25</v>
      </c>
      <c r="H185" s="4" t="s">
        <v>25</v>
      </c>
      <c r="I185" s="5">
        <v>44713</v>
      </c>
      <c r="J185" s="6">
        <v>0</v>
      </c>
      <c r="K185" s="58">
        <v>0</v>
      </c>
      <c r="L185" s="6">
        <v>15.242000000000001</v>
      </c>
      <c r="M185" s="58">
        <v>15.242000000000001</v>
      </c>
      <c r="N185" s="6">
        <v>15.242000000000001</v>
      </c>
      <c r="O185" s="58">
        <v>15.242000000000001</v>
      </c>
      <c r="P185" s="6">
        <v>8</v>
      </c>
      <c r="Q185" s="4" t="s">
        <v>26</v>
      </c>
      <c r="R185" s="4">
        <v>0</v>
      </c>
      <c r="S185" s="4">
        <v>0</v>
      </c>
      <c r="T185" s="4">
        <v>65</v>
      </c>
      <c r="U185" s="4">
        <v>25</v>
      </c>
      <c r="V185" s="58">
        <f>IF(ISERROR(VLOOKUP($S$185,'TAR FIN'!$A$1:$O$88,15,0)),0,VLOOKUP($S$185,'TAR FIN'!$A$1:$O$88,15,0))</f>
        <v>0</v>
      </c>
      <c r="W185" s="58">
        <f>IF(ISERROR(VLOOKUP($T$185,'TAR FIN'!$A$1:$O$88,15,0)),0,VLOOKUP($T$185,'TAR FIN'!$A$1:$O$88,15,0))*(1-0.06)</f>
        <v>253.71540000000002</v>
      </c>
      <c r="X185" s="58">
        <f>IF(ISERROR(VLOOKUP($U$185,'TAR FIN'!$A$1:$O$88,15,0)),0,VLOOKUP($U$185,'TAR FIN'!$A$1:$O$88,15,0))*(1-0.06)</f>
        <v>271.56599999999997</v>
      </c>
      <c r="Y185" s="58"/>
      <c r="Z185" s="58">
        <f ca="1">('TUSD BE'!$AM$48+'TUSD BF'!$AM$48+'TUSD CVA'!$AM$48)*1*(1-0.03)</f>
        <v>339.89889150197632</v>
      </c>
      <c r="AA185" s="58">
        <f>('TE BE'!$AB$39+'TE BF'!$AB$39+'TE CVA'!$AB$39)*1*(1-0.03)</f>
        <v>201.40151459930209</v>
      </c>
      <c r="AB185" s="58">
        <f>(SUBSIDIO!$J$185*SUBSIDIO!$V$185)*(0.06)/(1-0.06)</f>
        <v>0</v>
      </c>
      <c r="AC185" s="58">
        <f>((SUBSIDIO!$L$185*SUBSIDIO!$W$185)+(SUBSIDIO!$N$185*SUBSIDIO!$X$185))*(0.06)/(1-0.06)</f>
        <v>511.04292120000002</v>
      </c>
      <c r="AD185" s="58">
        <f>(SUBSIDIO!$J$185*SUBSIDIO!$Y$185)*(0.03)/(1-0.03)</f>
        <v>0</v>
      </c>
      <c r="AE185" s="58">
        <f ca="1">((SUBSIDIO!$L$185*SUBSIDIO!$Z$185)+(SUBSIDIO!$N$185*SUBSIDIO!$AA$185))*(0.03)/(1-0.03)</f>
        <v>255.17012751945421</v>
      </c>
      <c r="AF185" s="4" t="s">
        <v>735</v>
      </c>
    </row>
    <row r="186" spans="1:32" ht="11.25" customHeight="1" x14ac:dyDescent="0.25">
      <c r="A186" s="4" t="s">
        <v>55</v>
      </c>
      <c r="B186" s="4" t="s">
        <v>36</v>
      </c>
      <c r="C186" s="4" t="s">
        <v>23</v>
      </c>
      <c r="D186" s="4" t="s">
        <v>47</v>
      </c>
      <c r="E186" s="4" t="s">
        <v>48</v>
      </c>
      <c r="F186" s="4" t="s">
        <v>25</v>
      </c>
      <c r="G186" s="4" t="s">
        <v>25</v>
      </c>
      <c r="H186" s="4" t="s">
        <v>25</v>
      </c>
      <c r="I186" s="5">
        <v>44743</v>
      </c>
      <c r="J186" s="6">
        <v>0</v>
      </c>
      <c r="K186" s="58">
        <v>0</v>
      </c>
      <c r="L186" s="6">
        <v>15.242000000000001</v>
      </c>
      <c r="M186" s="58">
        <v>15.242000000000001</v>
      </c>
      <c r="N186" s="6">
        <v>15.242000000000001</v>
      </c>
      <c r="O186" s="58">
        <v>15.242000000000001</v>
      </c>
      <c r="P186" s="6">
        <v>8</v>
      </c>
      <c r="Q186" s="4" t="s">
        <v>26</v>
      </c>
      <c r="R186" s="4">
        <v>0</v>
      </c>
      <c r="S186" s="4">
        <v>0</v>
      </c>
      <c r="T186" s="4">
        <v>65</v>
      </c>
      <c r="U186" s="4">
        <v>25</v>
      </c>
      <c r="V186" s="58">
        <f>IF(ISERROR(VLOOKUP($S$186,'TAR FIN'!$A$1:$O$88,15,0)),0,VLOOKUP($S$186,'TAR FIN'!$A$1:$O$88,15,0))</f>
        <v>0</v>
      </c>
      <c r="W186" s="58">
        <f>IF(ISERROR(VLOOKUP($T$186,'TAR FIN'!$A$1:$O$88,15,0)),0,VLOOKUP($T$186,'TAR FIN'!$A$1:$O$88,15,0))*(1-0.06)</f>
        <v>253.71540000000002</v>
      </c>
      <c r="X186" s="58">
        <f>IF(ISERROR(VLOOKUP($U$186,'TAR FIN'!$A$1:$O$88,15,0)),0,VLOOKUP($U$186,'TAR FIN'!$A$1:$O$88,15,0))*(1-0.06)</f>
        <v>271.56599999999997</v>
      </c>
      <c r="Y186" s="58"/>
      <c r="Z186" s="58">
        <f ca="1">('TUSD BE'!$AM$48+'TUSD BF'!$AM$48+'TUSD CVA'!$AM$48)*1*(1-0.03)</f>
        <v>339.89889150197632</v>
      </c>
      <c r="AA186" s="58">
        <f>('TE BE'!$AB$39+'TE BF'!$AB$39+'TE CVA'!$AB$39)*1*(1-0.03)</f>
        <v>201.40151459930209</v>
      </c>
      <c r="AB186" s="58">
        <f>(SUBSIDIO!$J$186*SUBSIDIO!$V$186)*(0.06)/(1-0.06)</f>
        <v>0</v>
      </c>
      <c r="AC186" s="58">
        <f>((SUBSIDIO!$L$186*SUBSIDIO!$W$186)+(SUBSIDIO!$N$186*SUBSIDIO!$X$186))*(0.06)/(1-0.06)</f>
        <v>511.04292120000002</v>
      </c>
      <c r="AD186" s="58">
        <f>(SUBSIDIO!$J$186*SUBSIDIO!$Y$186)*(0.03)/(1-0.03)</f>
        <v>0</v>
      </c>
      <c r="AE186" s="58">
        <f ca="1">((SUBSIDIO!$L$186*SUBSIDIO!$Z$186)+(SUBSIDIO!$N$186*SUBSIDIO!$AA$186))*(0.03)/(1-0.03)</f>
        <v>255.17012751945421</v>
      </c>
      <c r="AF186" s="4" t="s">
        <v>735</v>
      </c>
    </row>
    <row r="187" spans="1:32" ht="11.25" customHeight="1" x14ac:dyDescent="0.25"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2" ht="11.25" customHeight="1" x14ac:dyDescent="0.25"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2" ht="11.25" customHeight="1" x14ac:dyDescent="0.25"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2" ht="11.25" customHeight="1" x14ac:dyDescent="0.25"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2" ht="11.25" customHeight="1" x14ac:dyDescent="0.25"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2" ht="11.25" customHeight="1" x14ac:dyDescent="0.25"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22:31" ht="11.25" customHeight="1" x14ac:dyDescent="0.25"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22:31" ht="11.25" customHeight="1" x14ac:dyDescent="0.25"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22:31" ht="11.25" customHeight="1" x14ac:dyDescent="0.25"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22:31" ht="11.25" customHeight="1" x14ac:dyDescent="0.25"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22:31" ht="11.25" customHeight="1" x14ac:dyDescent="0.25"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22:31" ht="11.25" customHeight="1" x14ac:dyDescent="0.25"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22:31" ht="11.25" customHeight="1" x14ac:dyDescent="0.25"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22:31" ht="11.25" customHeight="1" x14ac:dyDescent="0.25"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  <row r="201" spans="22:31" ht="11.25" customHeight="1" x14ac:dyDescent="0.25">
      <c r="V201" s="6"/>
      <c r="W201" s="6"/>
      <c r="X201" s="6"/>
      <c r="Y201" s="6"/>
      <c r="Z201" s="6"/>
      <c r="AA201" s="6"/>
      <c r="AB201" s="6"/>
      <c r="AC201" s="6"/>
      <c r="AD201" s="6"/>
      <c r="AE201" s="6"/>
    </row>
    <row r="202" spans="22:31" ht="11.25" customHeight="1" x14ac:dyDescent="0.25">
      <c r="V202" s="6"/>
      <c r="W202" s="6"/>
      <c r="X202" s="6"/>
      <c r="Y202" s="6"/>
      <c r="Z202" s="6"/>
      <c r="AA202" s="6"/>
      <c r="AB202" s="6"/>
      <c r="AC202" s="6"/>
      <c r="AD202" s="6"/>
      <c r="AE202" s="6"/>
    </row>
    <row r="203" spans="22:31" ht="11.25" customHeight="1" x14ac:dyDescent="0.25">
      <c r="V203" s="6"/>
      <c r="W203" s="6"/>
      <c r="X203" s="6"/>
      <c r="Y203" s="6"/>
      <c r="Z203" s="6"/>
      <c r="AA203" s="6"/>
      <c r="AB203" s="6"/>
      <c r="AC203" s="6"/>
      <c r="AD203" s="6"/>
      <c r="AE203" s="6"/>
    </row>
    <row r="204" spans="22:31" ht="11.25" customHeight="1" x14ac:dyDescent="0.25">
      <c r="V204" s="6"/>
      <c r="W204" s="6"/>
      <c r="X204" s="6"/>
      <c r="Y204" s="6"/>
      <c r="Z204" s="6"/>
      <c r="AA204" s="6"/>
      <c r="AB204" s="6"/>
      <c r="AC204" s="6"/>
      <c r="AD204" s="6"/>
      <c r="AE204" s="6"/>
    </row>
    <row r="205" spans="22:31" ht="11.25" customHeight="1" x14ac:dyDescent="0.25">
      <c r="V205" s="6"/>
      <c r="W205" s="6"/>
      <c r="X205" s="6"/>
      <c r="Y205" s="6"/>
      <c r="Z205" s="6"/>
      <c r="AA205" s="6"/>
      <c r="AB205" s="6"/>
      <c r="AC205" s="6"/>
      <c r="AD205" s="6"/>
      <c r="AE205" s="6"/>
    </row>
    <row r="206" spans="22:31" ht="11.25" customHeight="1" x14ac:dyDescent="0.25">
      <c r="V206" s="6"/>
      <c r="W206" s="6"/>
      <c r="X206" s="6"/>
      <c r="Y206" s="6"/>
      <c r="Z206" s="6"/>
      <c r="AA206" s="6"/>
      <c r="AB206" s="6"/>
      <c r="AC206" s="6"/>
      <c r="AD206" s="6"/>
      <c r="AE206" s="6"/>
    </row>
    <row r="207" spans="22:31" ht="11.25" customHeight="1" x14ac:dyDescent="0.25">
      <c r="V207" s="6"/>
      <c r="W207" s="6"/>
      <c r="X207" s="6"/>
      <c r="Y207" s="6"/>
      <c r="Z207" s="6"/>
      <c r="AA207" s="6"/>
      <c r="AB207" s="6"/>
      <c r="AC207" s="6"/>
      <c r="AD207" s="6"/>
      <c r="AE207" s="6"/>
    </row>
    <row r="208" spans="22:31" ht="11.25" customHeight="1" x14ac:dyDescent="0.25">
      <c r="V208" s="6"/>
      <c r="W208" s="6"/>
      <c r="X208" s="6"/>
      <c r="Y208" s="6"/>
      <c r="Z208" s="6"/>
      <c r="AA208" s="6"/>
      <c r="AB208" s="6"/>
      <c r="AC208" s="6"/>
      <c r="AD208" s="6"/>
      <c r="AE208" s="6"/>
    </row>
    <row r="209" spans="22:31" ht="11.25" customHeight="1" x14ac:dyDescent="0.25">
      <c r="V209" s="6"/>
      <c r="W209" s="6"/>
      <c r="X209" s="6"/>
      <c r="Y209" s="6"/>
      <c r="Z209" s="6"/>
      <c r="AA209" s="6"/>
      <c r="AB209" s="6"/>
      <c r="AC209" s="6"/>
      <c r="AD209" s="6"/>
      <c r="AE209" s="6"/>
    </row>
    <row r="210" spans="22:31" ht="11.25" customHeight="1" x14ac:dyDescent="0.25">
      <c r="V210" s="6"/>
      <c r="W210" s="6"/>
      <c r="X210" s="6"/>
      <c r="Y210" s="6"/>
      <c r="Z210" s="6"/>
      <c r="AA210" s="6"/>
      <c r="AB210" s="6"/>
      <c r="AC210" s="6"/>
      <c r="AD210" s="6"/>
      <c r="AE210" s="6"/>
    </row>
    <row r="211" spans="22:31" ht="11.25" customHeight="1" x14ac:dyDescent="0.25">
      <c r="V211" s="6"/>
      <c r="W211" s="6"/>
      <c r="X211" s="6"/>
      <c r="Y211" s="6"/>
      <c r="Z211" s="6"/>
      <c r="AA211" s="6"/>
      <c r="AB211" s="6"/>
      <c r="AC211" s="6"/>
      <c r="AD211" s="6"/>
      <c r="AE211" s="6"/>
    </row>
    <row r="212" spans="22:31" ht="11.25" customHeight="1" x14ac:dyDescent="0.25">
      <c r="V212" s="6"/>
      <c r="W212" s="6"/>
      <c r="X212" s="6"/>
      <c r="Y212" s="6"/>
      <c r="Z212" s="6"/>
      <c r="AA212" s="6"/>
      <c r="AB212" s="6"/>
      <c r="AC212" s="6"/>
      <c r="AD212" s="6"/>
      <c r="AE212" s="6"/>
    </row>
    <row r="213" spans="22:31" ht="11.25" customHeight="1" x14ac:dyDescent="0.25">
      <c r="V213" s="6"/>
      <c r="W213" s="6"/>
      <c r="X213" s="6"/>
      <c r="Y213" s="6"/>
      <c r="Z213" s="6"/>
      <c r="AA213" s="6"/>
      <c r="AB213" s="6"/>
      <c r="AC213" s="6"/>
      <c r="AD213" s="6"/>
      <c r="AE213" s="6"/>
    </row>
    <row r="214" spans="22:31" ht="11.25" customHeight="1" x14ac:dyDescent="0.25">
      <c r="V214" s="6"/>
      <c r="W214" s="6"/>
      <c r="X214" s="6"/>
      <c r="Y214" s="6"/>
      <c r="Z214" s="6"/>
      <c r="AA214" s="6"/>
      <c r="AB214" s="6"/>
      <c r="AC214" s="6"/>
      <c r="AD214" s="6"/>
      <c r="AE214" s="6"/>
    </row>
    <row r="215" spans="22:31" ht="11.25" customHeight="1" x14ac:dyDescent="0.25">
      <c r="V215" s="6"/>
      <c r="W215" s="6"/>
      <c r="X215" s="6"/>
      <c r="Y215" s="6"/>
      <c r="Z215" s="6"/>
      <c r="AA215" s="6"/>
      <c r="AB215" s="6"/>
      <c r="AC215" s="6"/>
      <c r="AD215" s="6"/>
      <c r="AE215" s="6"/>
    </row>
    <row r="216" spans="22:31" ht="11.25" customHeight="1" x14ac:dyDescent="0.25">
      <c r="V216" s="6"/>
      <c r="W216" s="6"/>
      <c r="X216" s="6"/>
      <c r="Y216" s="6"/>
      <c r="Z216" s="6"/>
      <c r="AA216" s="6"/>
      <c r="AB216" s="6"/>
      <c r="AC216" s="6"/>
      <c r="AD216" s="6"/>
      <c r="AE216" s="6"/>
    </row>
    <row r="217" spans="22:31" ht="11.25" customHeight="1" x14ac:dyDescent="0.25">
      <c r="V217" s="6"/>
      <c r="W217" s="6"/>
      <c r="X217" s="6"/>
      <c r="Y217" s="6"/>
      <c r="Z217" s="6"/>
      <c r="AA217" s="6"/>
      <c r="AB217" s="6"/>
      <c r="AC217" s="6"/>
      <c r="AD217" s="6"/>
      <c r="AE217" s="6"/>
    </row>
    <row r="218" spans="22:31" ht="11.25" customHeight="1" x14ac:dyDescent="0.25">
      <c r="V218" s="6"/>
      <c r="W218" s="6"/>
      <c r="X218" s="6"/>
      <c r="Y218" s="6"/>
      <c r="Z218" s="6"/>
      <c r="AA218" s="6"/>
      <c r="AB218" s="6"/>
      <c r="AC218" s="6"/>
      <c r="AD218" s="6"/>
      <c r="AE218" s="6"/>
    </row>
    <row r="219" spans="22:31" ht="11.25" customHeight="1" x14ac:dyDescent="0.25">
      <c r="V219" s="6"/>
      <c r="W219" s="6"/>
      <c r="X219" s="6"/>
      <c r="Y219" s="6"/>
      <c r="Z219" s="6"/>
      <c r="AA219" s="6"/>
      <c r="AB219" s="6"/>
      <c r="AC219" s="6"/>
      <c r="AD219" s="6"/>
      <c r="AE219" s="6"/>
    </row>
    <row r="220" spans="22:31" ht="11.25" customHeight="1" x14ac:dyDescent="0.25">
      <c r="V220" s="6"/>
      <c r="W220" s="6"/>
      <c r="X220" s="6"/>
      <c r="Y220" s="6"/>
      <c r="Z220" s="6"/>
      <c r="AA220" s="6"/>
      <c r="AB220" s="6"/>
      <c r="AC220" s="6"/>
      <c r="AD220" s="6"/>
      <c r="AE220" s="6"/>
    </row>
    <row r="221" spans="22:31" ht="11.25" customHeight="1" x14ac:dyDescent="0.25">
      <c r="V221" s="6"/>
      <c r="W221" s="6"/>
      <c r="X221" s="6"/>
      <c r="Y221" s="6"/>
      <c r="Z221" s="6"/>
      <c r="AA221" s="6"/>
      <c r="AB221" s="6"/>
      <c r="AC221" s="6"/>
      <c r="AD221" s="6"/>
      <c r="AE221" s="6"/>
    </row>
    <row r="222" spans="22:31" ht="11.25" customHeight="1" x14ac:dyDescent="0.25">
      <c r="V222" s="6"/>
      <c r="W222" s="6"/>
      <c r="X222" s="6"/>
      <c r="Y222" s="6"/>
      <c r="Z222" s="6"/>
      <c r="AA222" s="6"/>
      <c r="AB222" s="6"/>
      <c r="AC222" s="6"/>
      <c r="AD222" s="6"/>
      <c r="AE222" s="6"/>
    </row>
    <row r="223" spans="22:31" ht="11.25" customHeight="1" x14ac:dyDescent="0.25">
      <c r="V223" s="6"/>
      <c r="W223" s="6"/>
      <c r="X223" s="6"/>
      <c r="Y223" s="6"/>
      <c r="Z223" s="6"/>
      <c r="AA223" s="6"/>
      <c r="AB223" s="6"/>
      <c r="AC223" s="6"/>
      <c r="AD223" s="6"/>
      <c r="AE223" s="6"/>
    </row>
    <row r="224" spans="22:31" ht="11.25" customHeight="1" x14ac:dyDescent="0.25">
      <c r="V224" s="6"/>
      <c r="W224" s="6"/>
      <c r="X224" s="6"/>
      <c r="Y224" s="6"/>
      <c r="Z224" s="6"/>
      <c r="AA224" s="6"/>
      <c r="AB224" s="6"/>
      <c r="AC224" s="6"/>
      <c r="AD224" s="6"/>
      <c r="AE224" s="6"/>
    </row>
    <row r="225" spans="22:31" ht="11.25" customHeight="1" x14ac:dyDescent="0.25">
      <c r="V225" s="6"/>
      <c r="W225" s="6"/>
      <c r="X225" s="6"/>
      <c r="Y225" s="6"/>
      <c r="Z225" s="6"/>
      <c r="AA225" s="6"/>
      <c r="AB225" s="6"/>
      <c r="AC225" s="6"/>
      <c r="AD225" s="6"/>
      <c r="AE225" s="6"/>
    </row>
    <row r="226" spans="22:31" ht="11.25" customHeight="1" x14ac:dyDescent="0.25">
      <c r="V226" s="6"/>
      <c r="W226" s="6"/>
      <c r="X226" s="6"/>
      <c r="Y226" s="6"/>
      <c r="Z226" s="6"/>
      <c r="AA226" s="6"/>
      <c r="AB226" s="6"/>
      <c r="AC226" s="6"/>
      <c r="AD226" s="6"/>
      <c r="AE226" s="6"/>
    </row>
    <row r="227" spans="22:31" ht="11.25" customHeight="1" x14ac:dyDescent="0.25">
      <c r="V227" s="6"/>
      <c r="W227" s="6"/>
      <c r="X227" s="6"/>
      <c r="Y227" s="6"/>
      <c r="Z227" s="6"/>
      <c r="AA227" s="6"/>
      <c r="AB227" s="6"/>
      <c r="AC227" s="6"/>
      <c r="AD227" s="6"/>
      <c r="AE227" s="6"/>
    </row>
    <row r="228" spans="22:31" ht="11.25" customHeight="1" x14ac:dyDescent="0.25">
      <c r="V228" s="6"/>
      <c r="W228" s="6"/>
      <c r="X228" s="6"/>
      <c r="Y228" s="6"/>
      <c r="Z228" s="6"/>
      <c r="AA228" s="6"/>
      <c r="AB228" s="6"/>
      <c r="AC228" s="6"/>
      <c r="AD228" s="6"/>
      <c r="AE228" s="6"/>
    </row>
    <row r="229" spans="22:31" ht="11.25" customHeight="1" x14ac:dyDescent="0.25">
      <c r="V229" s="6"/>
      <c r="W229" s="6"/>
      <c r="X229" s="6"/>
      <c r="Y229" s="6"/>
      <c r="Z229" s="6"/>
      <c r="AA229" s="6"/>
      <c r="AB229" s="6"/>
      <c r="AC229" s="6"/>
      <c r="AD229" s="6"/>
      <c r="AE229" s="6"/>
    </row>
    <row r="230" spans="22:31" ht="11.25" customHeight="1" x14ac:dyDescent="0.25">
      <c r="V230" s="6"/>
      <c r="W230" s="6"/>
      <c r="X230" s="6"/>
      <c r="Y230" s="6"/>
      <c r="Z230" s="6"/>
      <c r="AA230" s="6"/>
      <c r="AB230" s="6"/>
      <c r="AC230" s="6"/>
      <c r="AD230" s="6"/>
      <c r="AE230" s="6"/>
    </row>
    <row r="231" spans="22:31" ht="11.25" customHeight="1" x14ac:dyDescent="0.25">
      <c r="V231" s="6"/>
      <c r="W231" s="6"/>
      <c r="X231" s="6"/>
      <c r="Y231" s="6"/>
      <c r="Z231" s="6"/>
      <c r="AA231" s="6"/>
      <c r="AB231" s="6"/>
      <c r="AC231" s="6"/>
      <c r="AD231" s="6"/>
      <c r="AE231" s="6"/>
    </row>
    <row r="232" spans="22:31" ht="11.25" customHeight="1" x14ac:dyDescent="0.25">
      <c r="V232" s="6"/>
      <c r="W232" s="6"/>
      <c r="X232" s="6"/>
      <c r="Y232" s="6"/>
      <c r="Z232" s="6"/>
      <c r="AA232" s="6"/>
      <c r="AB232" s="6"/>
      <c r="AC232" s="6"/>
      <c r="AD232" s="6"/>
      <c r="AE232" s="6"/>
    </row>
    <row r="233" spans="22:31" ht="11.25" customHeight="1" x14ac:dyDescent="0.25">
      <c r="V233" s="6"/>
      <c r="W233" s="6"/>
      <c r="X233" s="6"/>
      <c r="Y233" s="6"/>
      <c r="Z233" s="6"/>
      <c r="AA233" s="6"/>
      <c r="AB233" s="6"/>
      <c r="AC233" s="6"/>
      <c r="AD233" s="6"/>
      <c r="AE233" s="6"/>
    </row>
    <row r="234" spans="22:31" ht="11.25" customHeight="1" x14ac:dyDescent="0.25">
      <c r="V234" s="6"/>
      <c r="W234" s="6"/>
      <c r="X234" s="6"/>
      <c r="Y234" s="6"/>
      <c r="Z234" s="6"/>
      <c r="AA234" s="6"/>
      <c r="AB234" s="6"/>
      <c r="AC234" s="6"/>
      <c r="AD234" s="6"/>
      <c r="AE234" s="6"/>
    </row>
    <row r="235" spans="22:31" ht="11.25" customHeight="1" x14ac:dyDescent="0.25">
      <c r="V235" s="6"/>
      <c r="W235" s="6"/>
      <c r="X235" s="6"/>
      <c r="Y235" s="6"/>
      <c r="Z235" s="6"/>
      <c r="AA235" s="6"/>
      <c r="AB235" s="6"/>
      <c r="AC235" s="6"/>
      <c r="AD235" s="6"/>
      <c r="AE235" s="6"/>
    </row>
    <row r="236" spans="22:31" ht="11.25" customHeight="1" x14ac:dyDescent="0.25">
      <c r="V236" s="6"/>
      <c r="W236" s="6"/>
      <c r="X236" s="6"/>
      <c r="Y236" s="6"/>
      <c r="Z236" s="6"/>
      <c r="AA236" s="6"/>
      <c r="AB236" s="6"/>
      <c r="AC236" s="6"/>
      <c r="AD236" s="6"/>
      <c r="AE236" s="6"/>
    </row>
    <row r="237" spans="22:31" ht="11.25" customHeight="1" x14ac:dyDescent="0.25">
      <c r="V237" s="6"/>
      <c r="W237" s="6"/>
      <c r="X237" s="6"/>
      <c r="Y237" s="6"/>
      <c r="Z237" s="6"/>
      <c r="AA237" s="6"/>
      <c r="AB237" s="6"/>
      <c r="AC237" s="6"/>
      <c r="AD237" s="6"/>
      <c r="AE237" s="6"/>
    </row>
    <row r="238" spans="22:31" ht="11.25" customHeight="1" x14ac:dyDescent="0.25">
      <c r="V238" s="6"/>
      <c r="W238" s="6"/>
      <c r="X238" s="6"/>
      <c r="Y238" s="6"/>
      <c r="Z238" s="6"/>
      <c r="AA238" s="6"/>
      <c r="AB238" s="6"/>
      <c r="AC238" s="6"/>
      <c r="AD238" s="6"/>
      <c r="AE238" s="6"/>
    </row>
    <row r="239" spans="22:31" ht="11.25" customHeight="1" x14ac:dyDescent="0.25">
      <c r="V239" s="6"/>
      <c r="W239" s="6"/>
      <c r="X239" s="6"/>
      <c r="Y239" s="6"/>
      <c r="Z239" s="6"/>
      <c r="AA239" s="6"/>
      <c r="AB239" s="6"/>
      <c r="AC239" s="6"/>
      <c r="AD239" s="6"/>
      <c r="AE239" s="6"/>
    </row>
    <row r="240" spans="22:31" ht="11.25" customHeight="1" x14ac:dyDescent="0.25">
      <c r="V240" s="6"/>
      <c r="W240" s="6"/>
      <c r="X240" s="6"/>
      <c r="Y240" s="6"/>
      <c r="Z240" s="6"/>
      <c r="AA240" s="6"/>
      <c r="AB240" s="6"/>
      <c r="AC240" s="6"/>
      <c r="AD240" s="6"/>
      <c r="AE240" s="6"/>
    </row>
    <row r="241" spans="22:31" ht="11.25" customHeight="1" x14ac:dyDescent="0.25">
      <c r="V241" s="6"/>
      <c r="W241" s="6"/>
      <c r="X241" s="6"/>
      <c r="Y241" s="6"/>
      <c r="Z241" s="6"/>
      <c r="AA241" s="6"/>
      <c r="AB241" s="6"/>
      <c r="AC241" s="6"/>
      <c r="AD241" s="6"/>
      <c r="AE241" s="6"/>
    </row>
    <row r="242" spans="22:31" ht="11.25" customHeight="1" x14ac:dyDescent="0.25">
      <c r="V242" s="6"/>
      <c r="W242" s="6"/>
      <c r="X242" s="6"/>
      <c r="Y242" s="6"/>
      <c r="Z242" s="6"/>
      <c r="AA242" s="6"/>
      <c r="AB242" s="6"/>
      <c r="AC242" s="6"/>
      <c r="AD242" s="6"/>
      <c r="AE242" s="6"/>
    </row>
    <row r="243" spans="22:31" ht="11.25" customHeight="1" x14ac:dyDescent="0.25">
      <c r="V243" s="6"/>
      <c r="W243" s="6"/>
      <c r="X243" s="6"/>
      <c r="Y243" s="6"/>
      <c r="Z243" s="6"/>
      <c r="AA243" s="6"/>
      <c r="AB243" s="6"/>
      <c r="AC243" s="6"/>
      <c r="AD243" s="6"/>
      <c r="AE243" s="6"/>
    </row>
    <row r="244" spans="22:31" ht="11.25" customHeight="1" x14ac:dyDescent="0.25">
      <c r="V244" s="6"/>
      <c r="W244" s="6"/>
      <c r="X244" s="6"/>
      <c r="Y244" s="6"/>
      <c r="Z244" s="6"/>
      <c r="AA244" s="6"/>
      <c r="AB244" s="6"/>
      <c r="AC244" s="6"/>
      <c r="AD244" s="6"/>
      <c r="AE244" s="6"/>
    </row>
    <row r="245" spans="22:31" ht="11.25" customHeight="1" x14ac:dyDescent="0.25">
      <c r="V245" s="6"/>
      <c r="W245" s="6"/>
      <c r="X245" s="6"/>
      <c r="Y245" s="6"/>
      <c r="Z245" s="6"/>
      <c r="AA245" s="6"/>
      <c r="AB245" s="6"/>
      <c r="AC245" s="6"/>
      <c r="AD245" s="6"/>
      <c r="AE245" s="6"/>
    </row>
    <row r="246" spans="22:31" ht="11.25" customHeight="1" x14ac:dyDescent="0.25">
      <c r="V246" s="6"/>
      <c r="W246" s="6"/>
      <c r="X246" s="6"/>
      <c r="Y246" s="6"/>
      <c r="Z246" s="6"/>
      <c r="AA246" s="6"/>
      <c r="AB246" s="6"/>
      <c r="AC246" s="6"/>
      <c r="AD246" s="6"/>
      <c r="AE246" s="6"/>
    </row>
    <row r="247" spans="22:31" ht="11.25" customHeight="1" x14ac:dyDescent="0.25">
      <c r="V247" s="6"/>
      <c r="W247" s="6"/>
      <c r="X247" s="6"/>
      <c r="Y247" s="6"/>
      <c r="Z247" s="6"/>
      <c r="AA247" s="6"/>
      <c r="AB247" s="6"/>
      <c r="AC247" s="6"/>
      <c r="AD247" s="6"/>
      <c r="AE247" s="6"/>
    </row>
    <row r="248" spans="22:31" ht="11.25" customHeight="1" x14ac:dyDescent="0.25">
      <c r="V248" s="6"/>
      <c r="W248" s="6"/>
      <c r="X248" s="6"/>
      <c r="Y248" s="6"/>
      <c r="Z248" s="6"/>
      <c r="AA248" s="6"/>
      <c r="AB248" s="6"/>
      <c r="AC248" s="6"/>
      <c r="AD248" s="6"/>
      <c r="AE248" s="6"/>
    </row>
    <row r="249" spans="22:31" ht="11.25" customHeight="1" x14ac:dyDescent="0.25">
      <c r="V249" s="6"/>
      <c r="W249" s="6"/>
      <c r="X249" s="6"/>
      <c r="Y249" s="6"/>
      <c r="Z249" s="6"/>
      <c r="AA249" s="6"/>
      <c r="AB249" s="6"/>
      <c r="AC249" s="6"/>
      <c r="AD249" s="6"/>
      <c r="AE249" s="6"/>
    </row>
    <row r="250" spans="22:31" ht="11.25" customHeight="1" x14ac:dyDescent="0.25">
      <c r="V250" s="6"/>
      <c r="W250" s="6"/>
      <c r="X250" s="6"/>
      <c r="Y250" s="6"/>
      <c r="Z250" s="6"/>
      <c r="AA250" s="6"/>
      <c r="AB250" s="6"/>
      <c r="AC250" s="6"/>
      <c r="AD250" s="6"/>
      <c r="AE250" s="6"/>
    </row>
    <row r="251" spans="22:31" ht="11.25" customHeight="1" x14ac:dyDescent="0.25">
      <c r="V251" s="6"/>
      <c r="W251" s="6"/>
      <c r="X251" s="6"/>
      <c r="Y251" s="6"/>
      <c r="Z251" s="6"/>
      <c r="AA251" s="6"/>
      <c r="AB251" s="6"/>
      <c r="AC251" s="6"/>
      <c r="AD251" s="6"/>
      <c r="AE251" s="6"/>
    </row>
    <row r="252" spans="22:31" ht="11.25" customHeight="1" x14ac:dyDescent="0.25">
      <c r="V252" s="6"/>
      <c r="W252" s="6"/>
      <c r="X252" s="6"/>
      <c r="Y252" s="6"/>
      <c r="Z252" s="6"/>
      <c r="AA252" s="6"/>
      <c r="AB252" s="6"/>
      <c r="AC252" s="6"/>
      <c r="AD252" s="6"/>
      <c r="AE252" s="6"/>
    </row>
    <row r="253" spans="22:31" ht="11.25" customHeight="1" x14ac:dyDescent="0.25">
      <c r="V253" s="6"/>
      <c r="W253" s="6"/>
      <c r="X253" s="6"/>
      <c r="Y253" s="6"/>
      <c r="Z253" s="6"/>
      <c r="AA253" s="6"/>
      <c r="AB253" s="6"/>
      <c r="AC253" s="6"/>
      <c r="AD253" s="6"/>
      <c r="AE253" s="6"/>
    </row>
    <row r="254" spans="22:31" ht="11.25" customHeight="1" x14ac:dyDescent="0.25">
      <c r="V254" s="6"/>
      <c r="W254" s="6"/>
      <c r="X254" s="6"/>
      <c r="Y254" s="6"/>
      <c r="Z254" s="6"/>
      <c r="AA254" s="6"/>
      <c r="AB254" s="6"/>
      <c r="AC254" s="6"/>
      <c r="AD254" s="6"/>
      <c r="AE254" s="6"/>
    </row>
    <row r="255" spans="22:31" ht="11.25" customHeight="1" x14ac:dyDescent="0.25">
      <c r="V255" s="6"/>
      <c r="W255" s="6"/>
      <c r="X255" s="6"/>
      <c r="Y255" s="6"/>
      <c r="Z255" s="6"/>
      <c r="AA255" s="6"/>
      <c r="AB255" s="6"/>
      <c r="AC255" s="6"/>
      <c r="AD255" s="6"/>
      <c r="AE255" s="6"/>
    </row>
    <row r="256" spans="22:31" ht="11.25" customHeight="1" x14ac:dyDescent="0.25">
      <c r="V256" s="6"/>
      <c r="W256" s="6"/>
      <c r="X256" s="6"/>
      <c r="Y256" s="6"/>
      <c r="Z256" s="6"/>
      <c r="AA256" s="6"/>
      <c r="AB256" s="6"/>
      <c r="AC256" s="6"/>
      <c r="AD256" s="6"/>
      <c r="AE256" s="6"/>
    </row>
    <row r="257" spans="22:31" ht="11.25" customHeight="1" x14ac:dyDescent="0.25">
      <c r="V257" s="6"/>
      <c r="W257" s="6"/>
      <c r="X257" s="6"/>
      <c r="Y257" s="6"/>
      <c r="Z257" s="6"/>
      <c r="AA257" s="6"/>
      <c r="AB257" s="6"/>
      <c r="AC257" s="6"/>
      <c r="AD257" s="6"/>
      <c r="AE257" s="6"/>
    </row>
    <row r="258" spans="22:31" ht="11.25" customHeight="1" x14ac:dyDescent="0.25">
      <c r="V258" s="6"/>
      <c r="W258" s="6"/>
      <c r="X258" s="6"/>
      <c r="Y258" s="6"/>
      <c r="Z258" s="6"/>
      <c r="AA258" s="6"/>
      <c r="AB258" s="6"/>
      <c r="AC258" s="6"/>
      <c r="AD258" s="6"/>
      <c r="AE258" s="6"/>
    </row>
    <row r="259" spans="22:31" ht="11.25" customHeight="1" x14ac:dyDescent="0.25">
      <c r="V259" s="6"/>
      <c r="W259" s="6"/>
      <c r="X259" s="6"/>
      <c r="Y259" s="6"/>
      <c r="Z259" s="6"/>
      <c r="AA259" s="6"/>
      <c r="AB259" s="6"/>
      <c r="AC259" s="6"/>
      <c r="AD259" s="6"/>
      <c r="AE259" s="6"/>
    </row>
    <row r="260" spans="22:31" ht="11.25" customHeight="1" x14ac:dyDescent="0.25">
      <c r="V260" s="6"/>
      <c r="W260" s="6"/>
      <c r="X260" s="6"/>
      <c r="Y260" s="6"/>
      <c r="Z260" s="6"/>
      <c r="AA260" s="6"/>
      <c r="AB260" s="6"/>
      <c r="AC260" s="6"/>
      <c r="AD260" s="6"/>
      <c r="AE260" s="6"/>
    </row>
    <row r="261" spans="22:31" ht="11.25" customHeight="1" x14ac:dyDescent="0.25">
      <c r="V261" s="6"/>
      <c r="W261" s="6"/>
      <c r="X261" s="6"/>
      <c r="Y261" s="6"/>
      <c r="Z261" s="6"/>
      <c r="AA261" s="6"/>
      <c r="AB261" s="6"/>
      <c r="AC261" s="6"/>
      <c r="AD261" s="6"/>
      <c r="AE261" s="6"/>
    </row>
    <row r="262" spans="22:31" ht="11.25" customHeight="1" x14ac:dyDescent="0.25">
      <c r="V262" s="6"/>
      <c r="W262" s="6"/>
      <c r="X262" s="6"/>
      <c r="Y262" s="6"/>
      <c r="Z262" s="6"/>
      <c r="AA262" s="6"/>
      <c r="AB262" s="6"/>
      <c r="AC262" s="6"/>
      <c r="AD262" s="6"/>
      <c r="AE262" s="6"/>
    </row>
    <row r="263" spans="22:31" ht="11.25" customHeight="1" x14ac:dyDescent="0.25">
      <c r="V263" s="6"/>
      <c r="W263" s="6"/>
      <c r="X263" s="6"/>
      <c r="Y263" s="6"/>
      <c r="Z263" s="6"/>
      <c r="AA263" s="6"/>
      <c r="AB263" s="6"/>
      <c r="AC263" s="6"/>
      <c r="AD263" s="6"/>
      <c r="AE263" s="6"/>
    </row>
    <row r="264" spans="22:31" ht="11.25" customHeight="1" x14ac:dyDescent="0.25">
      <c r="V264" s="6"/>
      <c r="W264" s="6"/>
      <c r="X264" s="6"/>
      <c r="Y264" s="6"/>
      <c r="Z264" s="6"/>
      <c r="AA264" s="6"/>
      <c r="AB264" s="6"/>
      <c r="AC264" s="6"/>
      <c r="AD264" s="6"/>
      <c r="AE264" s="6"/>
    </row>
    <row r="265" spans="22:31" ht="11.25" customHeight="1" x14ac:dyDescent="0.25">
      <c r="V265" s="6"/>
      <c r="W265" s="6"/>
      <c r="X265" s="6"/>
      <c r="Y265" s="6"/>
      <c r="Z265" s="6"/>
      <c r="AA265" s="6"/>
      <c r="AB265" s="6"/>
      <c r="AC265" s="6"/>
      <c r="AD265" s="6"/>
      <c r="AE265" s="6"/>
    </row>
    <row r="266" spans="22:31" ht="11.25" customHeight="1" x14ac:dyDescent="0.25">
      <c r="V266" s="6"/>
      <c r="W266" s="6"/>
      <c r="X266" s="6"/>
      <c r="Y266" s="6"/>
      <c r="Z266" s="6"/>
      <c r="AA266" s="6"/>
      <c r="AB266" s="6"/>
      <c r="AC266" s="6"/>
      <c r="AD266" s="6"/>
      <c r="AE266" s="6"/>
    </row>
    <row r="267" spans="22:31" ht="11.25" customHeight="1" x14ac:dyDescent="0.25">
      <c r="V267" s="6"/>
      <c r="W267" s="6"/>
      <c r="X267" s="6"/>
      <c r="Y267" s="6"/>
      <c r="Z267" s="6"/>
      <c r="AA267" s="6"/>
      <c r="AB267" s="6"/>
      <c r="AC267" s="6"/>
      <c r="AD267" s="6"/>
      <c r="AE267" s="6"/>
    </row>
    <row r="268" spans="22:31" ht="11.25" customHeight="1" x14ac:dyDescent="0.25">
      <c r="V268" s="6"/>
      <c r="W268" s="6"/>
      <c r="X268" s="6"/>
      <c r="Y268" s="6"/>
      <c r="Z268" s="6"/>
      <c r="AA268" s="6"/>
      <c r="AB268" s="6"/>
      <c r="AC268" s="6"/>
      <c r="AD268" s="6"/>
      <c r="AE268" s="6"/>
    </row>
    <row r="269" spans="22:31" ht="11.25" customHeight="1" x14ac:dyDescent="0.25">
      <c r="V269" s="6"/>
      <c r="W269" s="6"/>
      <c r="X269" s="6"/>
      <c r="Y269" s="6"/>
      <c r="Z269" s="6"/>
      <c r="AA269" s="6"/>
      <c r="AB269" s="6"/>
      <c r="AC269" s="6"/>
      <c r="AD269" s="6"/>
      <c r="AE269" s="6"/>
    </row>
    <row r="270" spans="22:31" ht="11.25" customHeight="1" x14ac:dyDescent="0.25">
      <c r="V270" s="6"/>
      <c r="W270" s="6"/>
      <c r="X270" s="6"/>
      <c r="Y270" s="6"/>
      <c r="Z270" s="6"/>
      <c r="AA270" s="6"/>
      <c r="AB270" s="6"/>
      <c r="AC270" s="6"/>
      <c r="AD270" s="6"/>
      <c r="AE270" s="6"/>
    </row>
    <row r="271" spans="22:31" ht="11.25" customHeight="1" x14ac:dyDescent="0.25">
      <c r="V271" s="6"/>
      <c r="W271" s="6"/>
      <c r="X271" s="6"/>
      <c r="Y271" s="6"/>
      <c r="Z271" s="6"/>
      <c r="AA271" s="6"/>
      <c r="AB271" s="6"/>
      <c r="AC271" s="6"/>
      <c r="AD271" s="6"/>
      <c r="AE271" s="6"/>
    </row>
    <row r="272" spans="22:31" ht="11.25" customHeight="1" x14ac:dyDescent="0.25">
      <c r="V272" s="6"/>
      <c r="W272" s="6"/>
      <c r="X272" s="6"/>
      <c r="Y272" s="6"/>
      <c r="Z272" s="6"/>
      <c r="AA272" s="6"/>
      <c r="AB272" s="6"/>
      <c r="AC272" s="6"/>
      <c r="AD272" s="6"/>
      <c r="AE272" s="6"/>
    </row>
    <row r="273" spans="22:31" ht="11.25" customHeight="1" x14ac:dyDescent="0.25">
      <c r="V273" s="6"/>
      <c r="W273" s="6"/>
      <c r="X273" s="6"/>
      <c r="Y273" s="6"/>
      <c r="Z273" s="6"/>
      <c r="AA273" s="6"/>
      <c r="AB273" s="6"/>
      <c r="AC273" s="6"/>
      <c r="AD273" s="6"/>
      <c r="AE273" s="6"/>
    </row>
    <row r="274" spans="22:31" ht="11.25" customHeight="1" x14ac:dyDescent="0.25">
      <c r="V274" s="6"/>
      <c r="W274" s="6"/>
      <c r="X274" s="6"/>
      <c r="Y274" s="6"/>
      <c r="Z274" s="6"/>
      <c r="AA274" s="6"/>
      <c r="AB274" s="6"/>
      <c r="AC274" s="6"/>
      <c r="AD274" s="6"/>
      <c r="AE274" s="6"/>
    </row>
    <row r="275" spans="22:31" ht="11.25" customHeight="1" x14ac:dyDescent="0.25">
      <c r="V275" s="6"/>
      <c r="W275" s="6"/>
      <c r="X275" s="6"/>
      <c r="Y275" s="6"/>
      <c r="Z275" s="6"/>
      <c r="AA275" s="6"/>
      <c r="AB275" s="6"/>
      <c r="AC275" s="6"/>
      <c r="AD275" s="6"/>
      <c r="AE275" s="6"/>
    </row>
    <row r="276" spans="22:31" ht="11.25" customHeight="1" x14ac:dyDescent="0.25">
      <c r="V276" s="6"/>
      <c r="W276" s="6"/>
      <c r="X276" s="6"/>
      <c r="Y276" s="6"/>
      <c r="Z276" s="6"/>
      <c r="AA276" s="6"/>
      <c r="AB276" s="6"/>
      <c r="AC276" s="6"/>
      <c r="AD276" s="6"/>
      <c r="AE276" s="6"/>
    </row>
    <row r="277" spans="22:31" ht="11.25" customHeight="1" x14ac:dyDescent="0.25">
      <c r="V277" s="6"/>
      <c r="W277" s="6"/>
      <c r="X277" s="6"/>
      <c r="Y277" s="6"/>
      <c r="Z277" s="6"/>
      <c r="AA277" s="6"/>
      <c r="AB277" s="6"/>
      <c r="AC277" s="6"/>
      <c r="AD277" s="6"/>
      <c r="AE277" s="6"/>
    </row>
    <row r="278" spans="22:31" ht="11.25" customHeight="1" x14ac:dyDescent="0.25">
      <c r="V278" s="6"/>
      <c r="W278" s="6"/>
      <c r="X278" s="6"/>
      <c r="Y278" s="6"/>
      <c r="Z278" s="6"/>
      <c r="AA278" s="6"/>
      <c r="AB278" s="6"/>
      <c r="AC278" s="6"/>
      <c r="AD278" s="6"/>
      <c r="AE278" s="6"/>
    </row>
    <row r="279" spans="22:31" ht="11.25" customHeight="1" x14ac:dyDescent="0.25">
      <c r="V279" s="6"/>
      <c r="W279" s="6"/>
      <c r="X279" s="6"/>
      <c r="Y279" s="6"/>
      <c r="Z279" s="6"/>
      <c r="AA279" s="6"/>
      <c r="AB279" s="6"/>
      <c r="AC279" s="6"/>
      <c r="AD279" s="6"/>
      <c r="AE279" s="6"/>
    </row>
    <row r="280" spans="22:31" ht="11.25" customHeight="1" x14ac:dyDescent="0.25">
      <c r="V280" s="6"/>
      <c r="W280" s="6"/>
      <c r="X280" s="6"/>
      <c r="Y280" s="6"/>
      <c r="Z280" s="6"/>
      <c r="AA280" s="6"/>
      <c r="AB280" s="6"/>
      <c r="AC280" s="6"/>
      <c r="AD280" s="6"/>
      <c r="AE280" s="6"/>
    </row>
    <row r="281" spans="22:31" ht="11.25" customHeight="1" x14ac:dyDescent="0.25">
      <c r="V281" s="6"/>
      <c r="W281" s="6"/>
      <c r="X281" s="6"/>
      <c r="Y281" s="6"/>
      <c r="Z281" s="6"/>
      <c r="AA281" s="6"/>
      <c r="AB281" s="6"/>
      <c r="AC281" s="6"/>
      <c r="AD281" s="6"/>
      <c r="AE281" s="6"/>
    </row>
    <row r="282" spans="22:31" ht="11.25" customHeight="1" x14ac:dyDescent="0.25">
      <c r="V282" s="6"/>
      <c r="W282" s="6"/>
      <c r="X282" s="6"/>
      <c r="Y282" s="6"/>
      <c r="Z282" s="6"/>
      <c r="AA282" s="6"/>
      <c r="AB282" s="6"/>
      <c r="AC282" s="6"/>
      <c r="AD282" s="6"/>
      <c r="AE282" s="6"/>
    </row>
    <row r="283" spans="22:31" ht="11.25" customHeight="1" x14ac:dyDescent="0.25">
      <c r="V283" s="6"/>
      <c r="W283" s="6"/>
      <c r="X283" s="6"/>
      <c r="Y283" s="6"/>
      <c r="Z283" s="6"/>
      <c r="AA283" s="6"/>
      <c r="AB283" s="6"/>
      <c r="AC283" s="6"/>
      <c r="AD283" s="6"/>
      <c r="AE283" s="6"/>
    </row>
    <row r="284" spans="22:31" ht="11.25" customHeight="1" x14ac:dyDescent="0.25">
      <c r="V284" s="6"/>
      <c r="W284" s="6"/>
      <c r="X284" s="6"/>
      <c r="Y284" s="6"/>
      <c r="Z284" s="6"/>
      <c r="AA284" s="6"/>
      <c r="AB284" s="6"/>
      <c r="AC284" s="6"/>
      <c r="AD284" s="6"/>
      <c r="AE284" s="6"/>
    </row>
    <row r="285" spans="22:31" ht="11.25" customHeight="1" x14ac:dyDescent="0.25">
      <c r="V285" s="6"/>
      <c r="W285" s="6"/>
      <c r="X285" s="6"/>
      <c r="Y285" s="6"/>
      <c r="Z285" s="6"/>
      <c r="AA285" s="6"/>
      <c r="AB285" s="6"/>
      <c r="AC285" s="6"/>
      <c r="AD285" s="6"/>
      <c r="AE285" s="6"/>
    </row>
    <row r="286" spans="22:31" ht="11.25" customHeight="1" x14ac:dyDescent="0.25">
      <c r="V286" s="6"/>
      <c r="W286" s="6"/>
      <c r="X286" s="6"/>
      <c r="Y286" s="6"/>
      <c r="Z286" s="6"/>
      <c r="AA286" s="6"/>
      <c r="AB286" s="6"/>
      <c r="AC286" s="6"/>
      <c r="AD286" s="6"/>
      <c r="AE286" s="6"/>
    </row>
    <row r="287" spans="22:31" ht="11.25" customHeight="1" x14ac:dyDescent="0.25">
      <c r="V287" s="6"/>
      <c r="W287" s="6"/>
      <c r="X287" s="6"/>
      <c r="Y287" s="6"/>
      <c r="Z287" s="6"/>
      <c r="AA287" s="6"/>
      <c r="AB287" s="6"/>
      <c r="AC287" s="6"/>
      <c r="AD287" s="6"/>
      <c r="AE287" s="6"/>
    </row>
    <row r="288" spans="22:31" ht="11.25" customHeight="1" x14ac:dyDescent="0.25">
      <c r="V288" s="6"/>
      <c r="W288" s="6"/>
      <c r="X288" s="6"/>
      <c r="Y288" s="6"/>
      <c r="Z288" s="6"/>
      <c r="AA288" s="6"/>
      <c r="AB288" s="6"/>
      <c r="AC288" s="6"/>
      <c r="AD288" s="6"/>
      <c r="AE288" s="6"/>
    </row>
    <row r="289" spans="22:31" ht="11.25" customHeight="1" x14ac:dyDescent="0.25">
      <c r="V289" s="6"/>
      <c r="W289" s="6"/>
      <c r="X289" s="6"/>
      <c r="Y289" s="6"/>
      <c r="Z289" s="6"/>
      <c r="AA289" s="6"/>
      <c r="AB289" s="6"/>
      <c r="AC289" s="6"/>
      <c r="AD289" s="6"/>
      <c r="AE289" s="6"/>
    </row>
    <row r="290" spans="22:31" ht="11.25" customHeight="1" x14ac:dyDescent="0.25">
      <c r="V290" s="6"/>
      <c r="W290" s="6"/>
      <c r="X290" s="6"/>
      <c r="Y290" s="6"/>
      <c r="Z290" s="6"/>
      <c r="AA290" s="6"/>
      <c r="AB290" s="6"/>
      <c r="AC290" s="6"/>
      <c r="AD290" s="6"/>
      <c r="AE290" s="6"/>
    </row>
    <row r="291" spans="22:31" ht="11.25" customHeight="1" x14ac:dyDescent="0.25">
      <c r="V291" s="6"/>
      <c r="W291" s="6"/>
      <c r="X291" s="6"/>
      <c r="Y291" s="6"/>
      <c r="Z291" s="6"/>
      <c r="AA291" s="6"/>
      <c r="AB291" s="6"/>
      <c r="AC291" s="6"/>
      <c r="AD291" s="6"/>
      <c r="AE291" s="6"/>
    </row>
    <row r="292" spans="22:31" ht="11.25" customHeight="1" x14ac:dyDescent="0.25">
      <c r="V292" s="6"/>
      <c r="W292" s="6"/>
      <c r="X292" s="6"/>
      <c r="Y292" s="6"/>
      <c r="Z292" s="6"/>
      <c r="AA292" s="6"/>
      <c r="AB292" s="6"/>
      <c r="AC292" s="6"/>
      <c r="AD292" s="6"/>
      <c r="AE292" s="6"/>
    </row>
    <row r="293" spans="22:31" ht="11.25" customHeight="1" x14ac:dyDescent="0.25">
      <c r="V293" s="6"/>
      <c r="W293" s="6"/>
      <c r="X293" s="6"/>
      <c r="Y293" s="6"/>
      <c r="Z293" s="6"/>
      <c r="AA293" s="6"/>
      <c r="AB293" s="6"/>
      <c r="AC293" s="6"/>
      <c r="AD293" s="6"/>
      <c r="AE293" s="6"/>
    </row>
    <row r="294" spans="22:31" ht="11.25" customHeight="1" x14ac:dyDescent="0.25">
      <c r="V294" s="6"/>
      <c r="W294" s="6"/>
      <c r="X294" s="6"/>
      <c r="Y294" s="6"/>
      <c r="Z294" s="6"/>
      <c r="AA294" s="6"/>
      <c r="AB294" s="6"/>
      <c r="AC294" s="6"/>
      <c r="AD294" s="6"/>
      <c r="AE294" s="6"/>
    </row>
    <row r="295" spans="22:31" ht="11.25" customHeight="1" x14ac:dyDescent="0.25">
      <c r="V295" s="6"/>
      <c r="W295" s="6"/>
      <c r="X295" s="6"/>
      <c r="Y295" s="6"/>
      <c r="Z295" s="6"/>
      <c r="AA295" s="6"/>
      <c r="AB295" s="6"/>
      <c r="AC295" s="6"/>
      <c r="AD295" s="6"/>
      <c r="AE295" s="6"/>
    </row>
    <row r="296" spans="22:31" ht="11.25" customHeight="1" x14ac:dyDescent="0.25"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spans="22:31" ht="11.25" customHeight="1" x14ac:dyDescent="0.25"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spans="22:31" ht="11.25" customHeight="1" x14ac:dyDescent="0.25"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spans="22:31" ht="11.25" customHeight="1" x14ac:dyDescent="0.25"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spans="22:31" ht="11.25" customHeight="1" x14ac:dyDescent="0.25"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spans="22:31" ht="11.25" customHeight="1" x14ac:dyDescent="0.25"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spans="22:31" ht="11.25" customHeight="1" x14ac:dyDescent="0.25"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spans="22:31" ht="11.25" customHeight="1" x14ac:dyDescent="0.25"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spans="22:31" ht="11.25" customHeight="1" x14ac:dyDescent="0.25"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spans="22:31" ht="11.25" customHeight="1" x14ac:dyDescent="0.25"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spans="22:31" ht="11.25" customHeight="1" x14ac:dyDescent="0.25"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spans="22:31" ht="11.25" customHeight="1" x14ac:dyDescent="0.25"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spans="22:31" ht="11.25" customHeight="1" x14ac:dyDescent="0.25"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spans="22:31" ht="11.25" customHeight="1" x14ac:dyDescent="0.25"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spans="22:31" ht="11.25" customHeight="1" x14ac:dyDescent="0.25"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spans="22:31" ht="11.25" customHeight="1" x14ac:dyDescent="0.25"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spans="22:31" ht="11.25" customHeight="1" x14ac:dyDescent="0.25"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spans="22:31" ht="11.25" customHeight="1" x14ac:dyDescent="0.25"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spans="22:31" ht="11.25" customHeight="1" x14ac:dyDescent="0.25"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spans="22:31" ht="11.25" customHeight="1" x14ac:dyDescent="0.25"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spans="22:31" ht="11.25" customHeight="1" x14ac:dyDescent="0.25"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spans="22:31" ht="11.25" customHeight="1" x14ac:dyDescent="0.25"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spans="22:31" ht="11.25" customHeight="1" x14ac:dyDescent="0.25"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spans="22:31" ht="11.25" customHeight="1" x14ac:dyDescent="0.25"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spans="22:31" ht="11.25" customHeight="1" x14ac:dyDescent="0.25"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spans="22:31" ht="11.25" customHeight="1" x14ac:dyDescent="0.25"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spans="22:31" ht="11.25" customHeight="1" x14ac:dyDescent="0.25"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spans="22:31" ht="11.25" customHeight="1" x14ac:dyDescent="0.25"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spans="22:31" ht="11.25" customHeight="1" x14ac:dyDescent="0.25"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spans="22:31" ht="11.25" customHeight="1" x14ac:dyDescent="0.25"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spans="22:31" ht="11.25" customHeight="1" x14ac:dyDescent="0.25"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spans="22:31" ht="11.25" customHeight="1" x14ac:dyDescent="0.25"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spans="22:31" ht="11.25" customHeight="1" x14ac:dyDescent="0.25"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spans="22:31" ht="11.25" customHeight="1" x14ac:dyDescent="0.25"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spans="22:31" ht="11.25" customHeight="1" x14ac:dyDescent="0.25"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spans="22:31" ht="11.25" customHeight="1" x14ac:dyDescent="0.25"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spans="22:31" ht="11.25" customHeight="1" x14ac:dyDescent="0.25"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spans="22:31" ht="11.25" customHeight="1" x14ac:dyDescent="0.25"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spans="22:31" ht="11.25" customHeight="1" x14ac:dyDescent="0.25"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spans="22:31" ht="11.25" customHeight="1" x14ac:dyDescent="0.25"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spans="22:31" ht="11.25" customHeight="1" x14ac:dyDescent="0.25"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spans="22:31" ht="11.25" customHeight="1" x14ac:dyDescent="0.25"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spans="22:31" ht="11.25" customHeight="1" x14ac:dyDescent="0.25"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spans="22:31" ht="11.25" customHeight="1" x14ac:dyDescent="0.25"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spans="22:31" ht="11.25" customHeight="1" x14ac:dyDescent="0.25"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spans="22:31" ht="11.25" customHeight="1" x14ac:dyDescent="0.25"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spans="22:31" ht="11.25" customHeight="1" x14ac:dyDescent="0.25"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spans="22:31" ht="11.25" customHeight="1" x14ac:dyDescent="0.25"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spans="22:31" ht="11.25" customHeight="1" x14ac:dyDescent="0.25"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spans="22:31" ht="11.25" customHeight="1" x14ac:dyDescent="0.25"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spans="22:31" ht="11.25" customHeight="1" x14ac:dyDescent="0.25"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spans="22:31" ht="11.25" customHeight="1" x14ac:dyDescent="0.25"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spans="22:31" ht="11.25" customHeight="1" x14ac:dyDescent="0.25"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spans="22:31" ht="11.25" customHeight="1" x14ac:dyDescent="0.25"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spans="22:31" ht="11.25" customHeight="1" x14ac:dyDescent="0.25"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spans="22:31" ht="11.25" customHeight="1" x14ac:dyDescent="0.25"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spans="22:31" ht="11.25" customHeight="1" x14ac:dyDescent="0.25"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spans="22:31" ht="11.25" customHeight="1" x14ac:dyDescent="0.25"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spans="22:31" ht="11.25" customHeight="1" x14ac:dyDescent="0.25"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spans="22:31" ht="11.25" customHeight="1" x14ac:dyDescent="0.25"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spans="22:31" ht="11.25" customHeight="1" x14ac:dyDescent="0.25"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spans="22:31" ht="11.25" customHeight="1" x14ac:dyDescent="0.25"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22:31" ht="11.25" customHeight="1" x14ac:dyDescent="0.25"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22:31" ht="11.25" customHeight="1" x14ac:dyDescent="0.25"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22:31" ht="11.25" customHeight="1" x14ac:dyDescent="0.25"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22:31" ht="11.25" customHeight="1" x14ac:dyDescent="0.25"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22:31" ht="11.25" customHeight="1" x14ac:dyDescent="0.25"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22:31" ht="11.25" customHeight="1" x14ac:dyDescent="0.25"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22:31" ht="11.25" customHeight="1" x14ac:dyDescent="0.25"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22:31" ht="11.25" customHeight="1" x14ac:dyDescent="0.25"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22:31" ht="11.25" customHeight="1" x14ac:dyDescent="0.25"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22:31" ht="11.25" customHeight="1" x14ac:dyDescent="0.25"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22:31" ht="11.25" customHeight="1" x14ac:dyDescent="0.25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25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25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25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25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25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25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25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25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25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25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25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25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25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25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25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25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25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25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25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25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25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D5B7C-E556-4246-9BBC-32319110FEFD}">
  <dimension ref="A1:J560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4.5703125" style="45" bestFit="1" customWidth="1"/>
    <col min="3" max="3" width="25.5703125" style="45" bestFit="1" customWidth="1"/>
    <col min="4" max="4" width="26" style="45" bestFit="1" customWidth="1"/>
    <col min="5" max="5" width="26.85546875" style="45" bestFit="1" customWidth="1"/>
    <col min="6" max="6" width="23.7109375" style="45" bestFit="1" customWidth="1"/>
    <col min="7" max="7" width="24.5703125" style="45" bestFit="1" customWidth="1"/>
    <col min="8" max="8" width="18.28515625" style="46" bestFit="1" customWidth="1"/>
    <col min="9" max="9" width="16" style="46" bestFit="1" customWidth="1"/>
    <col min="10" max="10" width="13.85546875" style="46" bestFit="1" customWidth="1"/>
    <col min="11" max="16384" width="9.140625" style="14"/>
  </cols>
  <sheetData>
    <row r="1" spans="1:10" ht="11.25" customHeight="1" x14ac:dyDescent="0.2">
      <c r="A1" s="44" t="s">
        <v>719</v>
      </c>
      <c r="B1" s="45" t="s">
        <v>720</v>
      </c>
      <c r="C1" s="45" t="s">
        <v>721</v>
      </c>
      <c r="D1" s="45" t="s">
        <v>722</v>
      </c>
      <c r="E1" s="45" t="s">
        <v>723</v>
      </c>
      <c r="F1" s="45" t="s">
        <v>724</v>
      </c>
      <c r="G1" s="45" t="s">
        <v>725</v>
      </c>
      <c r="H1" s="46" t="s">
        <v>726</v>
      </c>
      <c r="I1" s="46" t="s">
        <v>727</v>
      </c>
      <c r="J1" s="46" t="s">
        <v>728</v>
      </c>
    </row>
    <row r="2" spans="1:10" ht="11.25" customHeight="1" x14ac:dyDescent="0.2">
      <c r="A2" s="47" t="s">
        <v>26</v>
      </c>
      <c r="B2" s="45">
        <v>630433.79550000059</v>
      </c>
      <c r="C2" s="45">
        <v>690757.83954946115</v>
      </c>
      <c r="D2" s="45">
        <v>9635581.5057831444</v>
      </c>
      <c r="E2" s="45">
        <v>11371257.785987763</v>
      </c>
      <c r="F2" s="45">
        <v>8151608.8712574607</v>
      </c>
      <c r="G2" s="45">
        <v>6072364.8060389282</v>
      </c>
      <c r="H2" s="46">
        <v>0.17494619592370797</v>
      </c>
      <c r="I2" s="46">
        <v>-0.25507161813785506</v>
      </c>
      <c r="J2" s="46">
        <v>-1.5378951069419999E-2</v>
      </c>
    </row>
    <row r="3" spans="1:10" ht="11.25" customHeight="1" x14ac:dyDescent="0.2">
      <c r="A3" s="48" t="s">
        <v>38</v>
      </c>
      <c r="B3" s="45">
        <v>630433.79550000059</v>
      </c>
      <c r="C3" s="45">
        <v>690757.83954946115</v>
      </c>
      <c r="D3" s="45">
        <v>914385.02543379983</v>
      </c>
      <c r="E3" s="45">
        <v>1203150.011810736</v>
      </c>
      <c r="F3" s="45">
        <v>2117178.5408321987</v>
      </c>
      <c r="G3" s="45">
        <v>1567772.494949382</v>
      </c>
      <c r="H3" s="46">
        <v>0.22597409203972685</v>
      </c>
      <c r="I3" s="46">
        <v>-0.25949915667804846</v>
      </c>
      <c r="J3" s="46">
        <v>-5.4701572848708246E-2</v>
      </c>
    </row>
    <row r="4" spans="1:10" ht="11.25" customHeight="1" x14ac:dyDescent="0.2">
      <c r="A4" s="49" t="s">
        <v>39</v>
      </c>
      <c r="B4" s="45">
        <v>630433.79550000059</v>
      </c>
      <c r="C4" s="45">
        <v>690757.83954946115</v>
      </c>
      <c r="D4" s="45">
        <v>914385.02543379983</v>
      </c>
      <c r="E4" s="45">
        <v>1203150.011810736</v>
      </c>
      <c r="F4" s="45">
        <v>2117178.5408321987</v>
      </c>
      <c r="G4" s="45">
        <v>1567772.494949382</v>
      </c>
      <c r="H4" s="46">
        <v>0.22597409203972685</v>
      </c>
      <c r="I4" s="46">
        <v>-0.25949915667804846</v>
      </c>
      <c r="J4" s="46">
        <v>-5.4701572848708246E-2</v>
      </c>
    </row>
    <row r="5" spans="1:10" ht="11.25" customHeight="1" x14ac:dyDescent="0.2">
      <c r="A5" s="50" t="s">
        <v>40</v>
      </c>
      <c r="B5" s="45">
        <v>214737.48000000004</v>
      </c>
      <c r="C5" s="45">
        <v>235284.97173514179</v>
      </c>
      <c r="D5" s="45">
        <v>442328.50097000005</v>
      </c>
      <c r="E5" s="45">
        <v>560444.98642465752</v>
      </c>
      <c r="F5" s="45">
        <v>816329.30203000014</v>
      </c>
      <c r="G5" s="45">
        <v>604079.2752333926</v>
      </c>
      <c r="H5" s="46">
        <v>0.21103508811260485</v>
      </c>
      <c r="I5" s="46">
        <v>-0.26000540011095585</v>
      </c>
      <c r="J5" s="46">
        <v>-4.9943182563323307E-2</v>
      </c>
    </row>
    <row r="6" spans="1:10" ht="11.25" customHeight="1" x14ac:dyDescent="0.2">
      <c r="A6" s="51" t="s">
        <v>25</v>
      </c>
      <c r="B6" s="45">
        <v>214737.48000000004</v>
      </c>
      <c r="C6" s="45">
        <v>235284.97173514179</v>
      </c>
      <c r="D6" s="45">
        <v>442328.50097000005</v>
      </c>
      <c r="E6" s="45">
        <v>560444.98642465752</v>
      </c>
      <c r="F6" s="45">
        <v>816329.30203000014</v>
      </c>
      <c r="G6" s="45">
        <v>604079.2752333926</v>
      </c>
      <c r="H6" s="46">
        <v>0.21103508811260485</v>
      </c>
      <c r="I6" s="46">
        <v>-0.26000540011095585</v>
      </c>
      <c r="J6" s="46">
        <v>-4.9943182563323307E-2</v>
      </c>
    </row>
    <row r="7" spans="1:10" ht="11.25" customHeight="1" x14ac:dyDescent="0.2">
      <c r="A7" s="52" t="s">
        <v>25</v>
      </c>
      <c r="B7" s="45">
        <v>214737.48000000004</v>
      </c>
      <c r="C7" s="45">
        <v>235284.97173514179</v>
      </c>
      <c r="D7" s="45">
        <v>442328.50097000005</v>
      </c>
      <c r="E7" s="45">
        <v>560444.98642465752</v>
      </c>
      <c r="F7" s="45">
        <v>816329.30203000014</v>
      </c>
      <c r="G7" s="45">
        <v>604079.2752333926</v>
      </c>
      <c r="H7" s="46">
        <v>0.21103508811260485</v>
      </c>
      <c r="I7" s="46">
        <v>-0.26000540011095585</v>
      </c>
      <c r="J7" s="46">
        <v>-4.9943182563323307E-2</v>
      </c>
    </row>
    <row r="8" spans="1:10" ht="11.25" customHeight="1" x14ac:dyDescent="0.2">
      <c r="A8" s="53" t="s">
        <v>25</v>
      </c>
      <c r="B8" s="45">
        <v>214737.48000000004</v>
      </c>
      <c r="C8" s="45">
        <v>235284.97173514179</v>
      </c>
      <c r="D8" s="45">
        <v>442328.50097000005</v>
      </c>
      <c r="E8" s="45">
        <v>560444.98642465752</v>
      </c>
      <c r="F8" s="45">
        <v>816329.30203000014</v>
      </c>
      <c r="G8" s="45">
        <v>604079.2752333926</v>
      </c>
      <c r="H8" s="46">
        <v>0.21103508811260485</v>
      </c>
      <c r="I8" s="46">
        <v>-0.26000540011095585</v>
      </c>
      <c r="J8" s="46">
        <v>-4.9943182563323307E-2</v>
      </c>
    </row>
    <row r="9" spans="1:10" ht="11.25" customHeight="1" x14ac:dyDescent="0.2">
      <c r="A9" s="54" t="s">
        <v>34</v>
      </c>
      <c r="B9" s="45">
        <v>0</v>
      </c>
      <c r="C9" s="45">
        <v>0</v>
      </c>
      <c r="D9" s="45">
        <v>203691.24422000002</v>
      </c>
      <c r="E9" s="45">
        <v>295480.22868276009</v>
      </c>
      <c r="F9" s="45">
        <v>736231.08478000003</v>
      </c>
      <c r="G9" s="45">
        <v>545705.85438077536</v>
      </c>
      <c r="H9" s="46">
        <v>0.45062803172639998</v>
      </c>
      <c r="I9" s="46">
        <v>-0.25878455058191041</v>
      </c>
      <c r="J9" s="46">
        <v>-0.10504723942616823</v>
      </c>
    </row>
    <row r="10" spans="1:10" ht="11.25" customHeight="1" x14ac:dyDescent="0.2">
      <c r="A10" s="55">
        <v>44409</v>
      </c>
      <c r="B10" s="45">
        <v>0</v>
      </c>
      <c r="C10" s="45">
        <v>0</v>
      </c>
      <c r="D10" s="45">
        <v>15815.558280000001</v>
      </c>
      <c r="E10" s="45">
        <v>22942.492178370569</v>
      </c>
      <c r="F10" s="45">
        <v>57164.487719999997</v>
      </c>
      <c r="G10" s="45">
        <v>42371.201456134666</v>
      </c>
      <c r="H10" s="46">
        <v>0.45062803172639998</v>
      </c>
      <c r="I10" s="46">
        <v>-0.2587845505819103</v>
      </c>
      <c r="J10" s="46">
        <v>-0.10504723942616812</v>
      </c>
    </row>
    <row r="11" spans="1:10" ht="11.25" customHeight="1" x14ac:dyDescent="0.2">
      <c r="A11" s="55">
        <v>44440</v>
      </c>
      <c r="B11" s="45">
        <v>0</v>
      </c>
      <c r="C11" s="45">
        <v>0</v>
      </c>
      <c r="D11" s="45">
        <v>14008.219810000001</v>
      </c>
      <c r="E11" s="45">
        <v>20320.716330971067</v>
      </c>
      <c r="F11" s="45">
        <v>50631.959689999996</v>
      </c>
      <c r="G11" s="45">
        <v>37529.190756541953</v>
      </c>
      <c r="H11" s="46">
        <v>0.45062803172639998</v>
      </c>
      <c r="I11" s="46">
        <v>-0.25878455058191019</v>
      </c>
      <c r="J11" s="46">
        <v>-0.105047239426168</v>
      </c>
    </row>
    <row r="12" spans="1:10" ht="11.25" customHeight="1" x14ac:dyDescent="0.2">
      <c r="A12" s="55">
        <v>44470</v>
      </c>
      <c r="B12" s="45">
        <v>0</v>
      </c>
      <c r="C12" s="45">
        <v>0</v>
      </c>
      <c r="D12" s="45">
        <v>19931.416900000004</v>
      </c>
      <c r="E12" s="45">
        <v>28913.072067165311</v>
      </c>
      <c r="F12" s="45">
        <v>72041.038100000005</v>
      </c>
      <c r="G12" s="45">
        <v>53397.930431837223</v>
      </c>
      <c r="H12" s="46">
        <v>0.45062803172639998</v>
      </c>
      <c r="I12" s="46">
        <v>-0.2587845505819103</v>
      </c>
      <c r="J12" s="46">
        <v>-0.10504723942616823</v>
      </c>
    </row>
    <row r="13" spans="1:10" ht="11.25" customHeight="1" x14ac:dyDescent="0.2">
      <c r="A13" s="55">
        <v>44501</v>
      </c>
      <c r="B13" s="45">
        <v>0</v>
      </c>
      <c r="C13" s="45">
        <v>0</v>
      </c>
      <c r="D13" s="45">
        <v>19735.8734</v>
      </c>
      <c r="E13" s="45">
        <v>28629.411184643413</v>
      </c>
      <c r="F13" s="45">
        <v>71334.256599999993</v>
      </c>
      <c r="G13" s="45">
        <v>52874.053064674328</v>
      </c>
      <c r="H13" s="46">
        <v>0.45062803172639998</v>
      </c>
      <c r="I13" s="46">
        <v>-0.2587845505819103</v>
      </c>
      <c r="J13" s="46">
        <v>-0.10504723942616812</v>
      </c>
    </row>
    <row r="14" spans="1:10" ht="11.25" customHeight="1" x14ac:dyDescent="0.2">
      <c r="A14" s="55">
        <v>44531</v>
      </c>
      <c r="B14" s="45">
        <v>0</v>
      </c>
      <c r="C14" s="45">
        <v>0</v>
      </c>
      <c r="D14" s="45">
        <v>17718.823750000003</v>
      </c>
      <c r="E14" s="45">
        <v>25703.422420969491</v>
      </c>
      <c r="F14" s="45">
        <v>64043.738749999997</v>
      </c>
      <c r="G14" s="45">
        <v>47470.208599995975</v>
      </c>
      <c r="H14" s="46">
        <v>0.45062803172639976</v>
      </c>
      <c r="I14" s="46">
        <v>-0.2587845505819103</v>
      </c>
      <c r="J14" s="46">
        <v>-0.10504723942616812</v>
      </c>
    </row>
    <row r="15" spans="1:10" ht="11.25" customHeight="1" x14ac:dyDescent="0.2">
      <c r="A15" s="55">
        <v>44562</v>
      </c>
      <c r="B15" s="45">
        <v>0</v>
      </c>
      <c r="C15" s="45">
        <v>0</v>
      </c>
      <c r="D15" s="45">
        <v>17129.167860000001</v>
      </c>
      <c r="E15" s="45">
        <v>24848.051057862911</v>
      </c>
      <c r="F15" s="45">
        <v>61912.459139999992</v>
      </c>
      <c r="G15" s="45">
        <v>45890.471226034213</v>
      </c>
      <c r="H15" s="46">
        <v>0.45062803172639998</v>
      </c>
      <c r="I15" s="46">
        <v>-0.25878455058191019</v>
      </c>
      <c r="J15" s="46">
        <v>-0.10504723942616812</v>
      </c>
    </row>
    <row r="16" spans="1:10" ht="11.25" customHeight="1" x14ac:dyDescent="0.2">
      <c r="A16" s="55">
        <v>44593</v>
      </c>
      <c r="B16" s="45">
        <v>0</v>
      </c>
      <c r="C16" s="45">
        <v>0</v>
      </c>
      <c r="D16" s="45">
        <v>19350.02549</v>
      </c>
      <c r="E16" s="45">
        <v>28069.689390414369</v>
      </c>
      <c r="F16" s="45">
        <v>69939.630009999993</v>
      </c>
      <c r="G16" s="45">
        <v>51840.334289997059</v>
      </c>
      <c r="H16" s="46">
        <v>0.45062803172639998</v>
      </c>
      <c r="I16" s="46">
        <v>-0.2587845505819103</v>
      </c>
      <c r="J16" s="46">
        <v>-0.10504723942616812</v>
      </c>
    </row>
    <row r="17" spans="1:10" ht="11.25" customHeight="1" x14ac:dyDescent="0.2">
      <c r="A17" s="55">
        <v>44621</v>
      </c>
      <c r="B17" s="45">
        <v>0</v>
      </c>
      <c r="C17" s="45">
        <v>0</v>
      </c>
      <c r="D17" s="45">
        <v>21652.716230000002</v>
      </c>
      <c r="E17" s="45">
        <v>31410.037126255182</v>
      </c>
      <c r="F17" s="45">
        <v>78262.582269999999</v>
      </c>
      <c r="G17" s="45">
        <v>58009.435089878272</v>
      </c>
      <c r="H17" s="46">
        <v>0.4506280317264002</v>
      </c>
      <c r="I17" s="46">
        <v>-0.2587845505819103</v>
      </c>
      <c r="J17" s="46">
        <v>-0.10504723942616812</v>
      </c>
    </row>
    <row r="18" spans="1:10" ht="11.25" customHeight="1" x14ac:dyDescent="0.2">
      <c r="A18" s="55">
        <v>44652</v>
      </c>
      <c r="B18" s="45">
        <v>0</v>
      </c>
      <c r="C18" s="45">
        <v>0</v>
      </c>
      <c r="D18" s="45">
        <v>16763.981150000003</v>
      </c>
      <c r="E18" s="45">
        <v>24318.300979522974</v>
      </c>
      <c r="F18" s="45">
        <v>60592.511349999993</v>
      </c>
      <c r="G18" s="45">
        <v>44912.105531660949</v>
      </c>
      <c r="H18" s="46">
        <v>0.45062803172639976</v>
      </c>
      <c r="I18" s="46">
        <v>-0.2587845505819103</v>
      </c>
      <c r="J18" s="46">
        <v>-0.10504723942616812</v>
      </c>
    </row>
    <row r="19" spans="1:10" ht="11.25" customHeight="1" x14ac:dyDescent="0.2">
      <c r="A19" s="55">
        <v>44682</v>
      </c>
      <c r="B19" s="45">
        <v>0</v>
      </c>
      <c r="C19" s="45">
        <v>0</v>
      </c>
      <c r="D19" s="45">
        <v>14827.141230000003</v>
      </c>
      <c r="E19" s="45">
        <v>21508.666698604258</v>
      </c>
      <c r="F19" s="45">
        <v>53591.907269999996</v>
      </c>
      <c r="G19" s="45">
        <v>39723.149632305642</v>
      </c>
      <c r="H19" s="46">
        <v>0.45062803172639998</v>
      </c>
      <c r="I19" s="46">
        <v>-0.25878455058191019</v>
      </c>
      <c r="J19" s="46">
        <v>-0.105047239426168</v>
      </c>
    </row>
    <row r="20" spans="1:10" ht="11.25" customHeight="1" x14ac:dyDescent="0.2">
      <c r="A20" s="55">
        <v>44713</v>
      </c>
      <c r="B20" s="45">
        <v>0</v>
      </c>
      <c r="C20" s="45">
        <v>0</v>
      </c>
      <c r="D20" s="45">
        <v>13379.16006</v>
      </c>
      <c r="E20" s="45">
        <v>19408.184623990266</v>
      </c>
      <c r="F20" s="45">
        <v>48358.256939999992</v>
      </c>
      <c r="G20" s="45">
        <v>35843.887150857554</v>
      </c>
      <c r="H20" s="46">
        <v>0.4506280317264002</v>
      </c>
      <c r="I20" s="46">
        <v>-0.25878455058191019</v>
      </c>
      <c r="J20" s="46">
        <v>-0.105047239426168</v>
      </c>
    </row>
    <row r="21" spans="1:10" ht="11.25" customHeight="1" x14ac:dyDescent="0.2">
      <c r="A21" s="55">
        <v>44743</v>
      </c>
      <c r="B21" s="45">
        <v>0</v>
      </c>
      <c r="C21" s="45">
        <v>0</v>
      </c>
      <c r="D21" s="45">
        <v>13379.16006</v>
      </c>
      <c r="E21" s="45">
        <v>19408.184623990266</v>
      </c>
      <c r="F21" s="45">
        <v>48358.256939999992</v>
      </c>
      <c r="G21" s="45">
        <v>35843.887150857554</v>
      </c>
      <c r="H21" s="46">
        <v>0.4506280317264002</v>
      </c>
      <c r="I21" s="46">
        <v>-0.25878455058191019</v>
      </c>
      <c r="J21" s="46">
        <v>-0.105047239426168</v>
      </c>
    </row>
    <row r="22" spans="1:10" ht="11.25" customHeight="1" x14ac:dyDescent="0.2">
      <c r="A22" s="54" t="s">
        <v>25</v>
      </c>
      <c r="B22" s="45">
        <v>214737.48000000004</v>
      </c>
      <c r="C22" s="45">
        <v>235284.97173514179</v>
      </c>
      <c r="D22" s="45">
        <v>0</v>
      </c>
      <c r="E22" s="45">
        <v>0</v>
      </c>
      <c r="F22" s="45">
        <v>0</v>
      </c>
      <c r="G22" s="45">
        <v>0</v>
      </c>
      <c r="H22" s="46">
        <v>9.5686564521208606E-2</v>
      </c>
      <c r="I22" s="46">
        <v>0</v>
      </c>
      <c r="J22" s="46">
        <v>9.5686564521208606E-2</v>
      </c>
    </row>
    <row r="23" spans="1:10" ht="11.25" customHeight="1" x14ac:dyDescent="0.2">
      <c r="A23" s="55">
        <v>44409</v>
      </c>
      <c r="B23" s="45">
        <v>16450.830000000002</v>
      </c>
      <c r="C23" s="45">
        <v>18024.953406222437</v>
      </c>
      <c r="D23" s="45">
        <v>0</v>
      </c>
      <c r="E23" s="45">
        <v>0</v>
      </c>
      <c r="F23" s="45">
        <v>0</v>
      </c>
      <c r="G23" s="45">
        <v>0</v>
      </c>
      <c r="H23" s="46">
        <v>9.5686564521208606E-2</v>
      </c>
      <c r="I23" s="46">
        <v>0</v>
      </c>
      <c r="J23" s="46">
        <v>9.5686564521208606E-2</v>
      </c>
    </row>
    <row r="24" spans="1:10" ht="11.25" customHeight="1" x14ac:dyDescent="0.2">
      <c r="A24" s="55">
        <v>44440</v>
      </c>
      <c r="B24" s="45">
        <v>16416.45</v>
      </c>
      <c r="C24" s="45">
        <v>17987.283702134198</v>
      </c>
      <c r="D24" s="45">
        <v>0</v>
      </c>
      <c r="E24" s="45">
        <v>0</v>
      </c>
      <c r="F24" s="45">
        <v>0</v>
      </c>
      <c r="G24" s="45">
        <v>0</v>
      </c>
      <c r="H24" s="46">
        <v>9.5686564521208828E-2</v>
      </c>
      <c r="I24" s="46">
        <v>0</v>
      </c>
      <c r="J24" s="46">
        <v>9.5686564521208828E-2</v>
      </c>
    </row>
    <row r="25" spans="1:10" ht="11.25" customHeight="1" x14ac:dyDescent="0.2">
      <c r="A25" s="55">
        <v>44470</v>
      </c>
      <c r="B25" s="45">
        <v>20559.240000000002</v>
      </c>
      <c r="C25" s="45">
        <v>22526.483044767017</v>
      </c>
      <c r="D25" s="45">
        <v>0</v>
      </c>
      <c r="E25" s="45">
        <v>0</v>
      </c>
      <c r="F25" s="45">
        <v>0</v>
      </c>
      <c r="G25" s="45">
        <v>0</v>
      </c>
      <c r="H25" s="46">
        <v>9.5686564521208828E-2</v>
      </c>
      <c r="I25" s="46">
        <v>0</v>
      </c>
      <c r="J25" s="46">
        <v>9.5686564521208828E-2</v>
      </c>
    </row>
    <row r="26" spans="1:10" ht="11.25" customHeight="1" x14ac:dyDescent="0.2">
      <c r="A26" s="55">
        <v>44501</v>
      </c>
      <c r="B26" s="45">
        <v>18994.95</v>
      </c>
      <c r="C26" s="45">
        <v>20812.511508752134</v>
      </c>
      <c r="D26" s="45">
        <v>0</v>
      </c>
      <c r="E26" s="45">
        <v>0</v>
      </c>
      <c r="F26" s="45">
        <v>0</v>
      </c>
      <c r="G26" s="45">
        <v>0</v>
      </c>
      <c r="H26" s="46">
        <v>9.5686564521208606E-2</v>
      </c>
      <c r="I26" s="46">
        <v>0</v>
      </c>
      <c r="J26" s="46">
        <v>9.5686564521208606E-2</v>
      </c>
    </row>
    <row r="27" spans="1:10" ht="11.25" customHeight="1" x14ac:dyDescent="0.2">
      <c r="A27" s="55">
        <v>44531</v>
      </c>
      <c r="B27" s="45">
        <v>17293.140000000003</v>
      </c>
      <c r="C27" s="45">
        <v>18947.861156384297</v>
      </c>
      <c r="D27" s="45">
        <v>0</v>
      </c>
      <c r="E27" s="45">
        <v>0</v>
      </c>
      <c r="F27" s="45">
        <v>0</v>
      </c>
      <c r="G27" s="45">
        <v>0</v>
      </c>
      <c r="H27" s="46">
        <v>9.5686564521208606E-2</v>
      </c>
      <c r="I27" s="46">
        <v>0</v>
      </c>
      <c r="J27" s="46">
        <v>9.5686564521208606E-2</v>
      </c>
    </row>
    <row r="28" spans="1:10" ht="11.25" customHeight="1" x14ac:dyDescent="0.2">
      <c r="A28" s="55">
        <v>44562</v>
      </c>
      <c r="B28" s="45">
        <v>17482.23</v>
      </c>
      <c r="C28" s="45">
        <v>19155.04452886961</v>
      </c>
      <c r="D28" s="45">
        <v>0</v>
      </c>
      <c r="E28" s="45">
        <v>0</v>
      </c>
      <c r="F28" s="45">
        <v>0</v>
      </c>
      <c r="G28" s="45">
        <v>0</v>
      </c>
      <c r="H28" s="46">
        <v>9.5686564521208606E-2</v>
      </c>
      <c r="I28" s="46">
        <v>0</v>
      </c>
      <c r="J28" s="46">
        <v>9.5686564521208606E-2</v>
      </c>
    </row>
    <row r="29" spans="1:10" ht="11.25" customHeight="1" x14ac:dyDescent="0.2">
      <c r="A29" s="55">
        <v>44593</v>
      </c>
      <c r="B29" s="45">
        <v>20301.390000000003</v>
      </c>
      <c r="C29" s="45">
        <v>22243.960264105222</v>
      </c>
      <c r="D29" s="45">
        <v>0</v>
      </c>
      <c r="E29" s="45">
        <v>0</v>
      </c>
      <c r="F29" s="45">
        <v>0</v>
      </c>
      <c r="G29" s="45">
        <v>0</v>
      </c>
      <c r="H29" s="46">
        <v>9.5686564521208606E-2</v>
      </c>
      <c r="I29" s="46">
        <v>0</v>
      </c>
      <c r="J29" s="46">
        <v>9.5686564521208606E-2</v>
      </c>
    </row>
    <row r="30" spans="1:10" ht="11.25" customHeight="1" x14ac:dyDescent="0.2">
      <c r="A30" s="55">
        <v>44621</v>
      </c>
      <c r="B30" s="45">
        <v>20129.490000000002</v>
      </c>
      <c r="C30" s="45">
        <v>22055.611743664027</v>
      </c>
      <c r="D30" s="45">
        <v>0</v>
      </c>
      <c r="E30" s="45">
        <v>0</v>
      </c>
      <c r="F30" s="45">
        <v>0</v>
      </c>
      <c r="G30" s="45">
        <v>0</v>
      </c>
      <c r="H30" s="46">
        <v>9.5686564521208606E-2</v>
      </c>
      <c r="I30" s="46">
        <v>0</v>
      </c>
      <c r="J30" s="46">
        <v>9.5686564521208606E-2</v>
      </c>
    </row>
    <row r="31" spans="1:10" ht="11.25" customHeight="1" x14ac:dyDescent="0.2">
      <c r="A31" s="55">
        <v>44652</v>
      </c>
      <c r="B31" s="45">
        <v>20421.72</v>
      </c>
      <c r="C31" s="45">
        <v>22375.804228414061</v>
      </c>
      <c r="D31" s="45">
        <v>0</v>
      </c>
      <c r="E31" s="45">
        <v>0</v>
      </c>
      <c r="F31" s="45">
        <v>0</v>
      </c>
      <c r="G31" s="45">
        <v>0</v>
      </c>
      <c r="H31" s="46">
        <v>9.5686564521208828E-2</v>
      </c>
      <c r="I31" s="46">
        <v>0</v>
      </c>
      <c r="J31" s="46">
        <v>9.5686564521208828E-2</v>
      </c>
    </row>
    <row r="32" spans="1:10" ht="11.25" customHeight="1" x14ac:dyDescent="0.2">
      <c r="A32" s="55">
        <v>44682</v>
      </c>
      <c r="B32" s="45">
        <v>16364.880000000001</v>
      </c>
      <c r="C32" s="45">
        <v>17930.779146001838</v>
      </c>
      <c r="D32" s="45">
        <v>0</v>
      </c>
      <c r="E32" s="45">
        <v>0</v>
      </c>
      <c r="F32" s="45">
        <v>0</v>
      </c>
      <c r="G32" s="45">
        <v>0</v>
      </c>
      <c r="H32" s="46">
        <v>9.5686564521208606E-2</v>
      </c>
      <c r="I32" s="46">
        <v>0</v>
      </c>
      <c r="J32" s="46">
        <v>9.5686564521208606E-2</v>
      </c>
    </row>
    <row r="33" spans="1:10" ht="11.25" customHeight="1" x14ac:dyDescent="0.2">
      <c r="A33" s="55">
        <v>44713</v>
      </c>
      <c r="B33" s="45">
        <v>15161.580000000002</v>
      </c>
      <c r="C33" s="45">
        <v>16612.33950291347</v>
      </c>
      <c r="D33" s="45">
        <v>0</v>
      </c>
      <c r="E33" s="45">
        <v>0</v>
      </c>
      <c r="F33" s="45">
        <v>0</v>
      </c>
      <c r="G33" s="45">
        <v>0</v>
      </c>
      <c r="H33" s="46">
        <v>9.5686564521208828E-2</v>
      </c>
      <c r="I33" s="46">
        <v>0</v>
      </c>
      <c r="J33" s="46">
        <v>9.5686564521208828E-2</v>
      </c>
    </row>
    <row r="34" spans="1:10" ht="11.25" customHeight="1" x14ac:dyDescent="0.2">
      <c r="A34" s="55">
        <v>44743</v>
      </c>
      <c r="B34" s="45">
        <v>15161.580000000002</v>
      </c>
      <c r="C34" s="45">
        <v>16612.33950291347</v>
      </c>
      <c r="D34" s="45">
        <v>0</v>
      </c>
      <c r="E34" s="45">
        <v>0</v>
      </c>
      <c r="F34" s="45">
        <v>0</v>
      </c>
      <c r="G34" s="45">
        <v>0</v>
      </c>
      <c r="H34" s="46">
        <v>9.5686564521208828E-2</v>
      </c>
      <c r="I34" s="46">
        <v>0</v>
      </c>
      <c r="J34" s="46">
        <v>9.5686564521208828E-2</v>
      </c>
    </row>
    <row r="35" spans="1:10" ht="11.25" customHeight="1" x14ac:dyDescent="0.2">
      <c r="A35" s="54" t="s">
        <v>33</v>
      </c>
      <c r="B35" s="45">
        <v>0</v>
      </c>
      <c r="C35" s="45">
        <v>0</v>
      </c>
      <c r="D35" s="45">
        <v>238637.25674999997</v>
      </c>
      <c r="E35" s="45">
        <v>264964.75774189754</v>
      </c>
      <c r="F35" s="45">
        <v>80098.217250000002</v>
      </c>
      <c r="G35" s="45">
        <v>58373.420852617135</v>
      </c>
      <c r="H35" s="46">
        <v>0.11032435316451306</v>
      </c>
      <c r="I35" s="46">
        <v>-0.27122696538396263</v>
      </c>
      <c r="J35" s="46">
        <v>1.444051563119908E-2</v>
      </c>
    </row>
    <row r="36" spans="1:10" ht="11.25" customHeight="1" x14ac:dyDescent="0.2">
      <c r="A36" s="55">
        <v>44409</v>
      </c>
      <c r="B36" s="45">
        <v>0</v>
      </c>
      <c r="C36" s="45">
        <v>0</v>
      </c>
      <c r="D36" s="45">
        <v>17474.537249999998</v>
      </c>
      <c r="E36" s="45">
        <v>19402.404268955434</v>
      </c>
      <c r="F36" s="45">
        <v>5865.3007499999994</v>
      </c>
      <c r="G36" s="45">
        <v>4274.4730265132202</v>
      </c>
      <c r="H36" s="46">
        <v>0.11032435316451283</v>
      </c>
      <c r="I36" s="46">
        <v>-0.27122696538396251</v>
      </c>
      <c r="J36" s="46">
        <v>1.4440515631199302E-2</v>
      </c>
    </row>
    <row r="37" spans="1:10" ht="11.25" customHeight="1" x14ac:dyDescent="0.2">
      <c r="A37" s="55">
        <v>44440</v>
      </c>
      <c r="B37" s="45">
        <v>0</v>
      </c>
      <c r="C37" s="45">
        <v>0</v>
      </c>
      <c r="D37" s="45">
        <v>17825.712599999999</v>
      </c>
      <c r="E37" s="45">
        <v>19792.322812291506</v>
      </c>
      <c r="F37" s="45">
        <v>5983.1722</v>
      </c>
      <c r="G37" s="45">
        <v>4360.3745608243125</v>
      </c>
      <c r="H37" s="46">
        <v>0.11032435316451283</v>
      </c>
      <c r="I37" s="46">
        <v>-0.27122696538396263</v>
      </c>
      <c r="J37" s="46">
        <v>1.444051563119908E-2</v>
      </c>
    </row>
    <row r="38" spans="1:10" ht="11.25" customHeight="1" x14ac:dyDescent="0.2">
      <c r="A38" s="55">
        <v>44470</v>
      </c>
      <c r="B38" s="45">
        <v>0</v>
      </c>
      <c r="C38" s="45">
        <v>0</v>
      </c>
      <c r="D38" s="45">
        <v>26304.459149999999</v>
      </c>
      <c r="E38" s="45">
        <v>29206.481591066098</v>
      </c>
      <c r="F38" s="45">
        <v>8829.0500499999998</v>
      </c>
      <c r="G38" s="45">
        <v>6434.3735977153765</v>
      </c>
      <c r="H38" s="46">
        <v>0.11032435316451283</v>
      </c>
      <c r="I38" s="46">
        <v>-0.27122696538396263</v>
      </c>
      <c r="J38" s="46">
        <v>1.444051563119908E-2</v>
      </c>
    </row>
    <row r="39" spans="1:10" ht="11.25" customHeight="1" x14ac:dyDescent="0.2">
      <c r="A39" s="55">
        <v>44501</v>
      </c>
      <c r="B39" s="45">
        <v>0</v>
      </c>
      <c r="C39" s="45">
        <v>0</v>
      </c>
      <c r="D39" s="45">
        <v>17960.481</v>
      </c>
      <c r="E39" s="45">
        <v>19941.95944884852</v>
      </c>
      <c r="F39" s="45">
        <v>6028.4069999999992</v>
      </c>
      <c r="G39" s="45">
        <v>4393.3404632905622</v>
      </c>
      <c r="H39" s="46">
        <v>0.11032435316451261</v>
      </c>
      <c r="I39" s="46">
        <v>-0.27122696538396251</v>
      </c>
      <c r="J39" s="46">
        <v>1.444051563119908E-2</v>
      </c>
    </row>
    <row r="40" spans="1:10" ht="11.25" customHeight="1" x14ac:dyDescent="0.2">
      <c r="A40" s="55">
        <v>44531</v>
      </c>
      <c r="B40" s="45">
        <v>0</v>
      </c>
      <c r="C40" s="45">
        <v>0</v>
      </c>
      <c r="D40" s="45">
        <v>23723.125949999998</v>
      </c>
      <c r="E40" s="45">
        <v>26340.364475474016</v>
      </c>
      <c r="F40" s="45">
        <v>7962.6296499999989</v>
      </c>
      <c r="G40" s="45">
        <v>5802.9497735541354</v>
      </c>
      <c r="H40" s="46">
        <v>0.11032435316451283</v>
      </c>
      <c r="I40" s="46">
        <v>-0.27122696538396251</v>
      </c>
      <c r="J40" s="46">
        <v>1.444051563119908E-2</v>
      </c>
    </row>
    <row r="41" spans="1:10" ht="11.25" customHeight="1" x14ac:dyDescent="0.2">
      <c r="A41" s="55">
        <v>44562</v>
      </c>
      <c r="B41" s="45">
        <v>0</v>
      </c>
      <c r="C41" s="45">
        <v>0</v>
      </c>
      <c r="D41" s="45">
        <v>21860.9895</v>
      </c>
      <c r="E41" s="45">
        <v>24272.789026123708</v>
      </c>
      <c r="F41" s="45">
        <v>7337.6064999999999</v>
      </c>
      <c r="G41" s="45">
        <v>5347.4497558233616</v>
      </c>
      <c r="H41" s="46">
        <v>0.11032435316451283</v>
      </c>
      <c r="I41" s="46">
        <v>-0.27122696538396251</v>
      </c>
      <c r="J41" s="46">
        <v>1.444051563119908E-2</v>
      </c>
    </row>
    <row r="42" spans="1:10" ht="11.25" customHeight="1" x14ac:dyDescent="0.2">
      <c r="A42" s="55">
        <v>44593</v>
      </c>
      <c r="B42" s="45">
        <v>0</v>
      </c>
      <c r="C42" s="45">
        <v>0</v>
      </c>
      <c r="D42" s="45">
        <v>21676.978800000001</v>
      </c>
      <c r="E42" s="45">
        <v>24068.477464670857</v>
      </c>
      <c r="F42" s="45">
        <v>7275.8436000000002</v>
      </c>
      <c r="G42" s="45">
        <v>5302.438619763675</v>
      </c>
      <c r="H42" s="46">
        <v>0.11032435316451283</v>
      </c>
      <c r="I42" s="46">
        <v>-0.27122696538396251</v>
      </c>
      <c r="J42" s="46">
        <v>1.444051563119908E-2</v>
      </c>
    </row>
    <row r="43" spans="1:10" ht="11.25" customHeight="1" x14ac:dyDescent="0.2">
      <c r="A43" s="55">
        <v>44621</v>
      </c>
      <c r="B43" s="45">
        <v>0</v>
      </c>
      <c r="C43" s="45">
        <v>0</v>
      </c>
      <c r="D43" s="45">
        <v>24943.816649999997</v>
      </c>
      <c r="E43" s="45">
        <v>27695.727087365452</v>
      </c>
      <c r="F43" s="45">
        <v>8372.3525499999996</v>
      </c>
      <c r="G43" s="45">
        <v>6101.5447747388189</v>
      </c>
      <c r="H43" s="46">
        <v>0.11032435316451283</v>
      </c>
      <c r="I43" s="46">
        <v>-0.27122696538396263</v>
      </c>
      <c r="J43" s="46">
        <v>1.444051563119908E-2</v>
      </c>
    </row>
    <row r="44" spans="1:10" ht="11.25" customHeight="1" x14ac:dyDescent="0.2">
      <c r="A44" s="55">
        <v>44652</v>
      </c>
      <c r="B44" s="45">
        <v>0</v>
      </c>
      <c r="C44" s="45">
        <v>0</v>
      </c>
      <c r="D44" s="45">
        <v>16279.76355</v>
      </c>
      <c r="E44" s="45">
        <v>18075.817933324965</v>
      </c>
      <c r="F44" s="45">
        <v>5464.2768500000002</v>
      </c>
      <c r="G44" s="45">
        <v>3982.2176219566618</v>
      </c>
      <c r="H44" s="46">
        <v>0.11032435316451283</v>
      </c>
      <c r="I44" s="46">
        <v>-0.27122696538396263</v>
      </c>
      <c r="J44" s="46">
        <v>1.4440515631199302E-2</v>
      </c>
    </row>
    <row r="45" spans="1:10" ht="11.25" customHeight="1" x14ac:dyDescent="0.2">
      <c r="A45" s="55">
        <v>44682</v>
      </c>
      <c r="B45" s="45">
        <v>0</v>
      </c>
      <c r="C45" s="45">
        <v>0</v>
      </c>
      <c r="D45" s="45">
        <v>17271.088799999998</v>
      </c>
      <c r="E45" s="45">
        <v>19176.51050030686</v>
      </c>
      <c r="F45" s="45">
        <v>5797.0135999999993</v>
      </c>
      <c r="G45" s="45">
        <v>4224.7071929824397</v>
      </c>
      <c r="H45" s="46">
        <v>0.11032435316451283</v>
      </c>
      <c r="I45" s="46">
        <v>-0.27122696538396251</v>
      </c>
      <c r="J45" s="46">
        <v>1.444051563119908E-2</v>
      </c>
    </row>
    <row r="46" spans="1:10" ht="11.25" customHeight="1" x14ac:dyDescent="0.2">
      <c r="A46" s="55">
        <v>44713</v>
      </c>
      <c r="B46" s="45">
        <v>0</v>
      </c>
      <c r="C46" s="45">
        <v>0</v>
      </c>
      <c r="D46" s="45">
        <v>16658.151750000001</v>
      </c>
      <c r="E46" s="45">
        <v>18495.951566735046</v>
      </c>
      <c r="F46" s="45">
        <v>5591.2822500000002</v>
      </c>
      <c r="G46" s="45">
        <v>4074.7757327272857</v>
      </c>
      <c r="H46" s="46">
        <v>0.11032435316451261</v>
      </c>
      <c r="I46" s="46">
        <v>-0.27122696538396263</v>
      </c>
      <c r="J46" s="46">
        <v>1.4440515631198858E-2</v>
      </c>
    </row>
    <row r="47" spans="1:10" ht="11.25" customHeight="1" x14ac:dyDescent="0.2">
      <c r="A47" s="55">
        <v>44743</v>
      </c>
      <c r="B47" s="45">
        <v>0</v>
      </c>
      <c r="C47" s="45">
        <v>0</v>
      </c>
      <c r="D47" s="45">
        <v>16658.151750000001</v>
      </c>
      <c r="E47" s="45">
        <v>18495.951566735046</v>
      </c>
      <c r="F47" s="45">
        <v>5591.2822500000002</v>
      </c>
      <c r="G47" s="45">
        <v>4074.7757327272857</v>
      </c>
      <c r="H47" s="46">
        <v>0.11032435316451261</v>
      </c>
      <c r="I47" s="46">
        <v>-0.27122696538396263</v>
      </c>
      <c r="J47" s="46">
        <v>1.4440515631198858E-2</v>
      </c>
    </row>
    <row r="48" spans="1:10" ht="11.25" customHeight="1" x14ac:dyDescent="0.2">
      <c r="A48" s="50" t="s">
        <v>37</v>
      </c>
      <c r="B48" s="45">
        <v>357242.58</v>
      </c>
      <c r="C48" s="45">
        <v>391425.89518089301</v>
      </c>
      <c r="D48" s="45">
        <v>347013.65601999999</v>
      </c>
      <c r="E48" s="45">
        <v>471539.53810290433</v>
      </c>
      <c r="F48" s="45">
        <v>947407.48227999976</v>
      </c>
      <c r="G48" s="45">
        <v>701842.21510726574</v>
      </c>
      <c r="H48" s="46">
        <v>0.22535717704215008</v>
      </c>
      <c r="I48" s="46">
        <v>-0.2591970949836333</v>
      </c>
      <c r="J48" s="46">
        <v>-5.2587018136073582E-2</v>
      </c>
    </row>
    <row r="49" spans="1:10" ht="11.25" customHeight="1" x14ac:dyDescent="0.2">
      <c r="A49" s="51" t="s">
        <v>25</v>
      </c>
      <c r="B49" s="45">
        <v>357242.58</v>
      </c>
      <c r="C49" s="45">
        <v>391425.89518089301</v>
      </c>
      <c r="D49" s="45">
        <v>347013.65601999999</v>
      </c>
      <c r="E49" s="45">
        <v>471539.53810290433</v>
      </c>
      <c r="F49" s="45">
        <v>947407.48227999976</v>
      </c>
      <c r="G49" s="45">
        <v>701842.21510726574</v>
      </c>
      <c r="H49" s="46">
        <v>0.22535717704215008</v>
      </c>
      <c r="I49" s="46">
        <v>-0.2591970949836333</v>
      </c>
      <c r="J49" s="46">
        <v>-5.2587018136073582E-2</v>
      </c>
    </row>
    <row r="50" spans="1:10" ht="11.25" customHeight="1" x14ac:dyDescent="0.2">
      <c r="A50" s="52" t="s">
        <v>25</v>
      </c>
      <c r="B50" s="45">
        <v>357242.58</v>
      </c>
      <c r="C50" s="45">
        <v>391425.89518089301</v>
      </c>
      <c r="D50" s="45">
        <v>347013.65601999999</v>
      </c>
      <c r="E50" s="45">
        <v>471539.53810290433</v>
      </c>
      <c r="F50" s="45">
        <v>947407.48227999976</v>
      </c>
      <c r="G50" s="45">
        <v>701842.21510726574</v>
      </c>
      <c r="H50" s="46">
        <v>0.22535717704215008</v>
      </c>
      <c r="I50" s="46">
        <v>-0.2591970949836333</v>
      </c>
      <c r="J50" s="46">
        <v>-5.2587018136073582E-2</v>
      </c>
    </row>
    <row r="51" spans="1:10" ht="11.25" customHeight="1" x14ac:dyDescent="0.2">
      <c r="A51" s="53" t="s">
        <v>25</v>
      </c>
      <c r="B51" s="45">
        <v>357242.58</v>
      </c>
      <c r="C51" s="45">
        <v>391425.89518089301</v>
      </c>
      <c r="D51" s="45">
        <v>347013.65601999999</v>
      </c>
      <c r="E51" s="45">
        <v>471539.53810290433</v>
      </c>
      <c r="F51" s="45">
        <v>947407.48227999976</v>
      </c>
      <c r="G51" s="45">
        <v>701842.21510726574</v>
      </c>
      <c r="H51" s="46">
        <v>0.22535717704215008</v>
      </c>
      <c r="I51" s="46">
        <v>-0.2591970949836333</v>
      </c>
      <c r="J51" s="46">
        <v>-5.2587018136073582E-2</v>
      </c>
    </row>
    <row r="52" spans="1:10" ht="11.25" customHeight="1" x14ac:dyDescent="0.2">
      <c r="A52" s="54" t="s">
        <v>34</v>
      </c>
      <c r="B52" s="45">
        <v>0</v>
      </c>
      <c r="C52" s="45">
        <v>0</v>
      </c>
      <c r="D52" s="45">
        <v>253426.07316999999</v>
      </c>
      <c r="E52" s="45">
        <v>367626.96571074775</v>
      </c>
      <c r="F52" s="45">
        <v>915994.95833000005</v>
      </c>
      <c r="G52" s="45">
        <v>678949.61470327526</v>
      </c>
      <c r="H52" s="46">
        <v>0.4506280317264002</v>
      </c>
      <c r="I52" s="46">
        <v>-0.25878455058191041</v>
      </c>
      <c r="J52" s="46">
        <v>-0.10504723942616812</v>
      </c>
    </row>
    <row r="53" spans="1:10" ht="11.25" customHeight="1" x14ac:dyDescent="0.2">
      <c r="A53" s="55">
        <v>44409</v>
      </c>
      <c r="B53" s="45">
        <v>0</v>
      </c>
      <c r="C53" s="45">
        <v>0</v>
      </c>
      <c r="D53" s="45">
        <v>22413.269760000003</v>
      </c>
      <c r="E53" s="45">
        <v>32513.317396501647</v>
      </c>
      <c r="F53" s="45">
        <v>81011.562239999999</v>
      </c>
      <c r="G53" s="45">
        <v>60047.021513783147</v>
      </c>
      <c r="H53" s="46">
        <v>0.45062803172639998</v>
      </c>
      <c r="I53" s="46">
        <v>-0.2587845505819103</v>
      </c>
      <c r="J53" s="46">
        <v>-0.10504723942616789</v>
      </c>
    </row>
    <row r="54" spans="1:10" ht="11.25" customHeight="1" x14ac:dyDescent="0.2">
      <c r="A54" s="55">
        <v>44440</v>
      </c>
      <c r="B54" s="45">
        <v>0</v>
      </c>
      <c r="C54" s="45">
        <v>0</v>
      </c>
      <c r="D54" s="45">
        <v>21361.024359999999</v>
      </c>
      <c r="E54" s="45">
        <v>30986.900723006485</v>
      </c>
      <c r="F54" s="45">
        <v>77208.277639999986</v>
      </c>
      <c r="G54" s="45">
        <v>57227.968209729239</v>
      </c>
      <c r="H54" s="46">
        <v>0.4506280317264002</v>
      </c>
      <c r="I54" s="46">
        <v>-0.2587845505819103</v>
      </c>
      <c r="J54" s="46">
        <v>-0.105047239426168</v>
      </c>
    </row>
    <row r="55" spans="1:10" ht="11.25" customHeight="1" x14ac:dyDescent="0.2">
      <c r="A55" s="55">
        <v>44470</v>
      </c>
      <c r="B55" s="45">
        <v>0</v>
      </c>
      <c r="C55" s="45">
        <v>0</v>
      </c>
      <c r="D55" s="45">
        <v>20135.741410000002</v>
      </c>
      <c r="E55" s="45">
        <v>29209.470928940071</v>
      </c>
      <c r="F55" s="45">
        <v>72779.558090000006</v>
      </c>
      <c r="G55" s="45">
        <v>53945.332858129317</v>
      </c>
      <c r="H55" s="46">
        <v>0.45062803172639998</v>
      </c>
      <c r="I55" s="46">
        <v>-0.2587845505819103</v>
      </c>
      <c r="J55" s="46">
        <v>-0.105047239426168</v>
      </c>
    </row>
    <row r="56" spans="1:10" ht="11.25" customHeight="1" x14ac:dyDescent="0.2">
      <c r="A56" s="55">
        <v>44501</v>
      </c>
      <c r="B56" s="45">
        <v>0</v>
      </c>
      <c r="C56" s="45">
        <v>0</v>
      </c>
      <c r="D56" s="45">
        <v>20767.383810000003</v>
      </c>
      <c r="E56" s="45">
        <v>30125.749100407011</v>
      </c>
      <c r="F56" s="45">
        <v>75062.595690000002</v>
      </c>
      <c r="G56" s="45">
        <v>55637.555598851715</v>
      </c>
      <c r="H56" s="46">
        <v>0.45062803172639998</v>
      </c>
      <c r="I56" s="46">
        <v>-0.2587845505819103</v>
      </c>
      <c r="J56" s="46">
        <v>-0.105047239426168</v>
      </c>
    </row>
    <row r="57" spans="1:10" ht="11.25" customHeight="1" x14ac:dyDescent="0.2">
      <c r="A57" s="55">
        <v>44531</v>
      </c>
      <c r="B57" s="45">
        <v>0</v>
      </c>
      <c r="C57" s="45">
        <v>0</v>
      </c>
      <c r="D57" s="45">
        <v>19728.199240000002</v>
      </c>
      <c r="E57" s="45">
        <v>28618.278833027463</v>
      </c>
      <c r="F57" s="45">
        <v>71306.518759999992</v>
      </c>
      <c r="G57" s="45">
        <v>52853.493349132841</v>
      </c>
      <c r="H57" s="46">
        <v>0.45062803172639998</v>
      </c>
      <c r="I57" s="46">
        <v>-0.2587845505819103</v>
      </c>
      <c r="J57" s="46">
        <v>-0.105047239426168</v>
      </c>
    </row>
    <row r="58" spans="1:10" ht="11.25" customHeight="1" x14ac:dyDescent="0.2">
      <c r="A58" s="55">
        <v>44562</v>
      </c>
      <c r="B58" s="45">
        <v>0</v>
      </c>
      <c r="C58" s="45">
        <v>0</v>
      </c>
      <c r="D58" s="45">
        <v>18001.660820000001</v>
      </c>
      <c r="E58" s="45">
        <v>26113.713803122853</v>
      </c>
      <c r="F58" s="45">
        <v>65066.038179999996</v>
      </c>
      <c r="G58" s="45">
        <v>48227.952731443285</v>
      </c>
      <c r="H58" s="46">
        <v>0.45062803172639998</v>
      </c>
      <c r="I58" s="46">
        <v>-0.25878455058191019</v>
      </c>
      <c r="J58" s="46">
        <v>-0.10504723942616789</v>
      </c>
    </row>
    <row r="59" spans="1:10" ht="11.25" customHeight="1" x14ac:dyDescent="0.2">
      <c r="A59" s="55">
        <v>44593</v>
      </c>
      <c r="B59" s="45">
        <v>0</v>
      </c>
      <c r="C59" s="45">
        <v>0</v>
      </c>
      <c r="D59" s="45">
        <v>20632.348109999999</v>
      </c>
      <c r="E59" s="45">
        <v>29929.862528703208</v>
      </c>
      <c r="F59" s="45">
        <v>74574.51638999999</v>
      </c>
      <c r="G59" s="45">
        <v>55275.78368115054</v>
      </c>
      <c r="H59" s="46">
        <v>0.45062803172639998</v>
      </c>
      <c r="I59" s="46">
        <v>-0.2587845505819103</v>
      </c>
      <c r="J59" s="46">
        <v>-0.10504723942616823</v>
      </c>
    </row>
    <row r="60" spans="1:10" ht="11.25" customHeight="1" x14ac:dyDescent="0.2">
      <c r="A60" s="55">
        <v>44621</v>
      </c>
      <c r="B60" s="45">
        <v>0</v>
      </c>
      <c r="C60" s="45">
        <v>0</v>
      </c>
      <c r="D60" s="45">
        <v>23059.006050000004</v>
      </c>
      <c r="E60" s="45">
        <v>33450.040559878653</v>
      </c>
      <c r="F60" s="45">
        <v>83345.54144999999</v>
      </c>
      <c r="G60" s="45">
        <v>61777.002962855775</v>
      </c>
      <c r="H60" s="46">
        <v>0.45062803172639998</v>
      </c>
      <c r="I60" s="46">
        <v>-0.25878455058191019</v>
      </c>
      <c r="J60" s="46">
        <v>-0.10504723942616789</v>
      </c>
    </row>
    <row r="61" spans="1:10" ht="11.25" customHeight="1" x14ac:dyDescent="0.2">
      <c r="A61" s="55">
        <v>44652</v>
      </c>
      <c r="B61" s="45">
        <v>0</v>
      </c>
      <c r="C61" s="45">
        <v>0</v>
      </c>
      <c r="D61" s="45">
        <v>20997.977560000003</v>
      </c>
      <c r="E61" s="45">
        <v>30460.25485809792</v>
      </c>
      <c r="F61" s="45">
        <v>75896.064440000002</v>
      </c>
      <c r="G61" s="45">
        <v>56255.335512958904</v>
      </c>
      <c r="H61" s="46">
        <v>0.45062803172639998</v>
      </c>
      <c r="I61" s="46">
        <v>-0.25878455058191019</v>
      </c>
      <c r="J61" s="46">
        <v>-0.105047239426168</v>
      </c>
    </row>
    <row r="62" spans="1:10" ht="11.25" customHeight="1" x14ac:dyDescent="0.2">
      <c r="A62" s="55">
        <v>44682</v>
      </c>
      <c r="B62" s="45">
        <v>0</v>
      </c>
      <c r="C62" s="45">
        <v>0</v>
      </c>
      <c r="D62" s="45">
        <v>23920.135350000004</v>
      </c>
      <c r="E62" s="45">
        <v>34699.21886139959</v>
      </c>
      <c r="F62" s="45">
        <v>86458.047149999999</v>
      </c>
      <c r="G62" s="45">
        <v>64084.040274097642</v>
      </c>
      <c r="H62" s="46">
        <v>0.45062803172639998</v>
      </c>
      <c r="I62" s="46">
        <v>-0.2587845505819103</v>
      </c>
      <c r="J62" s="46">
        <v>-0.10504723942616789</v>
      </c>
    </row>
    <row r="63" spans="1:10" ht="11.25" customHeight="1" x14ac:dyDescent="0.2">
      <c r="A63" s="55">
        <v>44713</v>
      </c>
      <c r="B63" s="45">
        <v>0</v>
      </c>
      <c r="C63" s="45">
        <v>0</v>
      </c>
      <c r="D63" s="45">
        <v>21204.663350000003</v>
      </c>
      <c r="E63" s="45">
        <v>30760.079058831434</v>
      </c>
      <c r="F63" s="45">
        <v>76643.119149999999</v>
      </c>
      <c r="G63" s="45">
        <v>56809.064005571447</v>
      </c>
      <c r="H63" s="46">
        <v>0.45062803172639998</v>
      </c>
      <c r="I63" s="46">
        <v>-0.2587845505819103</v>
      </c>
      <c r="J63" s="46">
        <v>-0.105047239426168</v>
      </c>
    </row>
    <row r="64" spans="1:10" ht="11.25" customHeight="1" x14ac:dyDescent="0.2">
      <c r="A64" s="55">
        <v>44743</v>
      </c>
      <c r="B64" s="45">
        <v>0</v>
      </c>
      <c r="C64" s="45">
        <v>0</v>
      </c>
      <c r="D64" s="45">
        <v>21204.663350000003</v>
      </c>
      <c r="E64" s="45">
        <v>30760.079058831434</v>
      </c>
      <c r="F64" s="45">
        <v>76643.119149999999</v>
      </c>
      <c r="G64" s="45">
        <v>56809.064005571447</v>
      </c>
      <c r="H64" s="46">
        <v>0.45062803172639998</v>
      </c>
      <c r="I64" s="46">
        <v>-0.2587845505819103</v>
      </c>
      <c r="J64" s="46">
        <v>-0.105047239426168</v>
      </c>
    </row>
    <row r="65" spans="1:10" ht="11.25" customHeight="1" x14ac:dyDescent="0.2">
      <c r="A65" s="54" t="s">
        <v>25</v>
      </c>
      <c r="B65" s="45">
        <v>357242.58</v>
      </c>
      <c r="C65" s="45">
        <v>391425.89518089301</v>
      </c>
      <c r="D65" s="45">
        <v>0</v>
      </c>
      <c r="E65" s="45">
        <v>0</v>
      </c>
      <c r="F65" s="45">
        <v>0</v>
      </c>
      <c r="G65" s="45">
        <v>0</v>
      </c>
      <c r="H65" s="46">
        <v>9.5686564521208606E-2</v>
      </c>
      <c r="I65" s="46">
        <v>0</v>
      </c>
      <c r="J65" s="46">
        <v>9.5686564521208606E-2</v>
      </c>
    </row>
    <row r="66" spans="1:10" ht="11.25" customHeight="1" x14ac:dyDescent="0.2">
      <c r="A66" s="55">
        <v>44409</v>
      </c>
      <c r="B66" s="45">
        <v>29824.65</v>
      </c>
      <c r="C66" s="45">
        <v>32678.468296547468</v>
      </c>
      <c r="D66" s="45">
        <v>0</v>
      </c>
      <c r="E66" s="45">
        <v>0</v>
      </c>
      <c r="F66" s="45">
        <v>0</v>
      </c>
      <c r="G66" s="45">
        <v>0</v>
      </c>
      <c r="H66" s="46">
        <v>9.5686564521208606E-2</v>
      </c>
      <c r="I66" s="46">
        <v>0</v>
      </c>
      <c r="J66" s="46">
        <v>9.5686564521208606E-2</v>
      </c>
    </row>
    <row r="67" spans="1:10" ht="11.25" customHeight="1" x14ac:dyDescent="0.2">
      <c r="A67" s="55">
        <v>44440</v>
      </c>
      <c r="B67" s="45">
        <v>29532.420000000002</v>
      </c>
      <c r="C67" s="45">
        <v>32358.275811797437</v>
      </c>
      <c r="D67" s="45">
        <v>0</v>
      </c>
      <c r="E67" s="45">
        <v>0</v>
      </c>
      <c r="F67" s="45">
        <v>0</v>
      </c>
      <c r="G67" s="45">
        <v>0</v>
      </c>
      <c r="H67" s="46">
        <v>9.5686564521208828E-2</v>
      </c>
      <c r="I67" s="46">
        <v>0</v>
      </c>
      <c r="J67" s="46">
        <v>9.5686564521208828E-2</v>
      </c>
    </row>
    <row r="68" spans="1:10" ht="11.25" customHeight="1" x14ac:dyDescent="0.2">
      <c r="A68" s="55">
        <v>44470</v>
      </c>
      <c r="B68" s="45">
        <v>29240.190000000002</v>
      </c>
      <c r="C68" s="45">
        <v>32038.083327047403</v>
      </c>
      <c r="D68" s="45">
        <v>0</v>
      </c>
      <c r="E68" s="45">
        <v>0</v>
      </c>
      <c r="F68" s="45">
        <v>0</v>
      </c>
      <c r="G68" s="45">
        <v>0</v>
      </c>
      <c r="H68" s="46">
        <v>9.5686564521208606E-2</v>
      </c>
      <c r="I68" s="46">
        <v>0</v>
      </c>
      <c r="J68" s="46">
        <v>9.5686564521208606E-2</v>
      </c>
    </row>
    <row r="69" spans="1:10" ht="11.25" customHeight="1" x14ac:dyDescent="0.2">
      <c r="A69" s="55">
        <v>44501</v>
      </c>
      <c r="B69" s="45">
        <v>29343.33</v>
      </c>
      <c r="C69" s="45">
        <v>32151.09243931212</v>
      </c>
      <c r="D69" s="45">
        <v>0</v>
      </c>
      <c r="E69" s="45">
        <v>0</v>
      </c>
      <c r="F69" s="45">
        <v>0</v>
      </c>
      <c r="G69" s="45">
        <v>0</v>
      </c>
      <c r="H69" s="46">
        <v>9.5686564521208606E-2</v>
      </c>
      <c r="I69" s="46">
        <v>0</v>
      </c>
      <c r="J69" s="46">
        <v>9.5686564521208606E-2</v>
      </c>
    </row>
    <row r="70" spans="1:10" ht="11.25" customHeight="1" x14ac:dyDescent="0.2">
      <c r="A70" s="55">
        <v>44531</v>
      </c>
      <c r="B70" s="45">
        <v>29773.08</v>
      </c>
      <c r="C70" s="45">
        <v>32621.963740415111</v>
      </c>
      <c r="D70" s="45">
        <v>0</v>
      </c>
      <c r="E70" s="45">
        <v>0</v>
      </c>
      <c r="F70" s="45">
        <v>0</v>
      </c>
      <c r="G70" s="45">
        <v>0</v>
      </c>
      <c r="H70" s="46">
        <v>9.5686564521208828E-2</v>
      </c>
      <c r="I70" s="46">
        <v>0</v>
      </c>
      <c r="J70" s="46">
        <v>9.5686564521208828E-2</v>
      </c>
    </row>
    <row r="71" spans="1:10" ht="11.25" customHeight="1" x14ac:dyDescent="0.2">
      <c r="A71" s="55">
        <v>44562</v>
      </c>
      <c r="B71" s="45">
        <v>29910.600000000002</v>
      </c>
      <c r="C71" s="45">
        <v>32772.642556768064</v>
      </c>
      <c r="D71" s="45">
        <v>0</v>
      </c>
      <c r="E71" s="45">
        <v>0</v>
      </c>
      <c r="F71" s="45">
        <v>0</v>
      </c>
      <c r="G71" s="45">
        <v>0</v>
      </c>
      <c r="H71" s="46">
        <v>9.5686564521208606E-2</v>
      </c>
      <c r="I71" s="46">
        <v>0</v>
      </c>
      <c r="J71" s="46">
        <v>9.5686564521208606E-2</v>
      </c>
    </row>
    <row r="72" spans="1:10" ht="11.25" customHeight="1" x14ac:dyDescent="0.2">
      <c r="A72" s="55">
        <v>44593</v>
      </c>
      <c r="B72" s="45">
        <v>30030.930000000004</v>
      </c>
      <c r="C72" s="45">
        <v>32904.486521076906</v>
      </c>
      <c r="D72" s="45">
        <v>0</v>
      </c>
      <c r="E72" s="45">
        <v>0</v>
      </c>
      <c r="F72" s="45">
        <v>0</v>
      </c>
      <c r="G72" s="45">
        <v>0</v>
      </c>
      <c r="H72" s="46">
        <v>9.5686564521208606E-2</v>
      </c>
      <c r="I72" s="46">
        <v>0</v>
      </c>
      <c r="J72" s="46">
        <v>9.5686564521208606E-2</v>
      </c>
    </row>
    <row r="73" spans="1:10" ht="11.25" customHeight="1" x14ac:dyDescent="0.2">
      <c r="A73" s="55">
        <v>44621</v>
      </c>
      <c r="B73" s="45">
        <v>30048.120000000003</v>
      </c>
      <c r="C73" s="45">
        <v>32923.321373121027</v>
      </c>
      <c r="D73" s="45">
        <v>0</v>
      </c>
      <c r="E73" s="45">
        <v>0</v>
      </c>
      <c r="F73" s="45">
        <v>0</v>
      </c>
      <c r="G73" s="45">
        <v>0</v>
      </c>
      <c r="H73" s="46">
        <v>9.5686564521208828E-2</v>
      </c>
      <c r="I73" s="46">
        <v>0</v>
      </c>
      <c r="J73" s="46">
        <v>9.5686564521208828E-2</v>
      </c>
    </row>
    <row r="74" spans="1:10" ht="11.25" customHeight="1" x14ac:dyDescent="0.2">
      <c r="A74" s="55">
        <v>44652</v>
      </c>
      <c r="B74" s="45">
        <v>29635.56</v>
      </c>
      <c r="C74" s="45">
        <v>32471.284924062154</v>
      </c>
      <c r="D74" s="45">
        <v>0</v>
      </c>
      <c r="E74" s="45">
        <v>0</v>
      </c>
      <c r="F74" s="45">
        <v>0</v>
      </c>
      <c r="G74" s="45">
        <v>0</v>
      </c>
      <c r="H74" s="46">
        <v>9.5686564521208828E-2</v>
      </c>
      <c r="I74" s="46">
        <v>0</v>
      </c>
      <c r="J74" s="46">
        <v>9.5686564521208828E-2</v>
      </c>
    </row>
    <row r="75" spans="1:10" ht="11.25" customHeight="1" x14ac:dyDescent="0.2">
      <c r="A75" s="55">
        <v>44682</v>
      </c>
      <c r="B75" s="45">
        <v>29807.460000000003</v>
      </c>
      <c r="C75" s="45">
        <v>32659.63344450335</v>
      </c>
      <c r="D75" s="45">
        <v>0</v>
      </c>
      <c r="E75" s="45">
        <v>0</v>
      </c>
      <c r="F75" s="45">
        <v>0</v>
      </c>
      <c r="G75" s="45">
        <v>0</v>
      </c>
      <c r="H75" s="46">
        <v>9.5686564521208606E-2</v>
      </c>
      <c r="I75" s="46">
        <v>0</v>
      </c>
      <c r="J75" s="46">
        <v>9.5686564521208606E-2</v>
      </c>
    </row>
    <row r="76" spans="1:10" ht="11.25" customHeight="1" x14ac:dyDescent="0.2">
      <c r="A76" s="55">
        <v>44713</v>
      </c>
      <c r="B76" s="45">
        <v>30048.120000000003</v>
      </c>
      <c r="C76" s="45">
        <v>32923.321373121027</v>
      </c>
      <c r="D76" s="45">
        <v>0</v>
      </c>
      <c r="E76" s="45">
        <v>0</v>
      </c>
      <c r="F76" s="45">
        <v>0</v>
      </c>
      <c r="G76" s="45">
        <v>0</v>
      </c>
      <c r="H76" s="46">
        <v>9.5686564521208828E-2</v>
      </c>
      <c r="I76" s="46">
        <v>0</v>
      </c>
      <c r="J76" s="46">
        <v>9.5686564521208828E-2</v>
      </c>
    </row>
    <row r="77" spans="1:10" ht="11.25" customHeight="1" x14ac:dyDescent="0.2">
      <c r="A77" s="55">
        <v>44743</v>
      </c>
      <c r="B77" s="45">
        <v>30048.120000000003</v>
      </c>
      <c r="C77" s="45">
        <v>32923.321373121027</v>
      </c>
      <c r="D77" s="45">
        <v>0</v>
      </c>
      <c r="E77" s="45">
        <v>0</v>
      </c>
      <c r="F77" s="45">
        <v>0</v>
      </c>
      <c r="G77" s="45">
        <v>0</v>
      </c>
      <c r="H77" s="46">
        <v>9.5686564521208828E-2</v>
      </c>
      <c r="I77" s="46">
        <v>0</v>
      </c>
      <c r="J77" s="46">
        <v>9.5686564521208828E-2</v>
      </c>
    </row>
    <row r="78" spans="1:10" ht="11.25" customHeight="1" x14ac:dyDescent="0.2">
      <c r="A78" s="54" t="s">
        <v>33</v>
      </c>
      <c r="B78" s="45">
        <v>0</v>
      </c>
      <c r="C78" s="45">
        <v>0</v>
      </c>
      <c r="D78" s="45">
        <v>93587.582849999992</v>
      </c>
      <c r="E78" s="45">
        <v>103912.57239215649</v>
      </c>
      <c r="F78" s="45">
        <v>31412.523950000003</v>
      </c>
      <c r="G78" s="45">
        <v>22892.600403990451</v>
      </c>
      <c r="H78" s="46">
        <v>0.11032435316451283</v>
      </c>
      <c r="I78" s="46">
        <v>-0.27122696538396274</v>
      </c>
      <c r="J78" s="46">
        <v>1.444051563119908E-2</v>
      </c>
    </row>
    <row r="79" spans="1:10" ht="11.25" customHeight="1" x14ac:dyDescent="0.2">
      <c r="A79" s="55">
        <v>44409</v>
      </c>
      <c r="B79" s="45">
        <v>0</v>
      </c>
      <c r="C79" s="45">
        <v>0</v>
      </c>
      <c r="D79" s="45">
        <v>9004.8616499999989</v>
      </c>
      <c r="E79" s="45">
        <v>9998.3171868721765</v>
      </c>
      <c r="F79" s="45">
        <v>3022.4675499999998</v>
      </c>
      <c r="G79" s="45">
        <v>2202.6928484419996</v>
      </c>
      <c r="H79" s="46">
        <v>0.11032435316451283</v>
      </c>
      <c r="I79" s="46">
        <v>-0.27122696538396263</v>
      </c>
      <c r="J79" s="46">
        <v>1.444051563119908E-2</v>
      </c>
    </row>
    <row r="80" spans="1:10" ht="11.25" customHeight="1" x14ac:dyDescent="0.2">
      <c r="A80" s="55">
        <v>44440</v>
      </c>
      <c r="B80" s="45">
        <v>0</v>
      </c>
      <c r="C80" s="45">
        <v>0</v>
      </c>
      <c r="D80" s="45">
        <v>7429.1080499999989</v>
      </c>
      <c r="E80" s="45">
        <v>8248.7195902055246</v>
      </c>
      <c r="F80" s="45">
        <v>2493.56835</v>
      </c>
      <c r="G80" s="45">
        <v>1817.2453734520052</v>
      </c>
      <c r="H80" s="46">
        <v>0.11032435316451283</v>
      </c>
      <c r="I80" s="46">
        <v>-0.27122696538396263</v>
      </c>
      <c r="J80" s="46">
        <v>1.4440515631199302E-2</v>
      </c>
    </row>
    <row r="81" spans="1:10" ht="11.25" customHeight="1" x14ac:dyDescent="0.2">
      <c r="A81" s="55">
        <v>44470</v>
      </c>
      <c r="B81" s="45">
        <v>0</v>
      </c>
      <c r="C81" s="45">
        <v>0</v>
      </c>
      <c r="D81" s="45">
        <v>7506.85905</v>
      </c>
      <c r="E81" s="45">
        <v>8335.0484189884191</v>
      </c>
      <c r="F81" s="45">
        <v>2519.6653500000002</v>
      </c>
      <c r="G81" s="45">
        <v>1836.2641633363801</v>
      </c>
      <c r="H81" s="46">
        <v>0.11032435316451283</v>
      </c>
      <c r="I81" s="46">
        <v>-0.27122696538396263</v>
      </c>
      <c r="J81" s="46">
        <v>1.444051563119908E-2</v>
      </c>
    </row>
    <row r="82" spans="1:10" ht="11.25" customHeight="1" x14ac:dyDescent="0.2">
      <c r="A82" s="55">
        <v>44501</v>
      </c>
      <c r="B82" s="45">
        <v>0</v>
      </c>
      <c r="C82" s="45">
        <v>0</v>
      </c>
      <c r="D82" s="45">
        <v>6755.2660499999993</v>
      </c>
      <c r="E82" s="45">
        <v>7500.5364074204435</v>
      </c>
      <c r="F82" s="45">
        <v>2267.39435</v>
      </c>
      <c r="G82" s="45">
        <v>1652.4158611207577</v>
      </c>
      <c r="H82" s="46">
        <v>0.11032435316451283</v>
      </c>
      <c r="I82" s="46">
        <v>-0.27122696538396263</v>
      </c>
      <c r="J82" s="46">
        <v>1.4440515631199302E-2</v>
      </c>
    </row>
    <row r="83" spans="1:10" ht="11.25" customHeight="1" x14ac:dyDescent="0.2">
      <c r="A83" s="55">
        <v>44531</v>
      </c>
      <c r="B83" s="45">
        <v>0</v>
      </c>
      <c r="C83" s="45">
        <v>0</v>
      </c>
      <c r="D83" s="45">
        <v>7966.8857999999991</v>
      </c>
      <c r="E83" s="45">
        <v>8845.827322620542</v>
      </c>
      <c r="F83" s="45">
        <v>2674.0726</v>
      </c>
      <c r="G83" s="45">
        <v>1948.792003485597</v>
      </c>
      <c r="H83" s="46">
        <v>0.11032435316451283</v>
      </c>
      <c r="I83" s="46">
        <v>-0.27122696538396263</v>
      </c>
      <c r="J83" s="46">
        <v>1.444051563119908E-2</v>
      </c>
    </row>
    <row r="84" spans="1:10" ht="11.25" customHeight="1" x14ac:dyDescent="0.2">
      <c r="A84" s="55">
        <v>44562</v>
      </c>
      <c r="B84" s="45">
        <v>0</v>
      </c>
      <c r="C84" s="45">
        <v>0</v>
      </c>
      <c r="D84" s="45">
        <v>7302.1147499999988</v>
      </c>
      <c r="E84" s="45">
        <v>8107.7158365267978</v>
      </c>
      <c r="F84" s="45">
        <v>2450.9432499999998</v>
      </c>
      <c r="G84" s="45">
        <v>1786.1813499741932</v>
      </c>
      <c r="H84" s="46">
        <v>0.11032435316451283</v>
      </c>
      <c r="I84" s="46">
        <v>-0.27122696538396251</v>
      </c>
      <c r="J84" s="46">
        <v>1.4440515631199302E-2</v>
      </c>
    </row>
    <row r="85" spans="1:10" ht="11.25" customHeight="1" x14ac:dyDescent="0.2">
      <c r="A85" s="55">
        <v>44593</v>
      </c>
      <c r="B85" s="45">
        <v>0</v>
      </c>
      <c r="C85" s="45">
        <v>0</v>
      </c>
      <c r="D85" s="45">
        <v>8159.9674499999992</v>
      </c>
      <c r="E85" s="45">
        <v>9060.2105807647276</v>
      </c>
      <c r="F85" s="45">
        <v>2738.88015</v>
      </c>
      <c r="G85" s="45">
        <v>1996.0219983651275</v>
      </c>
      <c r="H85" s="46">
        <v>0.11032435316451283</v>
      </c>
      <c r="I85" s="46">
        <v>-0.27122696538396263</v>
      </c>
      <c r="J85" s="46">
        <v>1.444051563119908E-2</v>
      </c>
    </row>
    <row r="86" spans="1:10" ht="11.25" customHeight="1" x14ac:dyDescent="0.2">
      <c r="A86" s="55">
        <v>44621</v>
      </c>
      <c r="B86" s="45">
        <v>0</v>
      </c>
      <c r="C86" s="45">
        <v>0</v>
      </c>
      <c r="D86" s="45">
        <v>7893.0223499999993</v>
      </c>
      <c r="E86" s="45">
        <v>8763.8149352767923</v>
      </c>
      <c r="F86" s="45">
        <v>2649.2804500000002</v>
      </c>
      <c r="G86" s="45">
        <v>1930.7241530954411</v>
      </c>
      <c r="H86" s="46">
        <v>0.11032435316451283</v>
      </c>
      <c r="I86" s="46">
        <v>-0.27122696538396263</v>
      </c>
      <c r="J86" s="46">
        <v>1.444051563119908E-2</v>
      </c>
    </row>
    <row r="87" spans="1:10" ht="11.25" customHeight="1" x14ac:dyDescent="0.2">
      <c r="A87" s="55">
        <v>44652</v>
      </c>
      <c r="B87" s="45">
        <v>0</v>
      </c>
      <c r="C87" s="45">
        <v>0</v>
      </c>
      <c r="D87" s="45">
        <v>6476.6583000000001</v>
      </c>
      <c r="E87" s="45">
        <v>7191.1914376150735</v>
      </c>
      <c r="F87" s="45">
        <v>2173.8800999999999</v>
      </c>
      <c r="G87" s="45">
        <v>1584.2651973684149</v>
      </c>
      <c r="H87" s="46">
        <v>0.11032435316451283</v>
      </c>
      <c r="I87" s="46">
        <v>-0.27122696538396251</v>
      </c>
      <c r="J87" s="46">
        <v>1.444051563119908E-2</v>
      </c>
    </row>
    <row r="88" spans="1:10" ht="11.25" customHeight="1" x14ac:dyDescent="0.2">
      <c r="A88" s="55">
        <v>44682</v>
      </c>
      <c r="B88" s="45">
        <v>0</v>
      </c>
      <c r="C88" s="45">
        <v>0</v>
      </c>
      <c r="D88" s="45">
        <v>7588.4975999999997</v>
      </c>
      <c r="E88" s="45">
        <v>8425.6936892104568</v>
      </c>
      <c r="F88" s="45">
        <v>2547.0672</v>
      </c>
      <c r="G88" s="45">
        <v>1856.2338927149733</v>
      </c>
      <c r="H88" s="46">
        <v>0.11032435316451261</v>
      </c>
      <c r="I88" s="46">
        <v>-0.27122696538396263</v>
      </c>
      <c r="J88" s="46">
        <v>1.444051563119908E-2</v>
      </c>
    </row>
    <row r="89" spans="1:10" ht="11.25" customHeight="1" x14ac:dyDescent="0.2">
      <c r="A89" s="55">
        <v>44713</v>
      </c>
      <c r="B89" s="45">
        <v>0</v>
      </c>
      <c r="C89" s="45">
        <v>0</v>
      </c>
      <c r="D89" s="45">
        <v>8752.1708999999992</v>
      </c>
      <c r="E89" s="45">
        <v>9717.7484933277719</v>
      </c>
      <c r="F89" s="45">
        <v>2937.6522999999997</v>
      </c>
      <c r="G89" s="45">
        <v>2140.8817813177816</v>
      </c>
      <c r="H89" s="46">
        <v>0.11032435316451283</v>
      </c>
      <c r="I89" s="46">
        <v>-0.27122696538396263</v>
      </c>
      <c r="J89" s="46">
        <v>1.444051563119908E-2</v>
      </c>
    </row>
    <row r="90" spans="1:10" ht="11.25" customHeight="1" x14ac:dyDescent="0.2">
      <c r="A90" s="55">
        <v>44743</v>
      </c>
      <c r="B90" s="45">
        <v>0</v>
      </c>
      <c r="C90" s="45">
        <v>0</v>
      </c>
      <c r="D90" s="45">
        <v>8752.1708999999992</v>
      </c>
      <c r="E90" s="45">
        <v>9717.7484933277719</v>
      </c>
      <c r="F90" s="45">
        <v>2937.6522999999997</v>
      </c>
      <c r="G90" s="45">
        <v>2140.8817813177816</v>
      </c>
      <c r="H90" s="46">
        <v>0.11032435316451283</v>
      </c>
      <c r="I90" s="46">
        <v>-0.27122696538396263</v>
      </c>
      <c r="J90" s="46">
        <v>1.444051563119908E-2</v>
      </c>
    </row>
    <row r="91" spans="1:10" ht="11.25" customHeight="1" x14ac:dyDescent="0.2">
      <c r="A91" s="50" t="s">
        <v>43</v>
      </c>
      <c r="B91" s="45">
        <v>14955.3</v>
      </c>
      <c r="C91" s="45">
        <v>16386.321278384032</v>
      </c>
      <c r="D91" s="45">
        <v>17574.57733</v>
      </c>
      <c r="E91" s="45">
        <v>21767.872210886952</v>
      </c>
      <c r="F91" s="45">
        <v>27619.751169999996</v>
      </c>
      <c r="G91" s="45">
        <v>20426.456326998974</v>
      </c>
      <c r="H91" s="46">
        <v>0.1728969372437219</v>
      </c>
      <c r="I91" s="46">
        <v>-0.26044024794887477</v>
      </c>
      <c r="J91" s="46">
        <v>-2.6084594749076984E-2</v>
      </c>
    </row>
    <row r="92" spans="1:10" ht="11.25" customHeight="1" x14ac:dyDescent="0.2">
      <c r="A92" s="51" t="s">
        <v>25</v>
      </c>
      <c r="B92" s="45">
        <v>14955.3</v>
      </c>
      <c r="C92" s="45">
        <v>16386.321278384032</v>
      </c>
      <c r="D92" s="45">
        <v>17574.57733</v>
      </c>
      <c r="E92" s="45">
        <v>21767.872210886952</v>
      </c>
      <c r="F92" s="45">
        <v>27619.751169999996</v>
      </c>
      <c r="G92" s="45">
        <v>20426.456326998974</v>
      </c>
      <c r="H92" s="46">
        <v>0.1728969372437219</v>
      </c>
      <c r="I92" s="46">
        <v>-0.26044024794887477</v>
      </c>
      <c r="J92" s="46">
        <v>-2.6084594749076984E-2</v>
      </c>
    </row>
    <row r="93" spans="1:10" ht="11.25" customHeight="1" x14ac:dyDescent="0.2">
      <c r="A93" s="52" t="s">
        <v>25</v>
      </c>
      <c r="B93" s="45">
        <v>14955.3</v>
      </c>
      <c r="C93" s="45">
        <v>16386.321278384032</v>
      </c>
      <c r="D93" s="45">
        <v>17574.57733</v>
      </c>
      <c r="E93" s="45">
        <v>21767.872210886952</v>
      </c>
      <c r="F93" s="45">
        <v>27619.751169999996</v>
      </c>
      <c r="G93" s="45">
        <v>20426.456326998974</v>
      </c>
      <c r="H93" s="46">
        <v>0.1728969372437219</v>
      </c>
      <c r="I93" s="46">
        <v>-0.26044024794887477</v>
      </c>
      <c r="J93" s="46">
        <v>-2.6084594749076984E-2</v>
      </c>
    </row>
    <row r="94" spans="1:10" ht="11.25" customHeight="1" x14ac:dyDescent="0.2">
      <c r="A94" s="53" t="s">
        <v>25</v>
      </c>
      <c r="B94" s="45">
        <v>14955.3</v>
      </c>
      <c r="C94" s="45">
        <v>16386.321278384032</v>
      </c>
      <c r="D94" s="45">
        <v>17574.57733</v>
      </c>
      <c r="E94" s="45">
        <v>21767.872210886952</v>
      </c>
      <c r="F94" s="45">
        <v>27619.751169999996</v>
      </c>
      <c r="G94" s="45">
        <v>20426.456326998974</v>
      </c>
      <c r="H94" s="46">
        <v>0.1728969372437219</v>
      </c>
      <c r="I94" s="46">
        <v>-0.26044024794887477</v>
      </c>
      <c r="J94" s="46">
        <v>-2.6084594749076984E-2</v>
      </c>
    </row>
    <row r="95" spans="1:10" ht="11.25" customHeight="1" x14ac:dyDescent="0.2">
      <c r="A95" s="54" t="s">
        <v>34</v>
      </c>
      <c r="B95" s="45">
        <v>0</v>
      </c>
      <c r="C95" s="45">
        <v>0</v>
      </c>
      <c r="D95" s="45">
        <v>6624.6448300000002</v>
      </c>
      <c r="E95" s="45">
        <v>9609.8954906293729</v>
      </c>
      <c r="F95" s="45">
        <v>23944.423669999993</v>
      </c>
      <c r="G95" s="45">
        <v>17747.976751616196</v>
      </c>
      <c r="H95" s="46">
        <v>0.4506280317264002</v>
      </c>
      <c r="I95" s="46">
        <v>-0.25878455058191008</v>
      </c>
      <c r="J95" s="46">
        <v>-0.10504723942616789</v>
      </c>
    </row>
    <row r="96" spans="1:10" ht="11.25" customHeight="1" x14ac:dyDescent="0.2">
      <c r="A96" s="55">
        <v>44409</v>
      </c>
      <c r="B96" s="45">
        <v>0</v>
      </c>
      <c r="C96" s="45">
        <v>0</v>
      </c>
      <c r="D96" s="45">
        <v>586.04018000000008</v>
      </c>
      <c r="E96" s="45">
        <v>850.12631282598522</v>
      </c>
      <c r="F96" s="45">
        <v>2118.2108199999998</v>
      </c>
      <c r="G96" s="45">
        <v>1570.0505849085603</v>
      </c>
      <c r="H96" s="46">
        <v>0.45062803172639998</v>
      </c>
      <c r="I96" s="46">
        <v>-0.25878455058191019</v>
      </c>
      <c r="J96" s="46">
        <v>-0.105047239426168</v>
      </c>
    </row>
    <row r="97" spans="1:10" ht="11.25" customHeight="1" x14ac:dyDescent="0.2">
      <c r="A97" s="55">
        <v>44440</v>
      </c>
      <c r="B97" s="45">
        <v>0</v>
      </c>
      <c r="C97" s="45">
        <v>0</v>
      </c>
      <c r="D97" s="45">
        <v>453.36576000000002</v>
      </c>
      <c r="E97" s="45">
        <v>657.66508008094354</v>
      </c>
      <c r="F97" s="45">
        <v>1638.66624</v>
      </c>
      <c r="G97" s="45">
        <v>1214.6047335278513</v>
      </c>
      <c r="H97" s="46">
        <v>0.4506280317264002</v>
      </c>
      <c r="I97" s="46">
        <v>-0.2587845505819103</v>
      </c>
      <c r="J97" s="46">
        <v>-0.10504723942616812</v>
      </c>
    </row>
    <row r="98" spans="1:10" ht="11.25" customHeight="1" x14ac:dyDescent="0.2">
      <c r="A98" s="55">
        <v>44470</v>
      </c>
      <c r="B98" s="45">
        <v>0</v>
      </c>
      <c r="C98" s="45">
        <v>0</v>
      </c>
      <c r="D98" s="45">
        <v>437.13196000000005</v>
      </c>
      <c r="E98" s="45">
        <v>634.11587473950351</v>
      </c>
      <c r="F98" s="45">
        <v>1579.9900399999999</v>
      </c>
      <c r="G98" s="45">
        <v>1171.1130275747055</v>
      </c>
      <c r="H98" s="46">
        <v>0.45062803172639998</v>
      </c>
      <c r="I98" s="46">
        <v>-0.2587845505819103</v>
      </c>
      <c r="J98" s="46">
        <v>-0.10504723942616812</v>
      </c>
    </row>
    <row r="99" spans="1:10" ht="11.25" customHeight="1" x14ac:dyDescent="0.2">
      <c r="A99" s="55">
        <v>44501</v>
      </c>
      <c r="B99" s="45">
        <v>0</v>
      </c>
      <c r="C99" s="45">
        <v>0</v>
      </c>
      <c r="D99" s="45">
        <v>645.81008000000008</v>
      </c>
      <c r="E99" s="45">
        <v>936.83020521946912</v>
      </c>
      <c r="F99" s="45">
        <v>2334.2459199999998</v>
      </c>
      <c r="G99" s="45">
        <v>1730.1791386451423</v>
      </c>
      <c r="H99" s="46">
        <v>0.4506280317264002</v>
      </c>
      <c r="I99" s="46">
        <v>-0.25878455058191019</v>
      </c>
      <c r="J99" s="46">
        <v>-0.10504723942616812</v>
      </c>
    </row>
    <row r="100" spans="1:10" ht="11.25" customHeight="1" x14ac:dyDescent="0.2">
      <c r="A100" s="55">
        <v>44531</v>
      </c>
      <c r="B100" s="45">
        <v>0</v>
      </c>
      <c r="C100" s="45">
        <v>0</v>
      </c>
      <c r="D100" s="45">
        <v>612.82595000000003</v>
      </c>
      <c r="E100" s="45">
        <v>888.98250163936132</v>
      </c>
      <c r="F100" s="45">
        <v>2215.0265499999996</v>
      </c>
      <c r="G100" s="45">
        <v>1641.8118997312506</v>
      </c>
      <c r="H100" s="46">
        <v>0.45062803172639998</v>
      </c>
      <c r="I100" s="46">
        <v>-0.25878455058191019</v>
      </c>
      <c r="J100" s="46">
        <v>-0.105047239426168</v>
      </c>
    </row>
    <row r="101" spans="1:10" ht="11.25" customHeight="1" x14ac:dyDescent="0.2">
      <c r="A101" s="55">
        <v>44562</v>
      </c>
      <c r="B101" s="45">
        <v>0</v>
      </c>
      <c r="C101" s="45">
        <v>0</v>
      </c>
      <c r="D101" s="45">
        <v>591.79579999999999</v>
      </c>
      <c r="E101" s="45">
        <v>858.47557653795025</v>
      </c>
      <c r="F101" s="45">
        <v>2139.0141999999996</v>
      </c>
      <c r="G101" s="45">
        <v>1585.4703715646756</v>
      </c>
      <c r="H101" s="46">
        <v>0.45062803172639998</v>
      </c>
      <c r="I101" s="46">
        <v>-0.25878455058191019</v>
      </c>
      <c r="J101" s="46">
        <v>-0.10504723942616789</v>
      </c>
    </row>
    <row r="102" spans="1:10" ht="11.25" customHeight="1" x14ac:dyDescent="0.2">
      <c r="A102" s="55">
        <v>44593</v>
      </c>
      <c r="B102" s="45">
        <v>0</v>
      </c>
      <c r="C102" s="45">
        <v>0</v>
      </c>
      <c r="D102" s="45">
        <v>676.94946000000004</v>
      </c>
      <c r="E102" s="45">
        <v>982.00186273804934</v>
      </c>
      <c r="F102" s="45">
        <v>2446.7975399999996</v>
      </c>
      <c r="G102" s="45">
        <v>1813.6041382461763</v>
      </c>
      <c r="H102" s="46">
        <v>0.45062803172639998</v>
      </c>
      <c r="I102" s="46">
        <v>-0.25878455058191019</v>
      </c>
      <c r="J102" s="46">
        <v>-0.10504723942616789</v>
      </c>
    </row>
    <row r="103" spans="1:10" ht="11.25" customHeight="1" x14ac:dyDescent="0.2">
      <c r="A103" s="55">
        <v>44621</v>
      </c>
      <c r="B103" s="45">
        <v>0</v>
      </c>
      <c r="C103" s="45">
        <v>0</v>
      </c>
      <c r="D103" s="45">
        <v>557.33587</v>
      </c>
      <c r="E103" s="45">
        <v>808.48703610862083</v>
      </c>
      <c r="F103" s="45">
        <v>2014.4606299999998</v>
      </c>
      <c r="G103" s="45">
        <v>1493.1493412004982</v>
      </c>
      <c r="H103" s="46">
        <v>0.4506280317264002</v>
      </c>
      <c r="I103" s="46">
        <v>-0.25878455058191019</v>
      </c>
      <c r="J103" s="46">
        <v>-0.10504723942616812</v>
      </c>
    </row>
    <row r="104" spans="1:10" ht="11.25" customHeight="1" x14ac:dyDescent="0.2">
      <c r="A104" s="55">
        <v>44652</v>
      </c>
      <c r="B104" s="45">
        <v>0</v>
      </c>
      <c r="C104" s="45">
        <v>0</v>
      </c>
      <c r="D104" s="45">
        <v>393.44828000000001</v>
      </c>
      <c r="E104" s="45">
        <v>570.74710400253753</v>
      </c>
      <c r="F104" s="45">
        <v>1422.0977199999998</v>
      </c>
      <c r="G104" s="45">
        <v>1054.0808006462407</v>
      </c>
      <c r="H104" s="46">
        <v>0.45062803172639998</v>
      </c>
      <c r="I104" s="46">
        <v>-0.25878455058191019</v>
      </c>
      <c r="J104" s="46">
        <v>-0.105047239426168</v>
      </c>
    </row>
    <row r="105" spans="1:10" ht="11.25" customHeight="1" x14ac:dyDescent="0.2">
      <c r="A105" s="55">
        <v>44682</v>
      </c>
      <c r="B105" s="45">
        <v>0</v>
      </c>
      <c r="C105" s="45">
        <v>0</v>
      </c>
      <c r="D105" s="45">
        <v>552.61331000000007</v>
      </c>
      <c r="E105" s="45">
        <v>801.63635819111096</v>
      </c>
      <c r="F105" s="45">
        <v>1997.3911899999998</v>
      </c>
      <c r="G105" s="45">
        <v>1480.497208559583</v>
      </c>
      <c r="H105" s="46">
        <v>0.45062803172639998</v>
      </c>
      <c r="I105" s="46">
        <v>-0.25878455058191019</v>
      </c>
      <c r="J105" s="46">
        <v>-0.10504723942616823</v>
      </c>
    </row>
    <row r="106" spans="1:10" ht="11.25" customHeight="1" x14ac:dyDescent="0.2">
      <c r="A106" s="55">
        <v>44713</v>
      </c>
      <c r="B106" s="45">
        <v>0</v>
      </c>
      <c r="C106" s="45">
        <v>0</v>
      </c>
      <c r="D106" s="45">
        <v>558.66408999999999</v>
      </c>
      <c r="E106" s="45">
        <v>810.41378927292044</v>
      </c>
      <c r="F106" s="45">
        <v>2019.2614099999998</v>
      </c>
      <c r="G106" s="45">
        <v>1496.7077535057554</v>
      </c>
      <c r="H106" s="46">
        <v>0.4506280317264002</v>
      </c>
      <c r="I106" s="46">
        <v>-0.2587845505819103</v>
      </c>
      <c r="J106" s="46">
        <v>-0.10504723942616812</v>
      </c>
    </row>
    <row r="107" spans="1:10" ht="11.25" customHeight="1" x14ac:dyDescent="0.2">
      <c r="A107" s="55">
        <v>44743</v>
      </c>
      <c r="B107" s="45">
        <v>0</v>
      </c>
      <c r="C107" s="45">
        <v>0</v>
      </c>
      <c r="D107" s="45">
        <v>558.66408999999999</v>
      </c>
      <c r="E107" s="45">
        <v>810.41378927292044</v>
      </c>
      <c r="F107" s="45">
        <v>2019.2614099999998</v>
      </c>
      <c r="G107" s="45">
        <v>1496.7077535057554</v>
      </c>
      <c r="H107" s="46">
        <v>0.4506280317264002</v>
      </c>
      <c r="I107" s="46">
        <v>-0.2587845505819103</v>
      </c>
      <c r="J107" s="46">
        <v>-0.10504723942616812</v>
      </c>
    </row>
    <row r="108" spans="1:10" ht="11.25" customHeight="1" x14ac:dyDescent="0.2">
      <c r="A108" s="54" t="s">
        <v>25</v>
      </c>
      <c r="B108" s="45">
        <v>14955.3</v>
      </c>
      <c r="C108" s="45">
        <v>16386.321278384032</v>
      </c>
      <c r="D108" s="45">
        <v>0</v>
      </c>
      <c r="E108" s="45">
        <v>0</v>
      </c>
      <c r="F108" s="45">
        <v>0</v>
      </c>
      <c r="G108" s="45">
        <v>0</v>
      </c>
      <c r="H108" s="46">
        <v>9.5686564521208606E-2</v>
      </c>
      <c r="I108" s="46">
        <v>0</v>
      </c>
      <c r="J108" s="46">
        <v>9.5686564521208606E-2</v>
      </c>
    </row>
    <row r="109" spans="1:10" ht="11.25" customHeight="1" x14ac:dyDescent="0.2">
      <c r="A109" s="55">
        <v>44409</v>
      </c>
      <c r="B109" s="45">
        <v>1203.3000000000002</v>
      </c>
      <c r="C109" s="45">
        <v>1318.4396430883705</v>
      </c>
      <c r="D109" s="45">
        <v>0</v>
      </c>
      <c r="E109" s="45">
        <v>0</v>
      </c>
      <c r="F109" s="45">
        <v>0</v>
      </c>
      <c r="G109" s="45">
        <v>0</v>
      </c>
      <c r="H109" s="46">
        <v>9.5686564521208606E-2</v>
      </c>
      <c r="I109" s="46">
        <v>0</v>
      </c>
      <c r="J109" s="46">
        <v>9.5686564521208606E-2</v>
      </c>
    </row>
    <row r="110" spans="1:10" ht="11.25" customHeight="1" x14ac:dyDescent="0.2">
      <c r="A110" s="55">
        <v>44440</v>
      </c>
      <c r="B110" s="45">
        <v>1203.3000000000002</v>
      </c>
      <c r="C110" s="45">
        <v>1318.4396430883705</v>
      </c>
      <c r="D110" s="45">
        <v>0</v>
      </c>
      <c r="E110" s="45">
        <v>0</v>
      </c>
      <c r="F110" s="45">
        <v>0</v>
      </c>
      <c r="G110" s="45">
        <v>0</v>
      </c>
      <c r="H110" s="46">
        <v>9.5686564521208606E-2</v>
      </c>
      <c r="I110" s="46">
        <v>0</v>
      </c>
      <c r="J110" s="46">
        <v>9.5686564521208606E-2</v>
      </c>
    </row>
    <row r="111" spans="1:10" ht="11.25" customHeight="1" x14ac:dyDescent="0.2">
      <c r="A111" s="55">
        <v>44470</v>
      </c>
      <c r="B111" s="45">
        <v>1203.3000000000002</v>
      </c>
      <c r="C111" s="45">
        <v>1318.4396430883705</v>
      </c>
      <c r="D111" s="45">
        <v>0</v>
      </c>
      <c r="E111" s="45">
        <v>0</v>
      </c>
      <c r="F111" s="45">
        <v>0</v>
      </c>
      <c r="G111" s="45">
        <v>0</v>
      </c>
      <c r="H111" s="46">
        <v>9.5686564521208606E-2</v>
      </c>
      <c r="I111" s="46">
        <v>0</v>
      </c>
      <c r="J111" s="46">
        <v>9.5686564521208606E-2</v>
      </c>
    </row>
    <row r="112" spans="1:10" ht="11.25" customHeight="1" x14ac:dyDescent="0.2">
      <c r="A112" s="55">
        <v>44501</v>
      </c>
      <c r="B112" s="45">
        <v>1203.3000000000002</v>
      </c>
      <c r="C112" s="45">
        <v>1318.4396430883705</v>
      </c>
      <c r="D112" s="45">
        <v>0</v>
      </c>
      <c r="E112" s="45">
        <v>0</v>
      </c>
      <c r="F112" s="45">
        <v>0</v>
      </c>
      <c r="G112" s="45">
        <v>0</v>
      </c>
      <c r="H112" s="46">
        <v>9.5686564521208606E-2</v>
      </c>
      <c r="I112" s="46">
        <v>0</v>
      </c>
      <c r="J112" s="46">
        <v>9.5686564521208606E-2</v>
      </c>
    </row>
    <row r="113" spans="1:10" ht="11.25" customHeight="1" x14ac:dyDescent="0.2">
      <c r="A113" s="55">
        <v>44531</v>
      </c>
      <c r="B113" s="45">
        <v>1203.3000000000002</v>
      </c>
      <c r="C113" s="45">
        <v>1318.4396430883705</v>
      </c>
      <c r="D113" s="45">
        <v>0</v>
      </c>
      <c r="E113" s="45">
        <v>0</v>
      </c>
      <c r="F113" s="45">
        <v>0</v>
      </c>
      <c r="G113" s="45">
        <v>0</v>
      </c>
      <c r="H113" s="46">
        <v>9.5686564521208606E-2</v>
      </c>
      <c r="I113" s="46">
        <v>0</v>
      </c>
      <c r="J113" s="46">
        <v>9.5686564521208606E-2</v>
      </c>
    </row>
    <row r="114" spans="1:10" ht="11.25" customHeight="1" x14ac:dyDescent="0.2">
      <c r="A114" s="55">
        <v>44562</v>
      </c>
      <c r="B114" s="45">
        <v>1203.3000000000002</v>
      </c>
      <c r="C114" s="45">
        <v>1318.4396430883705</v>
      </c>
      <c r="D114" s="45">
        <v>0</v>
      </c>
      <c r="E114" s="45">
        <v>0</v>
      </c>
      <c r="F114" s="45">
        <v>0</v>
      </c>
      <c r="G114" s="45">
        <v>0</v>
      </c>
      <c r="H114" s="46">
        <v>9.5686564521208606E-2</v>
      </c>
      <c r="I114" s="46">
        <v>0</v>
      </c>
      <c r="J114" s="46">
        <v>9.5686564521208606E-2</v>
      </c>
    </row>
    <row r="115" spans="1:10" ht="11.25" customHeight="1" x14ac:dyDescent="0.2">
      <c r="A115" s="55">
        <v>44593</v>
      </c>
      <c r="B115" s="45">
        <v>1719.0000000000002</v>
      </c>
      <c r="C115" s="45">
        <v>1883.485204411958</v>
      </c>
      <c r="D115" s="45">
        <v>0</v>
      </c>
      <c r="E115" s="45">
        <v>0</v>
      </c>
      <c r="F115" s="45">
        <v>0</v>
      </c>
      <c r="G115" s="45">
        <v>0</v>
      </c>
      <c r="H115" s="46">
        <v>9.5686564521208606E-2</v>
      </c>
      <c r="I115" s="46">
        <v>0</v>
      </c>
      <c r="J115" s="46">
        <v>9.5686564521208606E-2</v>
      </c>
    </row>
    <row r="116" spans="1:10" ht="11.25" customHeight="1" x14ac:dyDescent="0.2">
      <c r="A116" s="55">
        <v>44621</v>
      </c>
      <c r="B116" s="45">
        <v>1203.3000000000002</v>
      </c>
      <c r="C116" s="45">
        <v>1318.4396430883705</v>
      </c>
      <c r="D116" s="45">
        <v>0</v>
      </c>
      <c r="E116" s="45">
        <v>0</v>
      </c>
      <c r="F116" s="45">
        <v>0</v>
      </c>
      <c r="G116" s="45">
        <v>0</v>
      </c>
      <c r="H116" s="46">
        <v>9.5686564521208606E-2</v>
      </c>
      <c r="I116" s="46">
        <v>0</v>
      </c>
      <c r="J116" s="46">
        <v>9.5686564521208606E-2</v>
      </c>
    </row>
    <row r="117" spans="1:10" ht="11.25" customHeight="1" x14ac:dyDescent="0.2">
      <c r="A117" s="55">
        <v>44652</v>
      </c>
      <c r="B117" s="45">
        <v>1203.3000000000002</v>
      </c>
      <c r="C117" s="45">
        <v>1318.4396430883705</v>
      </c>
      <c r="D117" s="45">
        <v>0</v>
      </c>
      <c r="E117" s="45">
        <v>0</v>
      </c>
      <c r="F117" s="45">
        <v>0</v>
      </c>
      <c r="G117" s="45">
        <v>0</v>
      </c>
      <c r="H117" s="46">
        <v>9.5686564521208606E-2</v>
      </c>
      <c r="I117" s="46">
        <v>0</v>
      </c>
      <c r="J117" s="46">
        <v>9.5686564521208606E-2</v>
      </c>
    </row>
    <row r="118" spans="1:10" ht="11.25" customHeight="1" x14ac:dyDescent="0.2">
      <c r="A118" s="55">
        <v>44682</v>
      </c>
      <c r="B118" s="45">
        <v>1203.3000000000002</v>
      </c>
      <c r="C118" s="45">
        <v>1318.4396430883705</v>
      </c>
      <c r="D118" s="45">
        <v>0</v>
      </c>
      <c r="E118" s="45">
        <v>0</v>
      </c>
      <c r="F118" s="45">
        <v>0</v>
      </c>
      <c r="G118" s="45">
        <v>0</v>
      </c>
      <c r="H118" s="46">
        <v>9.5686564521208606E-2</v>
      </c>
      <c r="I118" s="46">
        <v>0</v>
      </c>
      <c r="J118" s="46">
        <v>9.5686564521208606E-2</v>
      </c>
    </row>
    <row r="119" spans="1:10" ht="11.25" customHeight="1" x14ac:dyDescent="0.2">
      <c r="A119" s="55">
        <v>44713</v>
      </c>
      <c r="B119" s="45">
        <v>1203.3000000000002</v>
      </c>
      <c r="C119" s="45">
        <v>1318.4396430883705</v>
      </c>
      <c r="D119" s="45">
        <v>0</v>
      </c>
      <c r="E119" s="45">
        <v>0</v>
      </c>
      <c r="F119" s="45">
        <v>0</v>
      </c>
      <c r="G119" s="45">
        <v>0</v>
      </c>
      <c r="H119" s="46">
        <v>9.5686564521208606E-2</v>
      </c>
      <c r="I119" s="46">
        <v>0</v>
      </c>
      <c r="J119" s="46">
        <v>9.5686564521208606E-2</v>
      </c>
    </row>
    <row r="120" spans="1:10" ht="11.25" customHeight="1" x14ac:dyDescent="0.2">
      <c r="A120" s="55">
        <v>44743</v>
      </c>
      <c r="B120" s="45">
        <v>1203.3000000000002</v>
      </c>
      <c r="C120" s="45">
        <v>1318.4396430883705</v>
      </c>
      <c r="D120" s="45">
        <v>0</v>
      </c>
      <c r="E120" s="45">
        <v>0</v>
      </c>
      <c r="F120" s="45">
        <v>0</v>
      </c>
      <c r="G120" s="45">
        <v>0</v>
      </c>
      <c r="H120" s="46">
        <v>9.5686564521208606E-2</v>
      </c>
      <c r="I120" s="46">
        <v>0</v>
      </c>
      <c r="J120" s="46">
        <v>9.5686564521208606E-2</v>
      </c>
    </row>
    <row r="121" spans="1:10" ht="11.25" customHeight="1" x14ac:dyDescent="0.2">
      <c r="A121" s="54" t="s">
        <v>33</v>
      </c>
      <c r="B121" s="45">
        <v>0</v>
      </c>
      <c r="C121" s="45">
        <v>0</v>
      </c>
      <c r="D121" s="45">
        <v>10949.932499999997</v>
      </c>
      <c r="E121" s="45">
        <v>12157.976720257577</v>
      </c>
      <c r="F121" s="45">
        <v>3675.3274999999994</v>
      </c>
      <c r="G121" s="45">
        <v>2678.4795753827743</v>
      </c>
      <c r="H121" s="46">
        <v>0.11032435316451306</v>
      </c>
      <c r="I121" s="46">
        <v>-0.2712269653839624</v>
      </c>
      <c r="J121" s="46">
        <v>1.4440515631199302E-2</v>
      </c>
    </row>
    <row r="122" spans="1:10" ht="11.25" customHeight="1" x14ac:dyDescent="0.2">
      <c r="A122" s="55">
        <v>44409</v>
      </c>
      <c r="B122" s="45">
        <v>0</v>
      </c>
      <c r="C122" s="45">
        <v>0</v>
      </c>
      <c r="D122" s="45">
        <v>1039.2717</v>
      </c>
      <c r="E122" s="45">
        <v>1153.9286780646837</v>
      </c>
      <c r="F122" s="45">
        <v>348.82990000000001</v>
      </c>
      <c r="G122" s="45">
        <v>254.21782478780887</v>
      </c>
      <c r="H122" s="46">
        <v>0.11032435316451283</v>
      </c>
      <c r="I122" s="46">
        <v>-0.27122696538396263</v>
      </c>
      <c r="J122" s="46">
        <v>1.4440515631199302E-2</v>
      </c>
    </row>
    <row r="123" spans="1:10" ht="11.25" customHeight="1" x14ac:dyDescent="0.2">
      <c r="A123" s="55">
        <v>44440</v>
      </c>
      <c r="B123" s="45">
        <v>0</v>
      </c>
      <c r="C123" s="45">
        <v>0</v>
      </c>
      <c r="D123" s="45">
        <v>791.76434999999992</v>
      </c>
      <c r="E123" s="45">
        <v>879.11523977247089</v>
      </c>
      <c r="F123" s="45">
        <v>265.75444999999996</v>
      </c>
      <c r="G123" s="45">
        <v>193.67467698921598</v>
      </c>
      <c r="H123" s="46">
        <v>0.11032435316451283</v>
      </c>
      <c r="I123" s="46">
        <v>-0.27122696538396251</v>
      </c>
      <c r="J123" s="46">
        <v>1.4440515631199302E-2</v>
      </c>
    </row>
    <row r="124" spans="1:10" ht="11.25" customHeight="1" x14ac:dyDescent="0.2">
      <c r="A124" s="55">
        <v>44470</v>
      </c>
      <c r="B124" s="45">
        <v>0</v>
      </c>
      <c r="C124" s="45">
        <v>0</v>
      </c>
      <c r="D124" s="45">
        <v>769.73489999999993</v>
      </c>
      <c r="E124" s="45">
        <v>854.6554049506509</v>
      </c>
      <c r="F124" s="45">
        <v>258.3603</v>
      </c>
      <c r="G124" s="45">
        <v>188.2860198553098</v>
      </c>
      <c r="H124" s="46">
        <v>0.11032435316451283</v>
      </c>
      <c r="I124" s="46">
        <v>-0.27122696538396263</v>
      </c>
      <c r="J124" s="46">
        <v>1.444051563119908E-2</v>
      </c>
    </row>
    <row r="125" spans="1:10" ht="11.25" customHeight="1" x14ac:dyDescent="0.2">
      <c r="A125" s="55">
        <v>44501</v>
      </c>
      <c r="B125" s="45">
        <v>0</v>
      </c>
      <c r="C125" s="45">
        <v>0</v>
      </c>
      <c r="D125" s="45">
        <v>933.01199999999994</v>
      </c>
      <c r="E125" s="45">
        <v>1035.9459453947284</v>
      </c>
      <c r="F125" s="45">
        <v>313.16399999999999</v>
      </c>
      <c r="G125" s="45">
        <v>228.22547861249672</v>
      </c>
      <c r="H125" s="46">
        <v>0.11032435316451283</v>
      </c>
      <c r="I125" s="46">
        <v>-0.27122696538396263</v>
      </c>
      <c r="J125" s="46">
        <v>1.444051563119908E-2</v>
      </c>
    </row>
    <row r="126" spans="1:10" ht="11.25" customHeight="1" x14ac:dyDescent="0.2">
      <c r="A126" s="55">
        <v>44531</v>
      </c>
      <c r="B126" s="45">
        <v>0</v>
      </c>
      <c r="C126" s="45">
        <v>0</v>
      </c>
      <c r="D126" s="45">
        <v>1001.69205</v>
      </c>
      <c r="E126" s="45">
        <v>1112.2030774862849</v>
      </c>
      <c r="F126" s="45">
        <v>336.21634999999998</v>
      </c>
      <c r="G126" s="45">
        <v>245.02540967702774</v>
      </c>
      <c r="H126" s="46">
        <v>0.11032435316451283</v>
      </c>
      <c r="I126" s="46">
        <v>-0.27122696538396263</v>
      </c>
      <c r="J126" s="46">
        <v>1.444051563119908E-2</v>
      </c>
    </row>
    <row r="127" spans="1:10" ht="11.25" customHeight="1" x14ac:dyDescent="0.2">
      <c r="A127" s="55">
        <v>44562</v>
      </c>
      <c r="B127" s="45">
        <v>0</v>
      </c>
      <c r="C127" s="45">
        <v>0</v>
      </c>
      <c r="D127" s="45">
        <v>960.22484999999995</v>
      </c>
      <c r="E127" s="45">
        <v>1066.1610354687414</v>
      </c>
      <c r="F127" s="45">
        <v>322.29795000000001</v>
      </c>
      <c r="G127" s="45">
        <v>234.8820550720279</v>
      </c>
      <c r="H127" s="46">
        <v>0.11032435316451283</v>
      </c>
      <c r="I127" s="46">
        <v>-0.27122696538396263</v>
      </c>
      <c r="J127" s="46">
        <v>1.444051563119908E-2</v>
      </c>
    </row>
    <row r="128" spans="1:10" ht="11.25" customHeight="1" x14ac:dyDescent="0.2">
      <c r="A128" s="55">
        <v>44593</v>
      </c>
      <c r="B128" s="45">
        <v>0</v>
      </c>
      <c r="C128" s="45">
        <v>0</v>
      </c>
      <c r="D128" s="45">
        <v>1153.3064999999999</v>
      </c>
      <c r="E128" s="45">
        <v>1280.5442936129282</v>
      </c>
      <c r="F128" s="45">
        <v>387.10550000000001</v>
      </c>
      <c r="G128" s="45">
        <v>282.11204995155845</v>
      </c>
      <c r="H128" s="46">
        <v>0.11032435316451283</v>
      </c>
      <c r="I128" s="46">
        <v>-0.27122696538396263</v>
      </c>
      <c r="J128" s="46">
        <v>1.4440515631199302E-2</v>
      </c>
    </row>
    <row r="129" spans="1:10" ht="11.25" customHeight="1" x14ac:dyDescent="0.2">
      <c r="A129" s="55">
        <v>44621</v>
      </c>
      <c r="B129" s="45">
        <v>0</v>
      </c>
      <c r="C129" s="45">
        <v>0</v>
      </c>
      <c r="D129" s="45">
        <v>918.7576499999999</v>
      </c>
      <c r="E129" s="45">
        <v>1020.1189934511978</v>
      </c>
      <c r="F129" s="45">
        <v>308.37954999999999</v>
      </c>
      <c r="G129" s="45">
        <v>224.73870046702802</v>
      </c>
      <c r="H129" s="46">
        <v>0.11032435316451283</v>
      </c>
      <c r="I129" s="46">
        <v>-0.27122696538396263</v>
      </c>
      <c r="J129" s="46">
        <v>1.444051563119908E-2</v>
      </c>
    </row>
    <row r="130" spans="1:10" ht="11.25" customHeight="1" x14ac:dyDescent="0.2">
      <c r="A130" s="55">
        <v>44652</v>
      </c>
      <c r="B130" s="45">
        <v>0</v>
      </c>
      <c r="C130" s="45">
        <v>0</v>
      </c>
      <c r="D130" s="45">
        <v>636.26234999999997</v>
      </c>
      <c r="E130" s="45">
        <v>706.45758220668279</v>
      </c>
      <c r="F130" s="45">
        <v>213.56045</v>
      </c>
      <c r="G130" s="45">
        <v>155.63709722046653</v>
      </c>
      <c r="H130" s="46">
        <v>0.11032435316451283</v>
      </c>
      <c r="I130" s="46">
        <v>-0.27122696538396263</v>
      </c>
      <c r="J130" s="46">
        <v>1.444051563119908E-2</v>
      </c>
    </row>
    <row r="131" spans="1:10" ht="11.25" customHeight="1" x14ac:dyDescent="0.2">
      <c r="A131" s="55">
        <v>44682</v>
      </c>
      <c r="B131" s="45">
        <v>0</v>
      </c>
      <c r="C131" s="45">
        <v>0</v>
      </c>
      <c r="D131" s="45">
        <v>955.04144999999994</v>
      </c>
      <c r="E131" s="45">
        <v>1060.4057802165485</v>
      </c>
      <c r="F131" s="45">
        <v>320.55815000000001</v>
      </c>
      <c r="G131" s="45">
        <v>233.61413574640289</v>
      </c>
      <c r="H131" s="46">
        <v>0.11032435316451283</v>
      </c>
      <c r="I131" s="46">
        <v>-0.27122696538396263</v>
      </c>
      <c r="J131" s="46">
        <v>1.4440515631199302E-2</v>
      </c>
    </row>
    <row r="132" spans="1:10" ht="11.25" customHeight="1" x14ac:dyDescent="0.2">
      <c r="A132" s="55">
        <v>44713</v>
      </c>
      <c r="B132" s="45">
        <v>0</v>
      </c>
      <c r="C132" s="45">
        <v>0</v>
      </c>
      <c r="D132" s="45">
        <v>895.43234999999981</v>
      </c>
      <c r="E132" s="45">
        <v>994.22034481632954</v>
      </c>
      <c r="F132" s="45">
        <v>300.55044999999996</v>
      </c>
      <c r="G132" s="45">
        <v>219.03306350171559</v>
      </c>
      <c r="H132" s="46">
        <v>0.11032435316451283</v>
      </c>
      <c r="I132" s="46">
        <v>-0.27122696538396263</v>
      </c>
      <c r="J132" s="46">
        <v>1.444051563119908E-2</v>
      </c>
    </row>
    <row r="133" spans="1:10" ht="11.25" customHeight="1" x14ac:dyDescent="0.2">
      <c r="A133" s="55">
        <v>44743</v>
      </c>
      <c r="B133" s="45">
        <v>0</v>
      </c>
      <c r="C133" s="45">
        <v>0</v>
      </c>
      <c r="D133" s="45">
        <v>895.43234999999981</v>
      </c>
      <c r="E133" s="45">
        <v>994.22034481632954</v>
      </c>
      <c r="F133" s="45">
        <v>300.55044999999996</v>
      </c>
      <c r="G133" s="45">
        <v>219.03306350171559</v>
      </c>
      <c r="H133" s="46">
        <v>0.11032435316451283</v>
      </c>
      <c r="I133" s="46">
        <v>-0.27122696538396263</v>
      </c>
      <c r="J133" s="46">
        <v>1.444051563119908E-2</v>
      </c>
    </row>
    <row r="134" spans="1:10" ht="11.25" customHeight="1" x14ac:dyDescent="0.2">
      <c r="A134" s="50" t="s">
        <v>47</v>
      </c>
      <c r="B134" s="45">
        <v>43498.4355</v>
      </c>
      <c r="C134" s="45">
        <v>47660.651355042384</v>
      </c>
      <c r="D134" s="45">
        <v>107468.29111380001</v>
      </c>
      <c r="E134" s="45">
        <v>149397.61507228843</v>
      </c>
      <c r="F134" s="45">
        <v>325822.00535219983</v>
      </c>
      <c r="G134" s="45">
        <v>241424.54828172454</v>
      </c>
      <c r="H134" s="46">
        <v>0.30530926149999416</v>
      </c>
      <c r="I134" s="46">
        <v>-0.25902933406614204</v>
      </c>
      <c r="J134" s="46">
        <v>-8.0341490242424762E-2</v>
      </c>
    </row>
    <row r="135" spans="1:10" ht="11.25" customHeight="1" x14ac:dyDescent="0.2">
      <c r="A135" s="51" t="s">
        <v>48</v>
      </c>
      <c r="B135" s="45">
        <v>43498.4355</v>
      </c>
      <c r="C135" s="45">
        <v>47660.651355042384</v>
      </c>
      <c r="D135" s="45">
        <v>107468.29111380001</v>
      </c>
      <c r="E135" s="45">
        <v>149397.61507228843</v>
      </c>
      <c r="F135" s="45">
        <v>325822.00535219983</v>
      </c>
      <c r="G135" s="45">
        <v>241424.54828172454</v>
      </c>
      <c r="H135" s="46">
        <v>0.30530926149999416</v>
      </c>
      <c r="I135" s="46">
        <v>-0.25902933406614204</v>
      </c>
      <c r="J135" s="46">
        <v>-8.0341490242424762E-2</v>
      </c>
    </row>
    <row r="136" spans="1:10" ht="11.25" customHeight="1" x14ac:dyDescent="0.2">
      <c r="A136" s="52" t="s">
        <v>25</v>
      </c>
      <c r="B136" s="45">
        <v>43498.4355</v>
      </c>
      <c r="C136" s="45">
        <v>47660.651355042384</v>
      </c>
      <c r="D136" s="45">
        <v>107468.29111380001</v>
      </c>
      <c r="E136" s="45">
        <v>149397.61507228843</v>
      </c>
      <c r="F136" s="45">
        <v>325822.00535219983</v>
      </c>
      <c r="G136" s="45">
        <v>241424.54828172454</v>
      </c>
      <c r="H136" s="46">
        <v>0.30530926149999416</v>
      </c>
      <c r="I136" s="46">
        <v>-0.25902933406614204</v>
      </c>
      <c r="J136" s="46">
        <v>-8.0341490242424762E-2</v>
      </c>
    </row>
    <row r="137" spans="1:10" ht="11.25" customHeight="1" x14ac:dyDescent="0.2">
      <c r="A137" s="53" t="s">
        <v>25</v>
      </c>
      <c r="B137" s="45">
        <v>43498.4355</v>
      </c>
      <c r="C137" s="45">
        <v>47660.651355042384</v>
      </c>
      <c r="D137" s="45">
        <v>107468.29111380001</v>
      </c>
      <c r="E137" s="45">
        <v>149397.61507228843</v>
      </c>
      <c r="F137" s="45">
        <v>325822.00535219983</v>
      </c>
      <c r="G137" s="45">
        <v>241424.54828172454</v>
      </c>
      <c r="H137" s="46">
        <v>0.30530926149999416</v>
      </c>
      <c r="I137" s="46">
        <v>-0.25902933406614204</v>
      </c>
      <c r="J137" s="46">
        <v>-8.0341490242424762E-2</v>
      </c>
    </row>
    <row r="138" spans="1:10" ht="11.25" customHeight="1" x14ac:dyDescent="0.2">
      <c r="A138" s="54" t="s">
        <v>34</v>
      </c>
      <c r="B138" s="45">
        <v>0</v>
      </c>
      <c r="C138" s="45">
        <v>0</v>
      </c>
      <c r="D138" s="45">
        <v>88370.934991799993</v>
      </c>
      <c r="E138" s="45">
        <v>128193.35548897649</v>
      </c>
      <c r="F138" s="45">
        <v>319412.00801819994</v>
      </c>
      <c r="G138" s="45">
        <v>236753.11507274461</v>
      </c>
      <c r="H138" s="46">
        <v>0.4506280317264002</v>
      </c>
      <c r="I138" s="46">
        <v>-0.25878455058191008</v>
      </c>
      <c r="J138" s="46">
        <v>-0.10504723942616778</v>
      </c>
    </row>
    <row r="139" spans="1:10" ht="11.25" customHeight="1" x14ac:dyDescent="0.2">
      <c r="A139" s="55">
        <v>44409</v>
      </c>
      <c r="B139" s="45">
        <v>0</v>
      </c>
      <c r="C139" s="45">
        <v>0</v>
      </c>
      <c r="D139" s="45">
        <v>6373.6599514</v>
      </c>
      <c r="E139" s="45">
        <v>9245.8097901927649</v>
      </c>
      <c r="F139" s="45">
        <v>23037.252278599997</v>
      </c>
      <c r="G139" s="45">
        <v>17075.56730104041</v>
      </c>
      <c r="H139" s="46">
        <v>0.4506280317264002</v>
      </c>
      <c r="I139" s="46">
        <v>-0.25878455058191019</v>
      </c>
      <c r="J139" s="46">
        <v>-0.105047239426168</v>
      </c>
    </row>
    <row r="140" spans="1:10" ht="11.25" customHeight="1" x14ac:dyDescent="0.2">
      <c r="A140" s="55">
        <v>44440</v>
      </c>
      <c r="B140" s="45">
        <v>0</v>
      </c>
      <c r="C140" s="45">
        <v>0</v>
      </c>
      <c r="D140" s="45">
        <v>7307.0724596</v>
      </c>
      <c r="E140" s="45">
        <v>10599.844139751733</v>
      </c>
      <c r="F140" s="45">
        <v>26411.021760399995</v>
      </c>
      <c r="G140" s="45">
        <v>19576.257363725832</v>
      </c>
      <c r="H140" s="46">
        <v>0.45062803172639998</v>
      </c>
      <c r="I140" s="46">
        <v>-0.25878455058191019</v>
      </c>
      <c r="J140" s="46">
        <v>-0.10504723942616812</v>
      </c>
    </row>
    <row r="141" spans="1:10" ht="11.25" customHeight="1" x14ac:dyDescent="0.2">
      <c r="A141" s="55">
        <v>44470</v>
      </c>
      <c r="B141" s="45">
        <v>0</v>
      </c>
      <c r="C141" s="45">
        <v>0</v>
      </c>
      <c r="D141" s="45">
        <v>6336.3428726000002</v>
      </c>
      <c r="E141" s="45">
        <v>9191.6765896233428</v>
      </c>
      <c r="F141" s="45">
        <v>22902.371697399998</v>
      </c>
      <c r="G141" s="45">
        <v>16975.591730428478</v>
      </c>
      <c r="H141" s="46">
        <v>0.4506280317264002</v>
      </c>
      <c r="I141" s="46">
        <v>-0.2587845505819103</v>
      </c>
      <c r="J141" s="46">
        <v>-0.10504723942616789</v>
      </c>
    </row>
    <row r="142" spans="1:10" ht="11.25" customHeight="1" x14ac:dyDescent="0.2">
      <c r="A142" s="55">
        <v>44501</v>
      </c>
      <c r="B142" s="45">
        <v>0</v>
      </c>
      <c r="C142" s="45">
        <v>0</v>
      </c>
      <c r="D142" s="45">
        <v>7262.7497582000015</v>
      </c>
      <c r="E142" s="45">
        <v>10535.548386659055</v>
      </c>
      <c r="F142" s="45">
        <v>26250.819731799998</v>
      </c>
      <c r="G142" s="45">
        <v>19457.513145099394</v>
      </c>
      <c r="H142" s="46">
        <v>0.45062803172639998</v>
      </c>
      <c r="I142" s="46">
        <v>-0.2587845505819103</v>
      </c>
      <c r="J142" s="46">
        <v>-0.10504723942616812</v>
      </c>
    </row>
    <row r="143" spans="1:10" ht="11.25" customHeight="1" x14ac:dyDescent="0.2">
      <c r="A143" s="55">
        <v>44531</v>
      </c>
      <c r="B143" s="45">
        <v>0</v>
      </c>
      <c r="C143" s="45">
        <v>0</v>
      </c>
      <c r="D143" s="45">
        <v>8364.9908348000008</v>
      </c>
      <c r="E143" s="45">
        <v>12134.490190095301</v>
      </c>
      <c r="F143" s="45">
        <v>30234.811025200001</v>
      </c>
      <c r="G143" s="45">
        <v>22410.509042114631</v>
      </c>
      <c r="H143" s="46">
        <v>0.45062803172639998</v>
      </c>
      <c r="I143" s="46">
        <v>-0.2587845505819103</v>
      </c>
      <c r="J143" s="46">
        <v>-0.10504723942616823</v>
      </c>
    </row>
    <row r="144" spans="1:10" ht="11.25" customHeight="1" x14ac:dyDescent="0.2">
      <c r="A144" s="55">
        <v>44562</v>
      </c>
      <c r="B144" s="45">
        <v>0</v>
      </c>
      <c r="C144" s="45">
        <v>0</v>
      </c>
      <c r="D144" s="45">
        <v>7762.5072912000014</v>
      </c>
      <c r="E144" s="45">
        <v>11260.510673095287</v>
      </c>
      <c r="F144" s="45">
        <v>28057.1665488</v>
      </c>
      <c r="G144" s="45">
        <v>20796.405312866988</v>
      </c>
      <c r="H144" s="46">
        <v>0.45062803172639998</v>
      </c>
      <c r="I144" s="46">
        <v>-0.25878455058191019</v>
      </c>
      <c r="J144" s="46">
        <v>-0.105047239426168</v>
      </c>
    </row>
    <row r="145" spans="1:10" ht="11.25" customHeight="1" x14ac:dyDescent="0.2">
      <c r="A145" s="55">
        <v>44593</v>
      </c>
      <c r="B145" s="45">
        <v>0</v>
      </c>
      <c r="C145" s="45">
        <v>0</v>
      </c>
      <c r="D145" s="45">
        <v>7044.4656560000003</v>
      </c>
      <c r="E145" s="45">
        <v>10218.899349127503</v>
      </c>
      <c r="F145" s="45">
        <v>25461.843543999996</v>
      </c>
      <c r="G145" s="45">
        <v>18872.711805479044</v>
      </c>
      <c r="H145" s="46">
        <v>0.45062803172639998</v>
      </c>
      <c r="I145" s="46">
        <v>-0.25878455058191019</v>
      </c>
      <c r="J145" s="46">
        <v>-0.105047239426168</v>
      </c>
    </row>
    <row r="146" spans="1:10" ht="11.25" customHeight="1" x14ac:dyDescent="0.2">
      <c r="A146" s="55">
        <v>44621</v>
      </c>
      <c r="B146" s="45">
        <v>0</v>
      </c>
      <c r="C146" s="45">
        <v>0</v>
      </c>
      <c r="D146" s="45">
        <v>8105.0198100000007</v>
      </c>
      <c r="E146" s="45">
        <v>11757.368934083781</v>
      </c>
      <c r="F146" s="45">
        <v>29295.159689999997</v>
      </c>
      <c r="G146" s="45">
        <v>21714.024955398054</v>
      </c>
      <c r="H146" s="46">
        <v>0.45062803172639998</v>
      </c>
      <c r="I146" s="46">
        <v>-0.2587845505819103</v>
      </c>
      <c r="J146" s="46">
        <v>-0.10504723942616812</v>
      </c>
    </row>
    <row r="147" spans="1:10" ht="11.25" customHeight="1" x14ac:dyDescent="0.2">
      <c r="A147" s="55">
        <v>44652</v>
      </c>
      <c r="B147" s="45">
        <v>0</v>
      </c>
      <c r="C147" s="45">
        <v>0</v>
      </c>
      <c r="D147" s="45">
        <v>7341.2682214000006</v>
      </c>
      <c r="E147" s="45">
        <v>10649.449470385052</v>
      </c>
      <c r="F147" s="45">
        <v>26534.620508599997</v>
      </c>
      <c r="G147" s="45">
        <v>19667.870665420407</v>
      </c>
      <c r="H147" s="46">
        <v>0.45062803172639998</v>
      </c>
      <c r="I147" s="46">
        <v>-0.2587845505819103</v>
      </c>
      <c r="J147" s="46">
        <v>-0.10504723942616812</v>
      </c>
    </row>
    <row r="148" spans="1:10" ht="11.25" customHeight="1" x14ac:dyDescent="0.2">
      <c r="A148" s="55">
        <v>44682</v>
      </c>
      <c r="B148" s="45">
        <v>0</v>
      </c>
      <c r="C148" s="45">
        <v>0</v>
      </c>
      <c r="D148" s="45">
        <v>7695.8498326000008</v>
      </c>
      <c r="E148" s="45">
        <v>11163.815495126484</v>
      </c>
      <c r="F148" s="45">
        <v>27816.236737399999</v>
      </c>
      <c r="G148" s="45">
        <v>20617.824414431918</v>
      </c>
      <c r="H148" s="46">
        <v>0.45062803172639998</v>
      </c>
      <c r="I148" s="46">
        <v>-0.2587845505819103</v>
      </c>
      <c r="J148" s="46">
        <v>-0.10504723942616812</v>
      </c>
    </row>
    <row r="149" spans="1:10" ht="11.25" customHeight="1" x14ac:dyDescent="0.2">
      <c r="A149" s="55">
        <v>44713</v>
      </c>
      <c r="B149" s="45">
        <v>0</v>
      </c>
      <c r="C149" s="45">
        <v>0</v>
      </c>
      <c r="D149" s="45">
        <v>7388.5041520000004</v>
      </c>
      <c r="E149" s="45">
        <v>10717.971235418096</v>
      </c>
      <c r="F149" s="45">
        <v>26705.352247999999</v>
      </c>
      <c r="G149" s="45">
        <v>19794.419668369712</v>
      </c>
      <c r="H149" s="46">
        <v>0.4506280317264002</v>
      </c>
      <c r="I149" s="46">
        <v>-0.2587845505819103</v>
      </c>
      <c r="J149" s="46">
        <v>-0.105047239426168</v>
      </c>
    </row>
    <row r="150" spans="1:10" ht="11.25" customHeight="1" x14ac:dyDescent="0.2">
      <c r="A150" s="55">
        <v>44743</v>
      </c>
      <c r="B150" s="45">
        <v>0</v>
      </c>
      <c r="C150" s="45">
        <v>0</v>
      </c>
      <c r="D150" s="45">
        <v>7388.5041520000004</v>
      </c>
      <c r="E150" s="45">
        <v>10717.971235418096</v>
      </c>
      <c r="F150" s="45">
        <v>26705.352247999999</v>
      </c>
      <c r="G150" s="45">
        <v>19794.419668369712</v>
      </c>
      <c r="H150" s="46">
        <v>0.4506280317264002</v>
      </c>
      <c r="I150" s="46">
        <v>-0.2587845505819103</v>
      </c>
      <c r="J150" s="46">
        <v>-0.105047239426168</v>
      </c>
    </row>
    <row r="151" spans="1:10" ht="11.25" customHeight="1" x14ac:dyDescent="0.2">
      <c r="A151" s="54" t="s">
        <v>25</v>
      </c>
      <c r="B151" s="45">
        <v>43498.4355</v>
      </c>
      <c r="C151" s="45">
        <v>47660.651355042384</v>
      </c>
      <c r="D151" s="45">
        <v>0</v>
      </c>
      <c r="E151" s="45">
        <v>0</v>
      </c>
      <c r="F151" s="45">
        <v>0</v>
      </c>
      <c r="G151" s="45">
        <v>0</v>
      </c>
      <c r="H151" s="46">
        <v>9.5686564521208606E-2</v>
      </c>
      <c r="I151" s="46">
        <v>0</v>
      </c>
      <c r="J151" s="46">
        <v>9.5686564521208606E-2</v>
      </c>
    </row>
    <row r="152" spans="1:10" ht="11.25" customHeight="1" x14ac:dyDescent="0.2">
      <c r="A152" s="55">
        <v>44409</v>
      </c>
      <c r="B152" s="45">
        <v>3565.2060000000006</v>
      </c>
      <c r="C152" s="45">
        <v>3906.3483139504006</v>
      </c>
      <c r="D152" s="45">
        <v>0</v>
      </c>
      <c r="E152" s="45">
        <v>0</v>
      </c>
      <c r="F152" s="45">
        <v>0</v>
      </c>
      <c r="G152" s="45">
        <v>0</v>
      </c>
      <c r="H152" s="46">
        <v>9.5686564521208606E-2</v>
      </c>
      <c r="I152" s="46">
        <v>0</v>
      </c>
      <c r="J152" s="46">
        <v>9.5686564521208606E-2</v>
      </c>
    </row>
    <row r="153" spans="1:10" ht="11.25" customHeight="1" x14ac:dyDescent="0.2">
      <c r="A153" s="55">
        <v>44440</v>
      </c>
      <c r="B153" s="45">
        <v>3565.2060000000006</v>
      </c>
      <c r="C153" s="45">
        <v>3906.3483139504006</v>
      </c>
      <c r="D153" s="45">
        <v>0</v>
      </c>
      <c r="E153" s="45">
        <v>0</v>
      </c>
      <c r="F153" s="45">
        <v>0</v>
      </c>
      <c r="G153" s="45">
        <v>0</v>
      </c>
      <c r="H153" s="46">
        <v>9.5686564521208606E-2</v>
      </c>
      <c r="I153" s="46">
        <v>0</v>
      </c>
      <c r="J153" s="46">
        <v>9.5686564521208606E-2</v>
      </c>
    </row>
    <row r="154" spans="1:10" ht="11.25" customHeight="1" x14ac:dyDescent="0.2">
      <c r="A154" s="55">
        <v>44470</v>
      </c>
      <c r="B154" s="45">
        <v>3579.8175000000001</v>
      </c>
      <c r="C154" s="45">
        <v>3922.3579381879022</v>
      </c>
      <c r="D154" s="45">
        <v>0</v>
      </c>
      <c r="E154" s="45">
        <v>0</v>
      </c>
      <c r="F154" s="45">
        <v>0</v>
      </c>
      <c r="G154" s="45">
        <v>0</v>
      </c>
      <c r="H154" s="46">
        <v>9.5686564521208606E-2</v>
      </c>
      <c r="I154" s="46">
        <v>0</v>
      </c>
      <c r="J154" s="46">
        <v>9.5686564521208606E-2</v>
      </c>
    </row>
    <row r="155" spans="1:10" ht="11.25" customHeight="1" x14ac:dyDescent="0.2">
      <c r="A155" s="55">
        <v>44501</v>
      </c>
      <c r="B155" s="45">
        <v>3579.8175000000001</v>
      </c>
      <c r="C155" s="45">
        <v>3922.3579381879022</v>
      </c>
      <c r="D155" s="45">
        <v>0</v>
      </c>
      <c r="E155" s="45">
        <v>0</v>
      </c>
      <c r="F155" s="45">
        <v>0</v>
      </c>
      <c r="G155" s="45">
        <v>0</v>
      </c>
      <c r="H155" s="46">
        <v>9.5686564521208606E-2</v>
      </c>
      <c r="I155" s="46">
        <v>0</v>
      </c>
      <c r="J155" s="46">
        <v>9.5686564521208606E-2</v>
      </c>
    </row>
    <row r="156" spans="1:10" ht="11.25" customHeight="1" x14ac:dyDescent="0.2">
      <c r="A156" s="55">
        <v>44531</v>
      </c>
      <c r="B156" s="45">
        <v>3711.3210000000004</v>
      </c>
      <c r="C156" s="45">
        <v>4066.4445563254171</v>
      </c>
      <c r="D156" s="45">
        <v>0</v>
      </c>
      <c r="E156" s="45">
        <v>0</v>
      </c>
      <c r="F156" s="45">
        <v>0</v>
      </c>
      <c r="G156" s="45">
        <v>0</v>
      </c>
      <c r="H156" s="46">
        <v>9.5686564521208606E-2</v>
      </c>
      <c r="I156" s="46">
        <v>0</v>
      </c>
      <c r="J156" s="46">
        <v>9.5686564521208606E-2</v>
      </c>
    </row>
    <row r="157" spans="1:10" ht="11.25" customHeight="1" x14ac:dyDescent="0.2">
      <c r="A157" s="55">
        <v>44562</v>
      </c>
      <c r="B157" s="45">
        <v>3872.0475000000001</v>
      </c>
      <c r="C157" s="45">
        <v>4242.5504229379349</v>
      </c>
      <c r="D157" s="45">
        <v>0</v>
      </c>
      <c r="E157" s="45">
        <v>0</v>
      </c>
      <c r="F157" s="45">
        <v>0</v>
      </c>
      <c r="G157" s="45">
        <v>0</v>
      </c>
      <c r="H157" s="46">
        <v>9.5686564521208606E-2</v>
      </c>
      <c r="I157" s="46">
        <v>0</v>
      </c>
      <c r="J157" s="46">
        <v>9.5686564521208606E-2</v>
      </c>
    </row>
    <row r="158" spans="1:10" ht="11.25" customHeight="1" x14ac:dyDescent="0.2">
      <c r="A158" s="55">
        <v>44593</v>
      </c>
      <c r="B158" s="45">
        <v>3740.5440000000003</v>
      </c>
      <c r="C158" s="45">
        <v>4098.4638048004199</v>
      </c>
      <c r="D158" s="45">
        <v>0</v>
      </c>
      <c r="E158" s="45">
        <v>0</v>
      </c>
      <c r="F158" s="45">
        <v>0</v>
      </c>
      <c r="G158" s="45">
        <v>0</v>
      </c>
      <c r="H158" s="46">
        <v>9.5686564521208606E-2</v>
      </c>
      <c r="I158" s="46">
        <v>0</v>
      </c>
      <c r="J158" s="46">
        <v>9.5686564521208606E-2</v>
      </c>
    </row>
    <row r="159" spans="1:10" ht="11.25" customHeight="1" x14ac:dyDescent="0.2">
      <c r="A159" s="55">
        <v>44621</v>
      </c>
      <c r="B159" s="45">
        <v>3594.4290000000001</v>
      </c>
      <c r="C159" s="45">
        <v>3938.3675624254038</v>
      </c>
      <c r="D159" s="45">
        <v>0</v>
      </c>
      <c r="E159" s="45">
        <v>0</v>
      </c>
      <c r="F159" s="45">
        <v>0</v>
      </c>
      <c r="G159" s="45">
        <v>0</v>
      </c>
      <c r="H159" s="46">
        <v>9.5686564521208606E-2</v>
      </c>
      <c r="I159" s="46">
        <v>0</v>
      </c>
      <c r="J159" s="46">
        <v>9.5686564521208606E-2</v>
      </c>
    </row>
    <row r="160" spans="1:10" ht="11.25" customHeight="1" x14ac:dyDescent="0.2">
      <c r="A160" s="55">
        <v>44652</v>
      </c>
      <c r="B160" s="45">
        <v>3609.0405000000001</v>
      </c>
      <c r="C160" s="45">
        <v>3954.3771866629054</v>
      </c>
      <c r="D160" s="45">
        <v>0</v>
      </c>
      <c r="E160" s="45">
        <v>0</v>
      </c>
      <c r="F160" s="45">
        <v>0</v>
      </c>
      <c r="G160" s="45">
        <v>0</v>
      </c>
      <c r="H160" s="46">
        <v>9.5686564521208606E-2</v>
      </c>
      <c r="I160" s="46">
        <v>0</v>
      </c>
      <c r="J160" s="46">
        <v>9.5686564521208606E-2</v>
      </c>
    </row>
    <row r="161" spans="1:10" ht="11.25" customHeight="1" x14ac:dyDescent="0.2">
      <c r="A161" s="55">
        <v>44682</v>
      </c>
      <c r="B161" s="45">
        <v>3550.5945000000002</v>
      </c>
      <c r="C161" s="45">
        <v>3890.3386897128985</v>
      </c>
      <c r="D161" s="45">
        <v>0</v>
      </c>
      <c r="E161" s="45">
        <v>0</v>
      </c>
      <c r="F161" s="45">
        <v>0</v>
      </c>
      <c r="G161" s="45">
        <v>0</v>
      </c>
      <c r="H161" s="46">
        <v>9.5686564521208606E-2</v>
      </c>
      <c r="I161" s="46">
        <v>0</v>
      </c>
      <c r="J161" s="46">
        <v>9.5686564521208606E-2</v>
      </c>
    </row>
    <row r="162" spans="1:10" ht="11.25" customHeight="1" x14ac:dyDescent="0.2">
      <c r="A162" s="55">
        <v>44713</v>
      </c>
      <c r="B162" s="45">
        <v>3565.2060000000006</v>
      </c>
      <c r="C162" s="45">
        <v>3906.3483139504006</v>
      </c>
      <c r="D162" s="45">
        <v>0</v>
      </c>
      <c r="E162" s="45">
        <v>0</v>
      </c>
      <c r="F162" s="45">
        <v>0</v>
      </c>
      <c r="G162" s="45">
        <v>0</v>
      </c>
      <c r="H162" s="46">
        <v>9.5686564521208606E-2</v>
      </c>
      <c r="I162" s="46">
        <v>0</v>
      </c>
      <c r="J162" s="46">
        <v>9.5686564521208606E-2</v>
      </c>
    </row>
    <row r="163" spans="1:10" ht="11.25" customHeight="1" x14ac:dyDescent="0.2">
      <c r="A163" s="55">
        <v>44743</v>
      </c>
      <c r="B163" s="45">
        <v>3565.2060000000006</v>
      </c>
      <c r="C163" s="45">
        <v>3906.3483139504006</v>
      </c>
      <c r="D163" s="45">
        <v>0</v>
      </c>
      <c r="E163" s="45">
        <v>0</v>
      </c>
      <c r="F163" s="45">
        <v>0</v>
      </c>
      <c r="G163" s="45">
        <v>0</v>
      </c>
      <c r="H163" s="46">
        <v>9.5686564521208606E-2</v>
      </c>
      <c r="I163" s="46">
        <v>0</v>
      </c>
      <c r="J163" s="46">
        <v>9.5686564521208606E-2</v>
      </c>
    </row>
    <row r="164" spans="1:10" ht="11.25" customHeight="1" x14ac:dyDescent="0.2">
      <c r="A164" s="54" t="s">
        <v>33</v>
      </c>
      <c r="B164" s="45">
        <v>0</v>
      </c>
      <c r="C164" s="45">
        <v>0</v>
      </c>
      <c r="D164" s="45">
        <v>19097.356121999997</v>
      </c>
      <c r="E164" s="45">
        <v>21204.259583311999</v>
      </c>
      <c r="F164" s="45">
        <v>6409.9973340000006</v>
      </c>
      <c r="G164" s="45">
        <v>4671.4332089798891</v>
      </c>
      <c r="H164" s="46">
        <v>0.11032435316451306</v>
      </c>
      <c r="I164" s="46">
        <v>-0.27122696538396274</v>
      </c>
      <c r="J164" s="46">
        <v>1.444051563119908E-2</v>
      </c>
    </row>
    <row r="165" spans="1:10" ht="11.25" customHeight="1" x14ac:dyDescent="0.2">
      <c r="A165" s="55">
        <v>44409</v>
      </c>
      <c r="B165" s="45">
        <v>0</v>
      </c>
      <c r="C165" s="45">
        <v>0</v>
      </c>
      <c r="D165" s="45">
        <v>504.29298599999993</v>
      </c>
      <c r="E165" s="45">
        <v>559.92878348585066</v>
      </c>
      <c r="F165" s="45">
        <v>169.26514199999997</v>
      </c>
      <c r="G165" s="45">
        <v>123.35587119005447</v>
      </c>
      <c r="H165" s="46">
        <v>0.11032435316451283</v>
      </c>
      <c r="I165" s="46">
        <v>-0.27122696538396251</v>
      </c>
      <c r="J165" s="46">
        <v>1.444051563119908E-2</v>
      </c>
    </row>
    <row r="166" spans="1:10" ht="11.25" customHeight="1" x14ac:dyDescent="0.2">
      <c r="A166" s="55">
        <v>44440</v>
      </c>
      <c r="B166" s="45">
        <v>0</v>
      </c>
      <c r="C166" s="45">
        <v>0</v>
      </c>
      <c r="D166" s="45">
        <v>2050.0606169999996</v>
      </c>
      <c r="E166" s="45">
        <v>2276.2322285185669</v>
      </c>
      <c r="F166" s="45">
        <v>688.09959900000001</v>
      </c>
      <c r="G166" s="45">
        <v>501.46843288130844</v>
      </c>
      <c r="H166" s="46">
        <v>0.11032435316451283</v>
      </c>
      <c r="I166" s="46">
        <v>-0.27122696538396263</v>
      </c>
      <c r="J166" s="46">
        <v>1.4440515631199302E-2</v>
      </c>
    </row>
    <row r="167" spans="1:10" ht="11.25" customHeight="1" x14ac:dyDescent="0.2">
      <c r="A167" s="55">
        <v>44470</v>
      </c>
      <c r="B167" s="45">
        <v>0</v>
      </c>
      <c r="C167" s="45">
        <v>0</v>
      </c>
      <c r="D167" s="45">
        <v>1699.2481049999997</v>
      </c>
      <c r="E167" s="45">
        <v>1886.7165530501491</v>
      </c>
      <c r="F167" s="45">
        <v>570.34993499999996</v>
      </c>
      <c r="G167" s="45">
        <v>415.65565292300965</v>
      </c>
      <c r="H167" s="46">
        <v>0.11032435316451306</v>
      </c>
      <c r="I167" s="46">
        <v>-0.27122696538396263</v>
      </c>
      <c r="J167" s="46">
        <v>1.444051563119908E-2</v>
      </c>
    </row>
    <row r="168" spans="1:10" ht="11.25" customHeight="1" x14ac:dyDescent="0.2">
      <c r="A168" s="55">
        <v>44501</v>
      </c>
      <c r="B168" s="45">
        <v>0</v>
      </c>
      <c r="C168" s="45">
        <v>0</v>
      </c>
      <c r="D168" s="45">
        <v>1713.8652930000001</v>
      </c>
      <c r="E168" s="45">
        <v>1902.9463728613332</v>
      </c>
      <c r="F168" s="45">
        <v>575.25617099999999</v>
      </c>
      <c r="G168" s="45">
        <v>419.23118542127213</v>
      </c>
      <c r="H168" s="46">
        <v>0.11032435316451283</v>
      </c>
      <c r="I168" s="46">
        <v>-0.27122696538396263</v>
      </c>
      <c r="J168" s="46">
        <v>1.444051563119908E-2</v>
      </c>
    </row>
    <row r="169" spans="1:10" ht="11.25" customHeight="1" x14ac:dyDescent="0.2">
      <c r="A169" s="55">
        <v>44531</v>
      </c>
      <c r="B169" s="45">
        <v>0</v>
      </c>
      <c r="C169" s="45">
        <v>0</v>
      </c>
      <c r="D169" s="45">
        <v>2134.1094479999997</v>
      </c>
      <c r="E169" s="45">
        <v>2369.5536924328753</v>
      </c>
      <c r="F169" s="45">
        <v>716.31045599999993</v>
      </c>
      <c r="G169" s="45">
        <v>522.02774474631747</v>
      </c>
      <c r="H169" s="46">
        <v>0.11032435316451283</v>
      </c>
      <c r="I169" s="46">
        <v>-0.27122696538396263</v>
      </c>
      <c r="J169" s="46">
        <v>1.4440515631199302E-2</v>
      </c>
    </row>
    <row r="170" spans="1:10" ht="11.25" customHeight="1" x14ac:dyDescent="0.2">
      <c r="A170" s="55">
        <v>44562</v>
      </c>
      <c r="B170" s="45">
        <v>0</v>
      </c>
      <c r="C170" s="45">
        <v>0</v>
      </c>
      <c r="D170" s="45">
        <v>504.29298599999998</v>
      </c>
      <c r="E170" s="45">
        <v>559.92878348585066</v>
      </c>
      <c r="F170" s="45">
        <v>169.265142</v>
      </c>
      <c r="G170" s="45">
        <v>123.35587119005449</v>
      </c>
      <c r="H170" s="46">
        <v>0.11032435316451283</v>
      </c>
      <c r="I170" s="46">
        <v>-0.27122696538396263</v>
      </c>
      <c r="J170" s="46">
        <v>1.444051563119908E-2</v>
      </c>
    </row>
    <row r="171" spans="1:10" ht="11.25" customHeight="1" x14ac:dyDescent="0.2">
      <c r="A171" s="55">
        <v>44593</v>
      </c>
      <c r="B171" s="45">
        <v>0</v>
      </c>
      <c r="C171" s="45">
        <v>0</v>
      </c>
      <c r="D171" s="45">
        <v>526.21876799999995</v>
      </c>
      <c r="E171" s="45">
        <v>584.27351320262676</v>
      </c>
      <c r="F171" s="45">
        <v>176.62449599999999</v>
      </c>
      <c r="G171" s="45">
        <v>128.71916993744816</v>
      </c>
      <c r="H171" s="46">
        <v>0.11032435316451283</v>
      </c>
      <c r="I171" s="46">
        <v>-0.27122696538396263</v>
      </c>
      <c r="J171" s="46">
        <v>1.4440515631198858E-2</v>
      </c>
    </row>
    <row r="172" spans="1:10" ht="11.25" customHeight="1" x14ac:dyDescent="0.2">
      <c r="A172" s="55">
        <v>44621</v>
      </c>
      <c r="B172" s="45">
        <v>0</v>
      </c>
      <c r="C172" s="45">
        <v>0</v>
      </c>
      <c r="D172" s="45">
        <v>2033.0072309999998</v>
      </c>
      <c r="E172" s="45">
        <v>2257.2974387388522</v>
      </c>
      <c r="F172" s="45">
        <v>682.37565699999993</v>
      </c>
      <c r="G172" s="45">
        <v>497.29697830000225</v>
      </c>
      <c r="H172" s="46">
        <v>0.11032435316451283</v>
      </c>
      <c r="I172" s="46">
        <v>-0.27122696538396251</v>
      </c>
      <c r="J172" s="46">
        <v>1.444051563119908E-2</v>
      </c>
    </row>
    <row r="173" spans="1:10" ht="11.25" customHeight="1" x14ac:dyDescent="0.2">
      <c r="A173" s="55">
        <v>44652</v>
      </c>
      <c r="B173" s="45">
        <v>0</v>
      </c>
      <c r="C173" s="45">
        <v>0</v>
      </c>
      <c r="D173" s="45">
        <v>1963.5755879999997</v>
      </c>
      <c r="E173" s="45">
        <v>2180.2057946357277</v>
      </c>
      <c r="F173" s="45">
        <v>659.07103599999994</v>
      </c>
      <c r="G173" s="45">
        <v>480.31319893325559</v>
      </c>
      <c r="H173" s="46">
        <v>0.11032435316451283</v>
      </c>
      <c r="I173" s="46">
        <v>-0.27122696538396263</v>
      </c>
      <c r="J173" s="46">
        <v>1.444051563119908E-2</v>
      </c>
    </row>
    <row r="174" spans="1:10" ht="11.25" customHeight="1" x14ac:dyDescent="0.2">
      <c r="A174" s="55">
        <v>44682</v>
      </c>
      <c r="B174" s="45">
        <v>0</v>
      </c>
      <c r="C174" s="45">
        <v>0</v>
      </c>
      <c r="D174" s="45">
        <v>1459.282602</v>
      </c>
      <c r="E174" s="45">
        <v>1620.2770111498771</v>
      </c>
      <c r="F174" s="45">
        <v>489.80589399999997</v>
      </c>
      <c r="G174" s="45">
        <v>356.95732774320112</v>
      </c>
      <c r="H174" s="46">
        <v>0.11032435316451283</v>
      </c>
      <c r="I174" s="46">
        <v>-0.27122696538396263</v>
      </c>
      <c r="J174" s="46">
        <v>1.444051563119908E-2</v>
      </c>
    </row>
    <row r="175" spans="1:10" ht="11.25" customHeight="1" x14ac:dyDescent="0.2">
      <c r="A175" s="55">
        <v>44713</v>
      </c>
      <c r="B175" s="45">
        <v>0</v>
      </c>
      <c r="C175" s="45">
        <v>0</v>
      </c>
      <c r="D175" s="45">
        <v>2254.7012489999997</v>
      </c>
      <c r="E175" s="45">
        <v>2503.449705875144</v>
      </c>
      <c r="F175" s="45">
        <v>756.78690300000005</v>
      </c>
      <c r="G175" s="45">
        <v>551.52588785698276</v>
      </c>
      <c r="H175" s="46">
        <v>0.11032435316451283</v>
      </c>
      <c r="I175" s="46">
        <v>-0.27122696538396263</v>
      </c>
      <c r="J175" s="46">
        <v>1.444051563119908E-2</v>
      </c>
    </row>
    <row r="176" spans="1:10" ht="11.25" customHeight="1" x14ac:dyDescent="0.2">
      <c r="A176" s="55">
        <v>44743</v>
      </c>
      <c r="B176" s="45">
        <v>0</v>
      </c>
      <c r="C176" s="45">
        <v>0</v>
      </c>
      <c r="D176" s="45">
        <v>2254.7012489999997</v>
      </c>
      <c r="E176" s="45">
        <v>2503.449705875144</v>
      </c>
      <c r="F176" s="45">
        <v>756.78690300000005</v>
      </c>
      <c r="G176" s="45">
        <v>551.52588785698276</v>
      </c>
      <c r="H176" s="46">
        <v>0.11032435316451283</v>
      </c>
      <c r="I176" s="46">
        <v>-0.27122696538396263</v>
      </c>
      <c r="J176" s="46">
        <v>1.444051563119908E-2</v>
      </c>
    </row>
    <row r="177" spans="1:10" ht="11.25" customHeight="1" x14ac:dyDescent="0.2">
      <c r="A177" s="48" t="s">
        <v>22</v>
      </c>
      <c r="B177" s="45">
        <v>0</v>
      </c>
      <c r="C177" s="45">
        <v>0</v>
      </c>
      <c r="D177" s="45">
        <v>4463087.4531400008</v>
      </c>
      <c r="E177" s="45">
        <v>5148248.5734992428</v>
      </c>
      <c r="F177" s="45">
        <v>3100025.6439200006</v>
      </c>
      <c r="G177" s="45">
        <v>2292805.4864499168</v>
      </c>
      <c r="H177" s="46">
        <v>0.15351729661429725</v>
      </c>
      <c r="I177" s="46">
        <v>-0.26039144516538548</v>
      </c>
      <c r="J177" s="46">
        <v>-1.6138729587197309E-2</v>
      </c>
    </row>
    <row r="178" spans="1:10" ht="11.25" customHeight="1" x14ac:dyDescent="0.2">
      <c r="A178" s="49" t="s">
        <v>32</v>
      </c>
      <c r="B178" s="45">
        <v>0</v>
      </c>
      <c r="C178" s="45">
        <v>0</v>
      </c>
      <c r="D178" s="45">
        <v>916.82951999999977</v>
      </c>
      <c r="E178" s="45">
        <v>1074.1058785757753</v>
      </c>
      <c r="F178" s="45">
        <v>763.12014000000033</v>
      </c>
      <c r="G178" s="45">
        <v>564.71642671600944</v>
      </c>
      <c r="H178" s="46">
        <v>0.17154373320764749</v>
      </c>
      <c r="I178" s="46">
        <v>-0.25999014163613976</v>
      </c>
      <c r="J178" s="46">
        <v>-2.4481301843422787E-2</v>
      </c>
    </row>
    <row r="179" spans="1:10" ht="11.25" customHeight="1" x14ac:dyDescent="0.2">
      <c r="A179" s="50" t="s">
        <v>24</v>
      </c>
      <c r="B179" s="45">
        <v>0</v>
      </c>
      <c r="C179" s="45">
        <v>0</v>
      </c>
      <c r="D179" s="45">
        <v>916.82951999999977</v>
      </c>
      <c r="E179" s="45">
        <v>1074.1058785757753</v>
      </c>
      <c r="F179" s="45">
        <v>763.12014000000033</v>
      </c>
      <c r="G179" s="45">
        <v>564.71642671600944</v>
      </c>
      <c r="H179" s="46">
        <v>0.17154373320764749</v>
      </c>
      <c r="I179" s="46">
        <v>-0.25999014163613976</v>
      </c>
      <c r="J179" s="46">
        <v>-2.4481301843422787E-2</v>
      </c>
    </row>
    <row r="180" spans="1:10" ht="11.25" customHeight="1" x14ac:dyDescent="0.2">
      <c r="A180" s="51" t="s">
        <v>24</v>
      </c>
      <c r="B180" s="45">
        <v>0</v>
      </c>
      <c r="C180" s="45">
        <v>0</v>
      </c>
      <c r="D180" s="45">
        <v>916.82951999999977</v>
      </c>
      <c r="E180" s="45">
        <v>1074.1058785757753</v>
      </c>
      <c r="F180" s="45">
        <v>763.12014000000033</v>
      </c>
      <c r="G180" s="45">
        <v>564.71642671600944</v>
      </c>
      <c r="H180" s="46">
        <v>0.17154373320764749</v>
      </c>
      <c r="I180" s="46">
        <v>-0.25999014163613976</v>
      </c>
      <c r="J180" s="46">
        <v>-2.4481301843422787E-2</v>
      </c>
    </row>
    <row r="181" spans="1:10" ht="11.25" customHeight="1" x14ac:dyDescent="0.2">
      <c r="A181" s="52" t="s">
        <v>25</v>
      </c>
      <c r="B181" s="45">
        <v>0</v>
      </c>
      <c r="C181" s="45">
        <v>0</v>
      </c>
      <c r="D181" s="45">
        <v>916.82951999999977</v>
      </c>
      <c r="E181" s="45">
        <v>1074.1058785757753</v>
      </c>
      <c r="F181" s="45">
        <v>763.12014000000033</v>
      </c>
      <c r="G181" s="45">
        <v>564.71642671600944</v>
      </c>
      <c r="H181" s="46">
        <v>0.17154373320764749</v>
      </c>
      <c r="I181" s="46">
        <v>-0.25999014163613976</v>
      </c>
      <c r="J181" s="46">
        <v>-2.4481301843422787E-2</v>
      </c>
    </row>
    <row r="182" spans="1:10" ht="11.25" customHeight="1" x14ac:dyDescent="0.2">
      <c r="A182" s="53" t="s">
        <v>25</v>
      </c>
      <c r="B182" s="45">
        <v>0</v>
      </c>
      <c r="C182" s="45">
        <v>0</v>
      </c>
      <c r="D182" s="45">
        <v>916.82951999999977</v>
      </c>
      <c r="E182" s="45">
        <v>1074.1058785757753</v>
      </c>
      <c r="F182" s="45">
        <v>763.12014000000033</v>
      </c>
      <c r="G182" s="45">
        <v>564.71642671600944</v>
      </c>
      <c r="H182" s="46">
        <v>0.17154373320764749</v>
      </c>
      <c r="I182" s="46">
        <v>-0.25999014163613976</v>
      </c>
      <c r="J182" s="46">
        <v>-2.4481301843422787E-2</v>
      </c>
    </row>
    <row r="183" spans="1:10" ht="11.25" customHeight="1" x14ac:dyDescent="0.2">
      <c r="A183" s="54" t="s">
        <v>34</v>
      </c>
      <c r="B183" s="45">
        <v>0</v>
      </c>
      <c r="C183" s="45">
        <v>0</v>
      </c>
      <c r="D183" s="45">
        <v>676.51871999999992</v>
      </c>
      <c r="E183" s="45">
        <v>803.90697701915974</v>
      </c>
      <c r="F183" s="45">
        <v>654.50634000000002</v>
      </c>
      <c r="G183" s="45">
        <v>485.13021095008901</v>
      </c>
      <c r="H183" s="46">
        <v>0.18829967782585499</v>
      </c>
      <c r="I183" s="46">
        <v>-0.2587845505819103</v>
      </c>
      <c r="J183" s="46">
        <v>-3.1545515777705257E-2</v>
      </c>
    </row>
    <row r="184" spans="1:10" ht="11.25" customHeight="1" x14ac:dyDescent="0.2">
      <c r="A184" s="55">
        <v>44409</v>
      </c>
      <c r="B184" s="45">
        <v>0</v>
      </c>
      <c r="C184" s="45">
        <v>0</v>
      </c>
      <c r="D184" s="45">
        <v>57.61712</v>
      </c>
      <c r="E184" s="45">
        <v>68.466405133253602</v>
      </c>
      <c r="F184" s="45">
        <v>55.742389999999993</v>
      </c>
      <c r="G184" s="45">
        <v>41.317120655488431</v>
      </c>
      <c r="H184" s="46">
        <v>0.18829967782585455</v>
      </c>
      <c r="I184" s="46">
        <v>-0.25878455058191019</v>
      </c>
      <c r="J184" s="46">
        <v>-3.1545515777705591E-2</v>
      </c>
    </row>
    <row r="185" spans="1:10" ht="11.25" customHeight="1" x14ac:dyDescent="0.2">
      <c r="A185" s="55">
        <v>44440</v>
      </c>
      <c r="B185" s="45">
        <v>0</v>
      </c>
      <c r="C185" s="45">
        <v>0</v>
      </c>
      <c r="D185" s="45">
        <v>44.660160000000005</v>
      </c>
      <c r="E185" s="45">
        <v>53.069653739651123</v>
      </c>
      <c r="F185" s="45">
        <v>43.20702</v>
      </c>
      <c r="G185" s="45">
        <v>32.025710747316388</v>
      </c>
      <c r="H185" s="46">
        <v>0.18829967782585455</v>
      </c>
      <c r="I185" s="46">
        <v>-0.2587845505819103</v>
      </c>
      <c r="J185" s="46">
        <v>-3.1545515777705591E-2</v>
      </c>
    </row>
    <row r="186" spans="1:10" ht="11.25" customHeight="1" x14ac:dyDescent="0.2">
      <c r="A186" s="55">
        <v>44470</v>
      </c>
      <c r="B186" s="45">
        <v>0</v>
      </c>
      <c r="C186" s="45">
        <v>0</v>
      </c>
      <c r="D186" s="45">
        <v>55.687360000000005</v>
      </c>
      <c r="E186" s="45">
        <v>66.173271946972392</v>
      </c>
      <c r="F186" s="45">
        <v>53.875419999999998</v>
      </c>
      <c r="G186" s="45">
        <v>39.933293647888341</v>
      </c>
      <c r="H186" s="46">
        <v>0.18829967782585455</v>
      </c>
      <c r="I186" s="46">
        <v>-0.25878455058191019</v>
      </c>
      <c r="J186" s="46">
        <v>-3.1545515777705369E-2</v>
      </c>
    </row>
    <row r="187" spans="1:10" ht="11.25" customHeight="1" x14ac:dyDescent="0.2">
      <c r="A187" s="55">
        <v>44501</v>
      </c>
      <c r="B187" s="45">
        <v>0</v>
      </c>
      <c r="C187" s="45">
        <v>0</v>
      </c>
      <c r="D187" s="45">
        <v>50.173760000000001</v>
      </c>
      <c r="E187" s="45">
        <v>59.621462843311754</v>
      </c>
      <c r="F187" s="45">
        <v>48.541219999999996</v>
      </c>
      <c r="G187" s="45">
        <v>35.979502197602365</v>
      </c>
      <c r="H187" s="46">
        <v>0.18829967782585455</v>
      </c>
      <c r="I187" s="46">
        <v>-0.25878455058191019</v>
      </c>
      <c r="J187" s="46">
        <v>-3.154551577770548E-2</v>
      </c>
    </row>
    <row r="188" spans="1:10" ht="11.25" customHeight="1" x14ac:dyDescent="0.2">
      <c r="A188" s="55">
        <v>44531</v>
      </c>
      <c r="B188" s="45">
        <v>0</v>
      </c>
      <c r="C188" s="45">
        <v>0</v>
      </c>
      <c r="D188" s="45">
        <v>78.84447999999999</v>
      </c>
      <c r="E188" s="45">
        <v>93.690870182347041</v>
      </c>
      <c r="F188" s="45">
        <v>76.279059999999987</v>
      </c>
      <c r="G188" s="45">
        <v>56.539217739089423</v>
      </c>
      <c r="H188" s="46">
        <v>0.18829967782585477</v>
      </c>
      <c r="I188" s="46">
        <v>-0.2587845505819103</v>
      </c>
      <c r="J188" s="46">
        <v>-3.1545515777705591E-2</v>
      </c>
    </row>
    <row r="189" spans="1:10" ht="11.25" customHeight="1" x14ac:dyDescent="0.2">
      <c r="A189" s="55">
        <v>44562</v>
      </c>
      <c r="B189" s="45">
        <v>0</v>
      </c>
      <c r="C189" s="45">
        <v>0</v>
      </c>
      <c r="D189" s="45">
        <v>129.84528</v>
      </c>
      <c r="E189" s="45">
        <v>154.29510439120787</v>
      </c>
      <c r="F189" s="45">
        <v>125.62040999999998</v>
      </c>
      <c r="G189" s="45">
        <v>93.111788654234687</v>
      </c>
      <c r="H189" s="46">
        <v>0.18829967782585455</v>
      </c>
      <c r="I189" s="46">
        <v>-0.25878455058191019</v>
      </c>
      <c r="J189" s="46">
        <v>-3.1545515777705591E-2</v>
      </c>
    </row>
    <row r="190" spans="1:10" ht="11.25" customHeight="1" x14ac:dyDescent="0.2">
      <c r="A190" s="55">
        <v>44593</v>
      </c>
      <c r="B190" s="45">
        <v>0</v>
      </c>
      <c r="C190" s="45">
        <v>0</v>
      </c>
      <c r="D190" s="45">
        <v>57.341439999999999</v>
      </c>
      <c r="E190" s="45">
        <v>68.138814678070574</v>
      </c>
      <c r="F190" s="45">
        <v>55.47567999999999</v>
      </c>
      <c r="G190" s="45">
        <v>41.119431082974131</v>
      </c>
      <c r="H190" s="46">
        <v>0.18829967782585477</v>
      </c>
      <c r="I190" s="46">
        <v>-0.25878455058191019</v>
      </c>
      <c r="J190" s="46">
        <v>-3.1545515777705369E-2</v>
      </c>
    </row>
    <row r="191" spans="1:10" ht="11.25" customHeight="1" x14ac:dyDescent="0.2">
      <c r="A191" s="55">
        <v>44621</v>
      </c>
      <c r="B191" s="45">
        <v>0</v>
      </c>
      <c r="C191" s="45">
        <v>0</v>
      </c>
      <c r="D191" s="45">
        <v>99.520479999999992</v>
      </c>
      <c r="E191" s="45">
        <v>118.26015432107441</v>
      </c>
      <c r="F191" s="45">
        <v>96.282309999999995</v>
      </c>
      <c r="G191" s="45">
        <v>71.365935677661824</v>
      </c>
      <c r="H191" s="46">
        <v>0.18829967782585477</v>
      </c>
      <c r="I191" s="46">
        <v>-0.2587845505819103</v>
      </c>
      <c r="J191" s="46">
        <v>-3.154551577770548E-2</v>
      </c>
    </row>
    <row r="192" spans="1:10" ht="11.25" customHeight="1" x14ac:dyDescent="0.2">
      <c r="A192" s="55">
        <v>44652</v>
      </c>
      <c r="B192" s="45">
        <v>0</v>
      </c>
      <c r="C192" s="45">
        <v>0</v>
      </c>
      <c r="D192" s="45">
        <v>33.081600000000002</v>
      </c>
      <c r="E192" s="45">
        <v>39.310854621963792</v>
      </c>
      <c r="F192" s="45">
        <v>32.005199999999995</v>
      </c>
      <c r="G192" s="45">
        <v>23.722748701715844</v>
      </c>
      <c r="H192" s="46">
        <v>0.18829967782585455</v>
      </c>
      <c r="I192" s="46">
        <v>-0.25878455058191019</v>
      </c>
      <c r="J192" s="46">
        <v>-3.154551577770548E-2</v>
      </c>
    </row>
    <row r="193" spans="1:10" ht="11.25" customHeight="1" x14ac:dyDescent="0.2">
      <c r="A193" s="55">
        <v>44682</v>
      </c>
      <c r="B193" s="45">
        <v>0</v>
      </c>
      <c r="C193" s="45">
        <v>0</v>
      </c>
      <c r="D193" s="45">
        <v>20.124639999999999</v>
      </c>
      <c r="E193" s="45">
        <v>23.914103228361306</v>
      </c>
      <c r="F193" s="45">
        <v>19.469829999999998</v>
      </c>
      <c r="G193" s="45">
        <v>14.431338793543805</v>
      </c>
      <c r="H193" s="46">
        <v>0.18829967782585455</v>
      </c>
      <c r="I193" s="46">
        <v>-0.2587845505819103</v>
      </c>
      <c r="J193" s="46">
        <v>-3.154551577770548E-2</v>
      </c>
    </row>
    <row r="194" spans="1:10" ht="11.25" customHeight="1" x14ac:dyDescent="0.2">
      <c r="A194" s="55">
        <v>44713</v>
      </c>
      <c r="B194" s="45">
        <v>0</v>
      </c>
      <c r="C194" s="45">
        <v>0</v>
      </c>
      <c r="D194" s="45">
        <v>24.811199999999999</v>
      </c>
      <c r="E194" s="45">
        <v>29.483140966472845</v>
      </c>
      <c r="F194" s="45">
        <v>24.003899999999998</v>
      </c>
      <c r="G194" s="45">
        <v>17.792061526286883</v>
      </c>
      <c r="H194" s="46">
        <v>0.18829967782585477</v>
      </c>
      <c r="I194" s="46">
        <v>-0.2587845505819103</v>
      </c>
      <c r="J194" s="46">
        <v>-3.154551577770548E-2</v>
      </c>
    </row>
    <row r="195" spans="1:10" ht="11.25" customHeight="1" x14ac:dyDescent="0.2">
      <c r="A195" s="55">
        <v>44743</v>
      </c>
      <c r="B195" s="45">
        <v>0</v>
      </c>
      <c r="C195" s="45">
        <v>0</v>
      </c>
      <c r="D195" s="45">
        <v>24.811199999999999</v>
      </c>
      <c r="E195" s="45">
        <v>29.483140966472845</v>
      </c>
      <c r="F195" s="45">
        <v>24.003899999999998</v>
      </c>
      <c r="G195" s="45">
        <v>17.792061526286883</v>
      </c>
      <c r="H195" s="46">
        <v>0.18829967782585477</v>
      </c>
      <c r="I195" s="46">
        <v>-0.2587845505819103</v>
      </c>
      <c r="J195" s="46">
        <v>-3.154551577770548E-2</v>
      </c>
    </row>
    <row r="196" spans="1:10" ht="11.25" customHeight="1" x14ac:dyDescent="0.2">
      <c r="A196" s="54" t="s">
        <v>35</v>
      </c>
      <c r="B196" s="45">
        <v>0</v>
      </c>
      <c r="C196" s="45">
        <v>0</v>
      </c>
      <c r="D196" s="45">
        <v>79.431299999999993</v>
      </c>
      <c r="E196" s="45">
        <v>90.139581914384863</v>
      </c>
      <c r="F196" s="45">
        <v>34.672299999999993</v>
      </c>
      <c r="G196" s="45">
        <v>25.699644426858828</v>
      </c>
      <c r="H196" s="46">
        <v>0.13481186779499854</v>
      </c>
      <c r="I196" s="46">
        <v>-0.25878455058191019</v>
      </c>
      <c r="J196" s="46">
        <v>1.5210969165247112E-2</v>
      </c>
    </row>
    <row r="197" spans="1:10" ht="11.25" customHeight="1" x14ac:dyDescent="0.2">
      <c r="A197" s="55">
        <v>44409</v>
      </c>
      <c r="B197" s="45">
        <v>0</v>
      </c>
      <c r="C197" s="45">
        <v>0</v>
      </c>
      <c r="D197" s="45">
        <v>6.7211099999999995</v>
      </c>
      <c r="E197" s="45">
        <v>7.6271953927556408</v>
      </c>
      <c r="F197" s="45">
        <v>2.9338099999999998</v>
      </c>
      <c r="G197" s="45">
        <v>2.1745852976572855</v>
      </c>
      <c r="H197" s="46">
        <v>0.13481186779499832</v>
      </c>
      <c r="I197" s="46">
        <v>-0.2587845505819103</v>
      </c>
      <c r="J197" s="46">
        <v>1.5210969165247112E-2</v>
      </c>
    </row>
    <row r="198" spans="1:10" ht="11.25" customHeight="1" x14ac:dyDescent="0.2">
      <c r="A198" s="55">
        <v>44440</v>
      </c>
      <c r="B198" s="45">
        <v>0</v>
      </c>
      <c r="C198" s="45">
        <v>0</v>
      </c>
      <c r="D198" s="45">
        <v>5.4990899999999998</v>
      </c>
      <c r="E198" s="45">
        <v>6.2404325940727965</v>
      </c>
      <c r="F198" s="45">
        <v>2.4003899999999998</v>
      </c>
      <c r="G198" s="45">
        <v>1.7792061526286882</v>
      </c>
      <c r="H198" s="46">
        <v>0.13481186779499832</v>
      </c>
      <c r="I198" s="46">
        <v>-0.2587845505819103</v>
      </c>
      <c r="J198" s="46">
        <v>1.5210969165247112E-2</v>
      </c>
    </row>
    <row r="199" spans="1:10" ht="11.25" customHeight="1" x14ac:dyDescent="0.2">
      <c r="A199" s="55">
        <v>44470</v>
      </c>
      <c r="B199" s="45">
        <v>0</v>
      </c>
      <c r="C199" s="45">
        <v>0</v>
      </c>
      <c r="D199" s="45">
        <v>9.7761600000000008</v>
      </c>
      <c r="E199" s="45">
        <v>11.094102389462751</v>
      </c>
      <c r="F199" s="45">
        <v>4.26736</v>
      </c>
      <c r="G199" s="45">
        <v>3.1630331602287791</v>
      </c>
      <c r="H199" s="46">
        <v>0.13481186779499832</v>
      </c>
      <c r="I199" s="46">
        <v>-0.2587845505819103</v>
      </c>
      <c r="J199" s="46">
        <v>1.521096916524689E-2</v>
      </c>
    </row>
    <row r="200" spans="1:10" ht="11.25" customHeight="1" x14ac:dyDescent="0.2">
      <c r="A200" s="55">
        <v>44501</v>
      </c>
      <c r="B200" s="45">
        <v>0</v>
      </c>
      <c r="C200" s="45">
        <v>0</v>
      </c>
      <c r="D200" s="45">
        <v>5.4990899999999998</v>
      </c>
      <c r="E200" s="45">
        <v>6.2404325940727965</v>
      </c>
      <c r="F200" s="45">
        <v>2.4003899999999998</v>
      </c>
      <c r="G200" s="45">
        <v>1.7792061526286882</v>
      </c>
      <c r="H200" s="46">
        <v>0.13481186779499832</v>
      </c>
      <c r="I200" s="46">
        <v>-0.2587845505819103</v>
      </c>
      <c r="J200" s="46">
        <v>1.5210969165247112E-2</v>
      </c>
    </row>
    <row r="201" spans="1:10" ht="11.25" customHeight="1" x14ac:dyDescent="0.2">
      <c r="A201" s="55">
        <v>44531</v>
      </c>
      <c r="B201" s="45">
        <v>0</v>
      </c>
      <c r="C201" s="45">
        <v>0</v>
      </c>
      <c r="D201" s="45">
        <v>9.7761600000000008</v>
      </c>
      <c r="E201" s="45">
        <v>11.094102389462751</v>
      </c>
      <c r="F201" s="45">
        <v>4.26736</v>
      </c>
      <c r="G201" s="45">
        <v>3.1630331602287791</v>
      </c>
      <c r="H201" s="46">
        <v>0.13481186779499832</v>
      </c>
      <c r="I201" s="46">
        <v>-0.2587845505819103</v>
      </c>
      <c r="J201" s="46">
        <v>1.521096916524689E-2</v>
      </c>
    </row>
    <row r="202" spans="1:10" ht="11.25" customHeight="1" x14ac:dyDescent="0.2">
      <c r="A202" s="55">
        <v>44562</v>
      </c>
      <c r="B202" s="45">
        <v>0</v>
      </c>
      <c r="C202" s="45">
        <v>0</v>
      </c>
      <c r="D202" s="45">
        <v>12.2202</v>
      </c>
      <c r="E202" s="45">
        <v>13.867627986828438</v>
      </c>
      <c r="F202" s="45">
        <v>5.3342000000000001</v>
      </c>
      <c r="G202" s="45">
        <v>3.9537914502859741</v>
      </c>
      <c r="H202" s="46">
        <v>0.13481186779499832</v>
      </c>
      <c r="I202" s="46">
        <v>-0.2587845505819103</v>
      </c>
      <c r="J202" s="46">
        <v>1.521096916524689E-2</v>
      </c>
    </row>
    <row r="203" spans="1:10" ht="11.25" customHeight="1" x14ac:dyDescent="0.2">
      <c r="A203" s="55">
        <v>44593</v>
      </c>
      <c r="B203" s="45">
        <v>0</v>
      </c>
      <c r="C203" s="45">
        <v>0</v>
      </c>
      <c r="D203" s="45">
        <v>4.2770700000000001</v>
      </c>
      <c r="E203" s="45">
        <v>4.8536697953899539</v>
      </c>
      <c r="F203" s="45">
        <v>1.8669699999999998</v>
      </c>
      <c r="G203" s="45">
        <v>1.3838270076000909</v>
      </c>
      <c r="H203" s="46">
        <v>0.13481186779499832</v>
      </c>
      <c r="I203" s="46">
        <v>-0.25878455058191019</v>
      </c>
      <c r="J203" s="46">
        <v>1.521096916524689E-2</v>
      </c>
    </row>
    <row r="204" spans="1:10" ht="11.25" customHeight="1" x14ac:dyDescent="0.2">
      <c r="A204" s="55">
        <v>44621</v>
      </c>
      <c r="B204" s="45">
        <v>0</v>
      </c>
      <c r="C204" s="45">
        <v>0</v>
      </c>
      <c r="D204" s="45">
        <v>7.9431299999999991</v>
      </c>
      <c r="E204" s="45">
        <v>9.0139581914384852</v>
      </c>
      <c r="F204" s="45">
        <v>3.4672299999999994</v>
      </c>
      <c r="G204" s="45">
        <v>2.5699644426858832</v>
      </c>
      <c r="H204" s="46">
        <v>0.13481186779499854</v>
      </c>
      <c r="I204" s="46">
        <v>-0.25878455058191019</v>
      </c>
      <c r="J204" s="46">
        <v>1.5210969165247112E-2</v>
      </c>
    </row>
    <row r="205" spans="1:10" ht="11.25" customHeight="1" x14ac:dyDescent="0.2">
      <c r="A205" s="55">
        <v>44652</v>
      </c>
      <c r="B205" s="45">
        <v>0</v>
      </c>
      <c r="C205" s="45">
        <v>0</v>
      </c>
      <c r="D205" s="45">
        <v>4.8880800000000004</v>
      </c>
      <c r="E205" s="45">
        <v>5.5470511947313756</v>
      </c>
      <c r="F205" s="45">
        <v>2.13368</v>
      </c>
      <c r="G205" s="45">
        <v>1.5815165801143896</v>
      </c>
      <c r="H205" s="46">
        <v>0.13481186779499832</v>
      </c>
      <c r="I205" s="46">
        <v>-0.2587845505819103</v>
      </c>
      <c r="J205" s="46">
        <v>1.521096916524689E-2</v>
      </c>
    </row>
    <row r="206" spans="1:10" ht="11.25" customHeight="1" x14ac:dyDescent="0.2">
      <c r="A206" s="55">
        <v>44682</v>
      </c>
      <c r="B206" s="45">
        <v>0</v>
      </c>
      <c r="C206" s="45">
        <v>0</v>
      </c>
      <c r="D206" s="45">
        <v>3.05505</v>
      </c>
      <c r="E206" s="45">
        <v>3.4669069967071096</v>
      </c>
      <c r="F206" s="45">
        <v>1.33355</v>
      </c>
      <c r="G206" s="45">
        <v>0.98844786257149353</v>
      </c>
      <c r="H206" s="46">
        <v>0.13481186779499832</v>
      </c>
      <c r="I206" s="46">
        <v>-0.2587845505819103</v>
      </c>
      <c r="J206" s="46">
        <v>1.521096916524689E-2</v>
      </c>
    </row>
    <row r="207" spans="1:10" ht="11.25" customHeight="1" x14ac:dyDescent="0.2">
      <c r="A207" s="55">
        <v>44713</v>
      </c>
      <c r="B207" s="45">
        <v>0</v>
      </c>
      <c r="C207" s="45">
        <v>0</v>
      </c>
      <c r="D207" s="45">
        <v>4.8880800000000004</v>
      </c>
      <c r="E207" s="45">
        <v>5.5470511947313756</v>
      </c>
      <c r="F207" s="45">
        <v>2.13368</v>
      </c>
      <c r="G207" s="45">
        <v>1.5815165801143896</v>
      </c>
      <c r="H207" s="46">
        <v>0.13481186779499832</v>
      </c>
      <c r="I207" s="46">
        <v>-0.2587845505819103</v>
      </c>
      <c r="J207" s="46">
        <v>1.521096916524689E-2</v>
      </c>
    </row>
    <row r="208" spans="1:10" ht="11.25" customHeight="1" x14ac:dyDescent="0.2">
      <c r="A208" s="55">
        <v>44743</v>
      </c>
      <c r="B208" s="45">
        <v>0</v>
      </c>
      <c r="C208" s="45">
        <v>0</v>
      </c>
      <c r="D208" s="45">
        <v>4.8880800000000004</v>
      </c>
      <c r="E208" s="45">
        <v>5.5470511947313756</v>
      </c>
      <c r="F208" s="45">
        <v>2.13368</v>
      </c>
      <c r="G208" s="45">
        <v>1.5815165801143896</v>
      </c>
      <c r="H208" s="46">
        <v>0.13481186779499832</v>
      </c>
      <c r="I208" s="46">
        <v>-0.2587845505819103</v>
      </c>
      <c r="J208" s="46">
        <v>1.521096916524689E-2</v>
      </c>
    </row>
    <row r="209" spans="1:10" ht="11.25" customHeight="1" x14ac:dyDescent="0.2">
      <c r="A209" s="54" t="s">
        <v>33</v>
      </c>
      <c r="B209" s="45">
        <v>0</v>
      </c>
      <c r="C209" s="45">
        <v>0</v>
      </c>
      <c r="D209" s="45">
        <v>160.87950000000001</v>
      </c>
      <c r="E209" s="45">
        <v>180.05931964223078</v>
      </c>
      <c r="F209" s="45">
        <v>73.941499999999991</v>
      </c>
      <c r="G209" s="45">
        <v>53.886571339061724</v>
      </c>
      <c r="H209" s="46">
        <v>0.11921854333355575</v>
      </c>
      <c r="I209" s="46">
        <v>-0.27122696538396263</v>
      </c>
      <c r="J209" s="46">
        <v>-3.7267068052154739E-3</v>
      </c>
    </row>
    <row r="210" spans="1:10" ht="11.25" customHeight="1" x14ac:dyDescent="0.2">
      <c r="A210" s="55">
        <v>44409</v>
      </c>
      <c r="B210" s="45">
        <v>0</v>
      </c>
      <c r="C210" s="45">
        <v>0</v>
      </c>
      <c r="D210" s="45">
        <v>17.034299999999998</v>
      </c>
      <c r="E210" s="45">
        <v>19.065104432706786</v>
      </c>
      <c r="F210" s="45">
        <v>7.8290999999999995</v>
      </c>
      <c r="G210" s="45">
        <v>5.7056369653124177</v>
      </c>
      <c r="H210" s="46">
        <v>0.11921854333355575</v>
      </c>
      <c r="I210" s="46">
        <v>-0.27122696538396263</v>
      </c>
      <c r="J210" s="46">
        <v>-3.7267068052154739E-3</v>
      </c>
    </row>
    <row r="211" spans="1:10" ht="11.25" customHeight="1" x14ac:dyDescent="0.2">
      <c r="A211" s="55">
        <v>44440</v>
      </c>
      <c r="B211" s="45">
        <v>0</v>
      </c>
      <c r="C211" s="45">
        <v>0</v>
      </c>
      <c r="D211" s="45">
        <v>15.1416</v>
      </c>
      <c r="E211" s="45">
        <v>16.946759495739368</v>
      </c>
      <c r="F211" s="45">
        <v>6.9592000000000001</v>
      </c>
      <c r="G211" s="45">
        <v>5.0716773024999275</v>
      </c>
      <c r="H211" s="46">
        <v>0.11921854333355575</v>
      </c>
      <c r="I211" s="46">
        <v>-0.27122696538396263</v>
      </c>
      <c r="J211" s="46">
        <v>-3.7267068052153629E-3</v>
      </c>
    </row>
    <row r="212" spans="1:10" ht="11.25" customHeight="1" x14ac:dyDescent="0.2">
      <c r="A212" s="55">
        <v>44470</v>
      </c>
      <c r="B212" s="45">
        <v>0</v>
      </c>
      <c r="C212" s="45">
        <v>0</v>
      </c>
      <c r="D212" s="45">
        <v>17.034299999999998</v>
      </c>
      <c r="E212" s="45">
        <v>19.065104432706786</v>
      </c>
      <c r="F212" s="45">
        <v>7.8290999999999995</v>
      </c>
      <c r="G212" s="45">
        <v>5.7056369653124177</v>
      </c>
      <c r="H212" s="46">
        <v>0.11921854333355575</v>
      </c>
      <c r="I212" s="46">
        <v>-0.27122696538396263</v>
      </c>
      <c r="J212" s="46">
        <v>-3.7267068052154739E-3</v>
      </c>
    </row>
    <row r="213" spans="1:10" ht="11.25" customHeight="1" x14ac:dyDescent="0.2">
      <c r="A213" s="55">
        <v>44501</v>
      </c>
      <c r="B213" s="45">
        <v>0</v>
      </c>
      <c r="C213" s="45">
        <v>0</v>
      </c>
      <c r="D213" s="45">
        <v>13.248900000000001</v>
      </c>
      <c r="E213" s="45">
        <v>14.828414558771946</v>
      </c>
      <c r="F213" s="45">
        <v>6.0892999999999997</v>
      </c>
      <c r="G213" s="45">
        <v>4.4377176396874365</v>
      </c>
      <c r="H213" s="46">
        <v>0.11921854333355575</v>
      </c>
      <c r="I213" s="46">
        <v>-0.27122696538396263</v>
      </c>
      <c r="J213" s="46">
        <v>-3.726706805215585E-3</v>
      </c>
    </row>
    <row r="214" spans="1:10" ht="11.25" customHeight="1" x14ac:dyDescent="0.2">
      <c r="A214" s="55">
        <v>44531</v>
      </c>
      <c r="B214" s="45">
        <v>0</v>
      </c>
      <c r="C214" s="45">
        <v>0</v>
      </c>
      <c r="D214" s="45">
        <v>16.087950000000003</v>
      </c>
      <c r="E214" s="45">
        <v>18.005931964223077</v>
      </c>
      <c r="F214" s="45">
        <v>7.3941500000000007</v>
      </c>
      <c r="G214" s="45">
        <v>5.3886571339061735</v>
      </c>
      <c r="H214" s="46">
        <v>0.11921854333355553</v>
      </c>
      <c r="I214" s="46">
        <v>-0.27122696538396263</v>
      </c>
      <c r="J214" s="46">
        <v>-3.7267068052154739E-3</v>
      </c>
    </row>
    <row r="215" spans="1:10" ht="11.25" customHeight="1" x14ac:dyDescent="0.2">
      <c r="A215" s="55">
        <v>44562</v>
      </c>
      <c r="B215" s="45">
        <v>0</v>
      </c>
      <c r="C215" s="45">
        <v>0</v>
      </c>
      <c r="D215" s="45">
        <v>24.6051</v>
      </c>
      <c r="E215" s="45">
        <v>27.538484180576468</v>
      </c>
      <c r="F215" s="45">
        <v>11.3087</v>
      </c>
      <c r="G215" s="45">
        <v>8.241475616562381</v>
      </c>
      <c r="H215" s="46">
        <v>0.11921854333355553</v>
      </c>
      <c r="I215" s="46">
        <v>-0.27122696538396274</v>
      </c>
      <c r="J215" s="46">
        <v>-3.726706805215585E-3</v>
      </c>
    </row>
    <row r="216" spans="1:10" ht="11.25" customHeight="1" x14ac:dyDescent="0.2">
      <c r="A216" s="55">
        <v>44593</v>
      </c>
      <c r="B216" s="45">
        <v>0</v>
      </c>
      <c r="C216" s="45">
        <v>0</v>
      </c>
      <c r="D216" s="45">
        <v>9.4634999999999998</v>
      </c>
      <c r="E216" s="45">
        <v>10.591724684837104</v>
      </c>
      <c r="F216" s="45">
        <v>4.3494999999999999</v>
      </c>
      <c r="G216" s="45">
        <v>3.1697983140624548</v>
      </c>
      <c r="H216" s="46">
        <v>0.11921854333355575</v>
      </c>
      <c r="I216" s="46">
        <v>-0.27122696538396251</v>
      </c>
      <c r="J216" s="46">
        <v>-3.7267068052154739E-3</v>
      </c>
    </row>
    <row r="217" spans="1:10" ht="11.25" customHeight="1" x14ac:dyDescent="0.2">
      <c r="A217" s="55">
        <v>44621</v>
      </c>
      <c r="B217" s="45">
        <v>0</v>
      </c>
      <c r="C217" s="45">
        <v>0</v>
      </c>
      <c r="D217" s="45">
        <v>9.4634999999999998</v>
      </c>
      <c r="E217" s="45">
        <v>10.591724684837104</v>
      </c>
      <c r="F217" s="45">
        <v>4.3494999999999999</v>
      </c>
      <c r="G217" s="45">
        <v>3.1697983140624548</v>
      </c>
      <c r="H217" s="46">
        <v>0.11921854333355575</v>
      </c>
      <c r="I217" s="46">
        <v>-0.27122696538396251</v>
      </c>
      <c r="J217" s="46">
        <v>-3.7267068052154739E-3</v>
      </c>
    </row>
    <row r="218" spans="1:10" ht="11.25" customHeight="1" x14ac:dyDescent="0.2">
      <c r="A218" s="55">
        <v>44652</v>
      </c>
      <c r="B218" s="45">
        <v>0</v>
      </c>
      <c r="C218" s="45">
        <v>0</v>
      </c>
      <c r="D218" s="45">
        <v>9.4634999999999998</v>
      </c>
      <c r="E218" s="45">
        <v>10.591724684837104</v>
      </c>
      <c r="F218" s="45">
        <v>4.3494999999999999</v>
      </c>
      <c r="G218" s="45">
        <v>3.1697983140624548</v>
      </c>
      <c r="H218" s="46">
        <v>0.11921854333355575</v>
      </c>
      <c r="I218" s="46">
        <v>-0.27122696538396251</v>
      </c>
      <c r="J218" s="46">
        <v>-3.7267068052154739E-3</v>
      </c>
    </row>
    <row r="219" spans="1:10" ht="11.25" customHeight="1" x14ac:dyDescent="0.2">
      <c r="A219" s="55">
        <v>44682</v>
      </c>
      <c r="B219" s="45">
        <v>0</v>
      </c>
      <c r="C219" s="45">
        <v>0</v>
      </c>
      <c r="D219" s="45">
        <v>8.5171499999999991</v>
      </c>
      <c r="E219" s="45">
        <v>9.5325522163533929</v>
      </c>
      <c r="F219" s="45">
        <v>3.9145499999999998</v>
      </c>
      <c r="G219" s="45">
        <v>2.8528184826562089</v>
      </c>
      <c r="H219" s="46">
        <v>0.11921854333355575</v>
      </c>
      <c r="I219" s="46">
        <v>-0.27122696538396263</v>
      </c>
      <c r="J219" s="46">
        <v>-3.7267068052154739E-3</v>
      </c>
    </row>
    <row r="220" spans="1:10" ht="11.25" customHeight="1" x14ac:dyDescent="0.2">
      <c r="A220" s="55">
        <v>44713</v>
      </c>
      <c r="B220" s="45">
        <v>0</v>
      </c>
      <c r="C220" s="45">
        <v>0</v>
      </c>
      <c r="D220" s="45">
        <v>10.40985</v>
      </c>
      <c r="E220" s="45">
        <v>11.650897153320814</v>
      </c>
      <c r="F220" s="45">
        <v>4.7844499999999996</v>
      </c>
      <c r="G220" s="45">
        <v>3.4867781454686999</v>
      </c>
      <c r="H220" s="46">
        <v>0.11921854333355553</v>
      </c>
      <c r="I220" s="46">
        <v>-0.27122696538396263</v>
      </c>
      <c r="J220" s="46">
        <v>-3.726706805215585E-3</v>
      </c>
    </row>
    <row r="221" spans="1:10" ht="11.25" customHeight="1" x14ac:dyDescent="0.2">
      <c r="A221" s="55">
        <v>44743</v>
      </c>
      <c r="B221" s="45">
        <v>0</v>
      </c>
      <c r="C221" s="45">
        <v>0</v>
      </c>
      <c r="D221" s="45">
        <v>10.40985</v>
      </c>
      <c r="E221" s="45">
        <v>11.650897153320814</v>
      </c>
      <c r="F221" s="45">
        <v>4.7844499999999996</v>
      </c>
      <c r="G221" s="45">
        <v>3.4867781454686999</v>
      </c>
      <c r="H221" s="46">
        <v>0.11921854333355553</v>
      </c>
      <c r="I221" s="46">
        <v>-0.27122696538396263</v>
      </c>
      <c r="J221" s="46">
        <v>-3.726706805215585E-3</v>
      </c>
    </row>
    <row r="222" spans="1:10" ht="11.25" customHeight="1" x14ac:dyDescent="0.2">
      <c r="A222" s="49" t="s">
        <v>23</v>
      </c>
      <c r="B222" s="45">
        <v>0</v>
      </c>
      <c r="C222" s="45">
        <v>0</v>
      </c>
      <c r="D222" s="45">
        <v>4462170.6236200007</v>
      </c>
      <c r="E222" s="45">
        <v>5147174.4676206671</v>
      </c>
      <c r="F222" s="45">
        <v>3099262.5237800004</v>
      </c>
      <c r="G222" s="45">
        <v>2292240.7700232011</v>
      </c>
      <c r="H222" s="46">
        <v>0.15351359277358756</v>
      </c>
      <c r="I222" s="46">
        <v>-0.26039154397689424</v>
      </c>
      <c r="J222" s="46">
        <v>-1.6136876089169583E-2</v>
      </c>
    </row>
    <row r="223" spans="1:10" ht="11.25" customHeight="1" x14ac:dyDescent="0.2">
      <c r="A223" s="50" t="s">
        <v>24</v>
      </c>
      <c r="B223" s="45">
        <v>0</v>
      </c>
      <c r="C223" s="45">
        <v>0</v>
      </c>
      <c r="D223" s="45">
        <v>4462170.6236200007</v>
      </c>
      <c r="E223" s="45">
        <v>5147174.4676206671</v>
      </c>
      <c r="F223" s="45">
        <v>3099262.5237800004</v>
      </c>
      <c r="G223" s="45">
        <v>2292240.7700232011</v>
      </c>
      <c r="H223" s="46">
        <v>0.15351359277358756</v>
      </c>
      <c r="I223" s="46">
        <v>-0.26039154397689424</v>
      </c>
      <c r="J223" s="46">
        <v>-1.6136876089169583E-2</v>
      </c>
    </row>
    <row r="224" spans="1:10" ht="11.25" customHeight="1" x14ac:dyDescent="0.2">
      <c r="A224" s="51" t="s">
        <v>24</v>
      </c>
      <c r="B224" s="45">
        <v>0</v>
      </c>
      <c r="C224" s="45">
        <v>0</v>
      </c>
      <c r="D224" s="45">
        <v>4308458.7590200007</v>
      </c>
      <c r="E224" s="45">
        <v>4983926.0551868519</v>
      </c>
      <c r="F224" s="45">
        <v>2968714.4161300003</v>
      </c>
      <c r="G224" s="45">
        <v>2195687.825009116</v>
      </c>
      <c r="H224" s="46">
        <v>0.15677701330034144</v>
      </c>
      <c r="I224" s="46">
        <v>-0.26039102546232729</v>
      </c>
      <c r="J224" s="46">
        <v>-1.3406207686135319E-2</v>
      </c>
    </row>
    <row r="225" spans="1:10" ht="11.25" customHeight="1" x14ac:dyDescent="0.2">
      <c r="A225" s="52" t="s">
        <v>25</v>
      </c>
      <c r="B225" s="45">
        <v>0</v>
      </c>
      <c r="C225" s="45">
        <v>0</v>
      </c>
      <c r="D225" s="45">
        <v>4308458.7590200007</v>
      </c>
      <c r="E225" s="45">
        <v>4983926.0551868519</v>
      </c>
      <c r="F225" s="45">
        <v>2968714.4161300003</v>
      </c>
      <c r="G225" s="45">
        <v>2195687.825009116</v>
      </c>
      <c r="H225" s="46">
        <v>0.15677701330034144</v>
      </c>
      <c r="I225" s="46">
        <v>-0.26039102546232729</v>
      </c>
      <c r="J225" s="46">
        <v>-1.3406207686135319E-2</v>
      </c>
    </row>
    <row r="226" spans="1:10" ht="11.25" customHeight="1" x14ac:dyDescent="0.2">
      <c r="A226" s="53" t="s">
        <v>25</v>
      </c>
      <c r="B226" s="45">
        <v>0</v>
      </c>
      <c r="C226" s="45">
        <v>0</v>
      </c>
      <c r="D226" s="45">
        <v>4308458.7590200007</v>
      </c>
      <c r="E226" s="45">
        <v>4983926.0551868519</v>
      </c>
      <c r="F226" s="45">
        <v>2968714.4161300003</v>
      </c>
      <c r="G226" s="45">
        <v>2195687.825009116</v>
      </c>
      <c r="H226" s="46">
        <v>0.15677701330034144</v>
      </c>
      <c r="I226" s="46">
        <v>-0.26039102546232729</v>
      </c>
      <c r="J226" s="46">
        <v>-1.3406207686135319E-2</v>
      </c>
    </row>
    <row r="227" spans="1:10" ht="11.25" customHeight="1" x14ac:dyDescent="0.2">
      <c r="A227" s="54" t="s">
        <v>25</v>
      </c>
      <c r="B227" s="45">
        <v>0</v>
      </c>
      <c r="C227" s="45">
        <v>0</v>
      </c>
      <c r="D227" s="45">
        <v>4308458.7590200007</v>
      </c>
      <c r="E227" s="45">
        <v>4983926.0551868519</v>
      </c>
      <c r="F227" s="45">
        <v>2968714.4161300003</v>
      </c>
      <c r="G227" s="45">
        <v>2195687.825009116</v>
      </c>
      <c r="H227" s="46">
        <v>0.15677701330034144</v>
      </c>
      <c r="I227" s="46">
        <v>-0.26039102546232729</v>
      </c>
      <c r="J227" s="46">
        <v>-1.3406207686135319E-2</v>
      </c>
    </row>
    <row r="228" spans="1:10" ht="11.25" customHeight="1" x14ac:dyDescent="0.2">
      <c r="A228" s="55">
        <v>44409</v>
      </c>
      <c r="B228" s="45">
        <v>0</v>
      </c>
      <c r="C228" s="45">
        <v>0</v>
      </c>
      <c r="D228" s="45">
        <v>351840.98586000002</v>
      </c>
      <c r="E228" s="45">
        <v>407001.56477977848</v>
      </c>
      <c r="F228" s="45">
        <v>242433.65559000001</v>
      </c>
      <c r="G228" s="45">
        <v>179306.10740433927</v>
      </c>
      <c r="H228" s="46">
        <v>0.15677701330034144</v>
      </c>
      <c r="I228" s="46">
        <v>-0.26039102546232717</v>
      </c>
      <c r="J228" s="46">
        <v>-1.3406207686135319E-2</v>
      </c>
    </row>
    <row r="229" spans="1:10" ht="11.25" customHeight="1" x14ac:dyDescent="0.2">
      <c r="A229" s="55">
        <v>44440</v>
      </c>
      <c r="B229" s="45">
        <v>0</v>
      </c>
      <c r="C229" s="45">
        <v>0</v>
      </c>
      <c r="D229" s="45">
        <v>371877.49404000008</v>
      </c>
      <c r="E229" s="45">
        <v>430179.33686920686</v>
      </c>
      <c r="F229" s="45">
        <v>256239.67626000004</v>
      </c>
      <c r="G229" s="45">
        <v>189517.16419452391</v>
      </c>
      <c r="H229" s="46">
        <v>0.15677701330034166</v>
      </c>
      <c r="I229" s="46">
        <v>-0.26039102546232706</v>
      </c>
      <c r="J229" s="46">
        <v>-1.3406207686135097E-2</v>
      </c>
    </row>
    <row r="230" spans="1:10" ht="11.25" customHeight="1" x14ac:dyDescent="0.2">
      <c r="A230" s="55">
        <v>44470</v>
      </c>
      <c r="B230" s="45">
        <v>0</v>
      </c>
      <c r="C230" s="45">
        <v>0</v>
      </c>
      <c r="D230" s="45">
        <v>331642.73194000003</v>
      </c>
      <c r="E230" s="45">
        <v>383636.68893631903</v>
      </c>
      <c r="F230" s="45">
        <v>228516.18511000002</v>
      </c>
      <c r="G230" s="45">
        <v>169012.62133446813</v>
      </c>
      <c r="H230" s="46">
        <v>0.15677701330034166</v>
      </c>
      <c r="I230" s="46">
        <v>-0.26039102546232717</v>
      </c>
      <c r="J230" s="46">
        <v>-1.3406207686135097E-2</v>
      </c>
    </row>
    <row r="231" spans="1:10" ht="11.25" customHeight="1" x14ac:dyDescent="0.2">
      <c r="A231" s="55">
        <v>44501</v>
      </c>
      <c r="B231" s="45">
        <v>0</v>
      </c>
      <c r="C231" s="45">
        <v>0</v>
      </c>
      <c r="D231" s="45">
        <v>361407.20746000006</v>
      </c>
      <c r="E231" s="45">
        <v>418067.55003079574</v>
      </c>
      <c r="F231" s="45">
        <v>249025.19599000001</v>
      </c>
      <c r="G231" s="45">
        <v>184181.26984020692</v>
      </c>
      <c r="H231" s="46">
        <v>0.15677701330034144</v>
      </c>
      <c r="I231" s="46">
        <v>-0.26039102546232706</v>
      </c>
      <c r="J231" s="46">
        <v>-1.3406207686135208E-2</v>
      </c>
    </row>
    <row r="232" spans="1:10" ht="11.25" customHeight="1" x14ac:dyDescent="0.2">
      <c r="A232" s="55">
        <v>44531</v>
      </c>
      <c r="B232" s="45">
        <v>0</v>
      </c>
      <c r="C232" s="45">
        <v>0</v>
      </c>
      <c r="D232" s="45">
        <v>407441.18583999999</v>
      </c>
      <c r="E232" s="45">
        <v>471318.59805154463</v>
      </c>
      <c r="F232" s="45">
        <v>280744.59795999998</v>
      </c>
      <c r="G232" s="45">
        <v>207641.22420418684</v>
      </c>
      <c r="H232" s="46">
        <v>0.15677701330034166</v>
      </c>
      <c r="I232" s="46">
        <v>-0.26039102546232706</v>
      </c>
      <c r="J232" s="46">
        <v>-1.3406207686135208E-2</v>
      </c>
    </row>
    <row r="233" spans="1:10" ht="11.25" customHeight="1" x14ac:dyDescent="0.2">
      <c r="A233" s="55">
        <v>44562</v>
      </c>
      <c r="B233" s="45">
        <v>0</v>
      </c>
      <c r="C233" s="45">
        <v>0</v>
      </c>
      <c r="D233" s="45">
        <v>396230.61712000001</v>
      </c>
      <c r="E233" s="45">
        <v>458350.46985022479</v>
      </c>
      <c r="F233" s="45">
        <v>273020.03128000005</v>
      </c>
      <c r="G233" s="45">
        <v>201928.06536324418</v>
      </c>
      <c r="H233" s="46">
        <v>0.15677701330034166</v>
      </c>
      <c r="I233" s="46">
        <v>-0.26039102546232729</v>
      </c>
      <c r="J233" s="46">
        <v>-1.3406207686135319E-2</v>
      </c>
    </row>
    <row r="234" spans="1:10" ht="11.25" customHeight="1" x14ac:dyDescent="0.2">
      <c r="A234" s="55">
        <v>44593</v>
      </c>
      <c r="B234" s="45">
        <v>0</v>
      </c>
      <c r="C234" s="45">
        <v>0</v>
      </c>
      <c r="D234" s="45">
        <v>350692.06146</v>
      </c>
      <c r="E234" s="45">
        <v>405672.51544383867</v>
      </c>
      <c r="F234" s="45">
        <v>241641.99699000004</v>
      </c>
      <c r="G234" s="45">
        <v>178720.58959900934</v>
      </c>
      <c r="H234" s="46">
        <v>0.15677701330034166</v>
      </c>
      <c r="I234" s="46">
        <v>-0.26039102546232729</v>
      </c>
      <c r="J234" s="46">
        <v>-1.3406207686135097E-2</v>
      </c>
    </row>
    <row r="235" spans="1:10" ht="11.25" customHeight="1" x14ac:dyDescent="0.2">
      <c r="A235" s="55">
        <v>44621</v>
      </c>
      <c r="B235" s="45">
        <v>0</v>
      </c>
      <c r="C235" s="45">
        <v>0</v>
      </c>
      <c r="D235" s="45">
        <v>383650.30236000003</v>
      </c>
      <c r="E235" s="45">
        <v>443797.85091577377</v>
      </c>
      <c r="F235" s="45">
        <v>264351.65034000005</v>
      </c>
      <c r="G235" s="45">
        <v>195516.85302530887</v>
      </c>
      <c r="H235" s="46">
        <v>0.15677701330034144</v>
      </c>
      <c r="I235" s="46">
        <v>-0.26039102546232729</v>
      </c>
      <c r="J235" s="46">
        <v>-1.3406207686135319E-2</v>
      </c>
    </row>
    <row r="236" spans="1:10" ht="11.25" customHeight="1" x14ac:dyDescent="0.2">
      <c r="A236" s="55">
        <v>44652</v>
      </c>
      <c r="B236" s="45">
        <v>0</v>
      </c>
      <c r="C236" s="45">
        <v>0</v>
      </c>
      <c r="D236" s="45">
        <v>337958.55677999998</v>
      </c>
      <c r="E236" s="45">
        <v>390942.68993126234</v>
      </c>
      <c r="F236" s="45">
        <v>232868.06157000002</v>
      </c>
      <c r="G236" s="45">
        <v>172231.30822036337</v>
      </c>
      <c r="H236" s="46">
        <v>0.15677701330034166</v>
      </c>
      <c r="I236" s="46">
        <v>-0.26039102546232717</v>
      </c>
      <c r="J236" s="46">
        <v>-1.3406207686135097E-2</v>
      </c>
    </row>
    <row r="237" spans="1:10" ht="11.25" customHeight="1" x14ac:dyDescent="0.2">
      <c r="A237" s="55">
        <v>44682</v>
      </c>
      <c r="B237" s="45">
        <v>0</v>
      </c>
      <c r="C237" s="45">
        <v>0</v>
      </c>
      <c r="D237" s="45">
        <v>327692.79504</v>
      </c>
      <c r="E237" s="45">
        <v>379067.49272641225</v>
      </c>
      <c r="F237" s="45">
        <v>225794.50776000004</v>
      </c>
      <c r="G237" s="45">
        <v>166999.64434061223</v>
      </c>
      <c r="H237" s="46">
        <v>0.15677701330034188</v>
      </c>
      <c r="I237" s="46">
        <v>-0.26039102546232717</v>
      </c>
      <c r="J237" s="46">
        <v>-1.3406207686135208E-2</v>
      </c>
    </row>
    <row r="238" spans="1:10" ht="11.25" customHeight="1" x14ac:dyDescent="0.2">
      <c r="A238" s="55">
        <v>44713</v>
      </c>
      <c r="B238" s="45">
        <v>0</v>
      </c>
      <c r="C238" s="45">
        <v>0</v>
      </c>
      <c r="D238" s="45">
        <v>344012.41056000005</v>
      </c>
      <c r="E238" s="45">
        <v>397945.64882584766</v>
      </c>
      <c r="F238" s="45">
        <v>237039.42864</v>
      </c>
      <c r="G238" s="45">
        <v>175316.48874142629</v>
      </c>
      <c r="H238" s="46">
        <v>0.15677701330034144</v>
      </c>
      <c r="I238" s="46">
        <v>-0.26039102546232706</v>
      </c>
      <c r="J238" s="46">
        <v>-1.3406207686135319E-2</v>
      </c>
    </row>
    <row r="239" spans="1:10" ht="11.25" customHeight="1" x14ac:dyDescent="0.2">
      <c r="A239" s="55">
        <v>44743</v>
      </c>
      <c r="B239" s="45">
        <v>0</v>
      </c>
      <c r="C239" s="45">
        <v>0</v>
      </c>
      <c r="D239" s="45">
        <v>344012.41056000005</v>
      </c>
      <c r="E239" s="45">
        <v>397945.64882584766</v>
      </c>
      <c r="F239" s="45">
        <v>237039.42864</v>
      </c>
      <c r="G239" s="45">
        <v>175316.48874142629</v>
      </c>
      <c r="H239" s="46">
        <v>0.15677701330034144</v>
      </c>
      <c r="I239" s="46">
        <v>-0.26039102546232706</v>
      </c>
      <c r="J239" s="46">
        <v>-1.3406207686135319E-2</v>
      </c>
    </row>
    <row r="240" spans="1:10" ht="11.25" customHeight="1" x14ac:dyDescent="0.2">
      <c r="A240" s="51" t="s">
        <v>28</v>
      </c>
      <c r="B240" s="45">
        <v>0</v>
      </c>
      <c r="C240" s="45">
        <v>0</v>
      </c>
      <c r="D240" s="45">
        <v>23672.487799999995</v>
      </c>
      <c r="E240" s="45">
        <v>25141.464054737444</v>
      </c>
      <c r="F240" s="45">
        <v>20105.961200000005</v>
      </c>
      <c r="G240" s="45">
        <v>14869.868320678575</v>
      </c>
      <c r="H240" s="46">
        <v>6.2054156164247809E-2</v>
      </c>
      <c r="I240" s="46">
        <v>-0.26042489723502638</v>
      </c>
      <c r="J240" s="46">
        <v>-8.6049568009683886E-2</v>
      </c>
    </row>
    <row r="241" spans="1:10" ht="11.25" customHeight="1" x14ac:dyDescent="0.2">
      <c r="A241" s="52" t="s">
        <v>25</v>
      </c>
      <c r="B241" s="45">
        <v>0</v>
      </c>
      <c r="C241" s="45">
        <v>0</v>
      </c>
      <c r="D241" s="45">
        <v>23672.487799999995</v>
      </c>
      <c r="E241" s="45">
        <v>25141.464054737444</v>
      </c>
      <c r="F241" s="45">
        <v>20105.961200000005</v>
      </c>
      <c r="G241" s="45">
        <v>14869.868320678575</v>
      </c>
      <c r="H241" s="46">
        <v>6.2054156164247809E-2</v>
      </c>
      <c r="I241" s="46">
        <v>-0.26042489723502638</v>
      </c>
      <c r="J241" s="46">
        <v>-8.6049568009683886E-2</v>
      </c>
    </row>
    <row r="242" spans="1:10" ht="11.25" customHeight="1" x14ac:dyDescent="0.2">
      <c r="A242" s="53" t="s">
        <v>25</v>
      </c>
      <c r="B242" s="45">
        <v>0</v>
      </c>
      <c r="C242" s="45">
        <v>0</v>
      </c>
      <c r="D242" s="45">
        <v>23672.487799999995</v>
      </c>
      <c r="E242" s="45">
        <v>25141.464054737444</v>
      </c>
      <c r="F242" s="45">
        <v>20105.961200000005</v>
      </c>
      <c r="G242" s="45">
        <v>14869.868320678575</v>
      </c>
      <c r="H242" s="46">
        <v>6.2054156164247809E-2</v>
      </c>
      <c r="I242" s="46">
        <v>-0.26042489723502638</v>
      </c>
      <c r="J242" s="46">
        <v>-8.6049568009683886E-2</v>
      </c>
    </row>
    <row r="243" spans="1:10" ht="11.25" customHeight="1" x14ac:dyDescent="0.2">
      <c r="A243" s="54" t="s">
        <v>25</v>
      </c>
      <c r="B243" s="45">
        <v>0</v>
      </c>
      <c r="C243" s="45">
        <v>0</v>
      </c>
      <c r="D243" s="45">
        <v>23672.487799999995</v>
      </c>
      <c r="E243" s="45">
        <v>25141.464054737444</v>
      </c>
      <c r="F243" s="45">
        <v>20105.961200000005</v>
      </c>
      <c r="G243" s="45">
        <v>14869.868320678575</v>
      </c>
      <c r="H243" s="46">
        <v>6.2054156164247809E-2</v>
      </c>
      <c r="I243" s="46">
        <v>-0.26042489723502638</v>
      </c>
      <c r="J243" s="46">
        <v>-8.6049568009683886E-2</v>
      </c>
    </row>
    <row r="244" spans="1:10" ht="11.25" customHeight="1" x14ac:dyDescent="0.2">
      <c r="A244" s="55">
        <v>44409</v>
      </c>
      <c r="B244" s="45">
        <v>0</v>
      </c>
      <c r="C244" s="45">
        <v>0</v>
      </c>
      <c r="D244" s="45">
        <v>2002.5938999999998</v>
      </c>
      <c r="E244" s="45">
        <v>2126.8631746041692</v>
      </c>
      <c r="F244" s="45">
        <v>1700.8806</v>
      </c>
      <c r="G244" s="45">
        <v>1257.9289445359502</v>
      </c>
      <c r="H244" s="46">
        <v>6.2054156164247365E-2</v>
      </c>
      <c r="I244" s="46">
        <v>-0.26042489723502626</v>
      </c>
      <c r="J244" s="46">
        <v>-8.6049568009683997E-2</v>
      </c>
    </row>
    <row r="245" spans="1:10" ht="11.25" customHeight="1" x14ac:dyDescent="0.2">
      <c r="A245" s="55">
        <v>44440</v>
      </c>
      <c r="B245" s="45">
        <v>0</v>
      </c>
      <c r="C245" s="45">
        <v>0</v>
      </c>
      <c r="D245" s="45">
        <v>1874.1779999999999</v>
      </c>
      <c r="E245" s="45">
        <v>1990.478534291597</v>
      </c>
      <c r="F245" s="45">
        <v>1591.8120000000001</v>
      </c>
      <c r="G245" s="45">
        <v>1177.2645234825184</v>
      </c>
      <c r="H245" s="46">
        <v>6.2054156164247587E-2</v>
      </c>
      <c r="I245" s="46">
        <v>-0.26042489723502638</v>
      </c>
      <c r="J245" s="46">
        <v>-8.6049568009683997E-2</v>
      </c>
    </row>
    <row r="246" spans="1:10" ht="11.25" customHeight="1" x14ac:dyDescent="0.2">
      <c r="A246" s="55">
        <v>44470</v>
      </c>
      <c r="B246" s="45">
        <v>0</v>
      </c>
      <c r="C246" s="45">
        <v>0</v>
      </c>
      <c r="D246" s="45">
        <v>1842.9416999999999</v>
      </c>
      <c r="E246" s="45">
        <v>1957.3038920534038</v>
      </c>
      <c r="F246" s="45">
        <v>1565.2818</v>
      </c>
      <c r="G246" s="45">
        <v>1157.643448091143</v>
      </c>
      <c r="H246" s="46">
        <v>6.2054156164247587E-2</v>
      </c>
      <c r="I246" s="46">
        <v>-0.26042489723502626</v>
      </c>
      <c r="J246" s="46">
        <v>-8.6049568009684108E-2</v>
      </c>
    </row>
    <row r="247" spans="1:10" ht="11.25" customHeight="1" x14ac:dyDescent="0.2">
      <c r="A247" s="55">
        <v>44501</v>
      </c>
      <c r="B247" s="45">
        <v>0</v>
      </c>
      <c r="C247" s="45">
        <v>0</v>
      </c>
      <c r="D247" s="45">
        <v>1881.1194</v>
      </c>
      <c r="E247" s="45">
        <v>1997.8506770111958</v>
      </c>
      <c r="F247" s="45">
        <v>1597.7076000000002</v>
      </c>
      <c r="G247" s="45">
        <v>1181.6247624583798</v>
      </c>
      <c r="H247" s="46">
        <v>6.2054156164247587E-2</v>
      </c>
      <c r="I247" s="46">
        <v>-0.26042489723502615</v>
      </c>
      <c r="J247" s="46">
        <v>-8.6049568009683886E-2</v>
      </c>
    </row>
    <row r="248" spans="1:10" ht="11.25" customHeight="1" x14ac:dyDescent="0.2">
      <c r="A248" s="55">
        <v>44531</v>
      </c>
      <c r="B248" s="45">
        <v>0</v>
      </c>
      <c r="C248" s="45">
        <v>0</v>
      </c>
      <c r="D248" s="45">
        <v>1922.7678000000001</v>
      </c>
      <c r="E248" s="45">
        <v>2042.0835333287869</v>
      </c>
      <c r="F248" s="45">
        <v>1633.0812000000001</v>
      </c>
      <c r="G248" s="45">
        <v>1207.7861963135467</v>
      </c>
      <c r="H248" s="46">
        <v>6.2054156164247587E-2</v>
      </c>
      <c r="I248" s="46">
        <v>-0.26042489723502626</v>
      </c>
      <c r="J248" s="46">
        <v>-8.6049568009683997E-2</v>
      </c>
    </row>
    <row r="249" spans="1:10" ht="11.25" customHeight="1" x14ac:dyDescent="0.2">
      <c r="A249" s="55">
        <v>44562</v>
      </c>
      <c r="B249" s="45">
        <v>0</v>
      </c>
      <c r="C249" s="45">
        <v>0</v>
      </c>
      <c r="D249" s="45">
        <v>1936.6505999999997</v>
      </c>
      <c r="E249" s="45">
        <v>2056.8278187679834</v>
      </c>
      <c r="F249" s="45">
        <v>1644.8724</v>
      </c>
      <c r="G249" s="45">
        <v>1216.5066742652689</v>
      </c>
      <c r="H249" s="46">
        <v>6.2054156164247587E-2</v>
      </c>
      <c r="I249" s="46">
        <v>-0.26042489723502626</v>
      </c>
      <c r="J249" s="46">
        <v>-8.6049568009683997E-2</v>
      </c>
    </row>
    <row r="250" spans="1:10" ht="11.25" customHeight="1" x14ac:dyDescent="0.2">
      <c r="A250" s="55">
        <v>44593</v>
      </c>
      <c r="B250" s="45">
        <v>0</v>
      </c>
      <c r="C250" s="45">
        <v>0</v>
      </c>
      <c r="D250" s="45">
        <v>1959.7886000000001</v>
      </c>
      <c r="E250" s="45">
        <v>2081.401627833312</v>
      </c>
      <c r="F250" s="45">
        <v>1664.5244000000002</v>
      </c>
      <c r="G250" s="45">
        <v>1231.0408041848063</v>
      </c>
      <c r="H250" s="46">
        <v>6.2054156164247365E-2</v>
      </c>
      <c r="I250" s="46">
        <v>-0.26042489723502626</v>
      </c>
      <c r="J250" s="46">
        <v>-8.6049568009683997E-2</v>
      </c>
    </row>
    <row r="251" spans="1:10" ht="11.25" customHeight="1" x14ac:dyDescent="0.2">
      <c r="A251" s="55">
        <v>44621</v>
      </c>
      <c r="B251" s="45">
        <v>0</v>
      </c>
      <c r="C251" s="45">
        <v>0</v>
      </c>
      <c r="D251" s="45">
        <v>1992.1817999999998</v>
      </c>
      <c r="E251" s="45">
        <v>2115.8049605247716</v>
      </c>
      <c r="F251" s="45">
        <v>1692.0372</v>
      </c>
      <c r="G251" s="45">
        <v>1251.3885860721584</v>
      </c>
      <c r="H251" s="46">
        <v>6.2054156164247587E-2</v>
      </c>
      <c r="I251" s="46">
        <v>-0.26042489723502626</v>
      </c>
      <c r="J251" s="46">
        <v>-8.6049568009683997E-2</v>
      </c>
    </row>
    <row r="252" spans="1:10" ht="11.25" customHeight="1" x14ac:dyDescent="0.2">
      <c r="A252" s="55">
        <v>44652</v>
      </c>
      <c r="B252" s="45">
        <v>0</v>
      </c>
      <c r="C252" s="45">
        <v>0</v>
      </c>
      <c r="D252" s="45">
        <v>2013.0059999999999</v>
      </c>
      <c r="E252" s="45">
        <v>2137.9213886835669</v>
      </c>
      <c r="F252" s="45">
        <v>1709.7239999999999</v>
      </c>
      <c r="G252" s="45">
        <v>1264.4693029997418</v>
      </c>
      <c r="H252" s="46">
        <v>6.2054156164247365E-2</v>
      </c>
      <c r="I252" s="46">
        <v>-0.26042489723502638</v>
      </c>
      <c r="J252" s="46">
        <v>-8.6049568009684108E-2</v>
      </c>
    </row>
    <row r="253" spans="1:10" ht="11.25" customHeight="1" x14ac:dyDescent="0.2">
      <c r="A253" s="55">
        <v>44682</v>
      </c>
      <c r="B253" s="45">
        <v>0</v>
      </c>
      <c r="C253" s="45">
        <v>0</v>
      </c>
      <c r="D253" s="45">
        <v>2047.713</v>
      </c>
      <c r="E253" s="45">
        <v>2174.7821022815597</v>
      </c>
      <c r="F253" s="45">
        <v>1739.202</v>
      </c>
      <c r="G253" s="45">
        <v>1286.2704978790478</v>
      </c>
      <c r="H253" s="46">
        <v>6.2054156164247587E-2</v>
      </c>
      <c r="I253" s="46">
        <v>-0.26042489723502626</v>
      </c>
      <c r="J253" s="46">
        <v>-8.6049568009683997E-2</v>
      </c>
    </row>
    <row r="254" spans="1:10" ht="11.25" customHeight="1" x14ac:dyDescent="0.2">
      <c r="A254" s="55">
        <v>44713</v>
      </c>
      <c r="B254" s="45">
        <v>0</v>
      </c>
      <c r="C254" s="45">
        <v>0</v>
      </c>
      <c r="D254" s="45">
        <v>2099.7734999999998</v>
      </c>
      <c r="E254" s="45">
        <v>2230.0731726785484</v>
      </c>
      <c r="F254" s="45">
        <v>1783.4189999999999</v>
      </c>
      <c r="G254" s="45">
        <v>1318.9722901980067</v>
      </c>
      <c r="H254" s="46">
        <v>6.2054156164247587E-2</v>
      </c>
      <c r="I254" s="46">
        <v>-0.26042489723502615</v>
      </c>
      <c r="J254" s="46">
        <v>-8.6049568009683886E-2</v>
      </c>
    </row>
    <row r="255" spans="1:10" ht="11.25" customHeight="1" x14ac:dyDescent="0.2">
      <c r="A255" s="55">
        <v>44743</v>
      </c>
      <c r="B255" s="45">
        <v>0</v>
      </c>
      <c r="C255" s="45">
        <v>0</v>
      </c>
      <c r="D255" s="45">
        <v>2099.7734999999998</v>
      </c>
      <c r="E255" s="45">
        <v>2230.0731726785484</v>
      </c>
      <c r="F255" s="45">
        <v>1783.4189999999999</v>
      </c>
      <c r="G255" s="45">
        <v>1318.9722901980067</v>
      </c>
      <c r="H255" s="46">
        <v>6.2054156164247587E-2</v>
      </c>
      <c r="I255" s="46">
        <v>-0.26042489723502615</v>
      </c>
      <c r="J255" s="46">
        <v>-8.6049568009683886E-2</v>
      </c>
    </row>
    <row r="256" spans="1:10" ht="11.25" customHeight="1" x14ac:dyDescent="0.2">
      <c r="A256" s="51" t="s">
        <v>29</v>
      </c>
      <c r="B256" s="45">
        <v>0</v>
      </c>
      <c r="C256" s="45">
        <v>0</v>
      </c>
      <c r="D256" s="45">
        <v>74681.75649</v>
      </c>
      <c r="E256" s="45">
        <v>79314.355928370773</v>
      </c>
      <c r="F256" s="45">
        <v>63426.587320000006</v>
      </c>
      <c r="G256" s="45">
        <v>46910.316202212991</v>
      </c>
      <c r="H256" s="46">
        <v>6.2031206228941427E-2</v>
      </c>
      <c r="I256" s="46">
        <v>-0.26039980733093959</v>
      </c>
      <c r="J256" s="46">
        <v>-8.6046008167073307E-2</v>
      </c>
    </row>
    <row r="257" spans="1:10" ht="11.25" customHeight="1" x14ac:dyDescent="0.2">
      <c r="A257" s="52" t="s">
        <v>25</v>
      </c>
      <c r="B257" s="45">
        <v>0</v>
      </c>
      <c r="C257" s="45">
        <v>0</v>
      </c>
      <c r="D257" s="45">
        <v>74681.75649</v>
      </c>
      <c r="E257" s="45">
        <v>79314.355928370773</v>
      </c>
      <c r="F257" s="45">
        <v>63426.587320000006</v>
      </c>
      <c r="G257" s="45">
        <v>46910.316202212991</v>
      </c>
      <c r="H257" s="46">
        <v>6.2031206228941427E-2</v>
      </c>
      <c r="I257" s="46">
        <v>-0.26039980733093959</v>
      </c>
      <c r="J257" s="46">
        <v>-8.6046008167073307E-2</v>
      </c>
    </row>
    <row r="258" spans="1:10" ht="11.25" customHeight="1" x14ac:dyDescent="0.2">
      <c r="A258" s="53" t="s">
        <v>25</v>
      </c>
      <c r="B258" s="45">
        <v>0</v>
      </c>
      <c r="C258" s="45">
        <v>0</v>
      </c>
      <c r="D258" s="45">
        <v>74681.75649</v>
      </c>
      <c r="E258" s="45">
        <v>79314.355928370773</v>
      </c>
      <c r="F258" s="45">
        <v>63426.587320000006</v>
      </c>
      <c r="G258" s="45">
        <v>46910.316202212991</v>
      </c>
      <c r="H258" s="46">
        <v>6.2031206228941427E-2</v>
      </c>
      <c r="I258" s="46">
        <v>-0.26039980733093959</v>
      </c>
      <c r="J258" s="46">
        <v>-8.6046008167073307E-2</v>
      </c>
    </row>
    <row r="259" spans="1:10" ht="11.25" customHeight="1" x14ac:dyDescent="0.2">
      <c r="A259" s="54" t="s">
        <v>25</v>
      </c>
      <c r="B259" s="45">
        <v>0</v>
      </c>
      <c r="C259" s="45">
        <v>0</v>
      </c>
      <c r="D259" s="45">
        <v>74681.75649</v>
      </c>
      <c r="E259" s="45">
        <v>79314.355928370773</v>
      </c>
      <c r="F259" s="45">
        <v>63426.587320000006</v>
      </c>
      <c r="G259" s="45">
        <v>46910.316202212991</v>
      </c>
      <c r="H259" s="46">
        <v>6.2031206228941427E-2</v>
      </c>
      <c r="I259" s="46">
        <v>-0.26039980733093959</v>
      </c>
      <c r="J259" s="46">
        <v>-8.6046008167073307E-2</v>
      </c>
    </row>
    <row r="260" spans="1:10" ht="11.25" customHeight="1" x14ac:dyDescent="0.2">
      <c r="A260" s="55">
        <v>44409</v>
      </c>
      <c r="B260" s="45">
        <v>0</v>
      </c>
      <c r="C260" s="45">
        <v>0</v>
      </c>
      <c r="D260" s="45">
        <v>6065.52639</v>
      </c>
      <c r="E260" s="45">
        <v>6441.7783083851764</v>
      </c>
      <c r="F260" s="45">
        <v>5151.4005199999992</v>
      </c>
      <c r="G260" s="45">
        <v>3809.9768171074984</v>
      </c>
      <c r="H260" s="46">
        <v>6.2031206228941427E-2</v>
      </c>
      <c r="I260" s="46">
        <v>-0.26039980733093937</v>
      </c>
      <c r="J260" s="46">
        <v>-8.6046008167073196E-2</v>
      </c>
    </row>
    <row r="261" spans="1:10" ht="11.25" customHeight="1" x14ac:dyDescent="0.2">
      <c r="A261" s="55">
        <v>44440</v>
      </c>
      <c r="B261" s="45">
        <v>0</v>
      </c>
      <c r="C261" s="45">
        <v>0</v>
      </c>
      <c r="D261" s="45">
        <v>6134.9418900000001</v>
      </c>
      <c r="E261" s="45">
        <v>6515.499735581162</v>
      </c>
      <c r="F261" s="45">
        <v>5210.3545199999999</v>
      </c>
      <c r="G261" s="45">
        <v>3853.5792068661103</v>
      </c>
      <c r="H261" s="46">
        <v>6.2031206228941427E-2</v>
      </c>
      <c r="I261" s="46">
        <v>-0.26039980733093948</v>
      </c>
      <c r="J261" s="46">
        <v>-8.6046008167073307E-2</v>
      </c>
    </row>
    <row r="262" spans="1:10" ht="11.25" customHeight="1" x14ac:dyDescent="0.2">
      <c r="A262" s="55">
        <v>44470</v>
      </c>
      <c r="B262" s="45">
        <v>0</v>
      </c>
      <c r="C262" s="45">
        <v>0</v>
      </c>
      <c r="D262" s="45">
        <v>5608.5740700000006</v>
      </c>
      <c r="E262" s="45">
        <v>5956.4806847864638</v>
      </c>
      <c r="F262" s="45">
        <v>4763.3147600000002</v>
      </c>
      <c r="G262" s="45">
        <v>3522.9485142393796</v>
      </c>
      <c r="H262" s="46">
        <v>6.2031206228941427E-2</v>
      </c>
      <c r="I262" s="46">
        <v>-0.26039980733093959</v>
      </c>
      <c r="J262" s="46">
        <v>-8.6046008167073418E-2</v>
      </c>
    </row>
    <row r="263" spans="1:10" ht="11.25" customHeight="1" x14ac:dyDescent="0.2">
      <c r="A263" s="55">
        <v>44501</v>
      </c>
      <c r="B263" s="45">
        <v>0</v>
      </c>
      <c r="C263" s="45">
        <v>0</v>
      </c>
      <c r="D263" s="45">
        <v>6198.6058200000007</v>
      </c>
      <c r="E263" s="45">
        <v>6583.1128159523369</v>
      </c>
      <c r="F263" s="45">
        <v>5264.4237600000006</v>
      </c>
      <c r="G263" s="45">
        <v>3893.5688271875802</v>
      </c>
      <c r="H263" s="46">
        <v>6.2031206228941427E-2</v>
      </c>
      <c r="I263" s="46">
        <v>-0.26039980733093948</v>
      </c>
      <c r="J263" s="46">
        <v>-8.6046008167073529E-2</v>
      </c>
    </row>
    <row r="264" spans="1:10" ht="11.25" customHeight="1" x14ac:dyDescent="0.2">
      <c r="A264" s="55">
        <v>44531</v>
      </c>
      <c r="B264" s="45">
        <v>0</v>
      </c>
      <c r="C264" s="45">
        <v>0</v>
      </c>
      <c r="D264" s="45">
        <v>6518.7104400000007</v>
      </c>
      <c r="E264" s="45">
        <v>6923.0739116503946</v>
      </c>
      <c r="F264" s="45">
        <v>5536.2859200000003</v>
      </c>
      <c r="G264" s="45">
        <v>4094.638133103007</v>
      </c>
      <c r="H264" s="46">
        <v>6.2031206228941427E-2</v>
      </c>
      <c r="I264" s="46">
        <v>-0.26039980733093948</v>
      </c>
      <c r="J264" s="46">
        <v>-8.6046008167073307E-2</v>
      </c>
    </row>
    <row r="265" spans="1:10" ht="11.25" customHeight="1" x14ac:dyDescent="0.2">
      <c r="A265" s="55">
        <v>44562</v>
      </c>
      <c r="B265" s="45">
        <v>0</v>
      </c>
      <c r="C265" s="45">
        <v>0</v>
      </c>
      <c r="D265" s="45">
        <v>6463.9713600000005</v>
      </c>
      <c r="E265" s="45">
        <v>6864.9393004901312</v>
      </c>
      <c r="F265" s="45">
        <v>5489.79648</v>
      </c>
      <c r="G265" s="45">
        <v>4060.2545343219299</v>
      </c>
      <c r="H265" s="46">
        <v>6.2031206228941427E-2</v>
      </c>
      <c r="I265" s="46">
        <v>-0.26039980733093959</v>
      </c>
      <c r="J265" s="46">
        <v>-8.6046008167073418E-2</v>
      </c>
    </row>
    <row r="266" spans="1:10" ht="11.25" customHeight="1" x14ac:dyDescent="0.2">
      <c r="A266" s="55">
        <v>44593</v>
      </c>
      <c r="B266" s="45">
        <v>0</v>
      </c>
      <c r="C266" s="45">
        <v>0</v>
      </c>
      <c r="D266" s="45">
        <v>6300.3491100000001</v>
      </c>
      <c r="E266" s="45">
        <v>6691.1673649567374</v>
      </c>
      <c r="F266" s="45">
        <v>5350.8334800000002</v>
      </c>
      <c r="G266" s="45">
        <v>3957.4774727480594</v>
      </c>
      <c r="H266" s="46">
        <v>6.2031206228941427E-2</v>
      </c>
      <c r="I266" s="46">
        <v>-0.26039980733093959</v>
      </c>
      <c r="J266" s="46">
        <v>-8.6046008167073418E-2</v>
      </c>
    </row>
    <row r="267" spans="1:10" ht="11.25" customHeight="1" x14ac:dyDescent="0.2">
      <c r="A267" s="55">
        <v>44621</v>
      </c>
      <c r="B267" s="45">
        <v>0</v>
      </c>
      <c r="C267" s="45">
        <v>0</v>
      </c>
      <c r="D267" s="45">
        <v>6671.8212000000003</v>
      </c>
      <c r="E267" s="45">
        <v>7085.6823167798239</v>
      </c>
      <c r="F267" s="45">
        <v>5666.3216000000002</v>
      </c>
      <c r="G267" s="45">
        <v>4190.812547084859</v>
      </c>
      <c r="H267" s="46">
        <v>6.2031206228941427E-2</v>
      </c>
      <c r="I267" s="46">
        <v>-0.26039980733093959</v>
      </c>
      <c r="J267" s="46">
        <v>-8.6046008167073529E-2</v>
      </c>
    </row>
    <row r="268" spans="1:10" ht="11.25" customHeight="1" x14ac:dyDescent="0.2">
      <c r="A268" s="55">
        <v>44652</v>
      </c>
      <c r="B268" s="45">
        <v>0</v>
      </c>
      <c r="C268" s="45">
        <v>0</v>
      </c>
      <c r="D268" s="45">
        <v>6242.63508</v>
      </c>
      <c r="E268" s="45">
        <v>6629.8732640595044</v>
      </c>
      <c r="F268" s="45">
        <v>5301.8174399999998</v>
      </c>
      <c r="G268" s="45">
        <v>3921.225200120185</v>
      </c>
      <c r="H268" s="46">
        <v>6.2031206228941427E-2</v>
      </c>
      <c r="I268" s="46">
        <v>-0.26039980733093948</v>
      </c>
      <c r="J268" s="46">
        <v>-8.6046008167073307E-2</v>
      </c>
    </row>
    <row r="269" spans="1:10" ht="11.25" customHeight="1" x14ac:dyDescent="0.2">
      <c r="A269" s="55">
        <v>44682</v>
      </c>
      <c r="B269" s="45">
        <v>0</v>
      </c>
      <c r="C269" s="45">
        <v>0</v>
      </c>
      <c r="D269" s="45">
        <v>6038.1568500000003</v>
      </c>
      <c r="E269" s="45">
        <v>6412.7110028050456</v>
      </c>
      <c r="F269" s="45">
        <v>5128.1557999999995</v>
      </c>
      <c r="G269" s="45">
        <v>3792.7850177169603</v>
      </c>
      <c r="H269" s="46">
        <v>6.2031206228941427E-2</v>
      </c>
      <c r="I269" s="46">
        <v>-0.26039980733093937</v>
      </c>
      <c r="J269" s="46">
        <v>-8.6046008167073418E-2</v>
      </c>
    </row>
    <row r="270" spans="1:10" ht="11.25" customHeight="1" x14ac:dyDescent="0.2">
      <c r="A270" s="55">
        <v>44713</v>
      </c>
      <c r="B270" s="45">
        <v>0</v>
      </c>
      <c r="C270" s="45">
        <v>0</v>
      </c>
      <c r="D270" s="45">
        <v>6219.2321400000001</v>
      </c>
      <c r="E270" s="45">
        <v>6605.018611462001</v>
      </c>
      <c r="F270" s="45">
        <v>5281.9415200000003</v>
      </c>
      <c r="G270" s="45">
        <v>3906.5249658587104</v>
      </c>
      <c r="H270" s="46">
        <v>6.2031206228941427E-2</v>
      </c>
      <c r="I270" s="46">
        <v>-0.26039980733093948</v>
      </c>
      <c r="J270" s="46">
        <v>-8.6046008167073307E-2</v>
      </c>
    </row>
    <row r="271" spans="1:10" ht="11.25" customHeight="1" x14ac:dyDescent="0.2">
      <c r="A271" s="55">
        <v>44743</v>
      </c>
      <c r="B271" s="45">
        <v>0</v>
      </c>
      <c r="C271" s="45">
        <v>0</v>
      </c>
      <c r="D271" s="45">
        <v>6219.2321400000001</v>
      </c>
      <c r="E271" s="45">
        <v>6605.018611462001</v>
      </c>
      <c r="F271" s="45">
        <v>5281.9415200000003</v>
      </c>
      <c r="G271" s="45">
        <v>3906.5249658587104</v>
      </c>
      <c r="H271" s="46">
        <v>6.2031206228941427E-2</v>
      </c>
      <c r="I271" s="46">
        <v>-0.26039980733093948</v>
      </c>
      <c r="J271" s="46">
        <v>-8.6046008167073307E-2</v>
      </c>
    </row>
    <row r="272" spans="1:10" ht="11.25" customHeight="1" x14ac:dyDescent="0.2">
      <c r="A272" s="51" t="s">
        <v>30</v>
      </c>
      <c r="B272" s="45">
        <v>0</v>
      </c>
      <c r="C272" s="45">
        <v>0</v>
      </c>
      <c r="D272" s="45">
        <v>49471.694530000008</v>
      </c>
      <c r="E272" s="45">
        <v>52541.366478903139</v>
      </c>
      <c r="F272" s="45">
        <v>42016.600019999998</v>
      </c>
      <c r="G272" s="45">
        <v>31075.485470090855</v>
      </c>
      <c r="H272" s="46">
        <v>6.2049056092907007E-2</v>
      </c>
      <c r="I272" s="46">
        <v>-0.26039980733093937</v>
      </c>
      <c r="J272" s="46">
        <v>-8.6037701759804075E-2</v>
      </c>
    </row>
    <row r="273" spans="1:10" ht="11.25" customHeight="1" x14ac:dyDescent="0.2">
      <c r="A273" s="52" t="s">
        <v>25</v>
      </c>
      <c r="B273" s="45">
        <v>0</v>
      </c>
      <c r="C273" s="45">
        <v>0</v>
      </c>
      <c r="D273" s="45">
        <v>49471.694530000008</v>
      </c>
      <c r="E273" s="45">
        <v>52541.366478903139</v>
      </c>
      <c r="F273" s="45">
        <v>42016.600019999998</v>
      </c>
      <c r="G273" s="45">
        <v>31075.485470090855</v>
      </c>
      <c r="H273" s="46">
        <v>6.2049056092907007E-2</v>
      </c>
      <c r="I273" s="46">
        <v>-0.26039980733093937</v>
      </c>
      <c r="J273" s="46">
        <v>-8.6037701759804075E-2</v>
      </c>
    </row>
    <row r="274" spans="1:10" ht="11.25" customHeight="1" x14ac:dyDescent="0.2">
      <c r="A274" s="53" t="s">
        <v>25</v>
      </c>
      <c r="B274" s="45">
        <v>0</v>
      </c>
      <c r="C274" s="45">
        <v>0</v>
      </c>
      <c r="D274" s="45">
        <v>49471.694530000008</v>
      </c>
      <c r="E274" s="45">
        <v>52541.366478903139</v>
      </c>
      <c r="F274" s="45">
        <v>42016.600019999998</v>
      </c>
      <c r="G274" s="45">
        <v>31075.485470090855</v>
      </c>
      <c r="H274" s="46">
        <v>6.2049056092907007E-2</v>
      </c>
      <c r="I274" s="46">
        <v>-0.26039980733093937</v>
      </c>
      <c r="J274" s="46">
        <v>-8.6037701759804075E-2</v>
      </c>
    </row>
    <row r="275" spans="1:10" ht="11.25" customHeight="1" x14ac:dyDescent="0.2">
      <c r="A275" s="54" t="s">
        <v>25</v>
      </c>
      <c r="B275" s="45">
        <v>0</v>
      </c>
      <c r="C275" s="45">
        <v>0</v>
      </c>
      <c r="D275" s="45">
        <v>49471.694530000008</v>
      </c>
      <c r="E275" s="45">
        <v>52541.366478903139</v>
      </c>
      <c r="F275" s="45">
        <v>42016.600019999998</v>
      </c>
      <c r="G275" s="45">
        <v>31075.485470090855</v>
      </c>
      <c r="H275" s="46">
        <v>6.2049056092907007E-2</v>
      </c>
      <c r="I275" s="46">
        <v>-0.26039980733093937</v>
      </c>
      <c r="J275" s="46">
        <v>-8.6037701759804075E-2</v>
      </c>
    </row>
    <row r="276" spans="1:10" ht="11.25" customHeight="1" x14ac:dyDescent="0.2">
      <c r="A276" s="55">
        <v>44409</v>
      </c>
      <c r="B276" s="45">
        <v>0</v>
      </c>
      <c r="C276" s="45">
        <v>0</v>
      </c>
      <c r="D276" s="45">
        <v>3885.5168899999999</v>
      </c>
      <c r="E276" s="45">
        <v>4126.6095454575479</v>
      </c>
      <c r="F276" s="45">
        <v>3299.99226</v>
      </c>
      <c r="G276" s="45">
        <v>2440.6749113024084</v>
      </c>
      <c r="H276" s="46">
        <v>6.2049056092907229E-2</v>
      </c>
      <c r="I276" s="46">
        <v>-0.26039980733093948</v>
      </c>
      <c r="J276" s="46">
        <v>-8.6037701759804075E-2</v>
      </c>
    </row>
    <row r="277" spans="1:10" ht="11.25" customHeight="1" x14ac:dyDescent="0.2">
      <c r="A277" s="55">
        <v>44440</v>
      </c>
      <c r="B277" s="45">
        <v>0</v>
      </c>
      <c r="C277" s="45">
        <v>0</v>
      </c>
      <c r="D277" s="45">
        <v>4567.6614600000003</v>
      </c>
      <c r="E277" s="45">
        <v>4851.0805421449495</v>
      </c>
      <c r="F277" s="45">
        <v>3879.3416399999996</v>
      </c>
      <c r="G277" s="45">
        <v>2869.1618243731091</v>
      </c>
      <c r="H277" s="46">
        <v>6.2049056092907007E-2</v>
      </c>
      <c r="I277" s="46">
        <v>-0.26039980733093948</v>
      </c>
      <c r="J277" s="46">
        <v>-8.6037701759804186E-2</v>
      </c>
    </row>
    <row r="278" spans="1:10" ht="11.25" customHeight="1" x14ac:dyDescent="0.2">
      <c r="A278" s="55">
        <v>44470</v>
      </c>
      <c r="B278" s="45">
        <v>0</v>
      </c>
      <c r="C278" s="45">
        <v>0</v>
      </c>
      <c r="D278" s="45">
        <v>3081.4014200000001</v>
      </c>
      <c r="E278" s="45">
        <v>3272.5994695543436</v>
      </c>
      <c r="F278" s="45">
        <v>2617.0522799999999</v>
      </c>
      <c r="G278" s="45">
        <v>1935.5723705130042</v>
      </c>
      <c r="H278" s="46">
        <v>6.2049056092907007E-2</v>
      </c>
      <c r="I278" s="46">
        <v>-0.26039980733093937</v>
      </c>
      <c r="J278" s="46">
        <v>-8.6037701759804075E-2</v>
      </c>
    </row>
    <row r="279" spans="1:10" ht="11.25" customHeight="1" x14ac:dyDescent="0.2">
      <c r="A279" s="55">
        <v>44501</v>
      </c>
      <c r="B279" s="45">
        <v>0</v>
      </c>
      <c r="C279" s="45">
        <v>0</v>
      </c>
      <c r="D279" s="45">
        <v>4288.0208599999996</v>
      </c>
      <c r="E279" s="45">
        <v>4554.0885068696962</v>
      </c>
      <c r="F279" s="45">
        <v>3641.8412399999997</v>
      </c>
      <c r="G279" s="45">
        <v>2693.5064827741303</v>
      </c>
      <c r="H279" s="46">
        <v>6.2049056092907229E-2</v>
      </c>
      <c r="I279" s="46">
        <v>-0.26039980733093937</v>
      </c>
      <c r="J279" s="46">
        <v>-8.6037701759803964E-2</v>
      </c>
    </row>
    <row r="280" spans="1:10" ht="11.25" customHeight="1" x14ac:dyDescent="0.2">
      <c r="A280" s="55">
        <v>44531</v>
      </c>
      <c r="B280" s="45">
        <v>0</v>
      </c>
      <c r="C280" s="45">
        <v>0</v>
      </c>
      <c r="D280" s="45">
        <v>5389.3288400000001</v>
      </c>
      <c r="E280" s="45">
        <v>5723.7316074962819</v>
      </c>
      <c r="F280" s="45">
        <v>4577.1885599999996</v>
      </c>
      <c r="G280" s="45">
        <v>3385.2895408586196</v>
      </c>
      <c r="H280" s="46">
        <v>6.2049056092907007E-2</v>
      </c>
      <c r="I280" s="46">
        <v>-0.26039980733093948</v>
      </c>
      <c r="J280" s="46">
        <v>-8.6037701759804186E-2</v>
      </c>
    </row>
    <row r="281" spans="1:10" ht="11.25" customHeight="1" x14ac:dyDescent="0.2">
      <c r="A281" s="55">
        <v>44562</v>
      </c>
      <c r="B281" s="45">
        <v>0</v>
      </c>
      <c r="C281" s="45">
        <v>0</v>
      </c>
      <c r="D281" s="45">
        <v>4804.4634999999998</v>
      </c>
      <c r="E281" s="45">
        <v>5102.5759252078242</v>
      </c>
      <c r="F281" s="45">
        <v>4080.4589999999994</v>
      </c>
      <c r="G281" s="45">
        <v>3017.9082625782016</v>
      </c>
      <c r="H281" s="46">
        <v>6.2049056092907007E-2</v>
      </c>
      <c r="I281" s="46">
        <v>-0.26039980733093948</v>
      </c>
      <c r="J281" s="46">
        <v>-8.6037701759804186E-2</v>
      </c>
    </row>
    <row r="282" spans="1:10" ht="11.25" customHeight="1" x14ac:dyDescent="0.2">
      <c r="A282" s="55">
        <v>44593</v>
      </c>
      <c r="B282" s="45">
        <v>0</v>
      </c>
      <c r="C282" s="45">
        <v>0</v>
      </c>
      <c r="D282" s="45">
        <v>3984.58106</v>
      </c>
      <c r="E282" s="45">
        <v>4231.8205536986752</v>
      </c>
      <c r="F282" s="45">
        <v>3384.1280400000001</v>
      </c>
      <c r="G282" s="45">
        <v>2502.9017504007702</v>
      </c>
      <c r="H282" s="46">
        <v>6.2049056092907007E-2</v>
      </c>
      <c r="I282" s="46">
        <v>-0.26039980733093948</v>
      </c>
      <c r="J282" s="46">
        <v>-8.6037701759804186E-2</v>
      </c>
    </row>
    <row r="283" spans="1:10" ht="11.25" customHeight="1" x14ac:dyDescent="0.2">
      <c r="A283" s="55">
        <v>44621</v>
      </c>
      <c r="B283" s="45">
        <v>0</v>
      </c>
      <c r="C283" s="45">
        <v>0</v>
      </c>
      <c r="D283" s="45">
        <v>4816.0656100000006</v>
      </c>
      <c r="E283" s="45">
        <v>5114.8979351820108</v>
      </c>
      <c r="F283" s="45">
        <v>4090.3127399999998</v>
      </c>
      <c r="G283" s="45">
        <v>3025.1960905807127</v>
      </c>
      <c r="H283" s="46">
        <v>6.2049056092907007E-2</v>
      </c>
      <c r="I283" s="46">
        <v>-0.26039980733093948</v>
      </c>
      <c r="J283" s="46">
        <v>-8.6037701759804186E-2</v>
      </c>
    </row>
    <row r="284" spans="1:10" ht="11.25" customHeight="1" x14ac:dyDescent="0.2">
      <c r="A284" s="55">
        <v>44652</v>
      </c>
      <c r="B284" s="45">
        <v>0</v>
      </c>
      <c r="C284" s="45">
        <v>0</v>
      </c>
      <c r="D284" s="45">
        <v>3693.33835</v>
      </c>
      <c r="E284" s="45">
        <v>3922.5065084492348</v>
      </c>
      <c r="F284" s="45">
        <v>3136.7738999999997</v>
      </c>
      <c r="G284" s="45">
        <v>2319.9585807992803</v>
      </c>
      <c r="H284" s="46">
        <v>6.2049056092907007E-2</v>
      </c>
      <c r="I284" s="46">
        <v>-0.26039980733093948</v>
      </c>
      <c r="J284" s="46">
        <v>-8.6037701759804186E-2</v>
      </c>
    </row>
    <row r="285" spans="1:10" ht="11.25" customHeight="1" x14ac:dyDescent="0.2">
      <c r="A285" s="55">
        <v>44682</v>
      </c>
      <c r="B285" s="45">
        <v>0</v>
      </c>
      <c r="C285" s="45">
        <v>0</v>
      </c>
      <c r="D285" s="45">
        <v>3231.3363800000002</v>
      </c>
      <c r="E285" s="45">
        <v>3431.8377522976716</v>
      </c>
      <c r="F285" s="45">
        <v>2744.3929199999998</v>
      </c>
      <c r="G285" s="45">
        <v>2029.7535323916056</v>
      </c>
      <c r="H285" s="46">
        <v>6.2049056092907007E-2</v>
      </c>
      <c r="I285" s="46">
        <v>-0.26039980733093937</v>
      </c>
      <c r="J285" s="46">
        <v>-8.6037701759804075E-2</v>
      </c>
    </row>
    <row r="286" spans="1:10" ht="11.25" customHeight="1" x14ac:dyDescent="0.2">
      <c r="A286" s="55">
        <v>44713</v>
      </c>
      <c r="B286" s="45">
        <v>0</v>
      </c>
      <c r="C286" s="45">
        <v>0</v>
      </c>
      <c r="D286" s="45">
        <v>3864.9900800000005</v>
      </c>
      <c r="E286" s="45">
        <v>4104.8090662724499</v>
      </c>
      <c r="F286" s="45">
        <v>3282.55872</v>
      </c>
      <c r="G286" s="45">
        <v>2427.7810617595046</v>
      </c>
      <c r="H286" s="46">
        <v>6.2049056092907007E-2</v>
      </c>
      <c r="I286" s="46">
        <v>-0.26039980733093948</v>
      </c>
      <c r="J286" s="46">
        <v>-8.6037701759804186E-2</v>
      </c>
    </row>
    <row r="287" spans="1:10" ht="11.25" customHeight="1" x14ac:dyDescent="0.2">
      <c r="A287" s="55">
        <v>44743</v>
      </c>
      <c r="B287" s="45">
        <v>0</v>
      </c>
      <c r="C287" s="45">
        <v>0</v>
      </c>
      <c r="D287" s="45">
        <v>3864.9900800000005</v>
      </c>
      <c r="E287" s="45">
        <v>4104.8090662724499</v>
      </c>
      <c r="F287" s="45">
        <v>3282.55872</v>
      </c>
      <c r="G287" s="45">
        <v>2427.7810617595046</v>
      </c>
      <c r="H287" s="46">
        <v>6.2049056092907007E-2</v>
      </c>
      <c r="I287" s="46">
        <v>-0.26039980733093948</v>
      </c>
      <c r="J287" s="46">
        <v>-8.6037701759804186E-2</v>
      </c>
    </row>
    <row r="288" spans="1:10" ht="11.25" customHeight="1" x14ac:dyDescent="0.2">
      <c r="A288" s="51" t="s">
        <v>31</v>
      </c>
      <c r="B288" s="45">
        <v>0</v>
      </c>
      <c r="C288" s="45">
        <v>0</v>
      </c>
      <c r="D288" s="45">
        <v>5885.9257799999987</v>
      </c>
      <c r="E288" s="45">
        <v>6251.225971804316</v>
      </c>
      <c r="F288" s="45">
        <v>4998.9591099999998</v>
      </c>
      <c r="G288" s="45">
        <v>3697.2750211028579</v>
      </c>
      <c r="H288" s="46">
        <v>6.2063336416096959E-2</v>
      </c>
      <c r="I288" s="46">
        <v>-0.26039102546232706</v>
      </c>
      <c r="J288" s="46">
        <v>-8.6026072535969944E-2</v>
      </c>
    </row>
    <row r="289" spans="1:10" ht="11.25" customHeight="1" x14ac:dyDescent="0.2">
      <c r="A289" s="52" t="s">
        <v>25</v>
      </c>
      <c r="B289" s="45">
        <v>0</v>
      </c>
      <c r="C289" s="45">
        <v>0</v>
      </c>
      <c r="D289" s="45">
        <v>5885.9257799999987</v>
      </c>
      <c r="E289" s="45">
        <v>6251.225971804316</v>
      </c>
      <c r="F289" s="45">
        <v>4998.9591099999998</v>
      </c>
      <c r="G289" s="45">
        <v>3697.2750211028579</v>
      </c>
      <c r="H289" s="46">
        <v>6.2063336416096959E-2</v>
      </c>
      <c r="I289" s="46">
        <v>-0.26039102546232706</v>
      </c>
      <c r="J289" s="46">
        <v>-8.6026072535969944E-2</v>
      </c>
    </row>
    <row r="290" spans="1:10" ht="11.25" customHeight="1" x14ac:dyDescent="0.2">
      <c r="A290" s="53" t="s">
        <v>25</v>
      </c>
      <c r="B290" s="45">
        <v>0</v>
      </c>
      <c r="C290" s="45">
        <v>0</v>
      </c>
      <c r="D290" s="45">
        <v>5885.9257799999987</v>
      </c>
      <c r="E290" s="45">
        <v>6251.225971804316</v>
      </c>
      <c r="F290" s="45">
        <v>4998.9591099999998</v>
      </c>
      <c r="G290" s="45">
        <v>3697.2750211028579</v>
      </c>
      <c r="H290" s="46">
        <v>6.2063336416096959E-2</v>
      </c>
      <c r="I290" s="46">
        <v>-0.26039102546232706</v>
      </c>
      <c r="J290" s="46">
        <v>-8.6026072535969944E-2</v>
      </c>
    </row>
    <row r="291" spans="1:10" ht="11.25" customHeight="1" x14ac:dyDescent="0.2">
      <c r="A291" s="54" t="s">
        <v>25</v>
      </c>
      <c r="B291" s="45">
        <v>0</v>
      </c>
      <c r="C291" s="45">
        <v>0</v>
      </c>
      <c r="D291" s="45">
        <v>5885.9257799999987</v>
      </c>
      <c r="E291" s="45">
        <v>6251.225971804316</v>
      </c>
      <c r="F291" s="45">
        <v>4998.9591099999998</v>
      </c>
      <c r="G291" s="45">
        <v>3697.2750211028579</v>
      </c>
      <c r="H291" s="46">
        <v>6.2063336416096959E-2</v>
      </c>
      <c r="I291" s="46">
        <v>-0.26039102546232706</v>
      </c>
      <c r="J291" s="46">
        <v>-8.6026072535969944E-2</v>
      </c>
    </row>
    <row r="292" spans="1:10" ht="11.25" customHeight="1" x14ac:dyDescent="0.2">
      <c r="A292" s="55">
        <v>44409</v>
      </c>
      <c r="B292" s="45">
        <v>0</v>
      </c>
      <c r="C292" s="45">
        <v>0</v>
      </c>
      <c r="D292" s="45">
        <v>288.89196000000004</v>
      </c>
      <c r="E292" s="45">
        <v>306.82155890138557</v>
      </c>
      <c r="F292" s="45">
        <v>245.35802000000001</v>
      </c>
      <c r="G292" s="45">
        <v>181.46899356679384</v>
      </c>
      <c r="H292" s="46">
        <v>6.2063336416096515E-2</v>
      </c>
      <c r="I292" s="46">
        <v>-0.26039102546232706</v>
      </c>
      <c r="J292" s="46">
        <v>-8.6026072535970277E-2</v>
      </c>
    </row>
    <row r="293" spans="1:10" ht="11.25" customHeight="1" x14ac:dyDescent="0.2">
      <c r="A293" s="55">
        <v>44440</v>
      </c>
      <c r="B293" s="45">
        <v>0</v>
      </c>
      <c r="C293" s="45">
        <v>0</v>
      </c>
      <c r="D293" s="45">
        <v>526.88076000000001</v>
      </c>
      <c r="E293" s="45">
        <v>559.58073785904878</v>
      </c>
      <c r="F293" s="45">
        <v>447.48362000000003</v>
      </c>
      <c r="G293" s="45">
        <v>330.96290131060573</v>
      </c>
      <c r="H293" s="46">
        <v>6.2063336416096737E-2</v>
      </c>
      <c r="I293" s="46">
        <v>-0.26039102546232706</v>
      </c>
      <c r="J293" s="46">
        <v>-8.6026072535970055E-2</v>
      </c>
    </row>
    <row r="294" spans="1:10" ht="11.25" customHeight="1" x14ac:dyDescent="0.2">
      <c r="A294" s="55">
        <v>44470</v>
      </c>
      <c r="B294" s="45">
        <v>0</v>
      </c>
      <c r="C294" s="45">
        <v>0</v>
      </c>
      <c r="D294" s="45">
        <v>202.62102000000002</v>
      </c>
      <c r="E294" s="45">
        <v>215.19635652923265</v>
      </c>
      <c r="F294" s="45">
        <v>172.08749</v>
      </c>
      <c r="G294" s="45">
        <v>127.27745200966204</v>
      </c>
      <c r="H294" s="46">
        <v>6.2063336416096515E-2</v>
      </c>
      <c r="I294" s="46">
        <v>-0.26039102546232706</v>
      </c>
      <c r="J294" s="46">
        <v>-8.6026072535970388E-2</v>
      </c>
    </row>
    <row r="295" spans="1:10" ht="11.25" customHeight="1" x14ac:dyDescent="0.2">
      <c r="A295" s="55">
        <v>44501</v>
      </c>
      <c r="B295" s="45">
        <v>0</v>
      </c>
      <c r="C295" s="45">
        <v>0</v>
      </c>
      <c r="D295" s="45">
        <v>518.28672000000006</v>
      </c>
      <c r="E295" s="45">
        <v>550.45332306335536</v>
      </c>
      <c r="F295" s="45">
        <v>440.18464000000006</v>
      </c>
      <c r="G295" s="45">
        <v>325.56451019763472</v>
      </c>
      <c r="H295" s="46">
        <v>6.2063336416096737E-2</v>
      </c>
      <c r="I295" s="46">
        <v>-0.26039102546232717</v>
      </c>
      <c r="J295" s="46">
        <v>-8.6026072535970277E-2</v>
      </c>
    </row>
    <row r="296" spans="1:10" ht="11.25" customHeight="1" x14ac:dyDescent="0.2">
      <c r="A296" s="55">
        <v>44531</v>
      </c>
      <c r="B296" s="45">
        <v>0</v>
      </c>
      <c r="C296" s="45">
        <v>0</v>
      </c>
      <c r="D296" s="45">
        <v>763.87794000000008</v>
      </c>
      <c r="E296" s="45">
        <v>811.28675357105487</v>
      </c>
      <c r="F296" s="45">
        <v>648.76702999999998</v>
      </c>
      <c r="G296" s="45">
        <v>479.83391777215166</v>
      </c>
      <c r="H296" s="46">
        <v>6.2063336416096515E-2</v>
      </c>
      <c r="I296" s="46">
        <v>-0.26039102546232706</v>
      </c>
      <c r="J296" s="46">
        <v>-8.6026072535970166E-2</v>
      </c>
    </row>
    <row r="297" spans="1:10" ht="11.25" customHeight="1" x14ac:dyDescent="0.2">
      <c r="A297" s="55">
        <v>44562</v>
      </c>
      <c r="B297" s="45">
        <v>0</v>
      </c>
      <c r="C297" s="45">
        <v>0</v>
      </c>
      <c r="D297" s="45">
        <v>636.28950000000009</v>
      </c>
      <c r="E297" s="45">
        <v>675.77974929652999</v>
      </c>
      <c r="F297" s="45">
        <v>540.40525000000002</v>
      </c>
      <c r="G297" s="45">
        <v>399.68857278727478</v>
      </c>
      <c r="H297" s="46">
        <v>6.2063336416096515E-2</v>
      </c>
      <c r="I297" s="46">
        <v>-0.26039102546232706</v>
      </c>
      <c r="J297" s="46">
        <v>-8.6026072535970277E-2</v>
      </c>
    </row>
    <row r="298" spans="1:10" ht="11.25" customHeight="1" x14ac:dyDescent="0.2">
      <c r="A298" s="55">
        <v>44593</v>
      </c>
      <c r="B298" s="45">
        <v>0</v>
      </c>
      <c r="C298" s="45">
        <v>0</v>
      </c>
      <c r="D298" s="45">
        <v>539.44128000000001</v>
      </c>
      <c r="E298" s="45">
        <v>572.92080563736977</v>
      </c>
      <c r="F298" s="45">
        <v>458.15136000000001</v>
      </c>
      <c r="G298" s="45">
        <v>338.85285755264022</v>
      </c>
      <c r="H298" s="46">
        <v>6.2063336416096515E-2</v>
      </c>
      <c r="I298" s="46">
        <v>-0.26039102546232706</v>
      </c>
      <c r="J298" s="46">
        <v>-8.6026072535970277E-2</v>
      </c>
    </row>
    <row r="299" spans="1:10" ht="11.25" customHeight="1" x14ac:dyDescent="0.2">
      <c r="A299" s="55">
        <v>44621</v>
      </c>
      <c r="B299" s="45">
        <v>0</v>
      </c>
      <c r="C299" s="45">
        <v>0</v>
      </c>
      <c r="D299" s="45">
        <v>672.31835999999998</v>
      </c>
      <c r="E299" s="45">
        <v>714.04468055539837</v>
      </c>
      <c r="F299" s="45">
        <v>571.00482</v>
      </c>
      <c r="G299" s="45">
        <v>422.32028937626848</v>
      </c>
      <c r="H299" s="46">
        <v>6.2063336416096737E-2</v>
      </c>
      <c r="I299" s="46">
        <v>-0.26039102546232717</v>
      </c>
      <c r="J299" s="46">
        <v>-8.6026072535970166E-2</v>
      </c>
    </row>
    <row r="300" spans="1:10" ht="11.25" customHeight="1" x14ac:dyDescent="0.2">
      <c r="A300" s="55">
        <v>44652</v>
      </c>
      <c r="B300" s="45">
        <v>0</v>
      </c>
      <c r="C300" s="45">
        <v>0</v>
      </c>
      <c r="D300" s="45">
        <v>319.30164000000002</v>
      </c>
      <c r="E300" s="45">
        <v>339.11856510153137</v>
      </c>
      <c r="F300" s="45">
        <v>271.18518</v>
      </c>
      <c r="G300" s="45">
        <v>200.57099288961425</v>
      </c>
      <c r="H300" s="46">
        <v>6.2063336416096515E-2</v>
      </c>
      <c r="I300" s="46">
        <v>-0.26039102546232706</v>
      </c>
      <c r="J300" s="46">
        <v>-8.6026072535970277E-2</v>
      </c>
    </row>
    <row r="301" spans="1:10" ht="11.25" customHeight="1" x14ac:dyDescent="0.2">
      <c r="A301" s="55">
        <v>44682</v>
      </c>
      <c r="B301" s="45">
        <v>0</v>
      </c>
      <c r="C301" s="45">
        <v>0</v>
      </c>
      <c r="D301" s="45">
        <v>378.13776000000001</v>
      </c>
      <c r="E301" s="45">
        <v>401.6062510105092</v>
      </c>
      <c r="F301" s="45">
        <v>321.15512000000001</v>
      </c>
      <c r="G301" s="45">
        <v>237.52920897072326</v>
      </c>
      <c r="H301" s="46">
        <v>6.2063336416096515E-2</v>
      </c>
      <c r="I301" s="46">
        <v>-0.26039102546232717</v>
      </c>
      <c r="J301" s="46">
        <v>-8.6026072535970277E-2</v>
      </c>
    </row>
    <row r="302" spans="1:10" ht="11.25" customHeight="1" x14ac:dyDescent="0.2">
      <c r="A302" s="55">
        <v>44713</v>
      </c>
      <c r="B302" s="45">
        <v>0</v>
      </c>
      <c r="C302" s="45">
        <v>0</v>
      </c>
      <c r="D302" s="45">
        <v>519.93942000000004</v>
      </c>
      <c r="E302" s="45">
        <v>552.20859513945015</v>
      </c>
      <c r="F302" s="45">
        <v>441.58829000000003</v>
      </c>
      <c r="G302" s="45">
        <v>326.60266233474454</v>
      </c>
      <c r="H302" s="46">
        <v>6.2063336416096515E-2</v>
      </c>
      <c r="I302" s="46">
        <v>-0.26039102546232706</v>
      </c>
      <c r="J302" s="46">
        <v>-8.6026072535970277E-2</v>
      </c>
    </row>
    <row r="303" spans="1:10" ht="11.25" customHeight="1" x14ac:dyDescent="0.2">
      <c r="A303" s="55">
        <v>44743</v>
      </c>
      <c r="B303" s="45">
        <v>0</v>
      </c>
      <c r="C303" s="45">
        <v>0</v>
      </c>
      <c r="D303" s="45">
        <v>519.93942000000004</v>
      </c>
      <c r="E303" s="45">
        <v>552.20859513945015</v>
      </c>
      <c r="F303" s="45">
        <v>441.58829000000003</v>
      </c>
      <c r="G303" s="45">
        <v>326.60266233474454</v>
      </c>
      <c r="H303" s="46">
        <v>6.2063336416096515E-2</v>
      </c>
      <c r="I303" s="46">
        <v>-0.26039102546232706</v>
      </c>
      <c r="J303" s="46">
        <v>-8.6026072535970277E-2</v>
      </c>
    </row>
    <row r="304" spans="1:10" ht="11.25" customHeight="1" x14ac:dyDescent="0.2">
      <c r="A304" s="48" t="s">
        <v>41</v>
      </c>
      <c r="B304" s="45">
        <v>0</v>
      </c>
      <c r="C304" s="45">
        <v>0</v>
      </c>
      <c r="D304" s="45">
        <v>1193433.5047559999</v>
      </c>
      <c r="E304" s="45">
        <v>1474662.2848709763</v>
      </c>
      <c r="F304" s="45">
        <v>822318.39180799993</v>
      </c>
      <c r="G304" s="45">
        <v>649668.15097940608</v>
      </c>
      <c r="H304" s="46">
        <v>0.23564679472650996</v>
      </c>
      <c r="I304" s="46">
        <v>-0.20995546560620415</v>
      </c>
      <c r="J304" s="46">
        <v>5.3865031441350908E-2</v>
      </c>
    </row>
    <row r="305" spans="1:10" ht="11.25" customHeight="1" x14ac:dyDescent="0.2">
      <c r="A305" s="49" t="s">
        <v>23</v>
      </c>
      <c r="B305" s="45">
        <v>0</v>
      </c>
      <c r="C305" s="45">
        <v>0</v>
      </c>
      <c r="D305" s="45">
        <v>1193433.5047559999</v>
      </c>
      <c r="E305" s="45">
        <v>1474662.2848709763</v>
      </c>
      <c r="F305" s="45">
        <v>822318.39180799993</v>
      </c>
      <c r="G305" s="45">
        <v>649668.15097940608</v>
      </c>
      <c r="H305" s="46">
        <v>0.23564679472650996</v>
      </c>
      <c r="I305" s="46">
        <v>-0.20995546560620415</v>
      </c>
      <c r="J305" s="46">
        <v>5.3865031441350908E-2</v>
      </c>
    </row>
    <row r="306" spans="1:10" ht="11.25" customHeight="1" x14ac:dyDescent="0.2">
      <c r="A306" s="50" t="s">
        <v>42</v>
      </c>
      <c r="B306" s="45">
        <v>0</v>
      </c>
      <c r="C306" s="45">
        <v>0</v>
      </c>
      <c r="D306" s="45">
        <v>1193433.5047559999</v>
      </c>
      <c r="E306" s="45">
        <v>1474662.2848709763</v>
      </c>
      <c r="F306" s="45">
        <v>822318.39180799993</v>
      </c>
      <c r="G306" s="45">
        <v>649668.15097940608</v>
      </c>
      <c r="H306" s="46">
        <v>0.23564679472650996</v>
      </c>
      <c r="I306" s="46">
        <v>-0.20995546560620415</v>
      </c>
      <c r="J306" s="46">
        <v>5.3865031441350908E-2</v>
      </c>
    </row>
    <row r="307" spans="1:10" ht="11.25" customHeight="1" x14ac:dyDescent="0.2">
      <c r="A307" s="51" t="s">
        <v>50</v>
      </c>
      <c r="B307" s="45">
        <v>0</v>
      </c>
      <c r="C307" s="45">
        <v>0</v>
      </c>
      <c r="D307" s="45">
        <v>2954.5023180000003</v>
      </c>
      <c r="E307" s="45">
        <v>3650.7213192487434</v>
      </c>
      <c r="F307" s="45">
        <v>2035.7578240000005</v>
      </c>
      <c r="G307" s="45">
        <v>1608.3393422006061</v>
      </c>
      <c r="H307" s="46">
        <v>0.23564679472650973</v>
      </c>
      <c r="I307" s="46">
        <v>-0.20995546560620482</v>
      </c>
      <c r="J307" s="46">
        <v>5.3865031441350686E-2</v>
      </c>
    </row>
    <row r="308" spans="1:10" ht="11.25" customHeight="1" x14ac:dyDescent="0.2">
      <c r="A308" s="52" t="s">
        <v>51</v>
      </c>
      <c r="B308" s="45">
        <v>0</v>
      </c>
      <c r="C308" s="45">
        <v>0</v>
      </c>
      <c r="D308" s="45">
        <v>1456.70739</v>
      </c>
      <c r="E308" s="45">
        <v>1799.9758173079201</v>
      </c>
      <c r="F308" s="45">
        <v>1003.72352</v>
      </c>
      <c r="G308" s="45">
        <v>792.98628101850159</v>
      </c>
      <c r="H308" s="46">
        <v>0.23564679472650996</v>
      </c>
      <c r="I308" s="46">
        <v>-0.20995546560620437</v>
      </c>
      <c r="J308" s="46">
        <v>5.3865031441350908E-2</v>
      </c>
    </row>
    <row r="309" spans="1:10" ht="11.25" customHeight="1" x14ac:dyDescent="0.2">
      <c r="A309" s="53" t="s">
        <v>25</v>
      </c>
      <c r="B309" s="45">
        <v>0</v>
      </c>
      <c r="C309" s="45">
        <v>0</v>
      </c>
      <c r="D309" s="45">
        <v>1456.70739</v>
      </c>
      <c r="E309" s="45">
        <v>1799.9758173079201</v>
      </c>
      <c r="F309" s="45">
        <v>1003.72352</v>
      </c>
      <c r="G309" s="45">
        <v>792.98628101850159</v>
      </c>
      <c r="H309" s="46">
        <v>0.23564679472650996</v>
      </c>
      <c r="I309" s="46">
        <v>-0.20995546560620437</v>
      </c>
      <c r="J309" s="46">
        <v>5.3865031441350908E-2</v>
      </c>
    </row>
    <row r="310" spans="1:10" ht="11.25" customHeight="1" x14ac:dyDescent="0.2">
      <c r="A310" s="54" t="s">
        <v>25</v>
      </c>
      <c r="B310" s="45">
        <v>0</v>
      </c>
      <c r="C310" s="45">
        <v>0</v>
      </c>
      <c r="D310" s="45">
        <v>1456.70739</v>
      </c>
      <c r="E310" s="45">
        <v>1799.9758173079201</v>
      </c>
      <c r="F310" s="45">
        <v>1003.72352</v>
      </c>
      <c r="G310" s="45">
        <v>792.98628101850159</v>
      </c>
      <c r="H310" s="46">
        <v>0.23564679472650996</v>
      </c>
      <c r="I310" s="46">
        <v>-0.20995546560620437</v>
      </c>
      <c r="J310" s="46">
        <v>5.3865031441350908E-2</v>
      </c>
    </row>
    <row r="311" spans="1:10" ht="11.25" customHeight="1" x14ac:dyDescent="0.2">
      <c r="A311" s="55">
        <v>44409</v>
      </c>
      <c r="B311" s="45">
        <v>0</v>
      </c>
      <c r="C311" s="45">
        <v>0</v>
      </c>
      <c r="D311" s="45">
        <v>92.500739999999993</v>
      </c>
      <c r="E311" s="45">
        <v>114.29824289083028</v>
      </c>
      <c r="F311" s="45">
        <v>63.736319999999999</v>
      </c>
      <c r="G311" s="45">
        <v>50.35453125837396</v>
      </c>
      <c r="H311" s="46">
        <v>0.23564679472651018</v>
      </c>
      <c r="I311" s="46">
        <v>-0.20995546560620437</v>
      </c>
      <c r="J311" s="46">
        <v>5.386503144135113E-2</v>
      </c>
    </row>
    <row r="312" spans="1:10" ht="11.25" customHeight="1" x14ac:dyDescent="0.2">
      <c r="A312" s="55">
        <v>44440</v>
      </c>
      <c r="B312" s="45">
        <v>0</v>
      </c>
      <c r="C312" s="45">
        <v>0</v>
      </c>
      <c r="D312" s="45">
        <v>91.06662</v>
      </c>
      <c r="E312" s="45">
        <v>112.52617710957711</v>
      </c>
      <c r="F312" s="45">
        <v>62.748159999999999</v>
      </c>
      <c r="G312" s="45">
        <v>49.573840851267391</v>
      </c>
      <c r="H312" s="46">
        <v>0.23564679472651018</v>
      </c>
      <c r="I312" s="46">
        <v>-0.20995546560620437</v>
      </c>
      <c r="J312" s="46">
        <v>5.386503144135113E-2</v>
      </c>
    </row>
    <row r="313" spans="1:10" ht="11.25" customHeight="1" x14ac:dyDescent="0.2">
      <c r="A313" s="55">
        <v>44470</v>
      </c>
      <c r="B313" s="45">
        <v>0</v>
      </c>
      <c r="C313" s="45">
        <v>0</v>
      </c>
      <c r="D313" s="45">
        <v>80.310719999999989</v>
      </c>
      <c r="E313" s="45">
        <v>99.235683750178225</v>
      </c>
      <c r="F313" s="45">
        <v>55.336959999999998</v>
      </c>
      <c r="G313" s="45">
        <v>43.718662797968094</v>
      </c>
      <c r="H313" s="46">
        <v>0.23564679472651018</v>
      </c>
      <c r="I313" s="46">
        <v>-0.20995546560620437</v>
      </c>
      <c r="J313" s="46">
        <v>5.386503144135113E-2</v>
      </c>
    </row>
    <row r="314" spans="1:10" ht="11.25" customHeight="1" x14ac:dyDescent="0.2">
      <c r="A314" s="55">
        <v>44501</v>
      </c>
      <c r="B314" s="45">
        <v>0</v>
      </c>
      <c r="C314" s="45">
        <v>0</v>
      </c>
      <c r="D314" s="45">
        <v>92.500739999999993</v>
      </c>
      <c r="E314" s="45">
        <v>114.29824289083028</v>
      </c>
      <c r="F314" s="45">
        <v>63.736319999999999</v>
      </c>
      <c r="G314" s="45">
        <v>50.35453125837396</v>
      </c>
      <c r="H314" s="46">
        <v>0.23564679472651018</v>
      </c>
      <c r="I314" s="46">
        <v>-0.20995546560620437</v>
      </c>
      <c r="J314" s="46">
        <v>5.386503144135113E-2</v>
      </c>
    </row>
    <row r="315" spans="1:10" ht="11.25" customHeight="1" x14ac:dyDescent="0.2">
      <c r="A315" s="55">
        <v>44531</v>
      </c>
      <c r="B315" s="45">
        <v>0</v>
      </c>
      <c r="C315" s="45">
        <v>0</v>
      </c>
      <c r="D315" s="45">
        <v>135.16580999999999</v>
      </c>
      <c r="E315" s="45">
        <v>167.01719988311245</v>
      </c>
      <c r="F315" s="45">
        <v>93.134079999999997</v>
      </c>
      <c r="G315" s="45">
        <v>73.580070869794511</v>
      </c>
      <c r="H315" s="46">
        <v>0.23564679472651018</v>
      </c>
      <c r="I315" s="46">
        <v>-0.20995546560620437</v>
      </c>
      <c r="J315" s="46">
        <v>5.3865031441350908E-2</v>
      </c>
    </row>
    <row r="316" spans="1:10" ht="11.25" customHeight="1" x14ac:dyDescent="0.2">
      <c r="A316" s="55">
        <v>44562</v>
      </c>
      <c r="B316" s="45">
        <v>0</v>
      </c>
      <c r="C316" s="45">
        <v>0</v>
      </c>
      <c r="D316" s="45">
        <v>113.29548</v>
      </c>
      <c r="E316" s="45">
        <v>139.99319671900142</v>
      </c>
      <c r="F316" s="45">
        <v>78.064639999999997</v>
      </c>
      <c r="G316" s="45">
        <v>61.674542161419268</v>
      </c>
      <c r="H316" s="46">
        <v>0.23564679472650996</v>
      </c>
      <c r="I316" s="46">
        <v>-0.20995546560620437</v>
      </c>
      <c r="J316" s="46">
        <v>5.386503144135113E-2</v>
      </c>
    </row>
    <row r="317" spans="1:10" ht="11.25" customHeight="1" x14ac:dyDescent="0.2">
      <c r="A317" s="55">
        <v>44593</v>
      </c>
      <c r="B317" s="45">
        <v>0</v>
      </c>
      <c r="C317" s="45">
        <v>0</v>
      </c>
      <c r="D317" s="45">
        <v>218.70329999999998</v>
      </c>
      <c r="E317" s="45">
        <v>270.24003164111036</v>
      </c>
      <c r="F317" s="45">
        <v>150.6944</v>
      </c>
      <c r="G317" s="45">
        <v>119.05528708375239</v>
      </c>
      <c r="H317" s="46">
        <v>0.23564679472651018</v>
      </c>
      <c r="I317" s="46">
        <v>-0.20995546560620437</v>
      </c>
      <c r="J317" s="46">
        <v>5.386503144135113E-2</v>
      </c>
    </row>
    <row r="318" spans="1:10" ht="11.25" customHeight="1" x14ac:dyDescent="0.2">
      <c r="A318" s="55">
        <v>44621</v>
      </c>
      <c r="B318" s="45">
        <v>0</v>
      </c>
      <c r="C318" s="45">
        <v>0</v>
      </c>
      <c r="D318" s="45">
        <v>82.103369999999998</v>
      </c>
      <c r="E318" s="45">
        <v>101.45076597674471</v>
      </c>
      <c r="F318" s="45">
        <v>56.572160000000004</v>
      </c>
      <c r="G318" s="45">
        <v>44.69452580685131</v>
      </c>
      <c r="H318" s="46">
        <v>0.23564679472651018</v>
      </c>
      <c r="I318" s="46">
        <v>-0.20995546560620437</v>
      </c>
      <c r="J318" s="46">
        <v>5.3865031441350908E-2</v>
      </c>
    </row>
    <row r="319" spans="1:10" ht="11.25" customHeight="1" x14ac:dyDescent="0.2">
      <c r="A319" s="55">
        <v>44652</v>
      </c>
      <c r="B319" s="45">
        <v>0</v>
      </c>
      <c r="C319" s="45">
        <v>0</v>
      </c>
      <c r="D319" s="45">
        <v>107.20046999999998</v>
      </c>
      <c r="E319" s="45">
        <v>132.46191714867541</v>
      </c>
      <c r="F319" s="45">
        <v>73.864959999999996</v>
      </c>
      <c r="G319" s="45">
        <v>58.356607931216331</v>
      </c>
      <c r="H319" s="46">
        <v>0.2356467947265104</v>
      </c>
      <c r="I319" s="46">
        <v>-0.20995546560620448</v>
      </c>
      <c r="J319" s="46">
        <v>5.386503144135113E-2</v>
      </c>
    </row>
    <row r="320" spans="1:10" ht="11.25" customHeight="1" x14ac:dyDescent="0.2">
      <c r="A320" s="55">
        <v>44682</v>
      </c>
      <c r="B320" s="45">
        <v>0</v>
      </c>
      <c r="C320" s="45">
        <v>0</v>
      </c>
      <c r="D320" s="45">
        <v>71.706000000000003</v>
      </c>
      <c r="E320" s="45">
        <v>88.603289062659144</v>
      </c>
      <c r="F320" s="45">
        <v>49.408000000000001</v>
      </c>
      <c r="G320" s="45">
        <v>39.034520355328652</v>
      </c>
      <c r="H320" s="46">
        <v>0.23564679472651018</v>
      </c>
      <c r="I320" s="46">
        <v>-0.20995546560620448</v>
      </c>
      <c r="J320" s="46">
        <v>5.386503144135113E-2</v>
      </c>
    </row>
    <row r="321" spans="1:10" ht="11.25" customHeight="1" x14ac:dyDescent="0.2">
      <c r="A321" s="55">
        <v>44713</v>
      </c>
      <c r="B321" s="45">
        <v>0</v>
      </c>
      <c r="C321" s="45">
        <v>0</v>
      </c>
      <c r="D321" s="45">
        <v>186.07706999999999</v>
      </c>
      <c r="E321" s="45">
        <v>229.92553511760045</v>
      </c>
      <c r="F321" s="45">
        <v>128.21376000000001</v>
      </c>
      <c r="G321" s="45">
        <v>101.29458032207786</v>
      </c>
      <c r="H321" s="46">
        <v>0.23564679472651018</v>
      </c>
      <c r="I321" s="46">
        <v>-0.20995546560620437</v>
      </c>
      <c r="J321" s="46">
        <v>5.3865031441350908E-2</v>
      </c>
    </row>
    <row r="322" spans="1:10" ht="11.25" customHeight="1" x14ac:dyDescent="0.2">
      <c r="A322" s="55">
        <v>44743</v>
      </c>
      <c r="B322" s="45">
        <v>0</v>
      </c>
      <c r="C322" s="45">
        <v>0</v>
      </c>
      <c r="D322" s="45">
        <v>186.07706999999999</v>
      </c>
      <c r="E322" s="45">
        <v>229.92553511760045</v>
      </c>
      <c r="F322" s="45">
        <v>128.21376000000001</v>
      </c>
      <c r="G322" s="45">
        <v>101.29458032207786</v>
      </c>
      <c r="H322" s="46">
        <v>0.23564679472651018</v>
      </c>
      <c r="I322" s="46">
        <v>-0.20995546560620437</v>
      </c>
      <c r="J322" s="46">
        <v>5.3865031441350908E-2</v>
      </c>
    </row>
    <row r="323" spans="1:10" ht="11.25" customHeight="1" x14ac:dyDescent="0.2">
      <c r="A323" s="52" t="s">
        <v>52</v>
      </c>
      <c r="B323" s="45">
        <v>0</v>
      </c>
      <c r="C323" s="45">
        <v>0</v>
      </c>
      <c r="D323" s="45">
        <v>1497.7949279999996</v>
      </c>
      <c r="E323" s="45">
        <v>1850.7455019408242</v>
      </c>
      <c r="F323" s="45">
        <v>1032.034304</v>
      </c>
      <c r="G323" s="45">
        <v>815.35306118210497</v>
      </c>
      <c r="H323" s="46">
        <v>0.23564679472651062</v>
      </c>
      <c r="I323" s="46">
        <v>-0.20995546560620437</v>
      </c>
      <c r="J323" s="46">
        <v>5.3865031441351352E-2</v>
      </c>
    </row>
    <row r="324" spans="1:10" ht="11.25" customHeight="1" x14ac:dyDescent="0.2">
      <c r="A324" s="53" t="s">
        <v>25</v>
      </c>
      <c r="B324" s="45">
        <v>0</v>
      </c>
      <c r="C324" s="45">
        <v>0</v>
      </c>
      <c r="D324" s="45">
        <v>1497.7949279999996</v>
      </c>
      <c r="E324" s="45">
        <v>1850.7455019408242</v>
      </c>
      <c r="F324" s="45">
        <v>1032.034304</v>
      </c>
      <c r="G324" s="45">
        <v>815.35306118210497</v>
      </c>
      <c r="H324" s="46">
        <v>0.23564679472651062</v>
      </c>
      <c r="I324" s="46">
        <v>-0.20995546560620437</v>
      </c>
      <c r="J324" s="46">
        <v>5.3865031441351352E-2</v>
      </c>
    </row>
    <row r="325" spans="1:10" ht="11.25" customHeight="1" x14ac:dyDescent="0.2">
      <c r="A325" s="54" t="s">
        <v>25</v>
      </c>
      <c r="B325" s="45">
        <v>0</v>
      </c>
      <c r="C325" s="45">
        <v>0</v>
      </c>
      <c r="D325" s="45">
        <v>1497.7949279999996</v>
      </c>
      <c r="E325" s="45">
        <v>1850.7455019408242</v>
      </c>
      <c r="F325" s="45">
        <v>1032.034304</v>
      </c>
      <c r="G325" s="45">
        <v>815.35306118210497</v>
      </c>
      <c r="H325" s="46">
        <v>0.23564679472651062</v>
      </c>
      <c r="I325" s="46">
        <v>-0.20995546560620437</v>
      </c>
      <c r="J325" s="46">
        <v>5.3865031441351352E-2</v>
      </c>
    </row>
    <row r="326" spans="1:10" ht="11.25" customHeight="1" x14ac:dyDescent="0.2">
      <c r="A326" s="55">
        <v>44409</v>
      </c>
      <c r="B326" s="45">
        <v>0</v>
      </c>
      <c r="C326" s="45">
        <v>0</v>
      </c>
      <c r="D326" s="45">
        <v>53.636088000000001</v>
      </c>
      <c r="E326" s="45">
        <v>66.275260218869036</v>
      </c>
      <c r="F326" s="45">
        <v>36.957183999999998</v>
      </c>
      <c r="G326" s="45">
        <v>29.197821225785834</v>
      </c>
      <c r="H326" s="46">
        <v>0.23564679472651018</v>
      </c>
      <c r="I326" s="46">
        <v>-0.20995546560620437</v>
      </c>
      <c r="J326" s="46">
        <v>5.386503144135113E-2</v>
      </c>
    </row>
    <row r="327" spans="1:10" ht="11.25" customHeight="1" x14ac:dyDescent="0.2">
      <c r="A327" s="55">
        <v>44440</v>
      </c>
      <c r="B327" s="45">
        <v>0</v>
      </c>
      <c r="C327" s="45">
        <v>0</v>
      </c>
      <c r="D327" s="45">
        <v>68.407523999999995</v>
      </c>
      <c r="E327" s="45">
        <v>84.527537765776813</v>
      </c>
      <c r="F327" s="45">
        <v>47.135231999999995</v>
      </c>
      <c r="G327" s="45">
        <v>37.238932418983531</v>
      </c>
      <c r="H327" s="46">
        <v>0.23564679472651018</v>
      </c>
      <c r="I327" s="46">
        <v>-0.20995546560620437</v>
      </c>
      <c r="J327" s="46">
        <v>5.386503144135113E-2</v>
      </c>
    </row>
    <row r="328" spans="1:10" ht="11.25" customHeight="1" x14ac:dyDescent="0.2">
      <c r="A328" s="55">
        <v>44470</v>
      </c>
      <c r="B328" s="45">
        <v>0</v>
      </c>
      <c r="C328" s="45">
        <v>0</v>
      </c>
      <c r="D328" s="45">
        <v>59.946215999999993</v>
      </c>
      <c r="E328" s="45">
        <v>74.072349656383025</v>
      </c>
      <c r="F328" s="45">
        <v>41.305087999999998</v>
      </c>
      <c r="G328" s="45">
        <v>32.632859017054749</v>
      </c>
      <c r="H328" s="46">
        <v>0.23564679472651018</v>
      </c>
      <c r="I328" s="46">
        <v>-0.20995546560620448</v>
      </c>
      <c r="J328" s="46">
        <v>5.3865031441350908E-2</v>
      </c>
    </row>
    <row r="329" spans="1:10" ht="11.25" customHeight="1" x14ac:dyDescent="0.2">
      <c r="A329" s="55">
        <v>44501</v>
      </c>
      <c r="B329" s="45">
        <v>0</v>
      </c>
      <c r="C329" s="45">
        <v>0</v>
      </c>
      <c r="D329" s="45">
        <v>143.69882399999997</v>
      </c>
      <c r="E329" s="45">
        <v>177.5609912815689</v>
      </c>
      <c r="F329" s="45">
        <v>99.013632000000001</v>
      </c>
      <c r="G329" s="45">
        <v>78.225178792078623</v>
      </c>
      <c r="H329" s="46">
        <v>0.2356467947265104</v>
      </c>
      <c r="I329" s="46">
        <v>-0.20995546560620437</v>
      </c>
      <c r="J329" s="46">
        <v>5.386503144135113E-2</v>
      </c>
    </row>
    <row r="330" spans="1:10" ht="11.25" customHeight="1" x14ac:dyDescent="0.2">
      <c r="A330" s="55">
        <v>44531</v>
      </c>
      <c r="B330" s="45">
        <v>0</v>
      </c>
      <c r="C330" s="45">
        <v>0</v>
      </c>
      <c r="D330" s="45">
        <v>475.41077999999999</v>
      </c>
      <c r="E330" s="45">
        <v>587.43980648543004</v>
      </c>
      <c r="F330" s="45">
        <v>327.57504</v>
      </c>
      <c r="G330" s="45">
        <v>258.79886995582899</v>
      </c>
      <c r="H330" s="46">
        <v>0.23564679472651018</v>
      </c>
      <c r="I330" s="46">
        <v>-0.20995546560620437</v>
      </c>
      <c r="J330" s="46">
        <v>5.386503144135113E-2</v>
      </c>
    </row>
    <row r="331" spans="1:10" ht="11.25" customHeight="1" x14ac:dyDescent="0.2">
      <c r="A331" s="55">
        <v>44562</v>
      </c>
      <c r="B331" s="45">
        <v>0</v>
      </c>
      <c r="C331" s="45">
        <v>0</v>
      </c>
      <c r="D331" s="45">
        <v>268.61067599999996</v>
      </c>
      <c r="E331" s="45">
        <v>331.9079208287211</v>
      </c>
      <c r="F331" s="45">
        <v>185.082368</v>
      </c>
      <c r="G331" s="45">
        <v>146.22331325106111</v>
      </c>
      <c r="H331" s="46">
        <v>0.23564679472651018</v>
      </c>
      <c r="I331" s="46">
        <v>-0.20995546560620448</v>
      </c>
      <c r="J331" s="46">
        <v>5.3865031441350908E-2</v>
      </c>
    </row>
    <row r="332" spans="1:10" ht="11.25" customHeight="1" x14ac:dyDescent="0.2">
      <c r="A332" s="55">
        <v>44593</v>
      </c>
      <c r="B332" s="45">
        <v>0</v>
      </c>
      <c r="C332" s="45">
        <v>0</v>
      </c>
      <c r="D332" s="45">
        <v>124.625028</v>
      </c>
      <c r="E332" s="45">
        <v>153.99251639090159</v>
      </c>
      <c r="F332" s="45">
        <v>85.871104000000003</v>
      </c>
      <c r="G332" s="45">
        <v>67.841996377561202</v>
      </c>
      <c r="H332" s="46">
        <v>0.23564679472651018</v>
      </c>
      <c r="I332" s="46">
        <v>-0.20995546560620437</v>
      </c>
      <c r="J332" s="46">
        <v>5.386503144135113E-2</v>
      </c>
    </row>
    <row r="333" spans="1:10" ht="11.25" customHeight="1" x14ac:dyDescent="0.2">
      <c r="A333" s="55">
        <v>44621</v>
      </c>
      <c r="B333" s="45">
        <v>0</v>
      </c>
      <c r="C333" s="45">
        <v>0</v>
      </c>
      <c r="D333" s="45">
        <v>76.72542</v>
      </c>
      <c r="E333" s="45">
        <v>94.805519297045265</v>
      </c>
      <c r="F333" s="45">
        <v>52.86656</v>
      </c>
      <c r="G333" s="45">
        <v>41.766936780201654</v>
      </c>
      <c r="H333" s="46">
        <v>0.23564679472650996</v>
      </c>
      <c r="I333" s="46">
        <v>-0.20995546560620448</v>
      </c>
      <c r="J333" s="46">
        <v>5.3865031441350908E-2</v>
      </c>
    </row>
    <row r="334" spans="1:10" ht="11.25" customHeight="1" x14ac:dyDescent="0.2">
      <c r="A334" s="55">
        <v>44652</v>
      </c>
      <c r="B334" s="45">
        <v>0</v>
      </c>
      <c r="C334" s="45">
        <v>0</v>
      </c>
      <c r="D334" s="45">
        <v>43.167011999999993</v>
      </c>
      <c r="E334" s="45">
        <v>53.339180015720792</v>
      </c>
      <c r="F334" s="45">
        <v>29.743615999999996</v>
      </c>
      <c r="G334" s="45">
        <v>23.498781253907847</v>
      </c>
      <c r="H334" s="46">
        <v>0.23564679472651018</v>
      </c>
      <c r="I334" s="46">
        <v>-0.20995546560620437</v>
      </c>
      <c r="J334" s="46">
        <v>5.386503144135113E-2</v>
      </c>
    </row>
    <row r="335" spans="1:10" ht="11.25" customHeight="1" x14ac:dyDescent="0.2">
      <c r="A335" s="55">
        <v>44682</v>
      </c>
      <c r="B335" s="45">
        <v>0</v>
      </c>
      <c r="C335" s="45">
        <v>0</v>
      </c>
      <c r="D335" s="45">
        <v>28.682399999999998</v>
      </c>
      <c r="E335" s="45">
        <v>35.441315625063652</v>
      </c>
      <c r="F335" s="45">
        <v>19.763200000000001</v>
      </c>
      <c r="G335" s="45">
        <v>15.613808142131461</v>
      </c>
      <c r="H335" s="46">
        <v>0.23564679472651018</v>
      </c>
      <c r="I335" s="46">
        <v>-0.20995546560620448</v>
      </c>
      <c r="J335" s="46">
        <v>5.3865031441350908E-2</v>
      </c>
    </row>
    <row r="336" spans="1:10" ht="11.25" customHeight="1" x14ac:dyDescent="0.2">
      <c r="A336" s="55">
        <v>44713</v>
      </c>
      <c r="B336" s="45">
        <v>0</v>
      </c>
      <c r="C336" s="45">
        <v>0</v>
      </c>
      <c r="D336" s="45">
        <v>77.442479999999989</v>
      </c>
      <c r="E336" s="45">
        <v>95.69155218767186</v>
      </c>
      <c r="F336" s="45">
        <v>53.360639999999997</v>
      </c>
      <c r="G336" s="45">
        <v>42.157281983754942</v>
      </c>
      <c r="H336" s="46">
        <v>0.23564679472651018</v>
      </c>
      <c r="I336" s="46">
        <v>-0.20995546560620437</v>
      </c>
      <c r="J336" s="46">
        <v>5.386503144135113E-2</v>
      </c>
    </row>
    <row r="337" spans="1:10" ht="11.25" customHeight="1" x14ac:dyDescent="0.2">
      <c r="A337" s="55">
        <v>44743</v>
      </c>
      <c r="B337" s="45">
        <v>0</v>
      </c>
      <c r="C337" s="45">
        <v>0</v>
      </c>
      <c r="D337" s="45">
        <v>77.442479999999989</v>
      </c>
      <c r="E337" s="45">
        <v>95.69155218767186</v>
      </c>
      <c r="F337" s="45">
        <v>53.360639999999997</v>
      </c>
      <c r="G337" s="45">
        <v>42.157281983754942</v>
      </c>
      <c r="H337" s="46">
        <v>0.23564679472651018</v>
      </c>
      <c r="I337" s="46">
        <v>-0.20995546560620437</v>
      </c>
      <c r="J337" s="46">
        <v>5.386503144135113E-2</v>
      </c>
    </row>
    <row r="338" spans="1:10" ht="11.25" customHeight="1" x14ac:dyDescent="0.2">
      <c r="A338" s="51" t="s">
        <v>53</v>
      </c>
      <c r="B338" s="45">
        <v>0</v>
      </c>
      <c r="C338" s="45">
        <v>0</v>
      </c>
      <c r="D338" s="45">
        <v>413.24167799999998</v>
      </c>
      <c r="E338" s="45">
        <v>510.6207548681046</v>
      </c>
      <c r="F338" s="45">
        <v>284.73830399999997</v>
      </c>
      <c r="G338" s="45">
        <v>224.95594080775902</v>
      </c>
      <c r="H338" s="46">
        <v>0.23564679472651018</v>
      </c>
      <c r="I338" s="46">
        <v>-0.20995546560620437</v>
      </c>
      <c r="J338" s="46">
        <v>5.386503144135113E-2</v>
      </c>
    </row>
    <row r="339" spans="1:10" ht="11.25" customHeight="1" x14ac:dyDescent="0.2">
      <c r="A339" s="52" t="s">
        <v>51</v>
      </c>
      <c r="B339" s="45">
        <v>0</v>
      </c>
      <c r="C339" s="45">
        <v>0</v>
      </c>
      <c r="D339" s="45">
        <v>211.17416999999998</v>
      </c>
      <c r="E339" s="45">
        <v>260.93668628953117</v>
      </c>
      <c r="F339" s="45">
        <v>145.50655999999998</v>
      </c>
      <c r="G339" s="45">
        <v>114.95666244644288</v>
      </c>
      <c r="H339" s="46">
        <v>0.2356467947265104</v>
      </c>
      <c r="I339" s="46">
        <v>-0.20995546560620437</v>
      </c>
      <c r="J339" s="46">
        <v>5.386503144135113E-2</v>
      </c>
    </row>
    <row r="340" spans="1:10" ht="11.25" customHeight="1" x14ac:dyDescent="0.2">
      <c r="A340" s="53" t="s">
        <v>25</v>
      </c>
      <c r="B340" s="45">
        <v>0</v>
      </c>
      <c r="C340" s="45">
        <v>0</v>
      </c>
      <c r="D340" s="45">
        <v>211.17416999999998</v>
      </c>
      <c r="E340" s="45">
        <v>260.93668628953117</v>
      </c>
      <c r="F340" s="45">
        <v>145.50655999999998</v>
      </c>
      <c r="G340" s="45">
        <v>114.95666244644288</v>
      </c>
      <c r="H340" s="46">
        <v>0.2356467947265104</v>
      </c>
      <c r="I340" s="46">
        <v>-0.20995546560620437</v>
      </c>
      <c r="J340" s="46">
        <v>5.386503144135113E-2</v>
      </c>
    </row>
    <row r="341" spans="1:10" ht="11.25" customHeight="1" x14ac:dyDescent="0.2">
      <c r="A341" s="54" t="s">
        <v>25</v>
      </c>
      <c r="B341" s="45">
        <v>0</v>
      </c>
      <c r="C341" s="45">
        <v>0</v>
      </c>
      <c r="D341" s="45">
        <v>211.17416999999998</v>
      </c>
      <c r="E341" s="45">
        <v>260.93668628953117</v>
      </c>
      <c r="F341" s="45">
        <v>145.50655999999998</v>
      </c>
      <c r="G341" s="45">
        <v>114.95666244644288</v>
      </c>
      <c r="H341" s="46">
        <v>0.2356467947265104</v>
      </c>
      <c r="I341" s="46">
        <v>-0.20995546560620437</v>
      </c>
      <c r="J341" s="46">
        <v>5.386503144135113E-2</v>
      </c>
    </row>
    <row r="342" spans="1:10" ht="11.25" customHeight="1" x14ac:dyDescent="0.2">
      <c r="A342" s="55">
        <v>44409</v>
      </c>
      <c r="B342" s="45">
        <v>0</v>
      </c>
      <c r="C342" s="45">
        <v>0</v>
      </c>
      <c r="D342" s="45">
        <v>177.83087999999998</v>
      </c>
      <c r="E342" s="45">
        <v>219.73615687539464</v>
      </c>
      <c r="F342" s="45">
        <v>122.53183999999999</v>
      </c>
      <c r="G342" s="45">
        <v>96.805610481215055</v>
      </c>
      <c r="H342" s="46">
        <v>0.23564679472651018</v>
      </c>
      <c r="I342" s="46">
        <v>-0.20995546560620437</v>
      </c>
      <c r="J342" s="46">
        <v>5.386503144135113E-2</v>
      </c>
    </row>
    <row r="343" spans="1:10" ht="11.25" customHeight="1" x14ac:dyDescent="0.2">
      <c r="A343" s="55">
        <v>44440</v>
      </c>
      <c r="B343" s="45">
        <v>0</v>
      </c>
      <c r="C343" s="45">
        <v>0</v>
      </c>
      <c r="D343" s="45">
        <v>33.343289999999996</v>
      </c>
      <c r="E343" s="45">
        <v>41.200529414136497</v>
      </c>
      <c r="F343" s="45">
        <v>22.974719999999998</v>
      </c>
      <c r="G343" s="45">
        <v>18.151051965227822</v>
      </c>
      <c r="H343" s="46">
        <v>0.23564679472651018</v>
      </c>
      <c r="I343" s="46">
        <v>-0.20995546560620437</v>
      </c>
      <c r="J343" s="46">
        <v>5.386503144135113E-2</v>
      </c>
    </row>
    <row r="344" spans="1:10" ht="11.25" customHeight="1" x14ac:dyDescent="0.2">
      <c r="A344" s="52" t="s">
        <v>52</v>
      </c>
      <c r="B344" s="45">
        <v>0</v>
      </c>
      <c r="C344" s="45">
        <v>0</v>
      </c>
      <c r="D344" s="45">
        <v>202.06750799999998</v>
      </c>
      <c r="E344" s="45">
        <v>249.6840685785734</v>
      </c>
      <c r="F344" s="45">
        <v>139.23174399999999</v>
      </c>
      <c r="G344" s="45">
        <v>109.99927836131613</v>
      </c>
      <c r="H344" s="46">
        <v>0.23564679472651018</v>
      </c>
      <c r="I344" s="46">
        <v>-0.20995546560620448</v>
      </c>
      <c r="J344" s="46">
        <v>5.3865031441350908E-2</v>
      </c>
    </row>
    <row r="345" spans="1:10" ht="11.25" customHeight="1" x14ac:dyDescent="0.2">
      <c r="A345" s="53" t="s">
        <v>25</v>
      </c>
      <c r="B345" s="45">
        <v>0</v>
      </c>
      <c r="C345" s="45">
        <v>0</v>
      </c>
      <c r="D345" s="45">
        <v>202.06750799999998</v>
      </c>
      <c r="E345" s="45">
        <v>249.6840685785734</v>
      </c>
      <c r="F345" s="45">
        <v>139.23174399999999</v>
      </c>
      <c r="G345" s="45">
        <v>109.99927836131613</v>
      </c>
      <c r="H345" s="46">
        <v>0.23564679472651018</v>
      </c>
      <c r="I345" s="46">
        <v>-0.20995546560620448</v>
      </c>
      <c r="J345" s="46">
        <v>5.3865031441350908E-2</v>
      </c>
    </row>
    <row r="346" spans="1:10" ht="11.25" customHeight="1" x14ac:dyDescent="0.2">
      <c r="A346" s="54" t="s">
        <v>25</v>
      </c>
      <c r="B346" s="45">
        <v>0</v>
      </c>
      <c r="C346" s="45">
        <v>0</v>
      </c>
      <c r="D346" s="45">
        <v>202.06750799999998</v>
      </c>
      <c r="E346" s="45">
        <v>249.6840685785734</v>
      </c>
      <c r="F346" s="45">
        <v>139.23174399999999</v>
      </c>
      <c r="G346" s="45">
        <v>109.99927836131613</v>
      </c>
      <c r="H346" s="46">
        <v>0.23564679472651018</v>
      </c>
      <c r="I346" s="46">
        <v>-0.20995546560620448</v>
      </c>
      <c r="J346" s="46">
        <v>5.3865031441350908E-2</v>
      </c>
    </row>
    <row r="347" spans="1:10" ht="11.25" customHeight="1" x14ac:dyDescent="0.2">
      <c r="A347" s="55">
        <v>44409</v>
      </c>
      <c r="B347" s="45">
        <v>0</v>
      </c>
      <c r="C347" s="45">
        <v>0</v>
      </c>
      <c r="D347" s="45">
        <v>201.06362399999998</v>
      </c>
      <c r="E347" s="45">
        <v>248.44362253169618</v>
      </c>
      <c r="F347" s="45">
        <v>138.540032</v>
      </c>
      <c r="G347" s="45">
        <v>109.45279507634153</v>
      </c>
      <c r="H347" s="46">
        <v>0.23564679472651018</v>
      </c>
      <c r="I347" s="46">
        <v>-0.20995546560620448</v>
      </c>
      <c r="J347" s="46">
        <v>5.3865031441350908E-2</v>
      </c>
    </row>
    <row r="348" spans="1:10" ht="11.25" customHeight="1" x14ac:dyDescent="0.2">
      <c r="A348" s="55">
        <v>44440</v>
      </c>
      <c r="B348" s="45">
        <v>0</v>
      </c>
      <c r="C348" s="45">
        <v>0</v>
      </c>
      <c r="D348" s="45">
        <v>1.003884</v>
      </c>
      <c r="E348" s="45">
        <v>1.2404460468772278</v>
      </c>
      <c r="F348" s="45">
        <v>0.69171199999999999</v>
      </c>
      <c r="G348" s="45">
        <v>0.54648328497460108</v>
      </c>
      <c r="H348" s="46">
        <v>0.23564679472650996</v>
      </c>
      <c r="I348" s="46">
        <v>-0.20995546560620448</v>
      </c>
      <c r="J348" s="46">
        <v>5.3865031441350908E-2</v>
      </c>
    </row>
    <row r="349" spans="1:10" ht="11.25" customHeight="1" x14ac:dyDescent="0.2">
      <c r="A349" s="51" t="s">
        <v>25</v>
      </c>
      <c r="B349" s="45">
        <v>0</v>
      </c>
      <c r="C349" s="45">
        <v>0</v>
      </c>
      <c r="D349" s="45">
        <v>1190065.76076</v>
      </c>
      <c r="E349" s="45">
        <v>1470500.9427968597</v>
      </c>
      <c r="F349" s="45">
        <v>819997.89567999996</v>
      </c>
      <c r="G349" s="45">
        <v>647834.85569639772</v>
      </c>
      <c r="H349" s="46">
        <v>0.23564679472650996</v>
      </c>
      <c r="I349" s="46">
        <v>-0.20995546560620437</v>
      </c>
      <c r="J349" s="46">
        <v>5.386503144135113E-2</v>
      </c>
    </row>
    <row r="350" spans="1:10" ht="11.25" customHeight="1" x14ac:dyDescent="0.2">
      <c r="A350" s="52" t="s">
        <v>25</v>
      </c>
      <c r="B350" s="45">
        <v>0</v>
      </c>
      <c r="C350" s="45">
        <v>0</v>
      </c>
      <c r="D350" s="45">
        <v>1190065.76076</v>
      </c>
      <c r="E350" s="45">
        <v>1470500.9427968597</v>
      </c>
      <c r="F350" s="45">
        <v>819997.89567999996</v>
      </c>
      <c r="G350" s="45">
        <v>647834.85569639772</v>
      </c>
      <c r="H350" s="46">
        <v>0.23564679472650996</v>
      </c>
      <c r="I350" s="46">
        <v>-0.20995546560620437</v>
      </c>
      <c r="J350" s="46">
        <v>5.386503144135113E-2</v>
      </c>
    </row>
    <row r="351" spans="1:10" ht="11.25" customHeight="1" x14ac:dyDescent="0.2">
      <c r="A351" s="53" t="s">
        <v>25</v>
      </c>
      <c r="B351" s="45">
        <v>0</v>
      </c>
      <c r="C351" s="45">
        <v>0</v>
      </c>
      <c r="D351" s="45">
        <v>1190065.76076</v>
      </c>
      <c r="E351" s="45">
        <v>1470500.9427968597</v>
      </c>
      <c r="F351" s="45">
        <v>819997.89567999996</v>
      </c>
      <c r="G351" s="45">
        <v>647834.85569639772</v>
      </c>
      <c r="H351" s="46">
        <v>0.23564679472650996</v>
      </c>
      <c r="I351" s="46">
        <v>-0.20995546560620437</v>
      </c>
      <c r="J351" s="46">
        <v>5.386503144135113E-2</v>
      </c>
    </row>
    <row r="352" spans="1:10" ht="11.25" customHeight="1" x14ac:dyDescent="0.2">
      <c r="A352" s="54" t="s">
        <v>25</v>
      </c>
      <c r="B352" s="45">
        <v>0</v>
      </c>
      <c r="C352" s="45">
        <v>0</v>
      </c>
      <c r="D352" s="45">
        <v>1190065.76076</v>
      </c>
      <c r="E352" s="45">
        <v>1470500.9427968597</v>
      </c>
      <c r="F352" s="45">
        <v>819997.89567999996</v>
      </c>
      <c r="G352" s="45">
        <v>647834.85569639772</v>
      </c>
      <c r="H352" s="46">
        <v>0.23564679472650996</v>
      </c>
      <c r="I352" s="46">
        <v>-0.20995546560620437</v>
      </c>
      <c r="J352" s="46">
        <v>5.386503144135113E-2</v>
      </c>
    </row>
    <row r="353" spans="1:10" ht="11.25" customHeight="1" x14ac:dyDescent="0.2">
      <c r="A353" s="55">
        <v>44409</v>
      </c>
      <c r="B353" s="45">
        <v>0</v>
      </c>
      <c r="C353" s="45">
        <v>0</v>
      </c>
      <c r="D353" s="45">
        <v>99270.503459999993</v>
      </c>
      <c r="E353" s="45">
        <v>122663.27941123594</v>
      </c>
      <c r="F353" s="45">
        <v>68400.929279999997</v>
      </c>
      <c r="G353" s="45">
        <v>54039.780325120541</v>
      </c>
      <c r="H353" s="46">
        <v>0.2356467947265104</v>
      </c>
      <c r="I353" s="46">
        <v>-0.20995546560620437</v>
      </c>
      <c r="J353" s="46">
        <v>5.386503144135113E-2</v>
      </c>
    </row>
    <row r="354" spans="1:10" ht="11.25" customHeight="1" x14ac:dyDescent="0.2">
      <c r="A354" s="55">
        <v>44440</v>
      </c>
      <c r="B354" s="45">
        <v>0</v>
      </c>
      <c r="C354" s="45">
        <v>0</v>
      </c>
      <c r="D354" s="45">
        <v>99226.762799999982</v>
      </c>
      <c r="E354" s="45">
        <v>122609.23140490771</v>
      </c>
      <c r="F354" s="45">
        <v>68370.790399999998</v>
      </c>
      <c r="G354" s="45">
        <v>54015.969267703789</v>
      </c>
      <c r="H354" s="46">
        <v>0.2356467947265104</v>
      </c>
      <c r="I354" s="46">
        <v>-0.20995546560620437</v>
      </c>
      <c r="J354" s="46">
        <v>5.3865031441351352E-2</v>
      </c>
    </row>
    <row r="355" spans="1:10" ht="11.25" customHeight="1" x14ac:dyDescent="0.2">
      <c r="A355" s="55">
        <v>44470</v>
      </c>
      <c r="B355" s="45">
        <v>0</v>
      </c>
      <c r="C355" s="45">
        <v>0</v>
      </c>
      <c r="D355" s="45">
        <v>96907.073699999994</v>
      </c>
      <c r="E355" s="45">
        <v>119742.91500373068</v>
      </c>
      <c r="F355" s="45">
        <v>66772.441600000006</v>
      </c>
      <c r="G355" s="45">
        <v>52753.202534208904</v>
      </c>
      <c r="H355" s="46">
        <v>0.23564679472651018</v>
      </c>
      <c r="I355" s="46">
        <v>-0.20995546560620448</v>
      </c>
      <c r="J355" s="46">
        <v>5.3865031441350908E-2</v>
      </c>
    </row>
    <row r="356" spans="1:10" ht="11.25" customHeight="1" x14ac:dyDescent="0.2">
      <c r="A356" s="55">
        <v>44501</v>
      </c>
      <c r="B356" s="45">
        <v>0</v>
      </c>
      <c r="C356" s="45">
        <v>0</v>
      </c>
      <c r="D356" s="45">
        <v>102051.26213999998</v>
      </c>
      <c r="E356" s="45">
        <v>126099.31496108584</v>
      </c>
      <c r="F356" s="45">
        <v>70316.971519999992</v>
      </c>
      <c r="G356" s="45">
        <v>55553.539024500184</v>
      </c>
      <c r="H356" s="46">
        <v>0.23564679472651018</v>
      </c>
      <c r="I356" s="46">
        <v>-0.20995546560620437</v>
      </c>
      <c r="J356" s="46">
        <v>5.386503144135113E-2</v>
      </c>
    </row>
    <row r="357" spans="1:10" ht="11.25" customHeight="1" x14ac:dyDescent="0.2">
      <c r="A357" s="55">
        <v>44531</v>
      </c>
      <c r="B357" s="45">
        <v>0</v>
      </c>
      <c r="C357" s="45">
        <v>0</v>
      </c>
      <c r="D357" s="45">
        <v>103507.611</v>
      </c>
      <c r="E357" s="45">
        <v>127898.84776194846</v>
      </c>
      <c r="F357" s="45">
        <v>71320.447999999989</v>
      </c>
      <c r="G357" s="45">
        <v>56346.330132916904</v>
      </c>
      <c r="H357" s="46">
        <v>0.23564679472651018</v>
      </c>
      <c r="I357" s="46">
        <v>-0.20995546560620437</v>
      </c>
      <c r="J357" s="46">
        <v>5.3865031441350908E-2</v>
      </c>
    </row>
    <row r="358" spans="1:10" ht="11.25" customHeight="1" x14ac:dyDescent="0.2">
      <c r="A358" s="55">
        <v>44562</v>
      </c>
      <c r="B358" s="45">
        <v>0</v>
      </c>
      <c r="C358" s="45">
        <v>0</v>
      </c>
      <c r="D358" s="45">
        <v>103307.55125999999</v>
      </c>
      <c r="E358" s="45">
        <v>127651.64458546363</v>
      </c>
      <c r="F358" s="45">
        <v>71182.599679999985</v>
      </c>
      <c r="G358" s="45">
        <v>56237.423821125536</v>
      </c>
      <c r="H358" s="46">
        <v>0.23564679472650996</v>
      </c>
      <c r="I358" s="46">
        <v>-0.20995546560620437</v>
      </c>
      <c r="J358" s="46">
        <v>5.386503144135113E-2</v>
      </c>
    </row>
    <row r="359" spans="1:10" ht="11.25" customHeight="1" x14ac:dyDescent="0.2">
      <c r="A359" s="55">
        <v>44593</v>
      </c>
      <c r="B359" s="45">
        <v>0</v>
      </c>
      <c r="C359" s="45">
        <v>0</v>
      </c>
      <c r="D359" s="45">
        <v>98650.246559999985</v>
      </c>
      <c r="E359" s="45">
        <v>121896.86096084393</v>
      </c>
      <c r="F359" s="45">
        <v>67973.550080000001</v>
      </c>
      <c r="G359" s="45">
        <v>53702.131724046951</v>
      </c>
      <c r="H359" s="46">
        <v>0.23564679472651018</v>
      </c>
      <c r="I359" s="46">
        <v>-0.20995546560620437</v>
      </c>
      <c r="J359" s="46">
        <v>5.386503144135113E-2</v>
      </c>
    </row>
    <row r="360" spans="1:10" ht="11.25" customHeight="1" x14ac:dyDescent="0.2">
      <c r="A360" s="55">
        <v>44621</v>
      </c>
      <c r="B360" s="45">
        <v>0</v>
      </c>
      <c r="C360" s="45">
        <v>0</v>
      </c>
      <c r="D360" s="45">
        <v>99848.095289999997</v>
      </c>
      <c r="E360" s="45">
        <v>123376.97890463565</v>
      </c>
      <c r="F360" s="45">
        <v>68798.91072</v>
      </c>
      <c r="G360" s="45">
        <v>54354.203386582711</v>
      </c>
      <c r="H360" s="46">
        <v>0.23564679472651018</v>
      </c>
      <c r="I360" s="46">
        <v>-0.20995546560620448</v>
      </c>
      <c r="J360" s="46">
        <v>5.3865031441350908E-2</v>
      </c>
    </row>
    <row r="361" spans="1:10" ht="11.25" customHeight="1" x14ac:dyDescent="0.2">
      <c r="A361" s="55">
        <v>44652</v>
      </c>
      <c r="B361" s="45">
        <v>0</v>
      </c>
      <c r="C361" s="45">
        <v>0</v>
      </c>
      <c r="D361" s="45">
        <v>95676.240210000004</v>
      </c>
      <c r="E361" s="45">
        <v>118222.03954697015</v>
      </c>
      <c r="F361" s="45">
        <v>65924.35328000001</v>
      </c>
      <c r="G361" s="45">
        <v>52083.174992309694</v>
      </c>
      <c r="H361" s="46">
        <v>0.23564679472651018</v>
      </c>
      <c r="I361" s="46">
        <v>-0.20995546560620448</v>
      </c>
      <c r="J361" s="46">
        <v>5.386503144135113E-2</v>
      </c>
    </row>
    <row r="362" spans="1:10" ht="11.25" customHeight="1" x14ac:dyDescent="0.2">
      <c r="A362" s="55">
        <v>44682</v>
      </c>
      <c r="B362" s="45">
        <v>0</v>
      </c>
      <c r="C362" s="45">
        <v>0</v>
      </c>
      <c r="D362" s="45">
        <v>102054.84744</v>
      </c>
      <c r="E362" s="45">
        <v>126103.74512553899</v>
      </c>
      <c r="F362" s="45">
        <v>70319.441919999997</v>
      </c>
      <c r="G362" s="45">
        <v>55555.490750517958</v>
      </c>
      <c r="H362" s="46">
        <v>0.23564679472651018</v>
      </c>
      <c r="I362" s="46">
        <v>-0.20995546560620426</v>
      </c>
      <c r="J362" s="46">
        <v>5.386503144135113E-2</v>
      </c>
    </row>
    <row r="363" spans="1:10" ht="11.25" customHeight="1" x14ac:dyDescent="0.2">
      <c r="A363" s="55">
        <v>44713</v>
      </c>
      <c r="B363" s="45">
        <v>0</v>
      </c>
      <c r="C363" s="45">
        <v>0</v>
      </c>
      <c r="D363" s="45">
        <v>94782.783449999988</v>
      </c>
      <c r="E363" s="45">
        <v>117118.04256524942</v>
      </c>
      <c r="F363" s="45">
        <v>65308.729599999999</v>
      </c>
      <c r="G363" s="45">
        <v>51596.804868682295</v>
      </c>
      <c r="H363" s="46">
        <v>0.2356467947265104</v>
      </c>
      <c r="I363" s="46">
        <v>-0.20995546560620437</v>
      </c>
      <c r="J363" s="46">
        <v>5.386503144135113E-2</v>
      </c>
    </row>
    <row r="364" spans="1:10" ht="11.25" customHeight="1" x14ac:dyDescent="0.2">
      <c r="A364" s="55">
        <v>44743</v>
      </c>
      <c r="B364" s="45">
        <v>0</v>
      </c>
      <c r="C364" s="45">
        <v>0</v>
      </c>
      <c r="D364" s="45">
        <v>94782.783449999988</v>
      </c>
      <c r="E364" s="45">
        <v>117118.04256524942</v>
      </c>
      <c r="F364" s="45">
        <v>65308.729599999999</v>
      </c>
      <c r="G364" s="45">
        <v>51596.804868682295</v>
      </c>
      <c r="H364" s="46">
        <v>0.2356467947265104</v>
      </c>
      <c r="I364" s="46">
        <v>-0.20995546560620437</v>
      </c>
      <c r="J364" s="46">
        <v>5.386503144135113E-2</v>
      </c>
    </row>
    <row r="365" spans="1:10" ht="11.25" customHeight="1" x14ac:dyDescent="0.2">
      <c r="A365" s="48" t="s">
        <v>36</v>
      </c>
      <c r="B365" s="45">
        <v>0</v>
      </c>
      <c r="C365" s="45">
        <v>0</v>
      </c>
      <c r="D365" s="45">
        <v>2659899.3232033481</v>
      </c>
      <c r="E365" s="45">
        <v>3076957.2820501928</v>
      </c>
      <c r="F365" s="45">
        <v>1833172.3940972618</v>
      </c>
      <c r="G365" s="45">
        <v>1355833.8990383823</v>
      </c>
      <c r="H365" s="46">
        <v>0.15679464076278515</v>
      </c>
      <c r="I365" s="46">
        <v>-0.26038931013574607</v>
      </c>
      <c r="J365" s="46">
        <v>-1.3416330743158511E-2</v>
      </c>
    </row>
    <row r="366" spans="1:10" ht="11.25" customHeight="1" x14ac:dyDescent="0.2">
      <c r="A366" s="49" t="s">
        <v>32</v>
      </c>
      <c r="B366" s="45">
        <v>0</v>
      </c>
      <c r="C366" s="45">
        <v>0</v>
      </c>
      <c r="D366" s="45">
        <v>3922.1954799999994</v>
      </c>
      <c r="E366" s="45">
        <v>4583.9928483585827</v>
      </c>
      <c r="F366" s="45">
        <v>3089.2880499999997</v>
      </c>
      <c r="G366" s="45">
        <v>2288.0096560477846</v>
      </c>
      <c r="H366" s="46">
        <v>0.16873135766261793</v>
      </c>
      <c r="I366" s="46">
        <v>-0.25937315685153262</v>
      </c>
      <c r="J366" s="46">
        <v>-1.9893225876782661E-2</v>
      </c>
    </row>
    <row r="367" spans="1:10" ht="11.25" customHeight="1" x14ac:dyDescent="0.2">
      <c r="A367" s="50" t="s">
        <v>40</v>
      </c>
      <c r="B367" s="45">
        <v>0</v>
      </c>
      <c r="C367" s="45">
        <v>0</v>
      </c>
      <c r="D367" s="45">
        <v>3922.1954799999994</v>
      </c>
      <c r="E367" s="45">
        <v>4583.9928483585827</v>
      </c>
      <c r="F367" s="45">
        <v>3089.2880499999997</v>
      </c>
      <c r="G367" s="45">
        <v>2288.0096560477846</v>
      </c>
      <c r="H367" s="46">
        <v>0.16873135766261793</v>
      </c>
      <c r="I367" s="46">
        <v>-0.25937315685153262</v>
      </c>
      <c r="J367" s="46">
        <v>-1.9893225876782661E-2</v>
      </c>
    </row>
    <row r="368" spans="1:10" ht="11.25" customHeight="1" x14ac:dyDescent="0.2">
      <c r="A368" s="51" t="s">
        <v>25</v>
      </c>
      <c r="B368" s="45">
        <v>0</v>
      </c>
      <c r="C368" s="45">
        <v>0</v>
      </c>
      <c r="D368" s="45">
        <v>3922.1954799999994</v>
      </c>
      <c r="E368" s="45">
        <v>4583.9928483585827</v>
      </c>
      <c r="F368" s="45">
        <v>3089.2880499999997</v>
      </c>
      <c r="G368" s="45">
        <v>2288.0096560477846</v>
      </c>
      <c r="H368" s="46">
        <v>0.16873135766261793</v>
      </c>
      <c r="I368" s="46">
        <v>-0.25937315685153262</v>
      </c>
      <c r="J368" s="46">
        <v>-1.9893225876782661E-2</v>
      </c>
    </row>
    <row r="369" spans="1:10" ht="11.25" customHeight="1" x14ac:dyDescent="0.2">
      <c r="A369" s="52" t="s">
        <v>25</v>
      </c>
      <c r="B369" s="45">
        <v>0</v>
      </c>
      <c r="C369" s="45">
        <v>0</v>
      </c>
      <c r="D369" s="45">
        <v>3922.1954799999994</v>
      </c>
      <c r="E369" s="45">
        <v>4583.9928483585827</v>
      </c>
      <c r="F369" s="45">
        <v>3089.2880499999997</v>
      </c>
      <c r="G369" s="45">
        <v>2288.0096560477846</v>
      </c>
      <c r="H369" s="46">
        <v>0.16873135766261793</v>
      </c>
      <c r="I369" s="46">
        <v>-0.25937315685153262</v>
      </c>
      <c r="J369" s="46">
        <v>-1.9893225876782661E-2</v>
      </c>
    </row>
    <row r="370" spans="1:10" ht="11.25" customHeight="1" x14ac:dyDescent="0.2">
      <c r="A370" s="53" t="s">
        <v>25</v>
      </c>
      <c r="B370" s="45">
        <v>0</v>
      </c>
      <c r="C370" s="45">
        <v>0</v>
      </c>
      <c r="D370" s="45">
        <v>3922.1954799999994</v>
      </c>
      <c r="E370" s="45">
        <v>4583.9928483585827</v>
      </c>
      <c r="F370" s="45">
        <v>3089.2880499999997</v>
      </c>
      <c r="G370" s="45">
        <v>2288.0096560477846</v>
      </c>
      <c r="H370" s="46">
        <v>0.16873135766261793</v>
      </c>
      <c r="I370" s="46">
        <v>-0.25937315685153262</v>
      </c>
      <c r="J370" s="46">
        <v>-1.9893225876782661E-2</v>
      </c>
    </row>
    <row r="371" spans="1:10" ht="11.25" customHeight="1" x14ac:dyDescent="0.2">
      <c r="A371" s="54" t="s">
        <v>34</v>
      </c>
      <c r="B371" s="45">
        <v>0</v>
      </c>
      <c r="C371" s="45">
        <v>0</v>
      </c>
      <c r="D371" s="45">
        <v>3232.2371199999998</v>
      </c>
      <c r="E371" s="45">
        <v>3810.0074651764644</v>
      </c>
      <c r="F371" s="45">
        <v>2820.7249599999991</v>
      </c>
      <c r="G371" s="45">
        <v>2090.764918911223</v>
      </c>
      <c r="H371" s="46">
        <v>0.17875246268332701</v>
      </c>
      <c r="I371" s="46">
        <v>-0.25878455058191008</v>
      </c>
      <c r="J371" s="46">
        <v>-2.5143011619909506E-2</v>
      </c>
    </row>
    <row r="372" spans="1:10" ht="11.25" customHeight="1" x14ac:dyDescent="0.2">
      <c r="A372" s="55">
        <v>44409</v>
      </c>
      <c r="B372" s="45">
        <v>0</v>
      </c>
      <c r="C372" s="45">
        <v>0</v>
      </c>
      <c r="D372" s="45">
        <v>207.51598000000001</v>
      </c>
      <c r="E372" s="45">
        <v>244.60997247114412</v>
      </c>
      <c r="F372" s="45">
        <v>181.09609</v>
      </c>
      <c r="G372" s="45">
        <v>134.23121973720882</v>
      </c>
      <c r="H372" s="46">
        <v>0.17875246268332745</v>
      </c>
      <c r="I372" s="46">
        <v>-0.2587845505819103</v>
      </c>
      <c r="J372" s="46">
        <v>-2.5143011619909506E-2</v>
      </c>
    </row>
    <row r="373" spans="1:10" ht="11.25" customHeight="1" x14ac:dyDescent="0.2">
      <c r="A373" s="55">
        <v>44440</v>
      </c>
      <c r="B373" s="45">
        <v>0</v>
      </c>
      <c r="C373" s="45">
        <v>0</v>
      </c>
      <c r="D373" s="45">
        <v>225.24194</v>
      </c>
      <c r="E373" s="45">
        <v>265.50449147457027</v>
      </c>
      <c r="F373" s="45">
        <v>196.56526999999997</v>
      </c>
      <c r="G373" s="45">
        <v>145.69721494303815</v>
      </c>
      <c r="H373" s="46">
        <v>0.17875246268332745</v>
      </c>
      <c r="I373" s="46">
        <v>-0.25878455058191019</v>
      </c>
      <c r="J373" s="46">
        <v>-2.5143011619909283E-2</v>
      </c>
    </row>
    <row r="374" spans="1:10" ht="11.25" customHeight="1" x14ac:dyDescent="0.2">
      <c r="A374" s="55">
        <v>44470</v>
      </c>
      <c r="B374" s="45">
        <v>0</v>
      </c>
      <c r="C374" s="45">
        <v>0</v>
      </c>
      <c r="D374" s="45">
        <v>214.54523999999998</v>
      </c>
      <c r="E374" s="45">
        <v>252.8957300069855</v>
      </c>
      <c r="F374" s="45">
        <v>187.23041999999998</v>
      </c>
      <c r="G374" s="45">
        <v>138.77807990503769</v>
      </c>
      <c r="H374" s="46">
        <v>0.17875246268332745</v>
      </c>
      <c r="I374" s="46">
        <v>-0.2587845505819103</v>
      </c>
      <c r="J374" s="46">
        <v>-2.5143011619909394E-2</v>
      </c>
    </row>
    <row r="375" spans="1:10" ht="11.25" customHeight="1" x14ac:dyDescent="0.2">
      <c r="A375" s="55">
        <v>44501</v>
      </c>
      <c r="B375" s="45">
        <v>0</v>
      </c>
      <c r="C375" s="45">
        <v>0</v>
      </c>
      <c r="D375" s="45">
        <v>336.18200000000002</v>
      </c>
      <c r="E375" s="45">
        <v>396.27536040980641</v>
      </c>
      <c r="F375" s="45">
        <v>293.38100000000003</v>
      </c>
      <c r="G375" s="45">
        <v>217.4585297657286</v>
      </c>
      <c r="H375" s="46">
        <v>0.17875246268332745</v>
      </c>
      <c r="I375" s="46">
        <v>-0.2587845505819103</v>
      </c>
      <c r="J375" s="46">
        <v>-2.5143011619909617E-2</v>
      </c>
    </row>
    <row r="376" spans="1:10" ht="11.25" customHeight="1" x14ac:dyDescent="0.2">
      <c r="A376" s="55">
        <v>44531</v>
      </c>
      <c r="B376" s="45">
        <v>0</v>
      </c>
      <c r="C376" s="45">
        <v>0</v>
      </c>
      <c r="D376" s="45">
        <v>400.36220000000003</v>
      </c>
      <c r="E376" s="45">
        <v>471.92792921531486</v>
      </c>
      <c r="F376" s="45">
        <v>349.39009999999996</v>
      </c>
      <c r="G376" s="45">
        <v>258.97333999373132</v>
      </c>
      <c r="H376" s="46">
        <v>0.17875246268332723</v>
      </c>
      <c r="I376" s="46">
        <v>-0.25878455058191019</v>
      </c>
      <c r="J376" s="46">
        <v>-2.5143011619909394E-2</v>
      </c>
    </row>
    <row r="377" spans="1:10" ht="11.25" customHeight="1" x14ac:dyDescent="0.2">
      <c r="A377" s="55">
        <v>44562</v>
      </c>
      <c r="B377" s="45">
        <v>0</v>
      </c>
      <c r="C377" s="45">
        <v>0</v>
      </c>
      <c r="D377" s="45">
        <v>418.69940000000003</v>
      </c>
      <c r="E377" s="45">
        <v>493.54294887403159</v>
      </c>
      <c r="F377" s="45">
        <v>365.39269999999999</v>
      </c>
      <c r="G377" s="45">
        <v>270.83471434458926</v>
      </c>
      <c r="H377" s="46">
        <v>0.17875246268332745</v>
      </c>
      <c r="I377" s="46">
        <v>-0.25878455058191019</v>
      </c>
      <c r="J377" s="46">
        <v>-2.5143011619909394E-2</v>
      </c>
    </row>
    <row r="378" spans="1:10" ht="11.25" customHeight="1" x14ac:dyDescent="0.2">
      <c r="A378" s="55">
        <v>44593</v>
      </c>
      <c r="B378" s="45">
        <v>0</v>
      </c>
      <c r="C378" s="45">
        <v>0</v>
      </c>
      <c r="D378" s="45">
        <v>389.66549999999995</v>
      </c>
      <c r="E378" s="45">
        <v>459.31916774773003</v>
      </c>
      <c r="F378" s="45">
        <v>340.05524999999994</v>
      </c>
      <c r="G378" s="45">
        <v>252.05420495573082</v>
      </c>
      <c r="H378" s="46">
        <v>0.17875246268332745</v>
      </c>
      <c r="I378" s="46">
        <v>-0.2587845505819103</v>
      </c>
      <c r="J378" s="46">
        <v>-2.5143011619909506E-2</v>
      </c>
    </row>
    <row r="379" spans="1:10" ht="11.25" customHeight="1" x14ac:dyDescent="0.2">
      <c r="A379" s="55">
        <v>44621</v>
      </c>
      <c r="B379" s="45">
        <v>0</v>
      </c>
      <c r="C379" s="45">
        <v>0</v>
      </c>
      <c r="D379" s="45">
        <v>345.04498000000001</v>
      </c>
      <c r="E379" s="45">
        <v>406.72261991151942</v>
      </c>
      <c r="F379" s="45">
        <v>301.11559</v>
      </c>
      <c r="G379" s="45">
        <v>223.19152736864325</v>
      </c>
      <c r="H379" s="46">
        <v>0.17875246268332723</v>
      </c>
      <c r="I379" s="46">
        <v>-0.2587845505819103</v>
      </c>
      <c r="J379" s="46">
        <v>-2.5143011619909506E-2</v>
      </c>
    </row>
    <row r="380" spans="1:10" ht="11.25" customHeight="1" x14ac:dyDescent="0.2">
      <c r="A380" s="55">
        <v>44652</v>
      </c>
      <c r="B380" s="45">
        <v>0</v>
      </c>
      <c r="C380" s="45">
        <v>0</v>
      </c>
      <c r="D380" s="45">
        <v>235.63302000000002</v>
      </c>
      <c r="E380" s="45">
        <v>277.75300261450974</v>
      </c>
      <c r="F380" s="45">
        <v>205.63341</v>
      </c>
      <c r="G380" s="45">
        <v>152.41866040852432</v>
      </c>
      <c r="H380" s="46">
        <v>0.17875246268332723</v>
      </c>
      <c r="I380" s="46">
        <v>-0.25878455058191019</v>
      </c>
      <c r="J380" s="46">
        <v>-2.5143011619909394E-2</v>
      </c>
    </row>
    <row r="381" spans="1:10" ht="11.25" customHeight="1" x14ac:dyDescent="0.2">
      <c r="A381" s="55">
        <v>44682</v>
      </c>
      <c r="B381" s="45">
        <v>0</v>
      </c>
      <c r="C381" s="45">
        <v>0</v>
      </c>
      <c r="D381" s="45">
        <v>188.56754000000001</v>
      </c>
      <c r="E381" s="45">
        <v>222.27445215713684</v>
      </c>
      <c r="F381" s="45">
        <v>164.56007</v>
      </c>
      <c r="G381" s="45">
        <v>121.9744662413223</v>
      </c>
      <c r="H381" s="46">
        <v>0.17875246268332723</v>
      </c>
      <c r="I381" s="46">
        <v>-0.2587845505819103</v>
      </c>
      <c r="J381" s="46">
        <v>-2.5143011619909506E-2</v>
      </c>
    </row>
    <row r="382" spans="1:10" ht="11.25" customHeight="1" x14ac:dyDescent="0.2">
      <c r="A382" s="55">
        <v>44713</v>
      </c>
      <c r="B382" s="45">
        <v>0</v>
      </c>
      <c r="C382" s="45">
        <v>0</v>
      </c>
      <c r="D382" s="45">
        <v>135.38965999999999</v>
      </c>
      <c r="E382" s="45">
        <v>159.59089514685837</v>
      </c>
      <c r="F382" s="45">
        <v>118.15253</v>
      </c>
      <c r="G382" s="45">
        <v>87.576480623834328</v>
      </c>
      <c r="H382" s="46">
        <v>0.17875246268332745</v>
      </c>
      <c r="I382" s="46">
        <v>-0.2587845505819103</v>
      </c>
      <c r="J382" s="46">
        <v>-2.5143011619909506E-2</v>
      </c>
    </row>
    <row r="383" spans="1:10" ht="11.25" customHeight="1" x14ac:dyDescent="0.2">
      <c r="A383" s="55">
        <v>44743</v>
      </c>
      <c r="B383" s="45">
        <v>0</v>
      </c>
      <c r="C383" s="45">
        <v>0</v>
      </c>
      <c r="D383" s="45">
        <v>135.38965999999999</v>
      </c>
      <c r="E383" s="45">
        <v>159.59089514685837</v>
      </c>
      <c r="F383" s="45">
        <v>118.15253</v>
      </c>
      <c r="G383" s="45">
        <v>87.576480623834328</v>
      </c>
      <c r="H383" s="46">
        <v>0.17875246268332745</v>
      </c>
      <c r="I383" s="46">
        <v>-0.2587845505819103</v>
      </c>
      <c r="J383" s="46">
        <v>-2.5143011619909506E-2</v>
      </c>
    </row>
    <row r="384" spans="1:10" ht="11.25" customHeight="1" x14ac:dyDescent="0.2">
      <c r="A384" s="54" t="s">
        <v>35</v>
      </c>
      <c r="B384" s="45">
        <v>0</v>
      </c>
      <c r="C384" s="45">
        <v>0</v>
      </c>
      <c r="D384" s="45">
        <v>321.68555999999995</v>
      </c>
      <c r="E384" s="45">
        <v>363.2347640458359</v>
      </c>
      <c r="F384" s="45">
        <v>122.41989</v>
      </c>
      <c r="G384" s="45">
        <v>90.739513784063092</v>
      </c>
      <c r="H384" s="46">
        <v>0.12916092362316789</v>
      </c>
      <c r="I384" s="46">
        <v>-0.25878455058191041</v>
      </c>
      <c r="J384" s="46">
        <v>2.2221812026623544E-2</v>
      </c>
    </row>
    <row r="385" spans="1:10" ht="11.25" customHeight="1" x14ac:dyDescent="0.2">
      <c r="A385" s="55">
        <v>44409</v>
      </c>
      <c r="B385" s="45">
        <v>0</v>
      </c>
      <c r="C385" s="45">
        <v>0</v>
      </c>
      <c r="D385" s="45">
        <v>18.22184</v>
      </c>
      <c r="E385" s="45">
        <v>20.575389684513578</v>
      </c>
      <c r="F385" s="45">
        <v>6.9344599999999987</v>
      </c>
      <c r="G385" s="45">
        <v>5.1399288853717664</v>
      </c>
      <c r="H385" s="46">
        <v>0.12916092362316745</v>
      </c>
      <c r="I385" s="46">
        <v>-0.25878455058191019</v>
      </c>
      <c r="J385" s="46">
        <v>2.2221812026623322E-2</v>
      </c>
    </row>
    <row r="386" spans="1:10" ht="11.25" customHeight="1" x14ac:dyDescent="0.2">
      <c r="A386" s="55">
        <v>44440</v>
      </c>
      <c r="B386" s="45">
        <v>0</v>
      </c>
      <c r="C386" s="45">
        <v>0</v>
      </c>
      <c r="D386" s="45">
        <v>19.623520000000003</v>
      </c>
      <c r="E386" s="45">
        <v>22.158111967937703</v>
      </c>
      <c r="F386" s="45">
        <v>7.4678799999999992</v>
      </c>
      <c r="G386" s="45">
        <v>5.5353080304003637</v>
      </c>
      <c r="H386" s="46">
        <v>0.12916092362316745</v>
      </c>
      <c r="I386" s="46">
        <v>-0.25878455058191019</v>
      </c>
      <c r="J386" s="46">
        <v>2.2221812026623322E-2</v>
      </c>
    </row>
    <row r="387" spans="1:10" ht="11.25" customHeight="1" x14ac:dyDescent="0.2">
      <c r="A387" s="55">
        <v>44470</v>
      </c>
      <c r="B387" s="45">
        <v>0</v>
      </c>
      <c r="C387" s="45">
        <v>0</v>
      </c>
      <c r="D387" s="45">
        <v>21.726040000000001</v>
      </c>
      <c r="E387" s="45">
        <v>24.532195393073884</v>
      </c>
      <c r="F387" s="45">
        <v>8.2680099999999985</v>
      </c>
      <c r="G387" s="45">
        <v>6.1283767479432596</v>
      </c>
      <c r="H387" s="46">
        <v>0.12916092362316745</v>
      </c>
      <c r="I387" s="46">
        <v>-0.25878455058191019</v>
      </c>
      <c r="J387" s="46">
        <v>2.2221812026623322E-2</v>
      </c>
    </row>
    <row r="388" spans="1:10" ht="11.25" customHeight="1" x14ac:dyDescent="0.2">
      <c r="A388" s="55">
        <v>44501</v>
      </c>
      <c r="B388" s="45">
        <v>0</v>
      </c>
      <c r="C388" s="45">
        <v>0</v>
      </c>
      <c r="D388" s="45">
        <v>33.640320000000003</v>
      </c>
      <c r="E388" s="45">
        <v>37.985334802178919</v>
      </c>
      <c r="F388" s="45">
        <v>12.80208</v>
      </c>
      <c r="G388" s="45">
        <v>9.4890994806863382</v>
      </c>
      <c r="H388" s="46">
        <v>0.12916092362316745</v>
      </c>
      <c r="I388" s="46">
        <v>-0.2587845505819103</v>
      </c>
      <c r="J388" s="46">
        <v>2.2221812026623322E-2</v>
      </c>
    </row>
    <row r="389" spans="1:10" ht="11.25" customHeight="1" x14ac:dyDescent="0.2">
      <c r="A389" s="55">
        <v>44531</v>
      </c>
      <c r="B389" s="45">
        <v>0</v>
      </c>
      <c r="C389" s="45">
        <v>0</v>
      </c>
      <c r="D389" s="45">
        <v>34.341160000000002</v>
      </c>
      <c r="E389" s="45">
        <v>38.776695943890978</v>
      </c>
      <c r="F389" s="45">
        <v>13.06879</v>
      </c>
      <c r="G389" s="45">
        <v>9.686789053200636</v>
      </c>
      <c r="H389" s="46">
        <v>0.12916092362316745</v>
      </c>
      <c r="I389" s="46">
        <v>-0.2587845505819103</v>
      </c>
      <c r="J389" s="46">
        <v>2.2221812026623322E-2</v>
      </c>
    </row>
    <row r="390" spans="1:10" ht="11.25" customHeight="1" x14ac:dyDescent="0.2">
      <c r="A390" s="55">
        <v>44562</v>
      </c>
      <c r="B390" s="45">
        <v>0</v>
      </c>
      <c r="C390" s="45">
        <v>0</v>
      </c>
      <c r="D390" s="45">
        <v>28.734440000000003</v>
      </c>
      <c r="E390" s="45">
        <v>32.44580681019449</v>
      </c>
      <c r="F390" s="45">
        <v>10.93511</v>
      </c>
      <c r="G390" s="45">
        <v>8.1052724730862469</v>
      </c>
      <c r="H390" s="46">
        <v>0.12916092362316745</v>
      </c>
      <c r="I390" s="46">
        <v>-0.2587845505819103</v>
      </c>
      <c r="J390" s="46">
        <v>2.2221812026623322E-2</v>
      </c>
    </row>
    <row r="391" spans="1:10" ht="11.25" customHeight="1" x14ac:dyDescent="0.2">
      <c r="A391" s="55">
        <v>44593</v>
      </c>
      <c r="B391" s="45">
        <v>0</v>
      </c>
      <c r="C391" s="45">
        <v>0</v>
      </c>
      <c r="D391" s="45">
        <v>44.853760000000001</v>
      </c>
      <c r="E391" s="45">
        <v>50.647113069571887</v>
      </c>
      <c r="F391" s="45">
        <v>17.06944</v>
      </c>
      <c r="G391" s="45">
        <v>12.652132640915116</v>
      </c>
      <c r="H391" s="46">
        <v>0.12916092362316745</v>
      </c>
      <c r="I391" s="46">
        <v>-0.2587845505819103</v>
      </c>
      <c r="J391" s="46">
        <v>2.2221812026623322E-2</v>
      </c>
    </row>
    <row r="392" spans="1:10" ht="11.25" customHeight="1" x14ac:dyDescent="0.2">
      <c r="A392" s="55">
        <v>44621</v>
      </c>
      <c r="B392" s="45">
        <v>0</v>
      </c>
      <c r="C392" s="45">
        <v>0</v>
      </c>
      <c r="D392" s="45">
        <v>30.836960000000001</v>
      </c>
      <c r="E392" s="45">
        <v>34.819890235330675</v>
      </c>
      <c r="F392" s="45">
        <v>11.735239999999999</v>
      </c>
      <c r="G392" s="45">
        <v>8.6983411906291419</v>
      </c>
      <c r="H392" s="46">
        <v>0.12916092362316767</v>
      </c>
      <c r="I392" s="46">
        <v>-0.2587845505819103</v>
      </c>
      <c r="J392" s="46">
        <v>2.2221812026623322E-2</v>
      </c>
    </row>
    <row r="393" spans="1:10" ht="11.25" customHeight="1" x14ac:dyDescent="0.2">
      <c r="A393" s="55">
        <v>44652</v>
      </c>
      <c r="B393" s="45">
        <v>0</v>
      </c>
      <c r="C393" s="45">
        <v>0</v>
      </c>
      <c r="D393" s="45">
        <v>25.931080000000001</v>
      </c>
      <c r="E393" s="45">
        <v>29.280362243346246</v>
      </c>
      <c r="F393" s="45">
        <v>9.868269999999999</v>
      </c>
      <c r="G393" s="45">
        <v>7.3145141830290514</v>
      </c>
      <c r="H393" s="46">
        <v>0.12916092362316745</v>
      </c>
      <c r="I393" s="46">
        <v>-0.2587845505819103</v>
      </c>
      <c r="J393" s="46">
        <v>2.2221812026623322E-2</v>
      </c>
    </row>
    <row r="394" spans="1:10" ht="11.25" customHeight="1" x14ac:dyDescent="0.2">
      <c r="A394" s="55">
        <v>44682</v>
      </c>
      <c r="B394" s="45">
        <v>0</v>
      </c>
      <c r="C394" s="45">
        <v>0</v>
      </c>
      <c r="D394" s="45">
        <v>24.529400000000003</v>
      </c>
      <c r="E394" s="45">
        <v>27.697639959922128</v>
      </c>
      <c r="F394" s="45">
        <v>9.3348499999999994</v>
      </c>
      <c r="G394" s="45">
        <v>6.919135038000455</v>
      </c>
      <c r="H394" s="46">
        <v>0.12916092362316745</v>
      </c>
      <c r="I394" s="46">
        <v>-0.25878455058191019</v>
      </c>
      <c r="J394" s="46">
        <v>2.2221812026623544E-2</v>
      </c>
    </row>
    <row r="395" spans="1:10" ht="11.25" customHeight="1" x14ac:dyDescent="0.2">
      <c r="A395" s="55">
        <v>44713</v>
      </c>
      <c r="B395" s="45">
        <v>0</v>
      </c>
      <c r="C395" s="45">
        <v>0</v>
      </c>
      <c r="D395" s="45">
        <v>19.623520000000003</v>
      </c>
      <c r="E395" s="45">
        <v>22.158111967937703</v>
      </c>
      <c r="F395" s="45">
        <v>7.4678799999999992</v>
      </c>
      <c r="G395" s="45">
        <v>5.5353080304003637</v>
      </c>
      <c r="H395" s="46">
        <v>0.12916092362316745</v>
      </c>
      <c r="I395" s="46">
        <v>-0.25878455058191019</v>
      </c>
      <c r="J395" s="46">
        <v>2.2221812026623322E-2</v>
      </c>
    </row>
    <row r="396" spans="1:10" ht="11.25" customHeight="1" x14ac:dyDescent="0.2">
      <c r="A396" s="55">
        <v>44743</v>
      </c>
      <c r="B396" s="45">
        <v>0</v>
      </c>
      <c r="C396" s="45">
        <v>0</v>
      </c>
      <c r="D396" s="45">
        <v>19.623520000000003</v>
      </c>
      <c r="E396" s="45">
        <v>22.158111967937703</v>
      </c>
      <c r="F396" s="45">
        <v>7.4678799999999992</v>
      </c>
      <c r="G396" s="45">
        <v>5.5353080304003637</v>
      </c>
      <c r="H396" s="46">
        <v>0.12916092362316745</v>
      </c>
      <c r="I396" s="46">
        <v>-0.25878455058191019</v>
      </c>
      <c r="J396" s="46">
        <v>2.2221812026623322E-2</v>
      </c>
    </row>
    <row r="397" spans="1:10" ht="11.25" customHeight="1" x14ac:dyDescent="0.2">
      <c r="A397" s="54" t="s">
        <v>33</v>
      </c>
      <c r="B397" s="45">
        <v>0</v>
      </c>
      <c r="C397" s="45">
        <v>0</v>
      </c>
      <c r="D397" s="45">
        <v>368.27279999999996</v>
      </c>
      <c r="E397" s="45">
        <v>410.7506191362811</v>
      </c>
      <c r="F397" s="45">
        <v>146.14320000000001</v>
      </c>
      <c r="G397" s="45">
        <v>106.50522335249848</v>
      </c>
      <c r="H397" s="46">
        <v>0.11534335182039279</v>
      </c>
      <c r="I397" s="46">
        <v>-0.27122696538396263</v>
      </c>
      <c r="J397" s="46">
        <v>5.5205174193251327E-3</v>
      </c>
    </row>
    <row r="398" spans="1:10" ht="11.25" customHeight="1" x14ac:dyDescent="0.2">
      <c r="A398" s="55">
        <v>44409</v>
      </c>
      <c r="B398" s="45">
        <v>0</v>
      </c>
      <c r="C398" s="45">
        <v>0</v>
      </c>
      <c r="D398" s="45">
        <v>31.785450000000001</v>
      </c>
      <c r="E398" s="45">
        <v>35.451690342119498</v>
      </c>
      <c r="F398" s="45">
        <v>12.61355</v>
      </c>
      <c r="G398" s="45">
        <v>9.1924151107811198</v>
      </c>
      <c r="H398" s="46">
        <v>0.11534335182039257</v>
      </c>
      <c r="I398" s="46">
        <v>-0.27122696538396251</v>
      </c>
      <c r="J398" s="46">
        <v>5.5205174193251327E-3</v>
      </c>
    </row>
    <row r="399" spans="1:10" ht="11.25" customHeight="1" x14ac:dyDescent="0.2">
      <c r="A399" s="55">
        <v>44440</v>
      </c>
      <c r="B399" s="45">
        <v>0</v>
      </c>
      <c r="C399" s="45">
        <v>0</v>
      </c>
      <c r="D399" s="45">
        <v>31.785450000000001</v>
      </c>
      <c r="E399" s="45">
        <v>35.451690342119498</v>
      </c>
      <c r="F399" s="45">
        <v>12.61355</v>
      </c>
      <c r="G399" s="45">
        <v>9.1924151107811198</v>
      </c>
      <c r="H399" s="46">
        <v>0.11534335182039257</v>
      </c>
      <c r="I399" s="46">
        <v>-0.27122696538396251</v>
      </c>
      <c r="J399" s="46">
        <v>5.5205174193251327E-3</v>
      </c>
    </row>
    <row r="400" spans="1:10" ht="11.25" customHeight="1" x14ac:dyDescent="0.2">
      <c r="A400" s="55">
        <v>44470</v>
      </c>
      <c r="B400" s="45">
        <v>0</v>
      </c>
      <c r="C400" s="45">
        <v>0</v>
      </c>
      <c r="D400" s="45">
        <v>27.401250000000001</v>
      </c>
      <c r="E400" s="45">
        <v>30.561802019068537</v>
      </c>
      <c r="F400" s="45">
        <v>10.873750000000001</v>
      </c>
      <c r="G400" s="45">
        <v>7.9244957851561368</v>
      </c>
      <c r="H400" s="46">
        <v>0.11534335182039279</v>
      </c>
      <c r="I400" s="46">
        <v>-0.27122696538396263</v>
      </c>
      <c r="J400" s="46">
        <v>5.5205174193251327E-3</v>
      </c>
    </row>
    <row r="401" spans="1:10" ht="11.25" customHeight="1" x14ac:dyDescent="0.2">
      <c r="A401" s="55">
        <v>44501</v>
      </c>
      <c r="B401" s="45">
        <v>0</v>
      </c>
      <c r="C401" s="45">
        <v>0</v>
      </c>
      <c r="D401" s="45">
        <v>27.401250000000001</v>
      </c>
      <c r="E401" s="45">
        <v>30.561802019068537</v>
      </c>
      <c r="F401" s="45">
        <v>10.873750000000001</v>
      </c>
      <c r="G401" s="45">
        <v>7.9244957851561368</v>
      </c>
      <c r="H401" s="46">
        <v>0.11534335182039279</v>
      </c>
      <c r="I401" s="46">
        <v>-0.27122696538396263</v>
      </c>
      <c r="J401" s="46">
        <v>5.5205174193251327E-3</v>
      </c>
    </row>
    <row r="402" spans="1:10" ht="11.25" customHeight="1" x14ac:dyDescent="0.2">
      <c r="A402" s="55">
        <v>44531</v>
      </c>
      <c r="B402" s="45">
        <v>0</v>
      </c>
      <c r="C402" s="45">
        <v>0</v>
      </c>
      <c r="D402" s="45">
        <v>33.977550000000001</v>
      </c>
      <c r="E402" s="45">
        <v>37.896634503644982</v>
      </c>
      <c r="F402" s="45">
        <v>13.483449999999999</v>
      </c>
      <c r="G402" s="45">
        <v>9.82637477359361</v>
      </c>
      <c r="H402" s="46">
        <v>0.11534335182039257</v>
      </c>
      <c r="I402" s="46">
        <v>-0.27122696538396251</v>
      </c>
      <c r="J402" s="46">
        <v>5.5205174193251327E-3</v>
      </c>
    </row>
    <row r="403" spans="1:10" ht="11.25" customHeight="1" x14ac:dyDescent="0.2">
      <c r="A403" s="55">
        <v>44562</v>
      </c>
      <c r="B403" s="45">
        <v>0</v>
      </c>
      <c r="C403" s="45">
        <v>0</v>
      </c>
      <c r="D403" s="45">
        <v>32.881499999999996</v>
      </c>
      <c r="E403" s="45">
        <v>36.67416242288224</v>
      </c>
      <c r="F403" s="45">
        <v>13.048499999999999</v>
      </c>
      <c r="G403" s="45">
        <v>9.5093949421873631</v>
      </c>
      <c r="H403" s="46">
        <v>0.11534335182039279</v>
      </c>
      <c r="I403" s="46">
        <v>-0.27122696538396263</v>
      </c>
      <c r="J403" s="46">
        <v>5.5205174193253548E-3</v>
      </c>
    </row>
    <row r="404" spans="1:10" ht="11.25" customHeight="1" x14ac:dyDescent="0.2">
      <c r="A404" s="55">
        <v>44593</v>
      </c>
      <c r="B404" s="45">
        <v>0</v>
      </c>
      <c r="C404" s="45">
        <v>0</v>
      </c>
      <c r="D404" s="45">
        <v>40.553849999999997</v>
      </c>
      <c r="E404" s="45">
        <v>45.231466988221428</v>
      </c>
      <c r="F404" s="45">
        <v>16.093149999999998</v>
      </c>
      <c r="G404" s="45">
        <v>11.728253762031082</v>
      </c>
      <c r="H404" s="46">
        <v>0.11534335182039257</v>
      </c>
      <c r="I404" s="46">
        <v>-0.27122696538396251</v>
      </c>
      <c r="J404" s="46">
        <v>5.5205174193251327E-3</v>
      </c>
    </row>
    <row r="405" spans="1:10" ht="11.25" customHeight="1" x14ac:dyDescent="0.2">
      <c r="A405" s="55">
        <v>44621</v>
      </c>
      <c r="B405" s="45">
        <v>0</v>
      </c>
      <c r="C405" s="45">
        <v>0</v>
      </c>
      <c r="D405" s="45">
        <v>28.497299999999999</v>
      </c>
      <c r="E405" s="45">
        <v>31.784274099831276</v>
      </c>
      <c r="F405" s="45">
        <v>11.3087</v>
      </c>
      <c r="G405" s="45">
        <v>8.241475616562381</v>
      </c>
      <c r="H405" s="46">
        <v>0.11534335182039279</v>
      </c>
      <c r="I405" s="46">
        <v>-0.27122696538396274</v>
      </c>
      <c r="J405" s="46">
        <v>5.5205174193251327E-3</v>
      </c>
    </row>
    <row r="406" spans="1:10" ht="11.25" customHeight="1" x14ac:dyDescent="0.2">
      <c r="A406" s="55">
        <v>44652</v>
      </c>
      <c r="B406" s="45">
        <v>0</v>
      </c>
      <c r="C406" s="45">
        <v>0</v>
      </c>
      <c r="D406" s="45">
        <v>26.305199999999999</v>
      </c>
      <c r="E406" s="45">
        <v>29.339329938305795</v>
      </c>
      <c r="F406" s="45">
        <v>10.438800000000001</v>
      </c>
      <c r="G406" s="45">
        <v>7.6075159537498918</v>
      </c>
      <c r="H406" s="46">
        <v>0.11534335182039279</v>
      </c>
      <c r="I406" s="46">
        <v>-0.27122696538396263</v>
      </c>
      <c r="J406" s="46">
        <v>5.5205174193251327E-3</v>
      </c>
    </row>
    <row r="407" spans="1:10" ht="11.25" customHeight="1" x14ac:dyDescent="0.2">
      <c r="A407" s="55">
        <v>44682</v>
      </c>
      <c r="B407" s="45">
        <v>0</v>
      </c>
      <c r="C407" s="45">
        <v>0</v>
      </c>
      <c r="D407" s="45">
        <v>28.497299999999999</v>
      </c>
      <c r="E407" s="45">
        <v>31.784274099831276</v>
      </c>
      <c r="F407" s="45">
        <v>11.3087</v>
      </c>
      <c r="G407" s="45">
        <v>8.241475616562381</v>
      </c>
      <c r="H407" s="46">
        <v>0.11534335182039279</v>
      </c>
      <c r="I407" s="46">
        <v>-0.27122696538396274</v>
      </c>
      <c r="J407" s="46">
        <v>5.5205174193251327E-3</v>
      </c>
    </row>
    <row r="408" spans="1:10" ht="11.25" customHeight="1" x14ac:dyDescent="0.2">
      <c r="A408" s="55">
        <v>44713</v>
      </c>
      <c r="B408" s="45">
        <v>0</v>
      </c>
      <c r="C408" s="45">
        <v>0</v>
      </c>
      <c r="D408" s="45">
        <v>29.593349999999997</v>
      </c>
      <c r="E408" s="45">
        <v>33.006746180594014</v>
      </c>
      <c r="F408" s="45">
        <v>11.743649999999999</v>
      </c>
      <c r="G408" s="45">
        <v>8.5584554479686279</v>
      </c>
      <c r="H408" s="46">
        <v>0.11534335182039257</v>
      </c>
      <c r="I408" s="46">
        <v>-0.27122696538396251</v>
      </c>
      <c r="J408" s="46">
        <v>5.5205174193251327E-3</v>
      </c>
    </row>
    <row r="409" spans="1:10" ht="11.25" customHeight="1" x14ac:dyDescent="0.2">
      <c r="A409" s="55">
        <v>44743</v>
      </c>
      <c r="B409" s="45">
        <v>0</v>
      </c>
      <c r="C409" s="45">
        <v>0</v>
      </c>
      <c r="D409" s="45">
        <v>29.593349999999997</v>
      </c>
      <c r="E409" s="45">
        <v>33.006746180594014</v>
      </c>
      <c r="F409" s="45">
        <v>11.743649999999999</v>
      </c>
      <c r="G409" s="45">
        <v>8.5584554479686279</v>
      </c>
      <c r="H409" s="46">
        <v>0.11534335182039257</v>
      </c>
      <c r="I409" s="46">
        <v>-0.27122696538396251</v>
      </c>
      <c r="J409" s="46">
        <v>5.5205174193251327E-3</v>
      </c>
    </row>
    <row r="410" spans="1:10" ht="11.25" customHeight="1" x14ac:dyDescent="0.2">
      <c r="A410" s="49" t="s">
        <v>23</v>
      </c>
      <c r="B410" s="45">
        <v>0</v>
      </c>
      <c r="C410" s="45">
        <v>0</v>
      </c>
      <c r="D410" s="45">
        <v>2655977.1277233483</v>
      </c>
      <c r="E410" s="45">
        <v>3072373.2892018342</v>
      </c>
      <c r="F410" s="45">
        <v>1830083.106047262</v>
      </c>
      <c r="G410" s="45">
        <v>1353545.8893823349</v>
      </c>
      <c r="H410" s="46">
        <v>0.15677701330034144</v>
      </c>
      <c r="I410" s="46">
        <v>-0.26039102546232751</v>
      </c>
      <c r="J410" s="46">
        <v>-1.3406207686135652E-2</v>
      </c>
    </row>
    <row r="411" spans="1:10" ht="11.25" customHeight="1" x14ac:dyDescent="0.2">
      <c r="A411" s="50" t="s">
        <v>40</v>
      </c>
      <c r="B411" s="45">
        <v>0</v>
      </c>
      <c r="C411" s="45">
        <v>0</v>
      </c>
      <c r="D411" s="45">
        <v>1663084.3657999998</v>
      </c>
      <c r="E411" s="45">
        <v>1923817.765536617</v>
      </c>
      <c r="F411" s="45">
        <v>1145937.0527000001</v>
      </c>
      <c r="G411" s="45">
        <v>847545.32843217021</v>
      </c>
      <c r="H411" s="46">
        <v>0.15677701330034144</v>
      </c>
      <c r="I411" s="46">
        <v>-0.2603910254623274</v>
      </c>
      <c r="J411" s="46">
        <v>-1.340620768613543E-2</v>
      </c>
    </row>
    <row r="412" spans="1:10" ht="11.25" customHeight="1" x14ac:dyDescent="0.2">
      <c r="A412" s="51" t="s">
        <v>25</v>
      </c>
      <c r="B412" s="45">
        <v>0</v>
      </c>
      <c r="C412" s="45">
        <v>0</v>
      </c>
      <c r="D412" s="45">
        <v>1663084.3657999998</v>
      </c>
      <c r="E412" s="45">
        <v>1923817.765536617</v>
      </c>
      <c r="F412" s="45">
        <v>1145937.0527000001</v>
      </c>
      <c r="G412" s="45">
        <v>847545.32843217021</v>
      </c>
      <c r="H412" s="46">
        <v>0.15677701330034144</v>
      </c>
      <c r="I412" s="46">
        <v>-0.2603910254623274</v>
      </c>
      <c r="J412" s="46">
        <v>-1.340620768613543E-2</v>
      </c>
    </row>
    <row r="413" spans="1:10" ht="11.25" customHeight="1" x14ac:dyDescent="0.2">
      <c r="A413" s="52" t="s">
        <v>25</v>
      </c>
      <c r="B413" s="45">
        <v>0</v>
      </c>
      <c r="C413" s="45">
        <v>0</v>
      </c>
      <c r="D413" s="45">
        <v>1663084.3657999998</v>
      </c>
      <c r="E413" s="45">
        <v>1923817.765536617</v>
      </c>
      <c r="F413" s="45">
        <v>1145937.0527000001</v>
      </c>
      <c r="G413" s="45">
        <v>847545.32843217021</v>
      </c>
      <c r="H413" s="46">
        <v>0.15677701330034144</v>
      </c>
      <c r="I413" s="46">
        <v>-0.2603910254623274</v>
      </c>
      <c r="J413" s="46">
        <v>-1.340620768613543E-2</v>
      </c>
    </row>
    <row r="414" spans="1:10" ht="11.25" customHeight="1" x14ac:dyDescent="0.2">
      <c r="A414" s="53" t="s">
        <v>25</v>
      </c>
      <c r="B414" s="45">
        <v>0</v>
      </c>
      <c r="C414" s="45">
        <v>0</v>
      </c>
      <c r="D414" s="45">
        <v>1663084.3657999998</v>
      </c>
      <c r="E414" s="45">
        <v>1923817.765536617</v>
      </c>
      <c r="F414" s="45">
        <v>1145937.0527000001</v>
      </c>
      <c r="G414" s="45">
        <v>847545.32843217021</v>
      </c>
      <c r="H414" s="46">
        <v>0.15677701330034144</v>
      </c>
      <c r="I414" s="46">
        <v>-0.2603910254623274</v>
      </c>
      <c r="J414" s="46">
        <v>-1.340620768613543E-2</v>
      </c>
    </row>
    <row r="415" spans="1:10" ht="11.25" customHeight="1" x14ac:dyDescent="0.2">
      <c r="A415" s="54" t="s">
        <v>25</v>
      </c>
      <c r="B415" s="45">
        <v>0</v>
      </c>
      <c r="C415" s="45">
        <v>0</v>
      </c>
      <c r="D415" s="45">
        <v>1663084.3657999998</v>
      </c>
      <c r="E415" s="45">
        <v>1923817.765536617</v>
      </c>
      <c r="F415" s="45">
        <v>1145937.0527000001</v>
      </c>
      <c r="G415" s="45">
        <v>847545.32843217021</v>
      </c>
      <c r="H415" s="46">
        <v>0.15677701330034144</v>
      </c>
      <c r="I415" s="46">
        <v>-0.2603910254623274</v>
      </c>
      <c r="J415" s="46">
        <v>-1.340620768613543E-2</v>
      </c>
    </row>
    <row r="416" spans="1:10" ht="11.25" customHeight="1" x14ac:dyDescent="0.2">
      <c r="A416" s="55">
        <v>44409</v>
      </c>
      <c r="B416" s="45">
        <v>0</v>
      </c>
      <c r="C416" s="45">
        <v>0</v>
      </c>
      <c r="D416" s="45">
        <v>124580.8876</v>
      </c>
      <c r="E416" s="45">
        <v>144112.30707223355</v>
      </c>
      <c r="F416" s="45">
        <v>85841.619400000011</v>
      </c>
      <c r="G416" s="45">
        <v>63489.23209708721</v>
      </c>
      <c r="H416" s="46">
        <v>0.15677701330034144</v>
      </c>
      <c r="I416" s="46">
        <v>-0.26039102546232717</v>
      </c>
      <c r="J416" s="46">
        <v>-1.3406207686135208E-2</v>
      </c>
    </row>
    <row r="417" spans="1:10" ht="11.25" customHeight="1" x14ac:dyDescent="0.2">
      <c r="A417" s="55">
        <v>44440</v>
      </c>
      <c r="B417" s="45">
        <v>0</v>
      </c>
      <c r="C417" s="45">
        <v>0</v>
      </c>
      <c r="D417" s="45">
        <v>135009.20991999999</v>
      </c>
      <c r="E417" s="45">
        <v>156175.55061929644</v>
      </c>
      <c r="F417" s="45">
        <v>93027.184480000011</v>
      </c>
      <c r="G417" s="45">
        <v>68803.740517379731</v>
      </c>
      <c r="H417" s="46">
        <v>0.15677701330034166</v>
      </c>
      <c r="I417" s="46">
        <v>-0.26039102546232706</v>
      </c>
      <c r="J417" s="46">
        <v>-1.3406207686135208E-2</v>
      </c>
    </row>
    <row r="418" spans="1:10" ht="11.25" customHeight="1" x14ac:dyDescent="0.2">
      <c r="A418" s="55">
        <v>44470</v>
      </c>
      <c r="B418" s="45">
        <v>0</v>
      </c>
      <c r="C418" s="45">
        <v>0</v>
      </c>
      <c r="D418" s="45">
        <v>124869.74837999999</v>
      </c>
      <c r="E418" s="45">
        <v>144446.45458258156</v>
      </c>
      <c r="F418" s="45">
        <v>86040.656969999996</v>
      </c>
      <c r="G418" s="45">
        <v>63636.442070129378</v>
      </c>
      <c r="H418" s="46">
        <v>0.15677701330034166</v>
      </c>
      <c r="I418" s="46">
        <v>-0.26039102546232706</v>
      </c>
      <c r="J418" s="46">
        <v>-1.3406207686135097E-2</v>
      </c>
    </row>
    <row r="419" spans="1:10" ht="11.25" customHeight="1" x14ac:dyDescent="0.2">
      <c r="A419" s="55">
        <v>44501</v>
      </c>
      <c r="B419" s="45">
        <v>0</v>
      </c>
      <c r="C419" s="45">
        <v>0</v>
      </c>
      <c r="D419" s="45">
        <v>149480.76832000003</v>
      </c>
      <c r="E419" s="45">
        <v>172915.91672304992</v>
      </c>
      <c r="F419" s="45">
        <v>102998.71408000002</v>
      </c>
      <c r="G419" s="45">
        <v>76178.773299407767</v>
      </c>
      <c r="H419" s="46">
        <v>0.15677701330034122</v>
      </c>
      <c r="I419" s="46">
        <v>-0.26039102546232729</v>
      </c>
      <c r="J419" s="46">
        <v>-1.3406207686135319E-2</v>
      </c>
    </row>
    <row r="420" spans="1:10" ht="11.25" customHeight="1" x14ac:dyDescent="0.2">
      <c r="A420" s="55">
        <v>44531</v>
      </c>
      <c r="B420" s="45">
        <v>0</v>
      </c>
      <c r="C420" s="45">
        <v>0</v>
      </c>
      <c r="D420" s="45">
        <v>166276.25040000002</v>
      </c>
      <c r="E420" s="45">
        <v>192344.54432049172</v>
      </c>
      <c r="F420" s="45">
        <v>114571.5276</v>
      </c>
      <c r="G420" s="45">
        <v>84738.130039450683</v>
      </c>
      <c r="H420" s="46">
        <v>0.15677701330034144</v>
      </c>
      <c r="I420" s="46">
        <v>-0.26039102546232717</v>
      </c>
      <c r="J420" s="46">
        <v>-1.3406207686135319E-2</v>
      </c>
    </row>
    <row r="421" spans="1:10" ht="11.25" customHeight="1" x14ac:dyDescent="0.2">
      <c r="A421" s="55">
        <v>44562</v>
      </c>
      <c r="B421" s="45">
        <v>0</v>
      </c>
      <c r="C421" s="45">
        <v>0</v>
      </c>
      <c r="D421" s="45">
        <v>159317.92421999999</v>
      </c>
      <c r="E421" s="45">
        <v>184295.31254442173</v>
      </c>
      <c r="F421" s="45">
        <v>109776.93992999999</v>
      </c>
      <c r="G421" s="45">
        <v>81192.009969511011</v>
      </c>
      <c r="H421" s="46">
        <v>0.15677701330034144</v>
      </c>
      <c r="I421" s="46">
        <v>-0.26039102546232706</v>
      </c>
      <c r="J421" s="46">
        <v>-1.3406207686135319E-2</v>
      </c>
    </row>
    <row r="422" spans="1:10" ht="11.25" customHeight="1" x14ac:dyDescent="0.2">
      <c r="A422" s="55">
        <v>44593</v>
      </c>
      <c r="B422" s="45">
        <v>0</v>
      </c>
      <c r="C422" s="45">
        <v>0</v>
      </c>
      <c r="D422" s="45">
        <v>148062.94672000001</v>
      </c>
      <c r="E422" s="45">
        <v>171275.81328720922</v>
      </c>
      <c r="F422" s="45">
        <v>102021.77368</v>
      </c>
      <c r="G422" s="45">
        <v>75456.219411979357</v>
      </c>
      <c r="H422" s="46">
        <v>0.15677701330034166</v>
      </c>
      <c r="I422" s="46">
        <v>-0.26039102546232695</v>
      </c>
      <c r="J422" s="46">
        <v>-1.3406207686135097E-2</v>
      </c>
    </row>
    <row r="423" spans="1:10" ht="11.25" customHeight="1" x14ac:dyDescent="0.2">
      <c r="A423" s="55">
        <v>44621</v>
      </c>
      <c r="B423" s="45">
        <v>0</v>
      </c>
      <c r="C423" s="45">
        <v>0</v>
      </c>
      <c r="D423" s="45">
        <v>158964.28365999999</v>
      </c>
      <c r="E423" s="45">
        <v>183886.22927364311</v>
      </c>
      <c r="F423" s="45">
        <v>109533.26629</v>
      </c>
      <c r="G423" s="45">
        <v>81011.786758508752</v>
      </c>
      <c r="H423" s="46">
        <v>0.15677701330034188</v>
      </c>
      <c r="I423" s="46">
        <v>-0.26039102546232717</v>
      </c>
      <c r="J423" s="46">
        <v>-1.3406207686135097E-2</v>
      </c>
    </row>
    <row r="424" spans="1:10" ht="11.25" customHeight="1" x14ac:dyDescent="0.2">
      <c r="A424" s="55">
        <v>44652</v>
      </c>
      <c r="B424" s="45">
        <v>0</v>
      </c>
      <c r="C424" s="45">
        <v>0</v>
      </c>
      <c r="D424" s="45">
        <v>124694.96520000002</v>
      </c>
      <c r="E424" s="45">
        <v>144244.26941764605</v>
      </c>
      <c r="F424" s="45">
        <v>85920.223800000022</v>
      </c>
      <c r="G424" s="45">
        <v>63547.368616765358</v>
      </c>
      <c r="H424" s="46">
        <v>0.15677701330034144</v>
      </c>
      <c r="I424" s="46">
        <v>-0.26039102546232729</v>
      </c>
      <c r="J424" s="46">
        <v>-1.3406207686135208E-2</v>
      </c>
    </row>
    <row r="425" spans="1:10" ht="11.25" customHeight="1" x14ac:dyDescent="0.2">
      <c r="A425" s="55">
        <v>44682</v>
      </c>
      <c r="B425" s="45">
        <v>0</v>
      </c>
      <c r="C425" s="45">
        <v>0</v>
      </c>
      <c r="D425" s="45">
        <v>127358.26974</v>
      </c>
      <c r="E425" s="45">
        <v>147325.11888893647</v>
      </c>
      <c r="F425" s="45">
        <v>87755.355810000008</v>
      </c>
      <c r="G425" s="45">
        <v>64904.648720822712</v>
      </c>
      <c r="H425" s="46">
        <v>0.15677701330034166</v>
      </c>
      <c r="I425" s="46">
        <v>-0.26039102546232717</v>
      </c>
      <c r="J425" s="46">
        <v>-1.3406207686135208E-2</v>
      </c>
    </row>
    <row r="426" spans="1:10" ht="11.25" customHeight="1" x14ac:dyDescent="0.2">
      <c r="A426" s="55">
        <v>44713</v>
      </c>
      <c r="B426" s="45">
        <v>0</v>
      </c>
      <c r="C426" s="45">
        <v>0</v>
      </c>
      <c r="D426" s="45">
        <v>122234.55581999999</v>
      </c>
      <c r="E426" s="45">
        <v>141398.12440355346</v>
      </c>
      <c r="F426" s="45">
        <v>84224.895329999999</v>
      </c>
      <c r="G426" s="45">
        <v>62293.488465564129</v>
      </c>
      <c r="H426" s="46">
        <v>0.15677701330034144</v>
      </c>
      <c r="I426" s="46">
        <v>-0.26039102546232717</v>
      </c>
      <c r="J426" s="46">
        <v>-1.3406207686135208E-2</v>
      </c>
    </row>
    <row r="427" spans="1:10" ht="11.25" customHeight="1" x14ac:dyDescent="0.2">
      <c r="A427" s="55">
        <v>44743</v>
      </c>
      <c r="B427" s="45">
        <v>0</v>
      </c>
      <c r="C427" s="45">
        <v>0</v>
      </c>
      <c r="D427" s="45">
        <v>122234.55581999999</v>
      </c>
      <c r="E427" s="45">
        <v>141398.12440355346</v>
      </c>
      <c r="F427" s="45">
        <v>84224.895329999999</v>
      </c>
      <c r="G427" s="45">
        <v>62293.488465564129</v>
      </c>
      <c r="H427" s="46">
        <v>0.15677701330034144</v>
      </c>
      <c r="I427" s="46">
        <v>-0.26039102546232717</v>
      </c>
      <c r="J427" s="46">
        <v>-1.3406207686135208E-2</v>
      </c>
    </row>
    <row r="428" spans="1:10" ht="11.25" customHeight="1" x14ac:dyDescent="0.2">
      <c r="A428" s="50" t="s">
        <v>49</v>
      </c>
      <c r="B428" s="45">
        <v>0</v>
      </c>
      <c r="C428" s="45">
        <v>0</v>
      </c>
      <c r="D428" s="45">
        <v>25959.580140000005</v>
      </c>
      <c r="E428" s="45">
        <v>30029.445580880063</v>
      </c>
      <c r="F428" s="45">
        <v>17887.273410000002</v>
      </c>
      <c r="G428" s="45">
        <v>13229.587944045083</v>
      </c>
      <c r="H428" s="46">
        <v>0.15677701330034144</v>
      </c>
      <c r="I428" s="46">
        <v>-0.26039102546232717</v>
      </c>
      <c r="J428" s="46">
        <v>-1.340620768613543E-2</v>
      </c>
    </row>
    <row r="429" spans="1:10" ht="11.25" customHeight="1" x14ac:dyDescent="0.2">
      <c r="A429" s="51" t="s">
        <v>25</v>
      </c>
      <c r="B429" s="45">
        <v>0</v>
      </c>
      <c r="C429" s="45">
        <v>0</v>
      </c>
      <c r="D429" s="45">
        <v>25959.580140000005</v>
      </c>
      <c r="E429" s="45">
        <v>30029.445580880063</v>
      </c>
      <c r="F429" s="45">
        <v>17887.273410000002</v>
      </c>
      <c r="G429" s="45">
        <v>13229.587944045083</v>
      </c>
      <c r="H429" s="46">
        <v>0.15677701330034144</v>
      </c>
      <c r="I429" s="46">
        <v>-0.26039102546232717</v>
      </c>
      <c r="J429" s="46">
        <v>-1.340620768613543E-2</v>
      </c>
    </row>
    <row r="430" spans="1:10" ht="11.25" customHeight="1" x14ac:dyDescent="0.2">
      <c r="A430" s="52" t="s">
        <v>25</v>
      </c>
      <c r="B430" s="45">
        <v>0</v>
      </c>
      <c r="C430" s="45">
        <v>0</v>
      </c>
      <c r="D430" s="45">
        <v>25959.580140000005</v>
      </c>
      <c r="E430" s="45">
        <v>30029.445580880063</v>
      </c>
      <c r="F430" s="45">
        <v>17887.273410000002</v>
      </c>
      <c r="G430" s="45">
        <v>13229.587944045083</v>
      </c>
      <c r="H430" s="46">
        <v>0.15677701330034144</v>
      </c>
      <c r="I430" s="46">
        <v>-0.26039102546232717</v>
      </c>
      <c r="J430" s="46">
        <v>-1.340620768613543E-2</v>
      </c>
    </row>
    <row r="431" spans="1:10" ht="11.25" customHeight="1" x14ac:dyDescent="0.2">
      <c r="A431" s="53" t="s">
        <v>25</v>
      </c>
      <c r="B431" s="45">
        <v>0</v>
      </c>
      <c r="C431" s="45">
        <v>0</v>
      </c>
      <c r="D431" s="45">
        <v>25959.580140000005</v>
      </c>
      <c r="E431" s="45">
        <v>30029.445580880063</v>
      </c>
      <c r="F431" s="45">
        <v>17887.273410000002</v>
      </c>
      <c r="G431" s="45">
        <v>13229.587944045083</v>
      </c>
      <c r="H431" s="46">
        <v>0.15677701330034144</v>
      </c>
      <c r="I431" s="46">
        <v>-0.26039102546232717</v>
      </c>
      <c r="J431" s="46">
        <v>-1.340620768613543E-2</v>
      </c>
    </row>
    <row r="432" spans="1:10" ht="11.25" customHeight="1" x14ac:dyDescent="0.2">
      <c r="A432" s="54" t="s">
        <v>25</v>
      </c>
      <c r="B432" s="45">
        <v>0</v>
      </c>
      <c r="C432" s="45">
        <v>0</v>
      </c>
      <c r="D432" s="45">
        <v>25959.580140000005</v>
      </c>
      <c r="E432" s="45">
        <v>30029.445580880063</v>
      </c>
      <c r="F432" s="45">
        <v>17887.273410000002</v>
      </c>
      <c r="G432" s="45">
        <v>13229.587944045083</v>
      </c>
      <c r="H432" s="46">
        <v>0.15677701330034144</v>
      </c>
      <c r="I432" s="46">
        <v>-0.26039102546232717</v>
      </c>
      <c r="J432" s="46">
        <v>-1.340620768613543E-2</v>
      </c>
    </row>
    <row r="433" spans="1:10" ht="11.25" customHeight="1" x14ac:dyDescent="0.2">
      <c r="A433" s="55">
        <v>44409</v>
      </c>
      <c r="B433" s="45">
        <v>0</v>
      </c>
      <c r="C433" s="45">
        <v>0</v>
      </c>
      <c r="D433" s="45">
        <v>2577.7463400000001</v>
      </c>
      <c r="E433" s="45">
        <v>2981.8777122310867</v>
      </c>
      <c r="F433" s="45">
        <v>1776.1787100000001</v>
      </c>
      <c r="G433" s="45">
        <v>1313.6777142987467</v>
      </c>
      <c r="H433" s="46">
        <v>0.15677701330034144</v>
      </c>
      <c r="I433" s="46">
        <v>-0.26039102546232717</v>
      </c>
      <c r="J433" s="46">
        <v>-1.3406207686135208E-2</v>
      </c>
    </row>
    <row r="434" spans="1:10" ht="11.25" customHeight="1" x14ac:dyDescent="0.2">
      <c r="A434" s="55">
        <v>44440</v>
      </c>
      <c r="B434" s="45">
        <v>0</v>
      </c>
      <c r="C434" s="45">
        <v>0</v>
      </c>
      <c r="D434" s="45">
        <v>2462.4464800000001</v>
      </c>
      <c r="E434" s="45">
        <v>2848.5014845463393</v>
      </c>
      <c r="F434" s="45">
        <v>1696.7321199999999</v>
      </c>
      <c r="G434" s="45">
        <v>1254.9183033383317</v>
      </c>
      <c r="H434" s="46">
        <v>0.15677701330034144</v>
      </c>
      <c r="I434" s="46">
        <v>-0.26039102546232706</v>
      </c>
      <c r="J434" s="46">
        <v>-1.3406207686135319E-2</v>
      </c>
    </row>
    <row r="435" spans="1:10" ht="11.25" customHeight="1" x14ac:dyDescent="0.2">
      <c r="A435" s="55">
        <v>44470</v>
      </c>
      <c r="B435" s="45">
        <v>0</v>
      </c>
      <c r="C435" s="45">
        <v>0</v>
      </c>
      <c r="D435" s="45">
        <v>2646.6003200000005</v>
      </c>
      <c r="E435" s="45">
        <v>3061.5264135693287</v>
      </c>
      <c r="F435" s="45">
        <v>1823.6220800000003</v>
      </c>
      <c r="G435" s="45">
        <v>1348.7672565330581</v>
      </c>
      <c r="H435" s="46">
        <v>0.15677701330034144</v>
      </c>
      <c r="I435" s="46">
        <v>-0.26039102546232717</v>
      </c>
      <c r="J435" s="46">
        <v>-1.3406207686135319E-2</v>
      </c>
    </row>
    <row r="436" spans="1:10" ht="11.25" customHeight="1" x14ac:dyDescent="0.2">
      <c r="A436" s="55">
        <v>44501</v>
      </c>
      <c r="B436" s="45">
        <v>0</v>
      </c>
      <c r="C436" s="45">
        <v>0</v>
      </c>
      <c r="D436" s="45">
        <v>2176.0302200000001</v>
      </c>
      <c r="E436" s="45">
        <v>2517.1817387428855</v>
      </c>
      <c r="F436" s="45">
        <v>1499.3789300000001</v>
      </c>
      <c r="G436" s="45">
        <v>1108.9541128606934</v>
      </c>
      <c r="H436" s="46">
        <v>0.15677701330034166</v>
      </c>
      <c r="I436" s="46">
        <v>-0.26039102546232706</v>
      </c>
      <c r="J436" s="46">
        <v>-1.3406207686135208E-2</v>
      </c>
    </row>
    <row r="437" spans="1:10" ht="11.25" customHeight="1" x14ac:dyDescent="0.2">
      <c r="A437" s="55">
        <v>44531</v>
      </c>
      <c r="B437" s="45">
        <v>0</v>
      </c>
      <c r="C437" s="45">
        <v>0</v>
      </c>
      <c r="D437" s="45">
        <v>2350.40598</v>
      </c>
      <c r="E437" s="45">
        <v>2718.8956095876624</v>
      </c>
      <c r="F437" s="45">
        <v>1619.5313700000002</v>
      </c>
      <c r="G437" s="45">
        <v>1197.8199357972926</v>
      </c>
      <c r="H437" s="46">
        <v>0.15677701330034166</v>
      </c>
      <c r="I437" s="46">
        <v>-0.26039102546232706</v>
      </c>
      <c r="J437" s="46">
        <v>-1.3406207686135208E-2</v>
      </c>
    </row>
    <row r="438" spans="1:10" ht="11.25" customHeight="1" x14ac:dyDescent="0.2">
      <c r="A438" s="55">
        <v>44562</v>
      </c>
      <c r="B438" s="45">
        <v>0</v>
      </c>
      <c r="C438" s="45">
        <v>0</v>
      </c>
      <c r="D438" s="45">
        <v>2559.0050200000001</v>
      </c>
      <c r="E438" s="45">
        <v>2960.1981840561807</v>
      </c>
      <c r="F438" s="45">
        <v>1763.26513</v>
      </c>
      <c r="G438" s="45">
        <v>1304.1267146373364</v>
      </c>
      <c r="H438" s="46">
        <v>0.15677701330034144</v>
      </c>
      <c r="I438" s="46">
        <v>-0.26039102546232717</v>
      </c>
      <c r="J438" s="46">
        <v>-1.3406207686135319E-2</v>
      </c>
    </row>
    <row r="439" spans="1:10" ht="11.25" customHeight="1" x14ac:dyDescent="0.2">
      <c r="A439" s="55">
        <v>44593</v>
      </c>
      <c r="B439" s="45">
        <v>0</v>
      </c>
      <c r="C439" s="45">
        <v>0</v>
      </c>
      <c r="D439" s="45">
        <v>2566.7460000000001</v>
      </c>
      <c r="E439" s="45">
        <v>2969.1527717805984</v>
      </c>
      <c r="F439" s="45">
        <v>1768.5990000000002</v>
      </c>
      <c r="G439" s="45">
        <v>1308.0716927583537</v>
      </c>
      <c r="H439" s="46">
        <v>0.15677701330034144</v>
      </c>
      <c r="I439" s="46">
        <v>-0.26039102546232717</v>
      </c>
      <c r="J439" s="46">
        <v>-1.3406207686135319E-2</v>
      </c>
    </row>
    <row r="440" spans="1:10" ht="11.25" customHeight="1" x14ac:dyDescent="0.2">
      <c r="A440" s="55">
        <v>44621</v>
      </c>
      <c r="B440" s="45">
        <v>0</v>
      </c>
      <c r="C440" s="45">
        <v>0</v>
      </c>
      <c r="D440" s="45">
        <v>2404.5928400000003</v>
      </c>
      <c r="E440" s="45">
        <v>2781.5777236585864</v>
      </c>
      <c r="F440" s="45">
        <v>1656.8684600000001</v>
      </c>
      <c r="G440" s="45">
        <v>1225.4347826444134</v>
      </c>
      <c r="H440" s="46">
        <v>0.15677701330034166</v>
      </c>
      <c r="I440" s="46">
        <v>-0.26039102546232706</v>
      </c>
      <c r="J440" s="46">
        <v>-1.3406207686135097E-2</v>
      </c>
    </row>
    <row r="441" spans="1:10" ht="11.25" customHeight="1" x14ac:dyDescent="0.2">
      <c r="A441" s="55">
        <v>44652</v>
      </c>
      <c r="B441" s="45">
        <v>0</v>
      </c>
      <c r="C441" s="45">
        <v>0</v>
      </c>
      <c r="D441" s="45">
        <v>2207.4015600000002</v>
      </c>
      <c r="E441" s="45">
        <v>2553.4713837313147</v>
      </c>
      <c r="F441" s="45">
        <v>1520.9951400000002</v>
      </c>
      <c r="G441" s="45">
        <v>1124.9416557721843</v>
      </c>
      <c r="H441" s="46">
        <v>0.15677701330034144</v>
      </c>
      <c r="I441" s="46">
        <v>-0.26039102546232717</v>
      </c>
      <c r="J441" s="46">
        <v>-1.3406207686135208E-2</v>
      </c>
    </row>
    <row r="442" spans="1:10" ht="11.25" customHeight="1" x14ac:dyDescent="0.2">
      <c r="A442" s="55">
        <v>44682</v>
      </c>
      <c r="B442" s="45">
        <v>0</v>
      </c>
      <c r="C442" s="45">
        <v>0</v>
      </c>
      <c r="D442" s="45">
        <v>2044.8409800000002</v>
      </c>
      <c r="E442" s="45">
        <v>2365.4250415185438</v>
      </c>
      <c r="F442" s="45">
        <v>1408.98387</v>
      </c>
      <c r="G442" s="45">
        <v>1042.0971152308218</v>
      </c>
      <c r="H442" s="46">
        <v>0.15677701330034166</v>
      </c>
      <c r="I442" s="46">
        <v>-0.26039102546232706</v>
      </c>
      <c r="J442" s="46">
        <v>-1.3406207686135097E-2</v>
      </c>
    </row>
    <row r="443" spans="1:10" ht="11.25" customHeight="1" x14ac:dyDescent="0.2">
      <c r="A443" s="55">
        <v>44713</v>
      </c>
      <c r="B443" s="45">
        <v>0</v>
      </c>
      <c r="C443" s="45">
        <v>0</v>
      </c>
      <c r="D443" s="45">
        <v>981.88220000000013</v>
      </c>
      <c r="E443" s="45">
        <v>1135.8187587287687</v>
      </c>
      <c r="F443" s="45">
        <v>676.55930000000012</v>
      </c>
      <c r="G443" s="45">
        <v>500.38933008692584</v>
      </c>
      <c r="H443" s="46">
        <v>0.15677701330034144</v>
      </c>
      <c r="I443" s="46">
        <v>-0.26039102546232717</v>
      </c>
      <c r="J443" s="46">
        <v>-1.3406207686135319E-2</v>
      </c>
    </row>
    <row r="444" spans="1:10" ht="11.25" customHeight="1" x14ac:dyDescent="0.2">
      <c r="A444" s="55">
        <v>44743</v>
      </c>
      <c r="B444" s="45">
        <v>0</v>
      </c>
      <c r="C444" s="45">
        <v>0</v>
      </c>
      <c r="D444" s="45">
        <v>981.88220000000013</v>
      </c>
      <c r="E444" s="45">
        <v>1135.8187587287687</v>
      </c>
      <c r="F444" s="45">
        <v>676.55930000000012</v>
      </c>
      <c r="G444" s="45">
        <v>500.38933008692584</v>
      </c>
      <c r="H444" s="46">
        <v>0.15677701330034144</v>
      </c>
      <c r="I444" s="46">
        <v>-0.26039102546232717</v>
      </c>
      <c r="J444" s="46">
        <v>-1.3406207686135319E-2</v>
      </c>
    </row>
    <row r="445" spans="1:10" ht="11.25" customHeight="1" x14ac:dyDescent="0.2">
      <c r="A445" s="50" t="s">
        <v>37</v>
      </c>
      <c r="B445" s="45">
        <v>0</v>
      </c>
      <c r="C445" s="45">
        <v>0</v>
      </c>
      <c r="D445" s="45">
        <v>455358.66687999998</v>
      </c>
      <c r="E445" s="45">
        <v>526748.43865387153</v>
      </c>
      <c r="F445" s="45">
        <v>313761.81472000008</v>
      </c>
      <c r="G445" s="45">
        <v>232061.05403413853</v>
      </c>
      <c r="H445" s="46">
        <v>0.15677701330034122</v>
      </c>
      <c r="I445" s="46">
        <v>-0.2603910254623274</v>
      </c>
      <c r="J445" s="46">
        <v>-1.3406207686135541E-2</v>
      </c>
    </row>
    <row r="446" spans="1:10" ht="11.25" customHeight="1" x14ac:dyDescent="0.2">
      <c r="A446" s="51" t="s">
        <v>25</v>
      </c>
      <c r="B446" s="45">
        <v>0</v>
      </c>
      <c r="C446" s="45">
        <v>0</v>
      </c>
      <c r="D446" s="45">
        <v>455358.66687999998</v>
      </c>
      <c r="E446" s="45">
        <v>526748.43865387153</v>
      </c>
      <c r="F446" s="45">
        <v>313761.81472000008</v>
      </c>
      <c r="G446" s="45">
        <v>232061.05403413853</v>
      </c>
      <c r="H446" s="46">
        <v>0.15677701330034122</v>
      </c>
      <c r="I446" s="46">
        <v>-0.2603910254623274</v>
      </c>
      <c r="J446" s="46">
        <v>-1.3406207686135541E-2</v>
      </c>
    </row>
    <row r="447" spans="1:10" ht="11.25" customHeight="1" x14ac:dyDescent="0.2">
      <c r="A447" s="52" t="s">
        <v>25</v>
      </c>
      <c r="B447" s="45">
        <v>0</v>
      </c>
      <c r="C447" s="45">
        <v>0</v>
      </c>
      <c r="D447" s="45">
        <v>455358.66687999998</v>
      </c>
      <c r="E447" s="45">
        <v>526748.43865387153</v>
      </c>
      <c r="F447" s="45">
        <v>313761.81472000008</v>
      </c>
      <c r="G447" s="45">
        <v>232061.05403413853</v>
      </c>
      <c r="H447" s="46">
        <v>0.15677701330034122</v>
      </c>
      <c r="I447" s="46">
        <v>-0.2603910254623274</v>
      </c>
      <c r="J447" s="46">
        <v>-1.3406207686135541E-2</v>
      </c>
    </row>
    <row r="448" spans="1:10" ht="11.25" customHeight="1" x14ac:dyDescent="0.2">
      <c r="A448" s="53" t="s">
        <v>25</v>
      </c>
      <c r="B448" s="45">
        <v>0</v>
      </c>
      <c r="C448" s="45">
        <v>0</v>
      </c>
      <c r="D448" s="45">
        <v>455358.66687999998</v>
      </c>
      <c r="E448" s="45">
        <v>526748.43865387153</v>
      </c>
      <c r="F448" s="45">
        <v>313761.81472000008</v>
      </c>
      <c r="G448" s="45">
        <v>232061.05403413853</v>
      </c>
      <c r="H448" s="46">
        <v>0.15677701330034122</v>
      </c>
      <c r="I448" s="46">
        <v>-0.2603910254623274</v>
      </c>
      <c r="J448" s="46">
        <v>-1.3406207686135541E-2</v>
      </c>
    </row>
    <row r="449" spans="1:10" ht="11.25" customHeight="1" x14ac:dyDescent="0.2">
      <c r="A449" s="54" t="s">
        <v>25</v>
      </c>
      <c r="B449" s="45">
        <v>0</v>
      </c>
      <c r="C449" s="45">
        <v>0</v>
      </c>
      <c r="D449" s="45">
        <v>455358.66687999998</v>
      </c>
      <c r="E449" s="45">
        <v>526748.43865387153</v>
      </c>
      <c r="F449" s="45">
        <v>313761.81472000008</v>
      </c>
      <c r="G449" s="45">
        <v>232061.05403413853</v>
      </c>
      <c r="H449" s="46">
        <v>0.15677701330034122</v>
      </c>
      <c r="I449" s="46">
        <v>-0.2603910254623274</v>
      </c>
      <c r="J449" s="46">
        <v>-1.3406207686135541E-2</v>
      </c>
    </row>
    <row r="450" spans="1:10" ht="11.25" customHeight="1" x14ac:dyDescent="0.2">
      <c r="A450" s="55">
        <v>44409</v>
      </c>
      <c r="B450" s="45">
        <v>0</v>
      </c>
      <c r="C450" s="45">
        <v>0</v>
      </c>
      <c r="D450" s="45">
        <v>34857.22552</v>
      </c>
      <c r="E450" s="45">
        <v>40322.037228962043</v>
      </c>
      <c r="F450" s="45">
        <v>24018.135880000002</v>
      </c>
      <c r="G450" s="45">
        <v>17764.028848513284</v>
      </c>
      <c r="H450" s="46">
        <v>0.15677701330034144</v>
      </c>
      <c r="I450" s="46">
        <v>-0.26039102546232729</v>
      </c>
      <c r="J450" s="46">
        <v>-1.3406207686135319E-2</v>
      </c>
    </row>
    <row r="451" spans="1:10" ht="11.25" customHeight="1" x14ac:dyDescent="0.2">
      <c r="A451" s="55">
        <v>44440</v>
      </c>
      <c r="B451" s="45">
        <v>0</v>
      </c>
      <c r="C451" s="45">
        <v>0</v>
      </c>
      <c r="D451" s="45">
        <v>37484.269679999998</v>
      </c>
      <c r="E451" s="45">
        <v>43360.941526174953</v>
      </c>
      <c r="F451" s="45">
        <v>25828.282920000001</v>
      </c>
      <c r="G451" s="45">
        <v>19102.82984453009</v>
      </c>
      <c r="H451" s="46">
        <v>0.15677701330034166</v>
      </c>
      <c r="I451" s="46">
        <v>-0.26039102546232717</v>
      </c>
      <c r="J451" s="46">
        <v>-1.3406207686135097E-2</v>
      </c>
    </row>
    <row r="452" spans="1:10" ht="11.25" customHeight="1" x14ac:dyDescent="0.2">
      <c r="A452" s="55">
        <v>44470</v>
      </c>
      <c r="B452" s="45">
        <v>0</v>
      </c>
      <c r="C452" s="45">
        <v>0</v>
      </c>
      <c r="D452" s="45">
        <v>36158.117579999998</v>
      </c>
      <c r="E452" s="45">
        <v>41826.879260754977</v>
      </c>
      <c r="F452" s="45">
        <v>24914.50677</v>
      </c>
      <c r="G452" s="45">
        <v>18426.992803271609</v>
      </c>
      <c r="H452" s="46">
        <v>0.15677701330034166</v>
      </c>
      <c r="I452" s="46">
        <v>-0.26039102546232706</v>
      </c>
      <c r="J452" s="46">
        <v>-1.3406207686135208E-2</v>
      </c>
    </row>
    <row r="453" spans="1:10" ht="11.25" customHeight="1" x14ac:dyDescent="0.2">
      <c r="A453" s="55">
        <v>44501</v>
      </c>
      <c r="B453" s="45">
        <v>0</v>
      </c>
      <c r="C453" s="45">
        <v>0</v>
      </c>
      <c r="D453" s="45">
        <v>37001.069560000004</v>
      </c>
      <c r="E453" s="45">
        <v>42801.986734534985</v>
      </c>
      <c r="F453" s="45">
        <v>25495.33714</v>
      </c>
      <c r="G453" s="45">
        <v>18856.580157607645</v>
      </c>
      <c r="H453" s="46">
        <v>0.15677701330034144</v>
      </c>
      <c r="I453" s="46">
        <v>-0.26039102546232717</v>
      </c>
      <c r="J453" s="46">
        <v>-1.3406207686135319E-2</v>
      </c>
    </row>
    <row r="454" spans="1:10" ht="11.25" customHeight="1" x14ac:dyDescent="0.2">
      <c r="A454" s="55">
        <v>44531</v>
      </c>
      <c r="B454" s="45">
        <v>0</v>
      </c>
      <c r="C454" s="45">
        <v>0</v>
      </c>
      <c r="D454" s="45">
        <v>40898.449280000001</v>
      </c>
      <c r="E454" s="45">
        <v>47310.386006733905</v>
      </c>
      <c r="F454" s="45">
        <v>28180.800320000002</v>
      </c>
      <c r="G454" s="45">
        <v>20842.772826326127</v>
      </c>
      <c r="H454" s="46">
        <v>0.15677701330034144</v>
      </c>
      <c r="I454" s="46">
        <v>-0.26039102546232706</v>
      </c>
      <c r="J454" s="46">
        <v>-1.3406207686135208E-2</v>
      </c>
    </row>
    <row r="455" spans="1:10" ht="11.25" customHeight="1" x14ac:dyDescent="0.2">
      <c r="A455" s="55">
        <v>44562</v>
      </c>
      <c r="B455" s="45">
        <v>0</v>
      </c>
      <c r="C455" s="45">
        <v>0</v>
      </c>
      <c r="D455" s="45">
        <v>38150.808800000006</v>
      </c>
      <c r="E455" s="45">
        <v>44131.978658656386</v>
      </c>
      <c r="F455" s="45">
        <v>26287.557199999999</v>
      </c>
      <c r="G455" s="45">
        <v>19442.513223792423</v>
      </c>
      <c r="H455" s="46">
        <v>0.15677701330034122</v>
      </c>
      <c r="I455" s="46">
        <v>-0.26039102546232695</v>
      </c>
      <c r="J455" s="46">
        <v>-1.3406207686135208E-2</v>
      </c>
    </row>
    <row r="456" spans="1:10" ht="11.25" customHeight="1" x14ac:dyDescent="0.2">
      <c r="A456" s="55">
        <v>44593</v>
      </c>
      <c r="B456" s="45">
        <v>0</v>
      </c>
      <c r="C456" s="45">
        <v>0</v>
      </c>
      <c r="D456" s="45">
        <v>41195.865880000005</v>
      </c>
      <c r="E456" s="45">
        <v>47654.430692987851</v>
      </c>
      <c r="F456" s="45">
        <v>28385.733220000002</v>
      </c>
      <c r="G456" s="45">
        <v>20994.343038344159</v>
      </c>
      <c r="H456" s="46">
        <v>0.15677701330034144</v>
      </c>
      <c r="I456" s="46">
        <v>-0.26039102546232706</v>
      </c>
      <c r="J456" s="46">
        <v>-1.3406207686135208E-2</v>
      </c>
    </row>
    <row r="457" spans="1:10" ht="11.25" customHeight="1" x14ac:dyDescent="0.2">
      <c r="A457" s="55">
        <v>44621</v>
      </c>
      <c r="B457" s="45">
        <v>0</v>
      </c>
      <c r="C457" s="45">
        <v>0</v>
      </c>
      <c r="D457" s="45">
        <v>40559.068420000003</v>
      </c>
      <c r="E457" s="45">
        <v>46917.798029131809</v>
      </c>
      <c r="F457" s="45">
        <v>27946.952230000006</v>
      </c>
      <c r="G457" s="45">
        <v>20669.816680283631</v>
      </c>
      <c r="H457" s="46">
        <v>0.15677701330034166</v>
      </c>
      <c r="I457" s="46">
        <v>-0.26039102546232729</v>
      </c>
      <c r="J457" s="46">
        <v>-1.3406207686135097E-2</v>
      </c>
    </row>
    <row r="458" spans="1:10" ht="11.25" customHeight="1" x14ac:dyDescent="0.2">
      <c r="A458" s="55">
        <v>44652</v>
      </c>
      <c r="B458" s="45">
        <v>0</v>
      </c>
      <c r="C458" s="45">
        <v>0</v>
      </c>
      <c r="D458" s="45">
        <v>36028.96544</v>
      </c>
      <c r="E458" s="45">
        <v>41677.479033984426</v>
      </c>
      <c r="F458" s="45">
        <v>24825.515360000005</v>
      </c>
      <c r="G458" s="45">
        <v>18361.173957778847</v>
      </c>
      <c r="H458" s="46">
        <v>0.15677701330034144</v>
      </c>
      <c r="I458" s="46">
        <v>-0.26039102546232729</v>
      </c>
      <c r="J458" s="46">
        <v>-1.3406207686135319E-2</v>
      </c>
    </row>
    <row r="459" spans="1:10" ht="11.25" customHeight="1" x14ac:dyDescent="0.2">
      <c r="A459" s="55">
        <v>44682</v>
      </c>
      <c r="B459" s="45">
        <v>0</v>
      </c>
      <c r="C459" s="45">
        <v>0</v>
      </c>
      <c r="D459" s="45">
        <v>37621.162800000006</v>
      </c>
      <c r="E459" s="45">
        <v>43519.296340669913</v>
      </c>
      <c r="F459" s="45">
        <v>25922.608200000002</v>
      </c>
      <c r="G459" s="45">
        <v>19172.593668143872</v>
      </c>
      <c r="H459" s="46">
        <v>0.15677701330034122</v>
      </c>
      <c r="I459" s="46">
        <v>-0.26039102546232706</v>
      </c>
      <c r="J459" s="46">
        <v>-1.3406207686135208E-2</v>
      </c>
    </row>
    <row r="460" spans="1:10" ht="11.25" customHeight="1" x14ac:dyDescent="0.2">
      <c r="A460" s="55">
        <v>44713</v>
      </c>
      <c r="B460" s="45">
        <v>0</v>
      </c>
      <c r="C460" s="45">
        <v>0</v>
      </c>
      <c r="D460" s="45">
        <v>37701.831960000003</v>
      </c>
      <c r="E460" s="45">
        <v>43612.612570640158</v>
      </c>
      <c r="F460" s="45">
        <v>25978.192740000002</v>
      </c>
      <c r="G460" s="45">
        <v>19213.70449277342</v>
      </c>
      <c r="H460" s="46">
        <v>0.15677701330034144</v>
      </c>
      <c r="I460" s="46">
        <v>-0.26039102546232706</v>
      </c>
      <c r="J460" s="46">
        <v>-1.340620768613543E-2</v>
      </c>
    </row>
    <row r="461" spans="1:10" ht="11.25" customHeight="1" x14ac:dyDescent="0.2">
      <c r="A461" s="55">
        <v>44743</v>
      </c>
      <c r="B461" s="45">
        <v>0</v>
      </c>
      <c r="C461" s="45">
        <v>0</v>
      </c>
      <c r="D461" s="45">
        <v>37701.831960000003</v>
      </c>
      <c r="E461" s="45">
        <v>43612.612570640158</v>
      </c>
      <c r="F461" s="45">
        <v>25978.192740000002</v>
      </c>
      <c r="G461" s="45">
        <v>19213.70449277342</v>
      </c>
      <c r="H461" s="46">
        <v>0.15677701330034144</v>
      </c>
      <c r="I461" s="46">
        <v>-0.26039102546232706</v>
      </c>
      <c r="J461" s="46">
        <v>-1.340620768613543E-2</v>
      </c>
    </row>
    <row r="462" spans="1:10" ht="11.25" customHeight="1" x14ac:dyDescent="0.2">
      <c r="A462" s="50" t="s">
        <v>43</v>
      </c>
      <c r="B462" s="45">
        <v>0</v>
      </c>
      <c r="C462" s="45">
        <v>0</v>
      </c>
      <c r="D462" s="45">
        <v>426548.77642000001</v>
      </c>
      <c r="E462" s="45">
        <v>493421.81961404276</v>
      </c>
      <c r="F462" s="45">
        <v>293910.55423000007</v>
      </c>
      <c r="G462" s="45">
        <v>217378.8836198494</v>
      </c>
      <c r="H462" s="46">
        <v>0.15677701330034144</v>
      </c>
      <c r="I462" s="46">
        <v>-0.26039102546232729</v>
      </c>
      <c r="J462" s="46">
        <v>-1.340620768613543E-2</v>
      </c>
    </row>
    <row r="463" spans="1:10" ht="11.25" customHeight="1" x14ac:dyDescent="0.2">
      <c r="A463" s="51" t="s">
        <v>25</v>
      </c>
      <c r="B463" s="45">
        <v>0</v>
      </c>
      <c r="C463" s="45">
        <v>0</v>
      </c>
      <c r="D463" s="45">
        <v>426548.77642000001</v>
      </c>
      <c r="E463" s="45">
        <v>493421.81961404276</v>
      </c>
      <c r="F463" s="45">
        <v>293910.55423000007</v>
      </c>
      <c r="G463" s="45">
        <v>217378.8836198494</v>
      </c>
      <c r="H463" s="46">
        <v>0.15677701330034144</v>
      </c>
      <c r="I463" s="46">
        <v>-0.26039102546232729</v>
      </c>
      <c r="J463" s="46">
        <v>-1.340620768613543E-2</v>
      </c>
    </row>
    <row r="464" spans="1:10" ht="11.25" customHeight="1" x14ac:dyDescent="0.2">
      <c r="A464" s="52" t="s">
        <v>25</v>
      </c>
      <c r="B464" s="45">
        <v>0</v>
      </c>
      <c r="C464" s="45">
        <v>0</v>
      </c>
      <c r="D464" s="45">
        <v>426548.77642000001</v>
      </c>
      <c r="E464" s="45">
        <v>493421.81961404276</v>
      </c>
      <c r="F464" s="45">
        <v>293910.55423000007</v>
      </c>
      <c r="G464" s="45">
        <v>217378.8836198494</v>
      </c>
      <c r="H464" s="46">
        <v>0.15677701330034144</v>
      </c>
      <c r="I464" s="46">
        <v>-0.26039102546232729</v>
      </c>
      <c r="J464" s="46">
        <v>-1.340620768613543E-2</v>
      </c>
    </row>
    <row r="465" spans="1:10" ht="11.25" customHeight="1" x14ac:dyDescent="0.2">
      <c r="A465" s="53" t="s">
        <v>25</v>
      </c>
      <c r="B465" s="45">
        <v>0</v>
      </c>
      <c r="C465" s="45">
        <v>0</v>
      </c>
      <c r="D465" s="45">
        <v>426548.77642000001</v>
      </c>
      <c r="E465" s="45">
        <v>493421.81961404276</v>
      </c>
      <c r="F465" s="45">
        <v>293910.55423000007</v>
      </c>
      <c r="G465" s="45">
        <v>217378.8836198494</v>
      </c>
      <c r="H465" s="46">
        <v>0.15677701330034144</v>
      </c>
      <c r="I465" s="46">
        <v>-0.26039102546232729</v>
      </c>
      <c r="J465" s="46">
        <v>-1.340620768613543E-2</v>
      </c>
    </row>
    <row r="466" spans="1:10" ht="11.25" customHeight="1" x14ac:dyDescent="0.2">
      <c r="A466" s="54" t="s">
        <v>25</v>
      </c>
      <c r="B466" s="45">
        <v>0</v>
      </c>
      <c r="C466" s="45">
        <v>0</v>
      </c>
      <c r="D466" s="45">
        <v>426548.77642000001</v>
      </c>
      <c r="E466" s="45">
        <v>493421.81961404276</v>
      </c>
      <c r="F466" s="45">
        <v>293910.55423000007</v>
      </c>
      <c r="G466" s="45">
        <v>217378.8836198494</v>
      </c>
      <c r="H466" s="46">
        <v>0.15677701330034144</v>
      </c>
      <c r="I466" s="46">
        <v>-0.26039102546232729</v>
      </c>
      <c r="J466" s="46">
        <v>-1.340620768613543E-2</v>
      </c>
    </row>
    <row r="467" spans="1:10" ht="11.25" customHeight="1" x14ac:dyDescent="0.2">
      <c r="A467" s="55">
        <v>44409</v>
      </c>
      <c r="B467" s="45">
        <v>0</v>
      </c>
      <c r="C467" s="45">
        <v>0</v>
      </c>
      <c r="D467" s="45">
        <v>31249.92884</v>
      </c>
      <c r="E467" s="45">
        <v>36149.199349383409</v>
      </c>
      <c r="F467" s="45">
        <v>21532.552460000003</v>
      </c>
      <c r="G467" s="45">
        <v>15925.669044119246</v>
      </c>
      <c r="H467" s="46">
        <v>0.15677701330034166</v>
      </c>
      <c r="I467" s="46">
        <v>-0.26039102546232717</v>
      </c>
      <c r="J467" s="46">
        <v>-1.3406207686135097E-2</v>
      </c>
    </row>
    <row r="468" spans="1:10" ht="11.25" customHeight="1" x14ac:dyDescent="0.2">
      <c r="A468" s="55">
        <v>44440</v>
      </c>
      <c r="B468" s="45">
        <v>0</v>
      </c>
      <c r="C468" s="45">
        <v>0</v>
      </c>
      <c r="D468" s="45">
        <v>31148.88868</v>
      </c>
      <c r="E468" s="45">
        <v>36032.318414875219</v>
      </c>
      <c r="F468" s="45">
        <v>21462.931420000001</v>
      </c>
      <c r="G468" s="45">
        <v>15874.176698118599</v>
      </c>
      <c r="H468" s="46">
        <v>0.15677701330034166</v>
      </c>
      <c r="I468" s="46">
        <v>-0.26039102546232717</v>
      </c>
      <c r="J468" s="46">
        <v>-1.3406207686135097E-2</v>
      </c>
    </row>
    <row r="469" spans="1:10" ht="11.25" customHeight="1" x14ac:dyDescent="0.2">
      <c r="A469" s="55">
        <v>44470</v>
      </c>
      <c r="B469" s="45">
        <v>0</v>
      </c>
      <c r="C469" s="45">
        <v>0</v>
      </c>
      <c r="D469" s="45">
        <v>28212.61274</v>
      </c>
      <c r="E469" s="45">
        <v>32635.701902776367</v>
      </c>
      <c r="F469" s="45">
        <v>19439.710310000002</v>
      </c>
      <c r="G469" s="45">
        <v>14377.784207688528</v>
      </c>
      <c r="H469" s="46">
        <v>0.15677701330034166</v>
      </c>
      <c r="I469" s="46">
        <v>-0.26039102546232717</v>
      </c>
      <c r="J469" s="46">
        <v>-1.3406207686135319E-2</v>
      </c>
    </row>
    <row r="470" spans="1:10" ht="11.25" customHeight="1" x14ac:dyDescent="0.2">
      <c r="A470" s="55">
        <v>44501</v>
      </c>
      <c r="B470" s="45">
        <v>0</v>
      </c>
      <c r="C470" s="45">
        <v>0</v>
      </c>
      <c r="D470" s="45">
        <v>36697.949079999999</v>
      </c>
      <c r="E470" s="45">
        <v>42451.343931010415</v>
      </c>
      <c r="F470" s="45">
        <v>25286.474020000001</v>
      </c>
      <c r="G470" s="45">
        <v>18702.103119605708</v>
      </c>
      <c r="H470" s="46">
        <v>0.15677701330034144</v>
      </c>
      <c r="I470" s="46">
        <v>-0.26039102546232706</v>
      </c>
      <c r="J470" s="46">
        <v>-1.3406207686135208E-2</v>
      </c>
    </row>
    <row r="471" spans="1:10" ht="11.25" customHeight="1" x14ac:dyDescent="0.2">
      <c r="A471" s="55">
        <v>44531</v>
      </c>
      <c r="B471" s="45">
        <v>0</v>
      </c>
      <c r="C471" s="45">
        <v>0</v>
      </c>
      <c r="D471" s="45">
        <v>40849.151460000001</v>
      </c>
      <c r="E471" s="45">
        <v>47253.359421752088</v>
      </c>
      <c r="F471" s="45">
        <v>28146.831990000002</v>
      </c>
      <c r="G471" s="45">
        <v>20817.64954460807</v>
      </c>
      <c r="H471" s="46">
        <v>0.15677701330034166</v>
      </c>
      <c r="I471" s="46">
        <v>-0.26039102546232706</v>
      </c>
      <c r="J471" s="46">
        <v>-1.3406207686135208E-2</v>
      </c>
    </row>
    <row r="472" spans="1:10" ht="11.25" customHeight="1" x14ac:dyDescent="0.2">
      <c r="A472" s="55">
        <v>44562</v>
      </c>
      <c r="B472" s="45">
        <v>0</v>
      </c>
      <c r="C472" s="45">
        <v>0</v>
      </c>
      <c r="D472" s="45">
        <v>35455.7255</v>
      </c>
      <c r="E472" s="45">
        <v>41014.368248286766</v>
      </c>
      <c r="F472" s="45">
        <v>24430.528250000003</v>
      </c>
      <c r="G472" s="45">
        <v>18069.037946396151</v>
      </c>
      <c r="H472" s="46">
        <v>0.15677701330034166</v>
      </c>
      <c r="I472" s="46">
        <v>-0.26039102546232706</v>
      </c>
      <c r="J472" s="46">
        <v>-1.3406207686135097E-2</v>
      </c>
    </row>
    <row r="473" spans="1:10" ht="11.25" customHeight="1" x14ac:dyDescent="0.2">
      <c r="A473" s="55">
        <v>44593</v>
      </c>
      <c r="B473" s="45">
        <v>0</v>
      </c>
      <c r="C473" s="45">
        <v>0</v>
      </c>
      <c r="D473" s="45">
        <v>38427.039559999997</v>
      </c>
      <c r="E473" s="45">
        <v>44451.516052190869</v>
      </c>
      <c r="F473" s="45">
        <v>26477.89214</v>
      </c>
      <c r="G473" s="45">
        <v>19583.28665358451</v>
      </c>
      <c r="H473" s="46">
        <v>0.15677701330034166</v>
      </c>
      <c r="I473" s="46">
        <v>-0.26039102546232706</v>
      </c>
      <c r="J473" s="46">
        <v>-1.3406207686135208E-2</v>
      </c>
    </row>
    <row r="474" spans="1:10" ht="11.25" customHeight="1" x14ac:dyDescent="0.2">
      <c r="A474" s="55">
        <v>44621</v>
      </c>
      <c r="B474" s="45">
        <v>0</v>
      </c>
      <c r="C474" s="45">
        <v>0</v>
      </c>
      <c r="D474" s="45">
        <v>41953.667080000007</v>
      </c>
      <c r="E474" s="45">
        <v>48531.037701799265</v>
      </c>
      <c r="F474" s="45">
        <v>28907.891020000003</v>
      </c>
      <c r="G474" s="45">
        <v>21380.535633349005</v>
      </c>
      <c r="H474" s="46">
        <v>0.15677701330034144</v>
      </c>
      <c r="I474" s="46">
        <v>-0.26039102546232706</v>
      </c>
      <c r="J474" s="46">
        <v>-1.3406207686135097E-2</v>
      </c>
    </row>
    <row r="475" spans="1:10" ht="11.25" customHeight="1" x14ac:dyDescent="0.2">
      <c r="A475" s="55">
        <v>44652</v>
      </c>
      <c r="B475" s="45">
        <v>0</v>
      </c>
      <c r="C475" s="45">
        <v>0</v>
      </c>
      <c r="D475" s="45">
        <v>35358.352120000003</v>
      </c>
      <c r="E475" s="45">
        <v>40901.728960595399</v>
      </c>
      <c r="F475" s="45">
        <v>24363.433780000003</v>
      </c>
      <c r="G475" s="45">
        <v>18019.414274242299</v>
      </c>
      <c r="H475" s="46">
        <v>0.15677701330034144</v>
      </c>
      <c r="I475" s="46">
        <v>-0.26039102546232717</v>
      </c>
      <c r="J475" s="46">
        <v>-1.3406207686135208E-2</v>
      </c>
    </row>
    <row r="476" spans="1:10" ht="11.25" customHeight="1" x14ac:dyDescent="0.2">
      <c r="A476" s="55">
        <v>44682</v>
      </c>
      <c r="B476" s="45">
        <v>0</v>
      </c>
      <c r="C476" s="45">
        <v>0</v>
      </c>
      <c r="D476" s="45">
        <v>37514.41876</v>
      </c>
      <c r="E476" s="45">
        <v>43395.817288891107</v>
      </c>
      <c r="F476" s="45">
        <v>25849.056940000002</v>
      </c>
      <c r="G476" s="45">
        <v>19118.194496159318</v>
      </c>
      <c r="H476" s="46">
        <v>0.15677701330034166</v>
      </c>
      <c r="I476" s="46">
        <v>-0.26039102546232717</v>
      </c>
      <c r="J476" s="46">
        <v>-1.3406207686135097E-2</v>
      </c>
    </row>
    <row r="477" spans="1:10" ht="11.25" customHeight="1" x14ac:dyDescent="0.2">
      <c r="A477" s="55">
        <v>44713</v>
      </c>
      <c r="B477" s="45">
        <v>0</v>
      </c>
      <c r="C477" s="45">
        <v>0</v>
      </c>
      <c r="D477" s="45">
        <v>34840.5213</v>
      </c>
      <c r="E477" s="45">
        <v>40302.714171240936</v>
      </c>
      <c r="F477" s="45">
        <v>24006.625950000001</v>
      </c>
      <c r="G477" s="45">
        <v>17755.516000988988</v>
      </c>
      <c r="H477" s="46">
        <v>0.15677701330034166</v>
      </c>
      <c r="I477" s="46">
        <v>-0.26039102546232717</v>
      </c>
      <c r="J477" s="46">
        <v>-1.3406207686135208E-2</v>
      </c>
    </row>
    <row r="478" spans="1:10" ht="11.25" customHeight="1" x14ac:dyDescent="0.2">
      <c r="A478" s="55">
        <v>44743</v>
      </c>
      <c r="B478" s="45">
        <v>0</v>
      </c>
      <c r="C478" s="45">
        <v>0</v>
      </c>
      <c r="D478" s="45">
        <v>34840.5213</v>
      </c>
      <c r="E478" s="45">
        <v>40302.714171240936</v>
      </c>
      <c r="F478" s="45">
        <v>24006.625950000001</v>
      </c>
      <c r="G478" s="45">
        <v>17755.516000988988</v>
      </c>
      <c r="H478" s="46">
        <v>0.15677701330034166</v>
      </c>
      <c r="I478" s="46">
        <v>-0.26039102546232717</v>
      </c>
      <c r="J478" s="46">
        <v>-1.3406207686135208E-2</v>
      </c>
    </row>
    <row r="479" spans="1:10" ht="11.25" customHeight="1" x14ac:dyDescent="0.2">
      <c r="A479" s="50" t="s">
        <v>47</v>
      </c>
      <c r="B479" s="45">
        <v>0</v>
      </c>
      <c r="C479" s="45">
        <v>0</v>
      </c>
      <c r="D479" s="45">
        <v>85025.738483347988</v>
      </c>
      <c r="E479" s="45">
        <v>98355.819816423231</v>
      </c>
      <c r="F479" s="45">
        <v>58586.410987261988</v>
      </c>
      <c r="G479" s="45">
        <v>43331.035352131497</v>
      </c>
      <c r="H479" s="46">
        <v>0.15677701330034188</v>
      </c>
      <c r="I479" s="46">
        <v>-0.26039102546232695</v>
      </c>
      <c r="J479" s="46">
        <v>-1.3406207686134874E-2</v>
      </c>
    </row>
    <row r="480" spans="1:10" ht="11.25" customHeight="1" x14ac:dyDescent="0.2">
      <c r="A480" s="51" t="s">
        <v>48</v>
      </c>
      <c r="B480" s="45">
        <v>0</v>
      </c>
      <c r="C480" s="45">
        <v>0</v>
      </c>
      <c r="D480" s="45">
        <v>85025.738483347988</v>
      </c>
      <c r="E480" s="45">
        <v>98355.819816423231</v>
      </c>
      <c r="F480" s="45">
        <v>58586.410987261988</v>
      </c>
      <c r="G480" s="45">
        <v>43331.035352131497</v>
      </c>
      <c r="H480" s="46">
        <v>0.15677701330034188</v>
      </c>
      <c r="I480" s="46">
        <v>-0.26039102546232695</v>
      </c>
      <c r="J480" s="46">
        <v>-1.3406207686134874E-2</v>
      </c>
    </row>
    <row r="481" spans="1:10" ht="11.25" customHeight="1" x14ac:dyDescent="0.2">
      <c r="A481" s="52" t="s">
        <v>25</v>
      </c>
      <c r="B481" s="45">
        <v>0</v>
      </c>
      <c r="C481" s="45">
        <v>0</v>
      </c>
      <c r="D481" s="45">
        <v>85025.738483347988</v>
      </c>
      <c r="E481" s="45">
        <v>98355.819816423231</v>
      </c>
      <c r="F481" s="45">
        <v>58586.410987261988</v>
      </c>
      <c r="G481" s="45">
        <v>43331.035352131497</v>
      </c>
      <c r="H481" s="46">
        <v>0.15677701330034188</v>
      </c>
      <c r="I481" s="46">
        <v>-0.26039102546232695</v>
      </c>
      <c r="J481" s="46">
        <v>-1.3406207686134874E-2</v>
      </c>
    </row>
    <row r="482" spans="1:10" ht="11.25" customHeight="1" x14ac:dyDescent="0.2">
      <c r="A482" s="53" t="s">
        <v>25</v>
      </c>
      <c r="B482" s="45">
        <v>0</v>
      </c>
      <c r="C482" s="45">
        <v>0</v>
      </c>
      <c r="D482" s="45">
        <v>85025.738483347988</v>
      </c>
      <c r="E482" s="45">
        <v>98355.819816423231</v>
      </c>
      <c r="F482" s="45">
        <v>58586.410987261988</v>
      </c>
      <c r="G482" s="45">
        <v>43331.035352131497</v>
      </c>
      <c r="H482" s="46">
        <v>0.15677701330034188</v>
      </c>
      <c r="I482" s="46">
        <v>-0.26039102546232695</v>
      </c>
      <c r="J482" s="46">
        <v>-1.3406207686134874E-2</v>
      </c>
    </row>
    <row r="483" spans="1:10" ht="11.25" customHeight="1" x14ac:dyDescent="0.2">
      <c r="A483" s="54" t="s">
        <v>25</v>
      </c>
      <c r="B483" s="45">
        <v>0</v>
      </c>
      <c r="C483" s="45">
        <v>0</v>
      </c>
      <c r="D483" s="45">
        <v>85025.738483347988</v>
      </c>
      <c r="E483" s="45">
        <v>98355.819816423231</v>
      </c>
      <c r="F483" s="45">
        <v>58586.410987261988</v>
      </c>
      <c r="G483" s="45">
        <v>43331.035352131497</v>
      </c>
      <c r="H483" s="46">
        <v>0.15677701330034188</v>
      </c>
      <c r="I483" s="46">
        <v>-0.26039102546232695</v>
      </c>
      <c r="J483" s="46">
        <v>-1.3406207686134874E-2</v>
      </c>
    </row>
    <row r="484" spans="1:10" ht="11.25" customHeight="1" x14ac:dyDescent="0.2">
      <c r="A484" s="55">
        <v>44409</v>
      </c>
      <c r="B484" s="45">
        <v>0</v>
      </c>
      <c r="C484" s="45">
        <v>0</v>
      </c>
      <c r="D484" s="45">
        <v>7469.1575243999996</v>
      </c>
      <c r="E484" s="45">
        <v>8640.149732945205</v>
      </c>
      <c r="F484" s="45">
        <v>5146.5725585999999</v>
      </c>
      <c r="G484" s="45">
        <v>3806.4512524498732</v>
      </c>
      <c r="H484" s="46">
        <v>0.15677701330034166</v>
      </c>
      <c r="I484" s="46">
        <v>-0.26039102546232717</v>
      </c>
      <c r="J484" s="46">
        <v>-1.3406207686135097E-2</v>
      </c>
    </row>
    <row r="485" spans="1:10" ht="11.25" customHeight="1" x14ac:dyDescent="0.2">
      <c r="A485" s="55">
        <v>44440</v>
      </c>
      <c r="B485" s="45">
        <v>0</v>
      </c>
      <c r="C485" s="45">
        <v>0</v>
      </c>
      <c r="D485" s="45">
        <v>8310.1414213480002</v>
      </c>
      <c r="E485" s="45">
        <v>9612.9805734903948</v>
      </c>
      <c r="F485" s="45">
        <v>5726.0468342619997</v>
      </c>
      <c r="G485" s="45">
        <v>4235.0356272432064</v>
      </c>
      <c r="H485" s="46">
        <v>0.15677701330034144</v>
      </c>
      <c r="I485" s="46">
        <v>-0.26039102546232706</v>
      </c>
      <c r="J485" s="46">
        <v>-1.3406207686135208E-2</v>
      </c>
    </row>
    <row r="486" spans="1:10" ht="11.25" customHeight="1" x14ac:dyDescent="0.2">
      <c r="A486" s="55">
        <v>44470</v>
      </c>
      <c r="B486" s="45">
        <v>0</v>
      </c>
      <c r="C486" s="45">
        <v>0</v>
      </c>
      <c r="D486" s="45">
        <v>7337.0312184000004</v>
      </c>
      <c r="E486" s="45">
        <v>8487.3090593121196</v>
      </c>
      <c r="F486" s="45">
        <v>5055.5318196000007</v>
      </c>
      <c r="G486" s="45">
        <v>3739.1167048369316</v>
      </c>
      <c r="H486" s="46">
        <v>0.15677701330034166</v>
      </c>
      <c r="I486" s="46">
        <v>-0.26039102546232717</v>
      </c>
      <c r="J486" s="46">
        <v>-1.3406207686135097E-2</v>
      </c>
    </row>
    <row r="487" spans="1:10" ht="11.25" customHeight="1" x14ac:dyDescent="0.2">
      <c r="A487" s="55">
        <v>44501</v>
      </c>
      <c r="B487" s="45">
        <v>0</v>
      </c>
      <c r="C487" s="45">
        <v>0</v>
      </c>
      <c r="D487" s="45">
        <v>7881.621384</v>
      </c>
      <c r="E487" s="45">
        <v>9117.2784445476245</v>
      </c>
      <c r="F487" s="45">
        <v>5430.7779959999998</v>
      </c>
      <c r="G487" s="45">
        <v>4016.652144563318</v>
      </c>
      <c r="H487" s="46">
        <v>0.15677701330034166</v>
      </c>
      <c r="I487" s="46">
        <v>-0.26039102546232717</v>
      </c>
      <c r="J487" s="46">
        <v>-1.3406207686135097E-2</v>
      </c>
    </row>
    <row r="488" spans="1:10" ht="11.25" customHeight="1" x14ac:dyDescent="0.2">
      <c r="A488" s="55">
        <v>44531</v>
      </c>
      <c r="B488" s="45">
        <v>0</v>
      </c>
      <c r="C488" s="45">
        <v>0</v>
      </c>
      <c r="D488" s="45">
        <v>8567.5292508000002</v>
      </c>
      <c r="E488" s="45">
        <v>9910.7208981037365</v>
      </c>
      <c r="F488" s="45">
        <v>5903.3981801999998</v>
      </c>
      <c r="G488" s="45">
        <v>4366.2062743452861</v>
      </c>
      <c r="H488" s="46">
        <v>0.15677701330034144</v>
      </c>
      <c r="I488" s="46">
        <v>-0.26039102546232706</v>
      </c>
      <c r="J488" s="46">
        <v>-1.3406207686135208E-2</v>
      </c>
    </row>
    <row r="489" spans="1:10" ht="11.25" customHeight="1" x14ac:dyDescent="0.2">
      <c r="A489" s="55">
        <v>44562</v>
      </c>
      <c r="B489" s="45">
        <v>0</v>
      </c>
      <c r="C489" s="45">
        <v>0</v>
      </c>
      <c r="D489" s="45">
        <v>7281.4998723999997</v>
      </c>
      <c r="E489" s="45">
        <v>8423.07167474169</v>
      </c>
      <c r="F489" s="45">
        <v>5017.2683206000002</v>
      </c>
      <c r="G489" s="45">
        <v>3710.8166775793179</v>
      </c>
      <c r="H489" s="46">
        <v>0.15677701330034166</v>
      </c>
      <c r="I489" s="46">
        <v>-0.26039102546232717</v>
      </c>
      <c r="J489" s="46">
        <v>-1.3406207686135208E-2</v>
      </c>
    </row>
    <row r="490" spans="1:10" ht="11.25" customHeight="1" x14ac:dyDescent="0.2">
      <c r="A490" s="55">
        <v>44593</v>
      </c>
      <c r="B490" s="45">
        <v>0</v>
      </c>
      <c r="C490" s="45">
        <v>0</v>
      </c>
      <c r="D490" s="45">
        <v>6656.1020239999998</v>
      </c>
      <c r="E490" s="45">
        <v>7699.6258195450782</v>
      </c>
      <c r="F490" s="45">
        <v>4586.3421559999997</v>
      </c>
      <c r="G490" s="45">
        <v>3392.0998188780595</v>
      </c>
      <c r="H490" s="46">
        <v>0.15677701330034166</v>
      </c>
      <c r="I490" s="46">
        <v>-0.26039102546232717</v>
      </c>
      <c r="J490" s="46">
        <v>-1.3406207686135208E-2</v>
      </c>
    </row>
    <row r="491" spans="1:10" ht="11.25" customHeight="1" x14ac:dyDescent="0.2">
      <c r="A491" s="55">
        <v>44621</v>
      </c>
      <c r="B491" s="45">
        <v>0</v>
      </c>
      <c r="C491" s="45">
        <v>0</v>
      </c>
      <c r="D491" s="45">
        <v>7278.4360740000002</v>
      </c>
      <c r="E491" s="45">
        <v>8419.5275431791833</v>
      </c>
      <c r="F491" s="45">
        <v>5015.1572310000001</v>
      </c>
      <c r="G491" s="45">
        <v>3709.255296765105</v>
      </c>
      <c r="H491" s="46">
        <v>0.15677701330034144</v>
      </c>
      <c r="I491" s="46">
        <v>-0.26039102546232717</v>
      </c>
      <c r="J491" s="46">
        <v>-1.3406207686135319E-2</v>
      </c>
    </row>
    <row r="492" spans="1:10" ht="11.25" customHeight="1" x14ac:dyDescent="0.2">
      <c r="A492" s="55">
        <v>44652</v>
      </c>
      <c r="B492" s="45">
        <v>0</v>
      </c>
      <c r="C492" s="45">
        <v>0</v>
      </c>
      <c r="D492" s="45">
        <v>6745.3351524</v>
      </c>
      <c r="E492" s="45">
        <v>7802.8486513030766</v>
      </c>
      <c r="F492" s="45">
        <v>4647.8276406000004</v>
      </c>
      <c r="G492" s="45">
        <v>3437.5750350920175</v>
      </c>
      <c r="H492" s="46">
        <v>0.15677701330034166</v>
      </c>
      <c r="I492" s="46">
        <v>-0.26039102546232717</v>
      </c>
      <c r="J492" s="46">
        <v>-1.3406207686135208E-2</v>
      </c>
    </row>
    <row r="493" spans="1:10" ht="11.25" customHeight="1" x14ac:dyDescent="0.2">
      <c r="A493" s="55">
        <v>44682</v>
      </c>
      <c r="B493" s="45">
        <v>0</v>
      </c>
      <c r="C493" s="45">
        <v>0</v>
      </c>
      <c r="D493" s="45">
        <v>5824.2807584000002</v>
      </c>
      <c r="E493" s="45">
        <v>6737.3941003246</v>
      </c>
      <c r="F493" s="45">
        <v>4013.1813296</v>
      </c>
      <c r="G493" s="45">
        <v>2968.1849278191908</v>
      </c>
      <c r="H493" s="46">
        <v>0.15677701330034144</v>
      </c>
      <c r="I493" s="46">
        <v>-0.26039102546232706</v>
      </c>
      <c r="J493" s="46">
        <v>-1.3406207686135208E-2</v>
      </c>
    </row>
    <row r="494" spans="1:10" ht="11.25" customHeight="1" x14ac:dyDescent="0.2">
      <c r="A494" s="55">
        <v>44713</v>
      </c>
      <c r="B494" s="45">
        <v>0</v>
      </c>
      <c r="C494" s="45">
        <v>0</v>
      </c>
      <c r="D494" s="45">
        <v>5837.3019015999998</v>
      </c>
      <c r="E494" s="45">
        <v>6752.4566594652524</v>
      </c>
      <c r="F494" s="45">
        <v>4022.1534604000003</v>
      </c>
      <c r="G494" s="45">
        <v>2974.8207962795964</v>
      </c>
      <c r="H494" s="46">
        <v>0.15677701330034166</v>
      </c>
      <c r="I494" s="46">
        <v>-0.26039102546232717</v>
      </c>
      <c r="J494" s="46">
        <v>-1.3406207686135319E-2</v>
      </c>
    </row>
    <row r="495" spans="1:10" ht="11.25" customHeight="1" x14ac:dyDescent="0.2">
      <c r="A495" s="55">
        <v>44743</v>
      </c>
      <c r="B495" s="45">
        <v>0</v>
      </c>
      <c r="C495" s="45">
        <v>0</v>
      </c>
      <c r="D495" s="45">
        <v>5837.3019015999998</v>
      </c>
      <c r="E495" s="45">
        <v>6752.4566594652524</v>
      </c>
      <c r="F495" s="45">
        <v>4022.1534604000003</v>
      </c>
      <c r="G495" s="45">
        <v>2974.8207962795964</v>
      </c>
      <c r="H495" s="46">
        <v>0.15677701330034166</v>
      </c>
      <c r="I495" s="46">
        <v>-0.26039102546232717</v>
      </c>
      <c r="J495" s="46">
        <v>-1.3406207686135319E-2</v>
      </c>
    </row>
    <row r="496" spans="1:10" ht="11.25" customHeight="1" x14ac:dyDescent="0.2">
      <c r="A496" s="48" t="s">
        <v>44</v>
      </c>
      <c r="B496" s="45">
        <v>0</v>
      </c>
      <c r="C496" s="45">
        <v>0</v>
      </c>
      <c r="D496" s="45">
        <v>404776.19924999995</v>
      </c>
      <c r="E496" s="45">
        <v>468239.63375661714</v>
      </c>
      <c r="F496" s="45">
        <v>278913.90060000005</v>
      </c>
      <c r="G496" s="45">
        <v>206284.7746218392</v>
      </c>
      <c r="H496" s="46">
        <v>0.15678647762444298</v>
      </c>
      <c r="I496" s="46">
        <v>-0.26039980733093959</v>
      </c>
      <c r="J496" s="46">
        <v>-1.3406207686135208E-2</v>
      </c>
    </row>
    <row r="497" spans="1:10" ht="11.25" customHeight="1" x14ac:dyDescent="0.2">
      <c r="A497" s="49" t="s">
        <v>23</v>
      </c>
      <c r="B497" s="45">
        <v>0</v>
      </c>
      <c r="C497" s="45">
        <v>0</v>
      </c>
      <c r="D497" s="45">
        <v>404776.19924999995</v>
      </c>
      <c r="E497" s="45">
        <v>468239.63375661714</v>
      </c>
      <c r="F497" s="45">
        <v>278913.90060000005</v>
      </c>
      <c r="G497" s="45">
        <v>206284.7746218392</v>
      </c>
      <c r="H497" s="46">
        <v>0.15678647762444298</v>
      </c>
      <c r="I497" s="46">
        <v>-0.26039980733093959</v>
      </c>
      <c r="J497" s="46">
        <v>-1.3406207686135208E-2</v>
      </c>
    </row>
    <row r="498" spans="1:10" ht="11.25" customHeight="1" x14ac:dyDescent="0.2">
      <c r="A498" s="50" t="s">
        <v>45</v>
      </c>
      <c r="B498" s="45">
        <v>0</v>
      </c>
      <c r="C498" s="45">
        <v>0</v>
      </c>
      <c r="D498" s="45">
        <v>404776.19924999995</v>
      </c>
      <c r="E498" s="45">
        <v>468239.63375661714</v>
      </c>
      <c r="F498" s="45">
        <v>278913.90060000005</v>
      </c>
      <c r="G498" s="45">
        <v>206284.7746218392</v>
      </c>
      <c r="H498" s="46">
        <v>0.15678647762444298</v>
      </c>
      <c r="I498" s="46">
        <v>-0.26039980733093959</v>
      </c>
      <c r="J498" s="46">
        <v>-1.3406207686135208E-2</v>
      </c>
    </row>
    <row r="499" spans="1:10" ht="11.25" customHeight="1" x14ac:dyDescent="0.2">
      <c r="A499" s="51" t="s">
        <v>46</v>
      </c>
      <c r="B499" s="45">
        <v>0</v>
      </c>
      <c r="C499" s="45">
        <v>0</v>
      </c>
      <c r="D499" s="45">
        <v>404776.19924999995</v>
      </c>
      <c r="E499" s="45">
        <v>468239.63375661714</v>
      </c>
      <c r="F499" s="45">
        <v>278913.90060000005</v>
      </c>
      <c r="G499" s="45">
        <v>206284.7746218392</v>
      </c>
      <c r="H499" s="46">
        <v>0.15678647762444298</v>
      </c>
      <c r="I499" s="46">
        <v>-0.26039980733093959</v>
      </c>
      <c r="J499" s="46">
        <v>-1.3406207686135208E-2</v>
      </c>
    </row>
    <row r="500" spans="1:10" ht="11.25" customHeight="1" x14ac:dyDescent="0.2">
      <c r="A500" s="52" t="s">
        <v>25</v>
      </c>
      <c r="B500" s="45">
        <v>0</v>
      </c>
      <c r="C500" s="45">
        <v>0</v>
      </c>
      <c r="D500" s="45">
        <v>404776.19924999995</v>
      </c>
      <c r="E500" s="45">
        <v>468239.63375661714</v>
      </c>
      <c r="F500" s="45">
        <v>278913.90060000005</v>
      </c>
      <c r="G500" s="45">
        <v>206284.7746218392</v>
      </c>
      <c r="H500" s="46">
        <v>0.15678647762444298</v>
      </c>
      <c r="I500" s="46">
        <v>-0.26039980733093959</v>
      </c>
      <c r="J500" s="46">
        <v>-1.3406207686135208E-2</v>
      </c>
    </row>
    <row r="501" spans="1:10" ht="11.25" customHeight="1" x14ac:dyDescent="0.2">
      <c r="A501" s="53" t="s">
        <v>25</v>
      </c>
      <c r="B501" s="45">
        <v>0</v>
      </c>
      <c r="C501" s="45">
        <v>0</v>
      </c>
      <c r="D501" s="45">
        <v>404776.19924999995</v>
      </c>
      <c r="E501" s="45">
        <v>468239.63375661714</v>
      </c>
      <c r="F501" s="45">
        <v>278913.90060000005</v>
      </c>
      <c r="G501" s="45">
        <v>206284.7746218392</v>
      </c>
      <c r="H501" s="46">
        <v>0.15678647762444298</v>
      </c>
      <c r="I501" s="46">
        <v>-0.26039980733093959</v>
      </c>
      <c r="J501" s="46">
        <v>-1.3406207686135208E-2</v>
      </c>
    </row>
    <row r="502" spans="1:10" ht="11.25" customHeight="1" x14ac:dyDescent="0.2">
      <c r="A502" s="54" t="s">
        <v>25</v>
      </c>
      <c r="B502" s="45">
        <v>0</v>
      </c>
      <c r="C502" s="45">
        <v>0</v>
      </c>
      <c r="D502" s="45">
        <v>404776.19924999995</v>
      </c>
      <c r="E502" s="45">
        <v>468239.63375661714</v>
      </c>
      <c r="F502" s="45">
        <v>278913.90060000005</v>
      </c>
      <c r="G502" s="45">
        <v>206284.7746218392</v>
      </c>
      <c r="H502" s="46">
        <v>0.15678647762444298</v>
      </c>
      <c r="I502" s="46">
        <v>-0.26039980733093959</v>
      </c>
      <c r="J502" s="46">
        <v>-1.3406207686135208E-2</v>
      </c>
    </row>
    <row r="503" spans="1:10" ht="11.25" customHeight="1" x14ac:dyDescent="0.2">
      <c r="A503" s="55">
        <v>44409</v>
      </c>
      <c r="B503" s="45">
        <v>0</v>
      </c>
      <c r="C503" s="45">
        <v>0</v>
      </c>
      <c r="D503" s="45">
        <v>33526.073049999999</v>
      </c>
      <c r="E503" s="45">
        <v>38782.507952089261</v>
      </c>
      <c r="F503" s="45">
        <v>23101.377560000001</v>
      </c>
      <c r="G503" s="45">
        <v>17085.783294296711</v>
      </c>
      <c r="H503" s="46">
        <v>0.15678647762444298</v>
      </c>
      <c r="I503" s="46">
        <v>-0.26039980733093948</v>
      </c>
      <c r="J503" s="46">
        <v>-1.3406207686135319E-2</v>
      </c>
    </row>
    <row r="504" spans="1:10" ht="11.25" customHeight="1" x14ac:dyDescent="0.2">
      <c r="A504" s="55">
        <v>44440</v>
      </c>
      <c r="B504" s="45">
        <v>0</v>
      </c>
      <c r="C504" s="45">
        <v>0</v>
      </c>
      <c r="D504" s="45">
        <v>33526.073049999999</v>
      </c>
      <c r="E504" s="45">
        <v>38782.507952089261</v>
      </c>
      <c r="F504" s="45">
        <v>23101.377560000001</v>
      </c>
      <c r="G504" s="45">
        <v>17085.783294296711</v>
      </c>
      <c r="H504" s="46">
        <v>0.15678647762444298</v>
      </c>
      <c r="I504" s="46">
        <v>-0.26039980733093948</v>
      </c>
      <c r="J504" s="46">
        <v>-1.3406207686135319E-2</v>
      </c>
    </row>
    <row r="505" spans="1:10" ht="11.25" customHeight="1" x14ac:dyDescent="0.2">
      <c r="A505" s="55">
        <v>44470</v>
      </c>
      <c r="B505" s="45">
        <v>0</v>
      </c>
      <c r="C505" s="45">
        <v>0</v>
      </c>
      <c r="D505" s="45">
        <v>33526.073049999999</v>
      </c>
      <c r="E505" s="45">
        <v>38782.507952089261</v>
      </c>
      <c r="F505" s="45">
        <v>23101.377560000001</v>
      </c>
      <c r="G505" s="45">
        <v>17085.783294296711</v>
      </c>
      <c r="H505" s="46">
        <v>0.15678647762444298</v>
      </c>
      <c r="I505" s="46">
        <v>-0.26039980733093948</v>
      </c>
      <c r="J505" s="46">
        <v>-1.3406207686135319E-2</v>
      </c>
    </row>
    <row r="506" spans="1:10" ht="11.25" customHeight="1" x14ac:dyDescent="0.2">
      <c r="A506" s="55">
        <v>44501</v>
      </c>
      <c r="B506" s="45">
        <v>0</v>
      </c>
      <c r="C506" s="45">
        <v>0</v>
      </c>
      <c r="D506" s="45">
        <v>33618.2307</v>
      </c>
      <c r="E506" s="45">
        <v>38889.11467541891</v>
      </c>
      <c r="F506" s="45">
        <v>23164.879440000001</v>
      </c>
      <c r="G506" s="45">
        <v>17132.74929697956</v>
      </c>
      <c r="H506" s="46">
        <v>0.15678647762444298</v>
      </c>
      <c r="I506" s="46">
        <v>-0.26039980733093948</v>
      </c>
      <c r="J506" s="46">
        <v>-1.3406207686135319E-2</v>
      </c>
    </row>
    <row r="507" spans="1:10" ht="11.25" customHeight="1" x14ac:dyDescent="0.2">
      <c r="A507" s="55">
        <v>44531</v>
      </c>
      <c r="B507" s="45">
        <v>0</v>
      </c>
      <c r="C507" s="45">
        <v>0</v>
      </c>
      <c r="D507" s="45">
        <v>33618.2307</v>
      </c>
      <c r="E507" s="45">
        <v>38889.11467541891</v>
      </c>
      <c r="F507" s="45">
        <v>23164.879440000001</v>
      </c>
      <c r="G507" s="45">
        <v>17132.74929697956</v>
      </c>
      <c r="H507" s="46">
        <v>0.15678647762444298</v>
      </c>
      <c r="I507" s="46">
        <v>-0.26039980733093948</v>
      </c>
      <c r="J507" s="46">
        <v>-1.3406207686135319E-2</v>
      </c>
    </row>
    <row r="508" spans="1:10" ht="11.25" customHeight="1" x14ac:dyDescent="0.2">
      <c r="A508" s="55">
        <v>44562</v>
      </c>
      <c r="B508" s="45">
        <v>0</v>
      </c>
      <c r="C508" s="45">
        <v>0</v>
      </c>
      <c r="D508" s="45">
        <v>33883.947849999997</v>
      </c>
      <c r="E508" s="45">
        <v>39196.492681411808</v>
      </c>
      <c r="F508" s="45">
        <v>23347.973719999998</v>
      </c>
      <c r="G508" s="45">
        <v>17268.165861744161</v>
      </c>
      <c r="H508" s="46">
        <v>0.15678647762444275</v>
      </c>
      <c r="I508" s="46">
        <v>-0.26039980733093948</v>
      </c>
      <c r="J508" s="46">
        <v>-1.3406207686135319E-2</v>
      </c>
    </row>
    <row r="509" spans="1:10" ht="11.25" customHeight="1" x14ac:dyDescent="0.2">
      <c r="A509" s="55">
        <v>44593</v>
      </c>
      <c r="B509" s="45">
        <v>0</v>
      </c>
      <c r="C509" s="45">
        <v>0</v>
      </c>
      <c r="D509" s="45">
        <v>33867.814149999998</v>
      </c>
      <c r="E509" s="45">
        <v>39177.829435417763</v>
      </c>
      <c r="F509" s="45">
        <v>23336.856680000001</v>
      </c>
      <c r="G509" s="45">
        <v>17259.943696818253</v>
      </c>
      <c r="H509" s="46">
        <v>0.15678647762444298</v>
      </c>
      <c r="I509" s="46">
        <v>-0.26039980733093948</v>
      </c>
      <c r="J509" s="46">
        <v>-1.3406207686135208E-2</v>
      </c>
    </row>
    <row r="510" spans="1:10" ht="11.25" customHeight="1" x14ac:dyDescent="0.2">
      <c r="A510" s="55">
        <v>44621</v>
      </c>
      <c r="B510" s="45">
        <v>0</v>
      </c>
      <c r="C510" s="45">
        <v>0</v>
      </c>
      <c r="D510" s="45">
        <v>33743.877999999997</v>
      </c>
      <c r="E510" s="45">
        <v>39034.461773008923</v>
      </c>
      <c r="F510" s="45">
        <v>23251.457599999998</v>
      </c>
      <c r="G510" s="45">
        <v>17196.782520796489</v>
      </c>
      <c r="H510" s="46">
        <v>0.15678647762444275</v>
      </c>
      <c r="I510" s="46">
        <v>-0.26039980733093948</v>
      </c>
      <c r="J510" s="46">
        <v>-1.3406207686135208E-2</v>
      </c>
    </row>
    <row r="511" spans="1:10" ht="11.25" customHeight="1" x14ac:dyDescent="0.2">
      <c r="A511" s="55">
        <v>44652</v>
      </c>
      <c r="B511" s="45">
        <v>0</v>
      </c>
      <c r="C511" s="45">
        <v>0</v>
      </c>
      <c r="D511" s="45">
        <v>33750.967049999992</v>
      </c>
      <c r="E511" s="45">
        <v>39042.662290188127</v>
      </c>
      <c r="F511" s="45">
        <v>23256.342359999999</v>
      </c>
      <c r="G511" s="45">
        <v>17200.395290233631</v>
      </c>
      <c r="H511" s="46">
        <v>0.15678647762444298</v>
      </c>
      <c r="I511" s="46">
        <v>-0.26039980733093948</v>
      </c>
      <c r="J511" s="46">
        <v>-1.3406207686135208E-2</v>
      </c>
    </row>
    <row r="512" spans="1:10" ht="11.25" customHeight="1" x14ac:dyDescent="0.2">
      <c r="A512" s="55">
        <v>44682</v>
      </c>
      <c r="B512" s="45">
        <v>0</v>
      </c>
      <c r="C512" s="45">
        <v>0</v>
      </c>
      <c r="D512" s="45">
        <v>33750.967049999992</v>
      </c>
      <c r="E512" s="45">
        <v>39042.662290188127</v>
      </c>
      <c r="F512" s="45">
        <v>23256.342359999999</v>
      </c>
      <c r="G512" s="45">
        <v>17200.395290233631</v>
      </c>
      <c r="H512" s="46">
        <v>0.15678647762444298</v>
      </c>
      <c r="I512" s="46">
        <v>-0.26039980733093948</v>
      </c>
      <c r="J512" s="46">
        <v>-1.3406207686135208E-2</v>
      </c>
    </row>
    <row r="513" spans="1:10" ht="11.25" customHeight="1" x14ac:dyDescent="0.2">
      <c r="A513" s="55">
        <v>44713</v>
      </c>
      <c r="B513" s="45">
        <v>0</v>
      </c>
      <c r="C513" s="45">
        <v>0</v>
      </c>
      <c r="D513" s="45">
        <v>33981.972300000001</v>
      </c>
      <c r="E513" s="45">
        <v>39309.886039648387</v>
      </c>
      <c r="F513" s="45">
        <v>23415.51816</v>
      </c>
      <c r="G513" s="45">
        <v>17318.121742581887</v>
      </c>
      <c r="H513" s="46">
        <v>0.15678647762444275</v>
      </c>
      <c r="I513" s="46">
        <v>-0.26039980733093937</v>
      </c>
      <c r="J513" s="46">
        <v>-1.3406207686135319E-2</v>
      </c>
    </row>
    <row r="514" spans="1:10" ht="11.25" customHeight="1" x14ac:dyDescent="0.2">
      <c r="A514" s="55">
        <v>44743</v>
      </c>
      <c r="B514" s="45">
        <v>0</v>
      </c>
      <c r="C514" s="45">
        <v>0</v>
      </c>
      <c r="D514" s="45">
        <v>33981.972300000001</v>
      </c>
      <c r="E514" s="45">
        <v>39309.886039648387</v>
      </c>
      <c r="F514" s="45">
        <v>23415.51816</v>
      </c>
      <c r="G514" s="45">
        <v>17318.121742581887</v>
      </c>
      <c r="H514" s="46">
        <v>0.15678647762444275</v>
      </c>
      <c r="I514" s="46">
        <v>-0.26039980733093937</v>
      </c>
      <c r="J514" s="46">
        <v>-1.3406207686135319E-2</v>
      </c>
    </row>
    <row r="515" spans="1:10" ht="11.25" customHeight="1" x14ac:dyDescent="0.2">
      <c r="A515" s="47" t="s">
        <v>58</v>
      </c>
      <c r="B515" s="45">
        <v>1751710.28</v>
      </c>
      <c r="C515" s="45">
        <v>1919914.1510981631</v>
      </c>
      <c r="D515" s="45">
        <v>1496349.1867800001</v>
      </c>
      <c r="E515" s="45">
        <v>2170646.0755940708</v>
      </c>
      <c r="F515" s="45">
        <v>0</v>
      </c>
      <c r="G515" s="45">
        <v>0</v>
      </c>
      <c r="H515" s="46">
        <v>0.25938587902377797</v>
      </c>
      <c r="I515" s="46">
        <v>0</v>
      </c>
      <c r="J515" s="46">
        <v>0.25938587902377797</v>
      </c>
    </row>
    <row r="516" spans="1:10" ht="11.25" customHeight="1" x14ac:dyDescent="0.2">
      <c r="A516" s="48" t="s">
        <v>38</v>
      </c>
      <c r="B516" s="45">
        <v>1751710.28</v>
      </c>
      <c r="C516" s="45">
        <v>1919914.1510981631</v>
      </c>
      <c r="D516" s="45">
        <v>1496349.1867800001</v>
      </c>
      <c r="E516" s="45">
        <v>2170646.0755940708</v>
      </c>
      <c r="F516" s="45">
        <v>0</v>
      </c>
      <c r="G516" s="45">
        <v>0</v>
      </c>
      <c r="H516" s="46">
        <v>0.25938587902377797</v>
      </c>
      <c r="I516" s="46">
        <v>0</v>
      </c>
      <c r="J516" s="46">
        <v>0.25938587902377797</v>
      </c>
    </row>
    <row r="517" spans="1:10" ht="11.25" customHeight="1" x14ac:dyDescent="0.2">
      <c r="A517" s="49" t="s">
        <v>56</v>
      </c>
      <c r="B517" s="45">
        <v>1751710.28</v>
      </c>
      <c r="C517" s="45">
        <v>1919914.1510981631</v>
      </c>
      <c r="D517" s="45">
        <v>1496349.1867800001</v>
      </c>
      <c r="E517" s="45">
        <v>2170646.0755940708</v>
      </c>
      <c r="F517" s="45">
        <v>0</v>
      </c>
      <c r="G517" s="45">
        <v>0</v>
      </c>
      <c r="H517" s="46">
        <v>0.25938587902377797</v>
      </c>
      <c r="I517" s="46">
        <v>0</v>
      </c>
      <c r="J517" s="46">
        <v>0.25938587902377797</v>
      </c>
    </row>
    <row r="518" spans="1:10" ht="11.25" customHeight="1" x14ac:dyDescent="0.2">
      <c r="A518" s="50" t="s">
        <v>37</v>
      </c>
      <c r="B518" s="45">
        <v>1751710.28</v>
      </c>
      <c r="C518" s="45">
        <v>1919914.1510981631</v>
      </c>
      <c r="D518" s="45">
        <v>1496349.1867800001</v>
      </c>
      <c r="E518" s="45">
        <v>2170646.0755940708</v>
      </c>
      <c r="F518" s="45">
        <v>0</v>
      </c>
      <c r="G518" s="45">
        <v>0</v>
      </c>
      <c r="H518" s="46">
        <v>0.25938587902377797</v>
      </c>
      <c r="I518" s="46">
        <v>0</v>
      </c>
      <c r="J518" s="46">
        <v>0.25938587902377797</v>
      </c>
    </row>
    <row r="519" spans="1:10" ht="11.25" customHeight="1" x14ac:dyDescent="0.2">
      <c r="A519" s="51" t="s">
        <v>25</v>
      </c>
      <c r="B519" s="45">
        <v>1751710.28</v>
      </c>
      <c r="C519" s="45">
        <v>1919914.1510981631</v>
      </c>
      <c r="D519" s="45">
        <v>1496349.1867800001</v>
      </c>
      <c r="E519" s="45">
        <v>2170646.0755940708</v>
      </c>
      <c r="F519" s="45">
        <v>0</v>
      </c>
      <c r="G519" s="45">
        <v>0</v>
      </c>
      <c r="H519" s="46">
        <v>0.25938587902377797</v>
      </c>
      <c r="I519" s="46">
        <v>0</v>
      </c>
      <c r="J519" s="46">
        <v>0.25938587902377797</v>
      </c>
    </row>
    <row r="520" spans="1:10" ht="11.25" customHeight="1" x14ac:dyDescent="0.2">
      <c r="A520" s="52" t="s">
        <v>57</v>
      </c>
      <c r="B520" s="45">
        <v>1751710.28</v>
      </c>
      <c r="C520" s="45">
        <v>1919914.1510981631</v>
      </c>
      <c r="D520" s="45">
        <v>1496349.1867800001</v>
      </c>
      <c r="E520" s="45">
        <v>2170646.0755940708</v>
      </c>
      <c r="F520" s="45">
        <v>0</v>
      </c>
      <c r="G520" s="45">
        <v>0</v>
      </c>
      <c r="H520" s="46">
        <v>0.25938587902377797</v>
      </c>
      <c r="I520" s="46">
        <v>0</v>
      </c>
      <c r="J520" s="46">
        <v>0.25938587902377797</v>
      </c>
    </row>
    <row r="521" spans="1:10" ht="11.25" customHeight="1" x14ac:dyDescent="0.2">
      <c r="A521" s="53" t="s">
        <v>25</v>
      </c>
      <c r="B521" s="45">
        <v>1751710.28</v>
      </c>
      <c r="C521" s="45">
        <v>1919914.1510981631</v>
      </c>
      <c r="D521" s="45">
        <v>1496349.1867800001</v>
      </c>
      <c r="E521" s="45">
        <v>2170646.0755940708</v>
      </c>
      <c r="F521" s="45">
        <v>0</v>
      </c>
      <c r="G521" s="45">
        <v>0</v>
      </c>
      <c r="H521" s="46">
        <v>0.25938587902377797</v>
      </c>
      <c r="I521" s="46">
        <v>0</v>
      </c>
      <c r="J521" s="46">
        <v>0.25938587902377797</v>
      </c>
    </row>
    <row r="522" spans="1:10" ht="11.25" customHeight="1" x14ac:dyDescent="0.2">
      <c r="A522" s="54" t="s">
        <v>34</v>
      </c>
      <c r="B522" s="45">
        <v>750334.90500000003</v>
      </c>
      <c r="C522" s="45">
        <v>822131.87429979746</v>
      </c>
      <c r="D522" s="45">
        <v>0</v>
      </c>
      <c r="E522" s="45">
        <v>0</v>
      </c>
      <c r="F522" s="45">
        <v>0</v>
      </c>
      <c r="G522" s="45">
        <v>0</v>
      </c>
      <c r="H522" s="46">
        <v>9.5686564521208606E-2</v>
      </c>
      <c r="I522" s="46">
        <v>0</v>
      </c>
      <c r="J522" s="46">
        <v>9.5686564521208606E-2</v>
      </c>
    </row>
    <row r="523" spans="1:10" ht="11.25" customHeight="1" x14ac:dyDescent="0.2">
      <c r="A523" s="55">
        <v>44409</v>
      </c>
      <c r="B523" s="45">
        <v>61471.44</v>
      </c>
      <c r="C523" s="45">
        <v>67353.430909771618</v>
      </c>
      <c r="D523" s="45">
        <v>0</v>
      </c>
      <c r="E523" s="45">
        <v>0</v>
      </c>
      <c r="F523" s="45">
        <v>0</v>
      </c>
      <c r="G523" s="45">
        <v>0</v>
      </c>
      <c r="H523" s="46">
        <v>9.5686564521208828E-2</v>
      </c>
      <c r="I523" s="46">
        <v>0</v>
      </c>
      <c r="J523" s="46">
        <v>9.5686564521208828E-2</v>
      </c>
    </row>
    <row r="524" spans="1:10" ht="11.25" customHeight="1" x14ac:dyDescent="0.2">
      <c r="A524" s="55">
        <v>44440</v>
      </c>
      <c r="B524" s="45">
        <v>61987.140000000007</v>
      </c>
      <c r="C524" s="45">
        <v>67918.4764710952</v>
      </c>
      <c r="D524" s="45">
        <v>0</v>
      </c>
      <c r="E524" s="45">
        <v>0</v>
      </c>
      <c r="F524" s="45">
        <v>0</v>
      </c>
      <c r="G524" s="45">
        <v>0</v>
      </c>
      <c r="H524" s="46">
        <v>9.5686564521208606E-2</v>
      </c>
      <c r="I524" s="46">
        <v>0</v>
      </c>
      <c r="J524" s="46">
        <v>9.5686564521208606E-2</v>
      </c>
    </row>
    <row r="525" spans="1:10" ht="11.25" customHeight="1" x14ac:dyDescent="0.2">
      <c r="A525" s="55">
        <v>44470</v>
      </c>
      <c r="B525" s="45">
        <v>63628.785000000003</v>
      </c>
      <c r="C525" s="45">
        <v>69717.204841308616</v>
      </c>
      <c r="D525" s="45">
        <v>0</v>
      </c>
      <c r="E525" s="45">
        <v>0</v>
      </c>
      <c r="F525" s="45">
        <v>0</v>
      </c>
      <c r="G525" s="45">
        <v>0</v>
      </c>
      <c r="H525" s="46">
        <v>9.5686564521208606E-2</v>
      </c>
      <c r="I525" s="46">
        <v>0</v>
      </c>
      <c r="J525" s="46">
        <v>9.5686564521208606E-2</v>
      </c>
    </row>
    <row r="526" spans="1:10" ht="11.25" customHeight="1" x14ac:dyDescent="0.2">
      <c r="A526" s="55">
        <v>44501</v>
      </c>
      <c r="B526" s="45">
        <v>62193.420000000006</v>
      </c>
      <c r="C526" s="45">
        <v>68144.494695624642</v>
      </c>
      <c r="D526" s="45">
        <v>0</v>
      </c>
      <c r="E526" s="45">
        <v>0</v>
      </c>
      <c r="F526" s="45">
        <v>0</v>
      </c>
      <c r="G526" s="45">
        <v>0</v>
      </c>
      <c r="H526" s="46">
        <v>9.5686564521208828E-2</v>
      </c>
      <c r="I526" s="46">
        <v>0</v>
      </c>
      <c r="J526" s="46">
        <v>9.5686564521208828E-2</v>
      </c>
    </row>
    <row r="527" spans="1:10" ht="11.25" customHeight="1" x14ac:dyDescent="0.2">
      <c r="A527" s="55">
        <v>44531</v>
      </c>
      <c r="B527" s="45">
        <v>60809.625000000007</v>
      </c>
      <c r="C527" s="45">
        <v>66628.289106073003</v>
      </c>
      <c r="D527" s="45">
        <v>0</v>
      </c>
      <c r="E527" s="45">
        <v>0</v>
      </c>
      <c r="F527" s="45">
        <v>0</v>
      </c>
      <c r="G527" s="45">
        <v>0</v>
      </c>
      <c r="H527" s="46">
        <v>9.5686564521208606E-2</v>
      </c>
      <c r="I527" s="46">
        <v>0</v>
      </c>
      <c r="J527" s="46">
        <v>9.5686564521208606E-2</v>
      </c>
    </row>
    <row r="528" spans="1:10" ht="11.25" customHeight="1" x14ac:dyDescent="0.2">
      <c r="A528" s="55">
        <v>44562</v>
      </c>
      <c r="B528" s="45">
        <v>61832.430000000008</v>
      </c>
      <c r="C528" s="45">
        <v>67748.962802698123</v>
      </c>
      <c r="D528" s="45">
        <v>0</v>
      </c>
      <c r="E528" s="45">
        <v>0</v>
      </c>
      <c r="F528" s="45">
        <v>0</v>
      </c>
      <c r="G528" s="45">
        <v>0</v>
      </c>
      <c r="H528" s="46">
        <v>9.5686564521208606E-2</v>
      </c>
      <c r="I528" s="46">
        <v>0</v>
      </c>
      <c r="J528" s="46">
        <v>9.5686564521208606E-2</v>
      </c>
    </row>
    <row r="529" spans="1:10" ht="11.25" customHeight="1" x14ac:dyDescent="0.2">
      <c r="A529" s="55">
        <v>44593</v>
      </c>
      <c r="B529" s="45">
        <v>63671.76</v>
      </c>
      <c r="C529" s="45">
        <v>69764.291971418919</v>
      </c>
      <c r="D529" s="45">
        <v>0</v>
      </c>
      <c r="E529" s="45">
        <v>0</v>
      </c>
      <c r="F529" s="45">
        <v>0</v>
      </c>
      <c r="G529" s="45">
        <v>0</v>
      </c>
      <c r="H529" s="46">
        <v>9.5686564521208828E-2</v>
      </c>
      <c r="I529" s="46">
        <v>0</v>
      </c>
      <c r="J529" s="46">
        <v>9.5686564521208828E-2</v>
      </c>
    </row>
    <row r="530" spans="1:10" ht="11.25" customHeight="1" x14ac:dyDescent="0.2">
      <c r="A530" s="55">
        <v>44621</v>
      </c>
      <c r="B530" s="45">
        <v>65218.860000000008</v>
      </c>
      <c r="C530" s="45">
        <v>71459.428655389682</v>
      </c>
      <c r="D530" s="45">
        <v>0</v>
      </c>
      <c r="E530" s="45">
        <v>0</v>
      </c>
      <c r="F530" s="45">
        <v>0</v>
      </c>
      <c r="G530" s="45">
        <v>0</v>
      </c>
      <c r="H530" s="46">
        <v>9.5686564521208606E-2</v>
      </c>
      <c r="I530" s="46">
        <v>0</v>
      </c>
      <c r="J530" s="46">
        <v>9.5686564521208606E-2</v>
      </c>
    </row>
    <row r="531" spans="1:10" ht="11.25" customHeight="1" x14ac:dyDescent="0.2">
      <c r="A531" s="55">
        <v>44652</v>
      </c>
      <c r="B531" s="45">
        <v>63938.205000000002</v>
      </c>
      <c r="C531" s="45">
        <v>70056.232178102771</v>
      </c>
      <c r="D531" s="45">
        <v>0</v>
      </c>
      <c r="E531" s="45">
        <v>0</v>
      </c>
      <c r="F531" s="45">
        <v>0</v>
      </c>
      <c r="G531" s="45">
        <v>0</v>
      </c>
      <c r="H531" s="46">
        <v>9.5686564521208606E-2</v>
      </c>
      <c r="I531" s="46">
        <v>0</v>
      </c>
      <c r="J531" s="46">
        <v>9.5686564521208606E-2</v>
      </c>
    </row>
    <row r="532" spans="1:10" ht="11.25" customHeight="1" x14ac:dyDescent="0.2">
      <c r="A532" s="55">
        <v>44682</v>
      </c>
      <c r="B532" s="45">
        <v>61316.73</v>
      </c>
      <c r="C532" s="45">
        <v>67183.91724137454</v>
      </c>
      <c r="D532" s="45">
        <v>0</v>
      </c>
      <c r="E532" s="45">
        <v>0</v>
      </c>
      <c r="F532" s="45">
        <v>0</v>
      </c>
      <c r="G532" s="45">
        <v>0</v>
      </c>
      <c r="H532" s="46">
        <v>9.5686564521208828E-2</v>
      </c>
      <c r="I532" s="46">
        <v>0</v>
      </c>
      <c r="J532" s="46">
        <v>9.5686564521208828E-2</v>
      </c>
    </row>
    <row r="533" spans="1:10" ht="11.25" customHeight="1" x14ac:dyDescent="0.2">
      <c r="A533" s="55">
        <v>44713</v>
      </c>
      <c r="B533" s="45">
        <v>62133.255000000005</v>
      </c>
      <c r="C533" s="45">
        <v>68078.572713470217</v>
      </c>
      <c r="D533" s="45">
        <v>0</v>
      </c>
      <c r="E533" s="45">
        <v>0</v>
      </c>
      <c r="F533" s="45">
        <v>0</v>
      </c>
      <c r="G533" s="45">
        <v>0</v>
      </c>
      <c r="H533" s="46">
        <v>9.5686564521208606E-2</v>
      </c>
      <c r="I533" s="46">
        <v>0</v>
      </c>
      <c r="J533" s="46">
        <v>9.5686564521208606E-2</v>
      </c>
    </row>
    <row r="534" spans="1:10" ht="11.25" customHeight="1" x14ac:dyDescent="0.2">
      <c r="A534" s="55">
        <v>44743</v>
      </c>
      <c r="B534" s="45">
        <v>62133.255000000005</v>
      </c>
      <c r="C534" s="45">
        <v>68078.572713470217</v>
      </c>
      <c r="D534" s="45">
        <v>0</v>
      </c>
      <c r="E534" s="45">
        <v>0</v>
      </c>
      <c r="F534" s="45">
        <v>0</v>
      </c>
      <c r="G534" s="45">
        <v>0</v>
      </c>
      <c r="H534" s="46">
        <v>9.5686564521208606E-2</v>
      </c>
      <c r="I534" s="46">
        <v>0</v>
      </c>
      <c r="J534" s="46">
        <v>9.5686564521208606E-2</v>
      </c>
    </row>
    <row r="535" spans="1:10" ht="11.25" customHeight="1" x14ac:dyDescent="0.2">
      <c r="A535" s="54" t="s">
        <v>25</v>
      </c>
      <c r="B535" s="45">
        <v>0</v>
      </c>
      <c r="C535" s="45">
        <v>0</v>
      </c>
      <c r="D535" s="45">
        <v>1496349.1867800001</v>
      </c>
      <c r="E535" s="45">
        <v>2170646.0755940708</v>
      </c>
      <c r="F535" s="45">
        <v>0</v>
      </c>
      <c r="G535" s="45">
        <v>0</v>
      </c>
      <c r="H535" s="46">
        <v>0.45062803172639998</v>
      </c>
      <c r="I535" s="46">
        <v>0</v>
      </c>
      <c r="J535" s="46">
        <v>0.45062803172639998</v>
      </c>
    </row>
    <row r="536" spans="1:10" ht="11.25" customHeight="1" x14ac:dyDescent="0.2">
      <c r="A536" s="55">
        <v>44409</v>
      </c>
      <c r="B536" s="45">
        <v>0</v>
      </c>
      <c r="C536" s="45">
        <v>0</v>
      </c>
      <c r="D536" s="45">
        <v>125770.84897000001</v>
      </c>
      <c r="E536" s="45">
        <v>182446.71908990943</v>
      </c>
      <c r="F536" s="45">
        <v>0</v>
      </c>
      <c r="G536" s="45">
        <v>0</v>
      </c>
      <c r="H536" s="46">
        <v>0.45062803172639998</v>
      </c>
      <c r="I536" s="46">
        <v>0</v>
      </c>
      <c r="J536" s="46">
        <v>0.45062803172639998</v>
      </c>
    </row>
    <row r="537" spans="1:10" ht="11.25" customHeight="1" x14ac:dyDescent="0.2">
      <c r="A537" s="55">
        <v>44440</v>
      </c>
      <c r="B537" s="45">
        <v>0</v>
      </c>
      <c r="C537" s="45">
        <v>0</v>
      </c>
      <c r="D537" s="45">
        <v>122939.93251500002</v>
      </c>
      <c r="E537" s="45">
        <v>178340.11232481091</v>
      </c>
      <c r="F537" s="45">
        <v>0</v>
      </c>
      <c r="G537" s="45">
        <v>0</v>
      </c>
      <c r="H537" s="46">
        <v>0.45062803172639976</v>
      </c>
      <c r="I537" s="46">
        <v>0</v>
      </c>
      <c r="J537" s="46">
        <v>0.45062803172639976</v>
      </c>
    </row>
    <row r="538" spans="1:10" ht="11.25" customHeight="1" x14ac:dyDescent="0.2">
      <c r="A538" s="55">
        <v>44470</v>
      </c>
      <c r="B538" s="45">
        <v>0</v>
      </c>
      <c r="C538" s="45">
        <v>0</v>
      </c>
      <c r="D538" s="45">
        <v>127067.52374500001</v>
      </c>
      <c r="E538" s="45">
        <v>184327.71186655696</v>
      </c>
      <c r="F538" s="45">
        <v>0</v>
      </c>
      <c r="G538" s="45">
        <v>0</v>
      </c>
      <c r="H538" s="46">
        <v>0.45062803172639998</v>
      </c>
      <c r="I538" s="46">
        <v>0</v>
      </c>
      <c r="J538" s="46">
        <v>0.45062803172639998</v>
      </c>
    </row>
    <row r="539" spans="1:10" ht="11.25" customHeight="1" x14ac:dyDescent="0.2">
      <c r="A539" s="55">
        <v>44501</v>
      </c>
      <c r="B539" s="45">
        <v>0</v>
      </c>
      <c r="C539" s="45">
        <v>0</v>
      </c>
      <c r="D539" s="45">
        <v>126000.48345000001</v>
      </c>
      <c r="E539" s="45">
        <v>182779.83330364837</v>
      </c>
      <c r="F539" s="45">
        <v>0</v>
      </c>
      <c r="G539" s="45">
        <v>0</v>
      </c>
      <c r="H539" s="46">
        <v>0.45062803172639998</v>
      </c>
      <c r="I539" s="46">
        <v>0</v>
      </c>
      <c r="J539" s="46">
        <v>0.45062803172639998</v>
      </c>
    </row>
    <row r="540" spans="1:10" ht="11.25" customHeight="1" x14ac:dyDescent="0.2">
      <c r="A540" s="55">
        <v>44531</v>
      </c>
      <c r="B540" s="45">
        <v>0</v>
      </c>
      <c r="C540" s="45">
        <v>0</v>
      </c>
      <c r="D540" s="45">
        <v>111799.08142</v>
      </c>
      <c r="E540" s="45">
        <v>162178.88142911415</v>
      </c>
      <c r="F540" s="45">
        <v>0</v>
      </c>
      <c r="G540" s="45">
        <v>0</v>
      </c>
      <c r="H540" s="46">
        <v>0.45062803172639998</v>
      </c>
      <c r="I540" s="46">
        <v>0</v>
      </c>
      <c r="J540" s="46">
        <v>0.45062803172639998</v>
      </c>
    </row>
    <row r="541" spans="1:10" ht="11.25" customHeight="1" x14ac:dyDescent="0.2">
      <c r="A541" s="55">
        <v>44562</v>
      </c>
      <c r="B541" s="45">
        <v>0</v>
      </c>
      <c r="C541" s="45">
        <v>0</v>
      </c>
      <c r="D541" s="45">
        <v>129532.33111500001</v>
      </c>
      <c r="E541" s="45">
        <v>187903.23053028478</v>
      </c>
      <c r="F541" s="45">
        <v>0</v>
      </c>
      <c r="G541" s="45">
        <v>0</v>
      </c>
      <c r="H541" s="46">
        <v>0.45062803172639998</v>
      </c>
      <c r="I541" s="46">
        <v>0</v>
      </c>
      <c r="J541" s="46">
        <v>0.45062803172639998</v>
      </c>
    </row>
    <row r="542" spans="1:10" ht="11.25" customHeight="1" x14ac:dyDescent="0.2">
      <c r="A542" s="55">
        <v>44593</v>
      </c>
      <c r="B542" s="45">
        <v>0</v>
      </c>
      <c r="C542" s="45">
        <v>0</v>
      </c>
      <c r="D542" s="45">
        <v>119432.65692000001</v>
      </c>
      <c r="E542" s="45">
        <v>173252.36003171402</v>
      </c>
      <c r="F542" s="45">
        <v>0</v>
      </c>
      <c r="G542" s="45">
        <v>0</v>
      </c>
      <c r="H542" s="46">
        <v>0.45062803172639998</v>
      </c>
      <c r="I542" s="46">
        <v>0</v>
      </c>
      <c r="J542" s="46">
        <v>0.45062803172639998</v>
      </c>
    </row>
    <row r="543" spans="1:10" ht="11.25" customHeight="1" x14ac:dyDescent="0.2">
      <c r="A543" s="55">
        <v>44621</v>
      </c>
      <c r="B543" s="45">
        <v>0</v>
      </c>
      <c r="C543" s="45">
        <v>0</v>
      </c>
      <c r="D543" s="45">
        <v>136096.68951500001</v>
      </c>
      <c r="E543" s="45">
        <v>197425.67283562344</v>
      </c>
      <c r="F543" s="45">
        <v>0</v>
      </c>
      <c r="G543" s="45">
        <v>0</v>
      </c>
      <c r="H543" s="46">
        <v>0.45062803172639998</v>
      </c>
      <c r="I543" s="46">
        <v>0</v>
      </c>
      <c r="J543" s="46">
        <v>0.45062803172639998</v>
      </c>
    </row>
    <row r="544" spans="1:10" ht="11.25" customHeight="1" x14ac:dyDescent="0.2">
      <c r="A544" s="55">
        <v>44652</v>
      </c>
      <c r="B544" s="45">
        <v>0</v>
      </c>
      <c r="C544" s="45">
        <v>0</v>
      </c>
      <c r="D544" s="45">
        <v>124440.26769000001</v>
      </c>
      <c r="E544" s="45">
        <v>180516.54058665104</v>
      </c>
      <c r="F544" s="45">
        <v>0</v>
      </c>
      <c r="G544" s="45">
        <v>0</v>
      </c>
      <c r="H544" s="46">
        <v>0.45062803172639998</v>
      </c>
      <c r="I544" s="46">
        <v>0</v>
      </c>
      <c r="J544" s="46">
        <v>0.45062803172639998</v>
      </c>
    </row>
    <row r="545" spans="1:10" ht="11.25" customHeight="1" x14ac:dyDescent="0.2">
      <c r="A545" s="55">
        <v>44682</v>
      </c>
      <c r="B545" s="45">
        <v>0</v>
      </c>
      <c r="C545" s="45">
        <v>0</v>
      </c>
      <c r="D545" s="45">
        <v>125085.41366000001</v>
      </c>
      <c r="E545" s="45">
        <v>181452.40741528835</v>
      </c>
      <c r="F545" s="45">
        <v>0</v>
      </c>
      <c r="G545" s="45">
        <v>0</v>
      </c>
      <c r="H545" s="46">
        <v>0.45062803172639998</v>
      </c>
      <c r="I545" s="46">
        <v>0</v>
      </c>
      <c r="J545" s="46">
        <v>0.45062803172639998</v>
      </c>
    </row>
    <row r="546" spans="1:10" ht="11.25" customHeight="1" x14ac:dyDescent="0.2">
      <c r="A546" s="55">
        <v>44713</v>
      </c>
      <c r="B546" s="45">
        <v>0</v>
      </c>
      <c r="C546" s="45">
        <v>0</v>
      </c>
      <c r="D546" s="45">
        <v>124091.97889000001</v>
      </c>
      <c r="E546" s="45">
        <v>180011.30309023469</v>
      </c>
      <c r="F546" s="45">
        <v>0</v>
      </c>
      <c r="G546" s="45">
        <v>0</v>
      </c>
      <c r="H546" s="46">
        <v>0.45062803172639998</v>
      </c>
      <c r="I546" s="46">
        <v>0</v>
      </c>
      <c r="J546" s="46">
        <v>0.45062803172639998</v>
      </c>
    </row>
    <row r="547" spans="1:10" ht="11.25" customHeight="1" x14ac:dyDescent="0.2">
      <c r="A547" s="55">
        <v>44743</v>
      </c>
      <c r="B547" s="45">
        <v>0</v>
      </c>
      <c r="C547" s="45">
        <v>0</v>
      </c>
      <c r="D547" s="45">
        <v>124091.97889000001</v>
      </c>
      <c r="E547" s="45">
        <v>180011.30309023469</v>
      </c>
      <c r="F547" s="45">
        <v>0</v>
      </c>
      <c r="G547" s="45">
        <v>0</v>
      </c>
      <c r="H547" s="46">
        <v>0.45062803172639998</v>
      </c>
      <c r="I547" s="46">
        <v>0</v>
      </c>
      <c r="J547" s="46">
        <v>0.45062803172639998</v>
      </c>
    </row>
    <row r="548" spans="1:10" ht="11.25" customHeight="1" x14ac:dyDescent="0.2">
      <c r="A548" s="54" t="s">
        <v>33</v>
      </c>
      <c r="B548" s="45">
        <v>1001375.3749999998</v>
      </c>
      <c r="C548" s="45">
        <v>1097782.2767983652</v>
      </c>
      <c r="D548" s="45">
        <v>0</v>
      </c>
      <c r="E548" s="45">
        <v>0</v>
      </c>
      <c r="F548" s="45">
        <v>0</v>
      </c>
      <c r="G548" s="45">
        <v>0</v>
      </c>
      <c r="H548" s="46">
        <v>9.6274488274055603E-2</v>
      </c>
      <c r="I548" s="46">
        <v>0</v>
      </c>
      <c r="J548" s="46">
        <v>9.6274488274055603E-2</v>
      </c>
    </row>
    <row r="549" spans="1:10" ht="11.25" customHeight="1" x14ac:dyDescent="0.2">
      <c r="A549" s="55">
        <v>44409</v>
      </c>
      <c r="B549" s="45">
        <v>83833.75</v>
      </c>
      <c r="C549" s="45">
        <v>91904.801381345082</v>
      </c>
      <c r="D549" s="45">
        <v>0</v>
      </c>
      <c r="E549" s="45">
        <v>0</v>
      </c>
      <c r="F549" s="45">
        <v>0</v>
      </c>
      <c r="G549" s="45">
        <v>0</v>
      </c>
      <c r="H549" s="46">
        <v>9.6274488274055381E-2</v>
      </c>
      <c r="I549" s="46">
        <v>0</v>
      </c>
      <c r="J549" s="46">
        <v>9.6274488274055381E-2</v>
      </c>
    </row>
    <row r="550" spans="1:10" ht="11.25" customHeight="1" x14ac:dyDescent="0.2">
      <c r="A550" s="55">
        <v>44440</v>
      </c>
      <c r="B550" s="45">
        <v>83833.75</v>
      </c>
      <c r="C550" s="45">
        <v>91904.801381345082</v>
      </c>
      <c r="D550" s="45">
        <v>0</v>
      </c>
      <c r="E550" s="45">
        <v>0</v>
      </c>
      <c r="F550" s="45">
        <v>0</v>
      </c>
      <c r="G550" s="45">
        <v>0</v>
      </c>
      <c r="H550" s="46">
        <v>9.6274488274055381E-2</v>
      </c>
      <c r="I550" s="46">
        <v>0</v>
      </c>
      <c r="J550" s="46">
        <v>9.6274488274055381E-2</v>
      </c>
    </row>
    <row r="551" spans="1:10" ht="11.25" customHeight="1" x14ac:dyDescent="0.2">
      <c r="A551" s="55">
        <v>44470</v>
      </c>
      <c r="B551" s="45">
        <v>83833.75</v>
      </c>
      <c r="C551" s="45">
        <v>91904.801381345082</v>
      </c>
      <c r="D551" s="45">
        <v>0</v>
      </c>
      <c r="E551" s="45">
        <v>0</v>
      </c>
      <c r="F551" s="45">
        <v>0</v>
      </c>
      <c r="G551" s="45">
        <v>0</v>
      </c>
      <c r="H551" s="46">
        <v>9.6274488274055381E-2</v>
      </c>
      <c r="I551" s="46">
        <v>0</v>
      </c>
      <c r="J551" s="46">
        <v>9.6274488274055381E-2</v>
      </c>
    </row>
    <row r="552" spans="1:10" ht="11.25" customHeight="1" x14ac:dyDescent="0.2">
      <c r="A552" s="55">
        <v>44501</v>
      </c>
      <c r="B552" s="45">
        <v>83833.75</v>
      </c>
      <c r="C552" s="45">
        <v>91904.801381345082</v>
      </c>
      <c r="D552" s="45">
        <v>0</v>
      </c>
      <c r="E552" s="45">
        <v>0</v>
      </c>
      <c r="F552" s="45">
        <v>0</v>
      </c>
      <c r="G552" s="45">
        <v>0</v>
      </c>
      <c r="H552" s="46">
        <v>9.6274488274055381E-2</v>
      </c>
      <c r="I552" s="46">
        <v>0</v>
      </c>
      <c r="J552" s="46">
        <v>9.6274488274055381E-2</v>
      </c>
    </row>
    <row r="553" spans="1:10" ht="11.25" customHeight="1" x14ac:dyDescent="0.2">
      <c r="A553" s="55">
        <v>44531</v>
      </c>
      <c r="B553" s="45">
        <v>83833.75</v>
      </c>
      <c r="C553" s="45">
        <v>91904.801381345082</v>
      </c>
      <c r="D553" s="45">
        <v>0</v>
      </c>
      <c r="E553" s="45">
        <v>0</v>
      </c>
      <c r="F553" s="45">
        <v>0</v>
      </c>
      <c r="G553" s="45">
        <v>0</v>
      </c>
      <c r="H553" s="46">
        <v>9.6274488274055381E-2</v>
      </c>
      <c r="I553" s="46">
        <v>0</v>
      </c>
      <c r="J553" s="46">
        <v>9.6274488274055381E-2</v>
      </c>
    </row>
    <row r="554" spans="1:10" ht="11.25" customHeight="1" x14ac:dyDescent="0.2">
      <c r="A554" s="55">
        <v>44562</v>
      </c>
      <c r="B554" s="45">
        <v>84184.099999999991</v>
      </c>
      <c r="C554" s="45">
        <v>92288.881148311892</v>
      </c>
      <c r="D554" s="45">
        <v>0</v>
      </c>
      <c r="E554" s="45">
        <v>0</v>
      </c>
      <c r="F554" s="45">
        <v>0</v>
      </c>
      <c r="G554" s="45">
        <v>0</v>
      </c>
      <c r="H554" s="46">
        <v>9.6274488274055381E-2</v>
      </c>
      <c r="I554" s="46">
        <v>0</v>
      </c>
      <c r="J554" s="46">
        <v>9.6274488274055381E-2</v>
      </c>
    </row>
    <row r="555" spans="1:10" ht="11.25" customHeight="1" x14ac:dyDescent="0.2">
      <c r="A555" s="55">
        <v>44593</v>
      </c>
      <c r="B555" s="45">
        <v>83833.75</v>
      </c>
      <c r="C555" s="45">
        <v>91904.801381345082</v>
      </c>
      <c r="D555" s="45">
        <v>0</v>
      </c>
      <c r="E555" s="45">
        <v>0</v>
      </c>
      <c r="F555" s="45">
        <v>0</v>
      </c>
      <c r="G555" s="45">
        <v>0</v>
      </c>
      <c r="H555" s="46">
        <v>9.6274488274055381E-2</v>
      </c>
      <c r="I555" s="46">
        <v>0</v>
      </c>
      <c r="J555" s="46">
        <v>9.6274488274055381E-2</v>
      </c>
    </row>
    <row r="556" spans="1:10" ht="11.25" customHeight="1" x14ac:dyDescent="0.2">
      <c r="A556" s="55">
        <v>44621</v>
      </c>
      <c r="B556" s="45">
        <v>83833.75</v>
      </c>
      <c r="C556" s="45">
        <v>91904.801381345082</v>
      </c>
      <c r="D556" s="45">
        <v>0</v>
      </c>
      <c r="E556" s="45">
        <v>0</v>
      </c>
      <c r="F556" s="45">
        <v>0</v>
      </c>
      <c r="G556" s="45">
        <v>0</v>
      </c>
      <c r="H556" s="46">
        <v>9.6274488274055381E-2</v>
      </c>
      <c r="I556" s="46">
        <v>0</v>
      </c>
      <c r="J556" s="46">
        <v>9.6274488274055381E-2</v>
      </c>
    </row>
    <row r="557" spans="1:10" ht="11.25" customHeight="1" x14ac:dyDescent="0.2">
      <c r="A557" s="55">
        <v>44652</v>
      </c>
      <c r="B557" s="45">
        <v>85034.95</v>
      </c>
      <c r="C557" s="45">
        <v>93221.646296659877</v>
      </c>
      <c r="D557" s="45">
        <v>0</v>
      </c>
      <c r="E557" s="45">
        <v>0</v>
      </c>
      <c r="F557" s="45">
        <v>0</v>
      </c>
      <c r="G557" s="45">
        <v>0</v>
      </c>
      <c r="H557" s="46">
        <v>9.6274488274055381E-2</v>
      </c>
      <c r="I557" s="46">
        <v>0</v>
      </c>
      <c r="J557" s="46">
        <v>9.6274488274055381E-2</v>
      </c>
    </row>
    <row r="558" spans="1:10" ht="11.25" customHeight="1" x14ac:dyDescent="0.2">
      <c r="A558" s="55">
        <v>44682</v>
      </c>
      <c r="B558" s="45">
        <v>81005.924999999988</v>
      </c>
      <c r="C558" s="45">
        <v>88804.72897654149</v>
      </c>
      <c r="D558" s="45">
        <v>0</v>
      </c>
      <c r="E558" s="45">
        <v>0</v>
      </c>
      <c r="F558" s="45">
        <v>0</v>
      </c>
      <c r="G558" s="45">
        <v>0</v>
      </c>
      <c r="H558" s="46">
        <v>9.6274488274055381E-2</v>
      </c>
      <c r="I558" s="46">
        <v>0</v>
      </c>
      <c r="J558" s="46">
        <v>9.6274488274055381E-2</v>
      </c>
    </row>
    <row r="559" spans="1:10" ht="11.25" customHeight="1" x14ac:dyDescent="0.2">
      <c r="A559" s="55">
        <v>44713</v>
      </c>
      <c r="B559" s="45">
        <v>82157.074999999997</v>
      </c>
      <c r="C559" s="45">
        <v>90066.705353718178</v>
      </c>
      <c r="D559" s="45">
        <v>0</v>
      </c>
      <c r="E559" s="45">
        <v>0</v>
      </c>
      <c r="F559" s="45">
        <v>0</v>
      </c>
      <c r="G559" s="45">
        <v>0</v>
      </c>
      <c r="H559" s="46">
        <v>9.6274488274055381E-2</v>
      </c>
      <c r="I559" s="46">
        <v>0</v>
      </c>
      <c r="J559" s="46">
        <v>9.6274488274055381E-2</v>
      </c>
    </row>
    <row r="560" spans="1:10" ht="11.25" customHeight="1" x14ac:dyDescent="0.2">
      <c r="A560" s="55">
        <v>44743</v>
      </c>
      <c r="B560" s="45">
        <v>82157.074999999997</v>
      </c>
      <c r="C560" s="45">
        <v>90066.705353718178</v>
      </c>
      <c r="D560" s="45">
        <v>0</v>
      </c>
      <c r="E560" s="45">
        <v>0</v>
      </c>
      <c r="F560" s="45">
        <v>0</v>
      </c>
      <c r="G560" s="45">
        <v>0</v>
      </c>
      <c r="H560" s="46">
        <v>9.6274488274055381E-2</v>
      </c>
      <c r="I560" s="46">
        <v>0</v>
      </c>
      <c r="J560" s="46">
        <v>9.6274488274055381E-2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D164B-00B6-4A6C-94AD-B94F196692B9}">
  <dimension ref="A1:G257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45" bestFit="1" customWidth="1"/>
    <col min="3" max="3" width="21.85546875" style="45" bestFit="1" customWidth="1"/>
    <col min="4" max="4" width="20.28515625" style="45" bestFit="1" customWidth="1"/>
    <col min="5" max="5" width="21.7109375" style="45" bestFit="1" customWidth="1"/>
    <col min="6" max="6" width="14.85546875" style="45" bestFit="1" customWidth="1"/>
    <col min="7" max="7" width="14.7109375" style="45" bestFit="1" customWidth="1"/>
    <col min="8" max="16384" width="9.140625" style="14"/>
  </cols>
  <sheetData>
    <row r="1" spans="1:7" ht="11.25" customHeight="1" x14ac:dyDescent="0.2">
      <c r="A1" s="44" t="s">
        <v>719</v>
      </c>
      <c r="B1" s="45" t="s">
        <v>744</v>
      </c>
      <c r="C1" s="45" t="s">
        <v>745</v>
      </c>
      <c r="D1" s="45" t="s">
        <v>746</v>
      </c>
      <c r="E1" s="45" t="s">
        <v>747</v>
      </c>
      <c r="F1" s="45" t="s">
        <v>748</v>
      </c>
      <c r="G1" s="45" t="s">
        <v>749</v>
      </c>
    </row>
    <row r="2" spans="1:7" ht="11.25" customHeight="1" x14ac:dyDescent="0.2">
      <c r="A2" s="47" t="s">
        <v>735</v>
      </c>
      <c r="B2" s="45">
        <v>7676.1945000000014</v>
      </c>
      <c r="C2" s="45">
        <v>36884.169263389995</v>
      </c>
      <c r="D2" s="45">
        <v>8410.703180301598</v>
      </c>
      <c r="E2" s="45">
        <v>34049.733701669102</v>
      </c>
      <c r="F2" s="45">
        <v>44560.363763389993</v>
      </c>
      <c r="G2" s="45">
        <v>42460.436881970702</v>
      </c>
    </row>
    <row r="3" spans="1:7" ht="11.25" customHeight="1" x14ac:dyDescent="0.2">
      <c r="A3" s="48" t="s">
        <v>38</v>
      </c>
      <c r="B3" s="45">
        <v>7676.1945000000014</v>
      </c>
      <c r="C3" s="45">
        <v>27656.827433999995</v>
      </c>
      <c r="D3" s="45">
        <v>8410.703180301598</v>
      </c>
      <c r="E3" s="45">
        <v>24946.095533234857</v>
      </c>
      <c r="F3" s="45">
        <v>35333.021933999997</v>
      </c>
      <c r="G3" s="45">
        <v>33356.798713536453</v>
      </c>
    </row>
    <row r="4" spans="1:7" ht="11.25" customHeight="1" x14ac:dyDescent="0.2">
      <c r="A4" s="49" t="s">
        <v>39</v>
      </c>
      <c r="B4" s="45">
        <v>7676.1945000000014</v>
      </c>
      <c r="C4" s="45">
        <v>27656.827433999995</v>
      </c>
      <c r="D4" s="45">
        <v>8410.703180301598</v>
      </c>
      <c r="E4" s="45">
        <v>24946.095533234857</v>
      </c>
      <c r="F4" s="45">
        <v>35333.021933999997</v>
      </c>
      <c r="G4" s="45">
        <v>33356.798713536453</v>
      </c>
    </row>
    <row r="5" spans="1:7" ht="11.25" customHeight="1" x14ac:dyDescent="0.2">
      <c r="A5" s="50" t="s">
        <v>47</v>
      </c>
      <c r="B5" s="45">
        <v>7676.1945000000014</v>
      </c>
      <c r="C5" s="45">
        <v>27656.827433999995</v>
      </c>
      <c r="D5" s="45">
        <v>8410.703180301598</v>
      </c>
      <c r="E5" s="45">
        <v>24946.095533234857</v>
      </c>
      <c r="F5" s="45">
        <v>35333.021933999997</v>
      </c>
      <c r="G5" s="45">
        <v>33356.798713536453</v>
      </c>
    </row>
    <row r="6" spans="1:7" ht="11.25" customHeight="1" x14ac:dyDescent="0.2">
      <c r="A6" s="51" t="s">
        <v>48</v>
      </c>
      <c r="B6" s="45">
        <v>7676.1945000000014</v>
      </c>
      <c r="C6" s="45">
        <v>27656.827433999995</v>
      </c>
      <c r="D6" s="45">
        <v>8410.703180301598</v>
      </c>
      <c r="E6" s="45">
        <v>24946.095533234857</v>
      </c>
      <c r="F6" s="45">
        <v>35333.021933999997</v>
      </c>
      <c r="G6" s="45">
        <v>33356.798713536453</v>
      </c>
    </row>
    <row r="7" spans="1:7" ht="11.25" customHeight="1" x14ac:dyDescent="0.2">
      <c r="A7" s="52" t="s">
        <v>25</v>
      </c>
      <c r="B7" s="45">
        <v>7676.1945000000014</v>
      </c>
      <c r="C7" s="45">
        <v>27656.827433999995</v>
      </c>
      <c r="D7" s="45">
        <v>8410.703180301598</v>
      </c>
      <c r="E7" s="45">
        <v>24946.095533234857</v>
      </c>
      <c r="F7" s="45">
        <v>35333.021933999997</v>
      </c>
      <c r="G7" s="45">
        <v>33356.798713536453</v>
      </c>
    </row>
    <row r="8" spans="1:7" ht="11.25" customHeight="1" x14ac:dyDescent="0.2">
      <c r="A8" s="53" t="s">
        <v>25</v>
      </c>
      <c r="B8" s="45">
        <v>7676.1945000000014</v>
      </c>
      <c r="C8" s="45">
        <v>27656.827433999995</v>
      </c>
      <c r="D8" s="45">
        <v>8410.703180301598</v>
      </c>
      <c r="E8" s="45">
        <v>24946.095533234857</v>
      </c>
      <c r="F8" s="45">
        <v>35333.021933999997</v>
      </c>
      <c r="G8" s="45">
        <v>33356.798713536453</v>
      </c>
    </row>
    <row r="9" spans="1:7" ht="11.25" customHeight="1" x14ac:dyDescent="0.2">
      <c r="A9" s="54" t="s">
        <v>34</v>
      </c>
      <c r="B9" s="45">
        <v>0</v>
      </c>
      <c r="C9" s="45">
        <v>26028.698489999995</v>
      </c>
      <c r="D9" s="45">
        <v>0</v>
      </c>
      <c r="E9" s="45">
        <v>23294.455567769419</v>
      </c>
      <c r="F9" s="45">
        <v>26028.698489999995</v>
      </c>
      <c r="G9" s="45">
        <v>23294.455567769419</v>
      </c>
    </row>
    <row r="10" spans="1:7" ht="11.25" customHeight="1" x14ac:dyDescent="0.2">
      <c r="A10" s="55">
        <v>44409</v>
      </c>
      <c r="B10" s="45">
        <v>0</v>
      </c>
      <c r="C10" s="45">
        <v>1877.2922699999997</v>
      </c>
      <c r="D10" s="45">
        <v>0</v>
      </c>
      <c r="E10" s="45">
        <v>1680.0878994404154</v>
      </c>
      <c r="F10" s="45">
        <v>1877.2922699999997</v>
      </c>
      <c r="G10" s="45">
        <v>1680.0878994404154</v>
      </c>
    </row>
    <row r="11" spans="1:7" ht="11.25" customHeight="1" x14ac:dyDescent="0.2">
      <c r="A11" s="55">
        <v>44440</v>
      </c>
      <c r="B11" s="45">
        <v>0</v>
      </c>
      <c r="C11" s="45">
        <v>2152.2187800000024</v>
      </c>
      <c r="D11" s="45">
        <v>0</v>
      </c>
      <c r="E11" s="45">
        <v>1926.1341385198466</v>
      </c>
      <c r="F11" s="45">
        <v>2152.2187800000024</v>
      </c>
      <c r="G11" s="45">
        <v>1926.1341385198466</v>
      </c>
    </row>
    <row r="12" spans="1:7" ht="11.25" customHeight="1" x14ac:dyDescent="0.2">
      <c r="A12" s="55">
        <v>44470</v>
      </c>
      <c r="B12" s="45">
        <v>0</v>
      </c>
      <c r="C12" s="45">
        <v>1866.3009299999997</v>
      </c>
      <c r="D12" s="45">
        <v>0</v>
      </c>
      <c r="E12" s="45">
        <v>1670.2511693650097</v>
      </c>
      <c r="F12" s="45">
        <v>1866.3009299999997</v>
      </c>
      <c r="G12" s="45">
        <v>1670.2511693650097</v>
      </c>
    </row>
    <row r="13" spans="1:7" ht="11.25" customHeight="1" x14ac:dyDescent="0.2">
      <c r="A13" s="55">
        <v>44501</v>
      </c>
      <c r="B13" s="45">
        <v>0</v>
      </c>
      <c r="C13" s="45">
        <v>2139.1640099999959</v>
      </c>
      <c r="D13" s="45">
        <v>0</v>
      </c>
      <c r="E13" s="45">
        <v>1914.4507360696844</v>
      </c>
      <c r="F13" s="45">
        <v>2139.1640099999959</v>
      </c>
      <c r="G13" s="45">
        <v>1914.4507360696844</v>
      </c>
    </row>
    <row r="14" spans="1:7" ht="11.25" customHeight="1" x14ac:dyDescent="0.2">
      <c r="A14" s="55">
        <v>44531</v>
      </c>
      <c r="B14" s="45">
        <v>0</v>
      </c>
      <c r="C14" s="45">
        <v>2463.8171399999983</v>
      </c>
      <c r="D14" s="45">
        <v>0</v>
      </c>
      <c r="E14" s="45">
        <v>2204.9999509921217</v>
      </c>
      <c r="F14" s="45">
        <v>2463.8171399999983</v>
      </c>
      <c r="G14" s="45">
        <v>2204.9999509921217</v>
      </c>
    </row>
    <row r="15" spans="1:7" ht="11.25" customHeight="1" x14ac:dyDescent="0.2">
      <c r="A15" s="55">
        <v>44562</v>
      </c>
      <c r="B15" s="45">
        <v>0</v>
      </c>
      <c r="C15" s="45">
        <v>2286.3621599999997</v>
      </c>
      <c r="D15" s="45">
        <v>0</v>
      </c>
      <c r="E15" s="45">
        <v>2046.1861267635491</v>
      </c>
      <c r="F15" s="45">
        <v>2286.3621599999997</v>
      </c>
      <c r="G15" s="45">
        <v>2046.1861267635491</v>
      </c>
    </row>
    <row r="16" spans="1:7" ht="11.25" customHeight="1" x14ac:dyDescent="0.2">
      <c r="A16" s="55">
        <v>44593</v>
      </c>
      <c r="B16" s="45">
        <v>0</v>
      </c>
      <c r="C16" s="45">
        <v>2074.8708000000029</v>
      </c>
      <c r="D16" s="45">
        <v>0</v>
      </c>
      <c r="E16" s="45">
        <v>1856.9113502940379</v>
      </c>
      <c r="F16" s="45">
        <v>2074.8708000000029</v>
      </c>
      <c r="G16" s="45">
        <v>1856.9113502940379</v>
      </c>
    </row>
    <row r="17" spans="1:7" ht="11.25" customHeight="1" x14ac:dyDescent="0.2">
      <c r="A17" s="55">
        <v>44621</v>
      </c>
      <c r="B17" s="45">
        <v>0</v>
      </c>
      <c r="C17" s="45">
        <v>2387.2454999999982</v>
      </c>
      <c r="D17" s="45">
        <v>0</v>
      </c>
      <c r="E17" s="45">
        <v>2136.4719503924562</v>
      </c>
      <c r="F17" s="45">
        <v>2387.2454999999982</v>
      </c>
      <c r="G17" s="45">
        <v>2136.4719503924562</v>
      </c>
    </row>
    <row r="18" spans="1:7" ht="11.25" customHeight="1" x14ac:dyDescent="0.2">
      <c r="A18" s="55">
        <v>44652</v>
      </c>
      <c r="B18" s="45">
        <v>0</v>
      </c>
      <c r="C18" s="45">
        <v>2162.2907700000005</v>
      </c>
      <c r="D18" s="45">
        <v>0</v>
      </c>
      <c r="E18" s="45">
        <v>1935.1480937748174</v>
      </c>
      <c r="F18" s="45">
        <v>2162.2907700000005</v>
      </c>
      <c r="G18" s="45">
        <v>1935.1480937748174</v>
      </c>
    </row>
    <row r="19" spans="1:7" ht="11.25" customHeight="1" x14ac:dyDescent="0.2">
      <c r="A19" s="55">
        <v>44682</v>
      </c>
      <c r="B19" s="45">
        <v>0</v>
      </c>
      <c r="C19" s="45">
        <v>2266.7289299999957</v>
      </c>
      <c r="D19" s="45">
        <v>0</v>
      </c>
      <c r="E19" s="45">
        <v>2028.615313376064</v>
      </c>
      <c r="F19" s="45">
        <v>2266.7289299999957</v>
      </c>
      <c r="G19" s="45">
        <v>2028.615313376064</v>
      </c>
    </row>
    <row r="20" spans="1:7" ht="11.25" customHeight="1" x14ac:dyDescent="0.2">
      <c r="A20" s="55">
        <v>44713</v>
      </c>
      <c r="B20" s="45">
        <v>0</v>
      </c>
      <c r="C20" s="45">
        <v>2176.2035999999989</v>
      </c>
      <c r="D20" s="45">
        <v>0</v>
      </c>
      <c r="E20" s="45">
        <v>1947.5994193907104</v>
      </c>
      <c r="F20" s="45">
        <v>2176.2035999999989</v>
      </c>
      <c r="G20" s="45">
        <v>1947.5994193907104</v>
      </c>
    </row>
    <row r="21" spans="1:7" ht="11.25" customHeight="1" x14ac:dyDescent="0.2">
      <c r="A21" s="55">
        <v>44743</v>
      </c>
      <c r="B21" s="45">
        <v>0</v>
      </c>
      <c r="C21" s="45">
        <v>2176.2035999999989</v>
      </c>
      <c r="D21" s="45">
        <v>0</v>
      </c>
      <c r="E21" s="45">
        <v>1947.5994193907104</v>
      </c>
      <c r="F21" s="45">
        <v>2176.2035999999989</v>
      </c>
      <c r="G21" s="45">
        <v>1947.5994193907104</v>
      </c>
    </row>
    <row r="22" spans="1:7" ht="11.25" customHeight="1" x14ac:dyDescent="0.2">
      <c r="A22" s="54" t="s">
        <v>25</v>
      </c>
      <c r="B22" s="45">
        <v>7676.1945000000014</v>
      </c>
      <c r="C22" s="45">
        <v>0</v>
      </c>
      <c r="D22" s="45">
        <v>8410.703180301598</v>
      </c>
      <c r="E22" s="45">
        <v>0</v>
      </c>
      <c r="F22" s="45">
        <v>7676.1945000000014</v>
      </c>
      <c r="G22" s="45">
        <v>8410.703180301598</v>
      </c>
    </row>
    <row r="23" spans="1:7" ht="11.25" customHeight="1" x14ac:dyDescent="0.2">
      <c r="A23" s="55">
        <v>44409</v>
      </c>
      <c r="B23" s="45">
        <v>629.154</v>
      </c>
      <c r="C23" s="45">
        <v>0</v>
      </c>
      <c r="D23" s="45">
        <v>689.35558481477642</v>
      </c>
      <c r="E23" s="45">
        <v>0</v>
      </c>
      <c r="F23" s="45">
        <v>629.154</v>
      </c>
      <c r="G23" s="45">
        <v>689.35558481477642</v>
      </c>
    </row>
    <row r="24" spans="1:7" ht="11.25" customHeight="1" x14ac:dyDescent="0.2">
      <c r="A24" s="55">
        <v>44440</v>
      </c>
      <c r="B24" s="45">
        <v>629.154</v>
      </c>
      <c r="C24" s="45">
        <v>0</v>
      </c>
      <c r="D24" s="45">
        <v>689.35558481477642</v>
      </c>
      <c r="E24" s="45">
        <v>0</v>
      </c>
      <c r="F24" s="45">
        <v>629.154</v>
      </c>
      <c r="G24" s="45">
        <v>689.35558481477642</v>
      </c>
    </row>
    <row r="25" spans="1:7" ht="11.25" customHeight="1" x14ac:dyDescent="0.2">
      <c r="A25" s="55">
        <v>44470</v>
      </c>
      <c r="B25" s="45">
        <v>631.73250000000007</v>
      </c>
      <c r="C25" s="45">
        <v>0</v>
      </c>
      <c r="D25" s="45">
        <v>692.18081262139447</v>
      </c>
      <c r="E25" s="45">
        <v>0</v>
      </c>
      <c r="F25" s="45">
        <v>631.73250000000007</v>
      </c>
      <c r="G25" s="45">
        <v>692.18081262139447</v>
      </c>
    </row>
    <row r="26" spans="1:7" ht="11.25" customHeight="1" x14ac:dyDescent="0.2">
      <c r="A26" s="55">
        <v>44501</v>
      </c>
      <c r="B26" s="45">
        <v>631.73250000000007</v>
      </c>
      <c r="C26" s="45">
        <v>0</v>
      </c>
      <c r="D26" s="45">
        <v>692.18081262139447</v>
      </c>
      <c r="E26" s="45">
        <v>0</v>
      </c>
      <c r="F26" s="45">
        <v>631.73250000000007</v>
      </c>
      <c r="G26" s="45">
        <v>692.18081262139447</v>
      </c>
    </row>
    <row r="27" spans="1:7" ht="11.25" customHeight="1" x14ac:dyDescent="0.2">
      <c r="A27" s="55">
        <v>44531</v>
      </c>
      <c r="B27" s="45">
        <v>654.93899999999996</v>
      </c>
      <c r="C27" s="45">
        <v>0</v>
      </c>
      <c r="D27" s="45">
        <v>717.60786288095585</v>
      </c>
      <c r="E27" s="45">
        <v>0</v>
      </c>
      <c r="F27" s="45">
        <v>654.93899999999996</v>
      </c>
      <c r="G27" s="45">
        <v>717.60786288095585</v>
      </c>
    </row>
    <row r="28" spans="1:7" ht="11.25" customHeight="1" x14ac:dyDescent="0.2">
      <c r="A28" s="55">
        <v>44562</v>
      </c>
      <c r="B28" s="45">
        <v>683.30250000000001</v>
      </c>
      <c r="C28" s="45">
        <v>0</v>
      </c>
      <c r="D28" s="45">
        <v>748.68536875375321</v>
      </c>
      <c r="E28" s="45">
        <v>0</v>
      </c>
      <c r="F28" s="45">
        <v>683.30250000000001</v>
      </c>
      <c r="G28" s="45">
        <v>748.68536875375321</v>
      </c>
    </row>
    <row r="29" spans="1:7" ht="11.25" customHeight="1" x14ac:dyDescent="0.2">
      <c r="A29" s="55">
        <v>44593</v>
      </c>
      <c r="B29" s="45">
        <v>660.09600000000012</v>
      </c>
      <c r="C29" s="45">
        <v>0</v>
      </c>
      <c r="D29" s="45">
        <v>723.25831849419194</v>
      </c>
      <c r="E29" s="45">
        <v>0</v>
      </c>
      <c r="F29" s="45">
        <v>660.09600000000012</v>
      </c>
      <c r="G29" s="45">
        <v>723.25831849419194</v>
      </c>
    </row>
    <row r="30" spans="1:7" ht="11.25" customHeight="1" x14ac:dyDescent="0.2">
      <c r="A30" s="55">
        <v>44621</v>
      </c>
      <c r="B30" s="45">
        <v>634.31100000000015</v>
      </c>
      <c r="C30" s="45">
        <v>0</v>
      </c>
      <c r="D30" s="45">
        <v>695.00604042801251</v>
      </c>
      <c r="E30" s="45">
        <v>0</v>
      </c>
      <c r="F30" s="45">
        <v>634.31100000000015</v>
      </c>
      <c r="G30" s="45">
        <v>695.00604042801251</v>
      </c>
    </row>
    <row r="31" spans="1:7" ht="11.25" customHeight="1" x14ac:dyDescent="0.2">
      <c r="A31" s="55">
        <v>44652</v>
      </c>
      <c r="B31" s="45">
        <v>636.88950000000023</v>
      </c>
      <c r="C31" s="45">
        <v>0</v>
      </c>
      <c r="D31" s="45">
        <v>697.83126823463056</v>
      </c>
      <c r="E31" s="45">
        <v>0</v>
      </c>
      <c r="F31" s="45">
        <v>636.88950000000023</v>
      </c>
      <c r="G31" s="45">
        <v>697.83126823463056</v>
      </c>
    </row>
    <row r="32" spans="1:7" ht="11.25" customHeight="1" x14ac:dyDescent="0.2">
      <c r="A32" s="55">
        <v>44682</v>
      </c>
      <c r="B32" s="45">
        <v>626.57550000000037</v>
      </c>
      <c r="C32" s="45">
        <v>0</v>
      </c>
      <c r="D32" s="45">
        <v>686.53035700815894</v>
      </c>
      <c r="E32" s="45">
        <v>0</v>
      </c>
      <c r="F32" s="45">
        <v>626.57550000000037</v>
      </c>
      <c r="G32" s="45">
        <v>686.53035700815894</v>
      </c>
    </row>
    <row r="33" spans="1:7" ht="11.25" customHeight="1" x14ac:dyDescent="0.2">
      <c r="A33" s="55">
        <v>44713</v>
      </c>
      <c r="B33" s="45">
        <v>629.154</v>
      </c>
      <c r="C33" s="45">
        <v>0</v>
      </c>
      <c r="D33" s="45">
        <v>689.35558481477642</v>
      </c>
      <c r="E33" s="45">
        <v>0</v>
      </c>
      <c r="F33" s="45">
        <v>629.154</v>
      </c>
      <c r="G33" s="45">
        <v>689.35558481477642</v>
      </c>
    </row>
    <row r="34" spans="1:7" ht="11.25" customHeight="1" x14ac:dyDescent="0.2">
      <c r="A34" s="55">
        <v>44743</v>
      </c>
      <c r="B34" s="45">
        <v>629.154</v>
      </c>
      <c r="C34" s="45">
        <v>0</v>
      </c>
      <c r="D34" s="45">
        <v>689.35558481477642</v>
      </c>
      <c r="E34" s="45">
        <v>0</v>
      </c>
      <c r="F34" s="45">
        <v>629.154</v>
      </c>
      <c r="G34" s="45">
        <v>689.35558481477642</v>
      </c>
    </row>
    <row r="35" spans="1:7" ht="11.25" customHeight="1" x14ac:dyDescent="0.2">
      <c r="A35" s="54" t="s">
        <v>33</v>
      </c>
      <c r="B35" s="45">
        <v>0</v>
      </c>
      <c r="C35" s="45">
        <v>1628.1289440000005</v>
      </c>
      <c r="D35" s="45">
        <v>0</v>
      </c>
      <c r="E35" s="45">
        <v>1651.6399654654401</v>
      </c>
      <c r="F35" s="45">
        <v>1628.1289440000005</v>
      </c>
      <c r="G35" s="45">
        <v>1651.6399654654401</v>
      </c>
    </row>
    <row r="36" spans="1:7" ht="11.25" customHeight="1" x14ac:dyDescent="0.2">
      <c r="A36" s="55">
        <v>44409</v>
      </c>
      <c r="B36" s="45">
        <v>0</v>
      </c>
      <c r="C36" s="45">
        <v>42.993072000000041</v>
      </c>
      <c r="D36" s="45">
        <v>0</v>
      </c>
      <c r="E36" s="45">
        <v>43.613914128249313</v>
      </c>
      <c r="F36" s="45">
        <v>42.993072000000041</v>
      </c>
      <c r="G36" s="45">
        <v>43.613914128249313</v>
      </c>
    </row>
    <row r="37" spans="1:7" ht="11.25" customHeight="1" x14ac:dyDescent="0.2">
      <c r="A37" s="55">
        <v>44440</v>
      </c>
      <c r="B37" s="45">
        <v>0</v>
      </c>
      <c r="C37" s="45">
        <v>174.77618400000011</v>
      </c>
      <c r="D37" s="45">
        <v>0</v>
      </c>
      <c r="E37" s="45">
        <v>177.30004221701344</v>
      </c>
      <c r="F37" s="45">
        <v>174.77618400000011</v>
      </c>
      <c r="G37" s="45">
        <v>177.30004221701344</v>
      </c>
    </row>
    <row r="38" spans="1:7" ht="11.25" customHeight="1" x14ac:dyDescent="0.2">
      <c r="A38" s="55">
        <v>44470</v>
      </c>
      <c r="B38" s="45">
        <v>0</v>
      </c>
      <c r="C38" s="45">
        <v>144.86796000000018</v>
      </c>
      <c r="D38" s="45">
        <v>0</v>
      </c>
      <c r="E38" s="45">
        <v>146.95992804084011</v>
      </c>
      <c r="F38" s="45">
        <v>144.86796000000018</v>
      </c>
      <c r="G38" s="45">
        <v>146.95992804084011</v>
      </c>
    </row>
    <row r="39" spans="1:7" ht="11.25" customHeight="1" x14ac:dyDescent="0.2">
      <c r="A39" s="55">
        <v>44501</v>
      </c>
      <c r="B39" s="45">
        <v>0</v>
      </c>
      <c r="C39" s="45">
        <v>146.11413599999989</v>
      </c>
      <c r="D39" s="45">
        <v>0</v>
      </c>
      <c r="E39" s="45">
        <v>148.22409946484703</v>
      </c>
      <c r="F39" s="45">
        <v>146.11413599999989</v>
      </c>
      <c r="G39" s="45">
        <v>148.22409946484703</v>
      </c>
    </row>
    <row r="40" spans="1:7" ht="11.25" customHeight="1" x14ac:dyDescent="0.2">
      <c r="A40" s="55">
        <v>44531</v>
      </c>
      <c r="B40" s="45">
        <v>0</v>
      </c>
      <c r="C40" s="45">
        <v>181.94169600000015</v>
      </c>
      <c r="D40" s="45">
        <v>0</v>
      </c>
      <c r="E40" s="45">
        <v>184.56902790505507</v>
      </c>
      <c r="F40" s="45">
        <v>181.94169600000015</v>
      </c>
      <c r="G40" s="45">
        <v>184.56902790505507</v>
      </c>
    </row>
    <row r="41" spans="1:7" ht="11.25" customHeight="1" x14ac:dyDescent="0.2">
      <c r="A41" s="55">
        <v>44562</v>
      </c>
      <c r="B41" s="45">
        <v>0</v>
      </c>
      <c r="C41" s="45">
        <v>42.993071999999948</v>
      </c>
      <c r="D41" s="45">
        <v>0</v>
      </c>
      <c r="E41" s="45">
        <v>43.61391412824922</v>
      </c>
      <c r="F41" s="45">
        <v>42.993071999999948</v>
      </c>
      <c r="G41" s="45">
        <v>43.61391412824922</v>
      </c>
    </row>
    <row r="42" spans="1:7" ht="11.25" customHeight="1" x14ac:dyDescent="0.2">
      <c r="A42" s="55">
        <v>44593</v>
      </c>
      <c r="B42" s="45">
        <v>0</v>
      </c>
      <c r="C42" s="45">
        <v>44.862335999999999</v>
      </c>
      <c r="D42" s="45">
        <v>0</v>
      </c>
      <c r="E42" s="45">
        <v>45.510171264260102</v>
      </c>
      <c r="F42" s="45">
        <v>44.862335999999999</v>
      </c>
      <c r="G42" s="45">
        <v>45.510171264260102</v>
      </c>
    </row>
    <row r="43" spans="1:7" ht="11.25" customHeight="1" x14ac:dyDescent="0.2">
      <c r="A43" s="55">
        <v>44621</v>
      </c>
      <c r="B43" s="45">
        <v>0</v>
      </c>
      <c r="C43" s="45">
        <v>173.32231200000021</v>
      </c>
      <c r="D43" s="45">
        <v>0</v>
      </c>
      <c r="E43" s="45">
        <v>175.82517555567176</v>
      </c>
      <c r="F43" s="45">
        <v>173.32231200000021</v>
      </c>
      <c r="G43" s="45">
        <v>175.82517555567176</v>
      </c>
    </row>
    <row r="44" spans="1:7" ht="11.25" customHeight="1" x14ac:dyDescent="0.2">
      <c r="A44" s="55">
        <v>44652</v>
      </c>
      <c r="B44" s="45">
        <v>0</v>
      </c>
      <c r="C44" s="45">
        <v>167.40297600000025</v>
      </c>
      <c r="D44" s="45">
        <v>0</v>
      </c>
      <c r="E44" s="45">
        <v>169.82036129163751</v>
      </c>
      <c r="F44" s="45">
        <v>167.40297600000025</v>
      </c>
      <c r="G44" s="45">
        <v>169.82036129163751</v>
      </c>
    </row>
    <row r="45" spans="1:7" ht="11.25" customHeight="1" x14ac:dyDescent="0.2">
      <c r="A45" s="55">
        <v>44682</v>
      </c>
      <c r="B45" s="45">
        <v>0</v>
      </c>
      <c r="C45" s="45">
        <v>124.4099039999999</v>
      </c>
      <c r="D45" s="45">
        <v>0</v>
      </c>
      <c r="E45" s="45">
        <v>126.20644716338788</v>
      </c>
      <c r="F45" s="45">
        <v>124.4099039999999</v>
      </c>
      <c r="G45" s="45">
        <v>126.20644716338788</v>
      </c>
    </row>
    <row r="46" spans="1:7" ht="11.25" customHeight="1" x14ac:dyDescent="0.2">
      <c r="A46" s="55">
        <v>44713</v>
      </c>
      <c r="B46" s="45">
        <v>0</v>
      </c>
      <c r="C46" s="45">
        <v>192.22264799999988</v>
      </c>
      <c r="D46" s="45">
        <v>0</v>
      </c>
      <c r="E46" s="45">
        <v>194.99844215311435</v>
      </c>
      <c r="F46" s="45">
        <v>192.22264799999988</v>
      </c>
      <c r="G46" s="45">
        <v>194.99844215311435</v>
      </c>
    </row>
    <row r="47" spans="1:7" ht="11.25" customHeight="1" x14ac:dyDescent="0.2">
      <c r="A47" s="55">
        <v>44743</v>
      </c>
      <c r="B47" s="45">
        <v>0</v>
      </c>
      <c r="C47" s="45">
        <v>192.22264799999988</v>
      </c>
      <c r="D47" s="45">
        <v>0</v>
      </c>
      <c r="E47" s="45">
        <v>194.99844215311435</v>
      </c>
      <c r="F47" s="45">
        <v>192.22264799999988</v>
      </c>
      <c r="G47" s="45">
        <v>194.99844215311435</v>
      </c>
    </row>
    <row r="48" spans="1:7" ht="11.25" customHeight="1" x14ac:dyDescent="0.2">
      <c r="A48" s="48" t="s">
        <v>36</v>
      </c>
      <c r="B48" s="45">
        <v>0</v>
      </c>
      <c r="C48" s="45">
        <v>9227.3418293900049</v>
      </c>
      <c r="D48" s="45">
        <v>0</v>
      </c>
      <c r="E48" s="45">
        <v>9103.6381684342414</v>
      </c>
      <c r="F48" s="45">
        <v>9227.3418293900049</v>
      </c>
      <c r="G48" s="45">
        <v>9103.6381684342414</v>
      </c>
    </row>
    <row r="49" spans="1:7" ht="11.25" customHeight="1" x14ac:dyDescent="0.2">
      <c r="A49" s="49" t="s">
        <v>23</v>
      </c>
      <c r="B49" s="45">
        <v>0</v>
      </c>
      <c r="C49" s="45">
        <v>9227.3418293900049</v>
      </c>
      <c r="D49" s="45">
        <v>0</v>
      </c>
      <c r="E49" s="45">
        <v>9103.6381684342414</v>
      </c>
      <c r="F49" s="45">
        <v>9227.3418293900049</v>
      </c>
      <c r="G49" s="45">
        <v>9103.6381684342414</v>
      </c>
    </row>
    <row r="50" spans="1:7" ht="11.25" customHeight="1" x14ac:dyDescent="0.2">
      <c r="A50" s="50" t="s">
        <v>47</v>
      </c>
      <c r="B50" s="45">
        <v>0</v>
      </c>
      <c r="C50" s="45">
        <v>9227.3418293900049</v>
      </c>
      <c r="D50" s="45">
        <v>0</v>
      </c>
      <c r="E50" s="45">
        <v>9103.6381684342414</v>
      </c>
      <c r="F50" s="45">
        <v>9227.3418293900049</v>
      </c>
      <c r="G50" s="45">
        <v>9103.6381684342414</v>
      </c>
    </row>
    <row r="51" spans="1:7" ht="11.25" customHeight="1" x14ac:dyDescent="0.2">
      <c r="A51" s="51" t="s">
        <v>48</v>
      </c>
      <c r="B51" s="45">
        <v>0</v>
      </c>
      <c r="C51" s="45">
        <v>9227.3418293900049</v>
      </c>
      <c r="D51" s="45">
        <v>0</v>
      </c>
      <c r="E51" s="45">
        <v>9103.6381684342414</v>
      </c>
      <c r="F51" s="45">
        <v>9227.3418293900049</v>
      </c>
      <c r="G51" s="45">
        <v>9103.6381684342414</v>
      </c>
    </row>
    <row r="52" spans="1:7" ht="11.25" customHeight="1" x14ac:dyDescent="0.2">
      <c r="A52" s="52" t="s">
        <v>25</v>
      </c>
      <c r="B52" s="45">
        <v>0</v>
      </c>
      <c r="C52" s="45">
        <v>9227.3418293900049</v>
      </c>
      <c r="D52" s="45">
        <v>0</v>
      </c>
      <c r="E52" s="45">
        <v>9103.6381684342414</v>
      </c>
      <c r="F52" s="45">
        <v>9227.3418293900049</v>
      </c>
      <c r="G52" s="45">
        <v>9103.6381684342414</v>
      </c>
    </row>
    <row r="53" spans="1:7" ht="11.25" customHeight="1" x14ac:dyDescent="0.2">
      <c r="A53" s="53" t="s">
        <v>25</v>
      </c>
      <c r="B53" s="45">
        <v>0</v>
      </c>
      <c r="C53" s="45">
        <v>9227.3418293900049</v>
      </c>
      <c r="D53" s="45">
        <v>0</v>
      </c>
      <c r="E53" s="45">
        <v>9103.6381684342414</v>
      </c>
      <c r="F53" s="45">
        <v>9227.3418293900049</v>
      </c>
      <c r="G53" s="45">
        <v>9103.6381684342414</v>
      </c>
    </row>
    <row r="54" spans="1:7" ht="11.25" customHeight="1" x14ac:dyDescent="0.2">
      <c r="A54" s="54" t="s">
        <v>25</v>
      </c>
      <c r="B54" s="45">
        <v>0</v>
      </c>
      <c r="C54" s="45">
        <v>9227.3418293900049</v>
      </c>
      <c r="D54" s="45">
        <v>0</v>
      </c>
      <c r="E54" s="45">
        <v>9103.6381684342414</v>
      </c>
      <c r="F54" s="45">
        <v>9227.3418293900049</v>
      </c>
      <c r="G54" s="45">
        <v>9103.6381684342414</v>
      </c>
    </row>
    <row r="55" spans="1:7" ht="11.25" customHeight="1" x14ac:dyDescent="0.2">
      <c r="A55" s="55">
        <v>44409</v>
      </c>
      <c r="B55" s="45">
        <v>0</v>
      </c>
      <c r="C55" s="45">
        <v>805.25936700000148</v>
      </c>
      <c r="D55" s="45">
        <v>0</v>
      </c>
      <c r="E55" s="45">
        <v>794.46389268479356</v>
      </c>
      <c r="F55" s="45">
        <v>805.25936700000148</v>
      </c>
      <c r="G55" s="45">
        <v>794.46389268479356</v>
      </c>
    </row>
    <row r="56" spans="1:7" ht="11.25" customHeight="1" x14ac:dyDescent="0.2">
      <c r="A56" s="55">
        <v>44440</v>
      </c>
      <c r="B56" s="45">
        <v>0</v>
      </c>
      <c r="C56" s="45">
        <v>956.53579439000009</v>
      </c>
      <c r="D56" s="45">
        <v>0</v>
      </c>
      <c r="E56" s="45">
        <v>943.7122768711854</v>
      </c>
      <c r="F56" s="45">
        <v>956.53579439000009</v>
      </c>
      <c r="G56" s="45">
        <v>943.7122768711854</v>
      </c>
    </row>
    <row r="57" spans="1:7" ht="11.25" customHeight="1" x14ac:dyDescent="0.2">
      <c r="A57" s="55">
        <v>44470</v>
      </c>
      <c r="B57" s="45">
        <v>0</v>
      </c>
      <c r="C57" s="45">
        <v>791.01466200000038</v>
      </c>
      <c r="D57" s="45">
        <v>0</v>
      </c>
      <c r="E57" s="45">
        <v>780.41015515845038</v>
      </c>
      <c r="F57" s="45">
        <v>791.01466200000038</v>
      </c>
      <c r="G57" s="45">
        <v>780.41015515845038</v>
      </c>
    </row>
    <row r="58" spans="1:7" ht="11.25" customHeight="1" x14ac:dyDescent="0.2">
      <c r="A58" s="55">
        <v>44501</v>
      </c>
      <c r="B58" s="45">
        <v>0</v>
      </c>
      <c r="C58" s="45">
        <v>849.72761999999989</v>
      </c>
      <c r="D58" s="45">
        <v>0</v>
      </c>
      <c r="E58" s="45">
        <v>838.33599504963456</v>
      </c>
      <c r="F58" s="45">
        <v>849.72761999999989</v>
      </c>
      <c r="G58" s="45">
        <v>838.33599504963456</v>
      </c>
    </row>
    <row r="59" spans="1:7" ht="11.25" customHeight="1" x14ac:dyDescent="0.2">
      <c r="A59" s="55">
        <v>44531</v>
      </c>
      <c r="B59" s="45">
        <v>0</v>
      </c>
      <c r="C59" s="45">
        <v>923.67621899999972</v>
      </c>
      <c r="D59" s="45">
        <v>0</v>
      </c>
      <c r="E59" s="45">
        <v>911.29322377334165</v>
      </c>
      <c r="F59" s="45">
        <v>923.67621899999972</v>
      </c>
      <c r="G59" s="45">
        <v>911.29322377334165</v>
      </c>
    </row>
    <row r="60" spans="1:7" ht="11.25" customHeight="1" x14ac:dyDescent="0.2">
      <c r="A60" s="55">
        <v>44562</v>
      </c>
      <c r="B60" s="45">
        <v>0</v>
      </c>
      <c r="C60" s="45">
        <v>785.02775700000211</v>
      </c>
      <c r="D60" s="45">
        <v>0</v>
      </c>
      <c r="E60" s="45">
        <v>774.50351185027921</v>
      </c>
      <c r="F60" s="45">
        <v>785.02775700000211</v>
      </c>
      <c r="G60" s="45">
        <v>774.50351185027921</v>
      </c>
    </row>
    <row r="61" spans="1:7" ht="11.25" customHeight="1" x14ac:dyDescent="0.2">
      <c r="A61" s="55">
        <v>44593</v>
      </c>
      <c r="B61" s="45">
        <v>0</v>
      </c>
      <c r="C61" s="45">
        <v>717.60281999999984</v>
      </c>
      <c r="D61" s="45">
        <v>0</v>
      </c>
      <c r="E61" s="45">
        <v>707.98248755892359</v>
      </c>
      <c r="F61" s="45">
        <v>717.60281999999984</v>
      </c>
      <c r="G61" s="45">
        <v>707.98248755892359</v>
      </c>
    </row>
    <row r="62" spans="1:7" ht="11.25" customHeight="1" x14ac:dyDescent="0.2">
      <c r="A62" s="55">
        <v>44621</v>
      </c>
      <c r="B62" s="45">
        <v>0</v>
      </c>
      <c r="C62" s="45">
        <v>784.69744500000002</v>
      </c>
      <c r="D62" s="45">
        <v>0</v>
      </c>
      <c r="E62" s="45">
        <v>774.17762808155021</v>
      </c>
      <c r="F62" s="45">
        <v>784.69744500000002</v>
      </c>
      <c r="G62" s="45">
        <v>774.17762808155021</v>
      </c>
    </row>
    <row r="63" spans="1:7" ht="11.25" customHeight="1" x14ac:dyDescent="0.2">
      <c r="A63" s="55">
        <v>44652</v>
      </c>
      <c r="B63" s="45">
        <v>0</v>
      </c>
      <c r="C63" s="45">
        <v>727.2231569999999</v>
      </c>
      <c r="D63" s="45">
        <v>0</v>
      </c>
      <c r="E63" s="45">
        <v>717.47385232309102</v>
      </c>
      <c r="F63" s="45">
        <v>727.2231569999999</v>
      </c>
      <c r="G63" s="45">
        <v>717.47385232309102</v>
      </c>
    </row>
    <row r="64" spans="1:7" ht="11.25" customHeight="1" x14ac:dyDescent="0.2">
      <c r="A64" s="55">
        <v>44682</v>
      </c>
      <c r="B64" s="45">
        <v>0</v>
      </c>
      <c r="C64" s="45">
        <v>627.92311200000029</v>
      </c>
      <c r="D64" s="45">
        <v>0</v>
      </c>
      <c r="E64" s="45">
        <v>619.50504434960396</v>
      </c>
      <c r="F64" s="45">
        <v>627.92311200000029</v>
      </c>
      <c r="G64" s="45">
        <v>619.50504434960396</v>
      </c>
    </row>
    <row r="65" spans="1:7" ht="11.25" customHeight="1" x14ac:dyDescent="0.2">
      <c r="A65" s="55">
        <v>44713</v>
      </c>
      <c r="B65" s="45">
        <v>0</v>
      </c>
      <c r="C65" s="45">
        <v>629.32693800000095</v>
      </c>
      <c r="D65" s="45">
        <v>0</v>
      </c>
      <c r="E65" s="45">
        <v>620.89005036669346</v>
      </c>
      <c r="F65" s="45">
        <v>629.32693800000095</v>
      </c>
      <c r="G65" s="45">
        <v>620.89005036669346</v>
      </c>
    </row>
    <row r="66" spans="1:7" ht="11.25" customHeight="1" x14ac:dyDescent="0.2">
      <c r="A66" s="55">
        <v>44743</v>
      </c>
      <c r="B66" s="45">
        <v>0</v>
      </c>
      <c r="C66" s="45">
        <v>629.32693800000095</v>
      </c>
      <c r="D66" s="45">
        <v>0</v>
      </c>
      <c r="E66" s="45">
        <v>620.89005036669346</v>
      </c>
      <c r="F66" s="45">
        <v>629.32693800000095</v>
      </c>
      <c r="G66" s="45">
        <v>620.89005036669346</v>
      </c>
    </row>
    <row r="67" spans="1:7" ht="11.25" customHeight="1" x14ac:dyDescent="0.2">
      <c r="A67" s="47" t="s">
        <v>736</v>
      </c>
      <c r="B67" s="45">
        <v>0</v>
      </c>
      <c r="C67" s="45">
        <v>183530.89953999995</v>
      </c>
      <c r="D67" s="45">
        <v>0</v>
      </c>
      <c r="E67" s="45">
        <v>167747.30287382772</v>
      </c>
      <c r="F67" s="45">
        <v>183530.89953999995</v>
      </c>
      <c r="G67" s="45">
        <v>167747.30287382772</v>
      </c>
    </row>
    <row r="68" spans="1:7" ht="11.25" customHeight="1" x14ac:dyDescent="0.2">
      <c r="A68" s="48" t="s">
        <v>22</v>
      </c>
      <c r="B68" s="45">
        <v>0</v>
      </c>
      <c r="C68" s="45">
        <v>183530.89953999995</v>
      </c>
      <c r="D68" s="45">
        <v>0</v>
      </c>
      <c r="E68" s="45">
        <v>167747.30287382772</v>
      </c>
      <c r="F68" s="45">
        <v>183530.89953999995</v>
      </c>
      <c r="G68" s="45">
        <v>167747.30287382772</v>
      </c>
    </row>
    <row r="69" spans="1:7" ht="11.25" customHeight="1" x14ac:dyDescent="0.2">
      <c r="A69" s="49" t="s">
        <v>23</v>
      </c>
      <c r="B69" s="45">
        <v>0</v>
      </c>
      <c r="C69" s="45">
        <v>183530.89953999995</v>
      </c>
      <c r="D69" s="45">
        <v>0</v>
      </c>
      <c r="E69" s="45">
        <v>167747.30287382772</v>
      </c>
      <c r="F69" s="45">
        <v>183530.89953999995</v>
      </c>
      <c r="G69" s="45">
        <v>167747.30287382772</v>
      </c>
    </row>
    <row r="70" spans="1:7" ht="11.25" customHeight="1" x14ac:dyDescent="0.2">
      <c r="A70" s="50" t="s">
        <v>24</v>
      </c>
      <c r="B70" s="45">
        <v>0</v>
      </c>
      <c r="C70" s="45">
        <v>183530.89953999995</v>
      </c>
      <c r="D70" s="45">
        <v>0</v>
      </c>
      <c r="E70" s="45">
        <v>167747.30287382772</v>
      </c>
      <c r="F70" s="45">
        <v>183530.89953999995</v>
      </c>
      <c r="G70" s="45">
        <v>167747.30287382772</v>
      </c>
    </row>
    <row r="71" spans="1:7" ht="11.25" customHeight="1" x14ac:dyDescent="0.2">
      <c r="A71" s="51" t="s">
        <v>28</v>
      </c>
      <c r="B71" s="45">
        <v>0</v>
      </c>
      <c r="C71" s="45">
        <v>81299.618399999978</v>
      </c>
      <c r="D71" s="45">
        <v>0</v>
      </c>
      <c r="E71" s="45">
        <v>74306.760125772606</v>
      </c>
      <c r="F71" s="45">
        <v>81299.618399999978</v>
      </c>
      <c r="G71" s="45">
        <v>74306.760125772606</v>
      </c>
    </row>
    <row r="72" spans="1:7" ht="11.25" customHeight="1" x14ac:dyDescent="0.2">
      <c r="A72" s="52" t="s">
        <v>25</v>
      </c>
      <c r="B72" s="45">
        <v>0</v>
      </c>
      <c r="C72" s="45">
        <v>81299.618399999978</v>
      </c>
      <c r="D72" s="45">
        <v>0</v>
      </c>
      <c r="E72" s="45">
        <v>74306.760125772606</v>
      </c>
      <c r="F72" s="45">
        <v>81299.618399999978</v>
      </c>
      <c r="G72" s="45">
        <v>74306.760125772606</v>
      </c>
    </row>
    <row r="73" spans="1:7" ht="11.25" customHeight="1" x14ac:dyDescent="0.2">
      <c r="A73" s="53" t="s">
        <v>25</v>
      </c>
      <c r="B73" s="45">
        <v>0</v>
      </c>
      <c r="C73" s="45">
        <v>81299.618399999978</v>
      </c>
      <c r="D73" s="45">
        <v>0</v>
      </c>
      <c r="E73" s="45">
        <v>74306.760125772606</v>
      </c>
      <c r="F73" s="45">
        <v>81299.618399999978</v>
      </c>
      <c r="G73" s="45">
        <v>74306.760125772606</v>
      </c>
    </row>
    <row r="74" spans="1:7" ht="11.25" customHeight="1" x14ac:dyDescent="0.2">
      <c r="A74" s="54" t="s">
        <v>25</v>
      </c>
      <c r="B74" s="45">
        <v>0</v>
      </c>
      <c r="C74" s="45">
        <v>81299.618399999978</v>
      </c>
      <c r="D74" s="45">
        <v>0</v>
      </c>
      <c r="E74" s="45">
        <v>74306.760125772606</v>
      </c>
      <c r="F74" s="45">
        <v>81299.618399999978</v>
      </c>
      <c r="G74" s="45">
        <v>74306.760125772606</v>
      </c>
    </row>
    <row r="75" spans="1:7" ht="11.25" customHeight="1" x14ac:dyDescent="0.2">
      <c r="A75" s="55">
        <v>44409</v>
      </c>
      <c r="B75" s="45">
        <v>0</v>
      </c>
      <c r="C75" s="45">
        <v>6877.609199999999</v>
      </c>
      <c r="D75" s="45">
        <v>0</v>
      </c>
      <c r="E75" s="45">
        <v>6286.0425069745079</v>
      </c>
      <c r="F75" s="45">
        <v>6877.609199999999</v>
      </c>
      <c r="G75" s="45">
        <v>6286.0425069745079</v>
      </c>
    </row>
    <row r="76" spans="1:7" ht="11.25" customHeight="1" x14ac:dyDescent="0.2">
      <c r="A76" s="55">
        <v>44440</v>
      </c>
      <c r="B76" s="45">
        <v>0</v>
      </c>
      <c r="C76" s="45">
        <v>6436.5839999999998</v>
      </c>
      <c r="D76" s="45">
        <v>0</v>
      </c>
      <c r="E76" s="45">
        <v>5882.9513930090716</v>
      </c>
      <c r="F76" s="45">
        <v>6436.5839999999998</v>
      </c>
      <c r="G76" s="45">
        <v>5882.9513930090716</v>
      </c>
    </row>
    <row r="77" spans="1:7" ht="11.25" customHeight="1" x14ac:dyDescent="0.2">
      <c r="A77" s="55">
        <v>44470</v>
      </c>
      <c r="B77" s="45">
        <v>0</v>
      </c>
      <c r="C77" s="45">
        <v>6329.3076000000001</v>
      </c>
      <c r="D77" s="45">
        <v>0</v>
      </c>
      <c r="E77" s="45">
        <v>5784.9022031255872</v>
      </c>
      <c r="F77" s="45">
        <v>6329.3076000000001</v>
      </c>
      <c r="G77" s="45">
        <v>5784.9022031255872</v>
      </c>
    </row>
    <row r="78" spans="1:7" ht="11.25" customHeight="1" x14ac:dyDescent="0.2">
      <c r="A78" s="55">
        <v>44501</v>
      </c>
      <c r="B78" s="45">
        <v>0</v>
      </c>
      <c r="C78" s="45">
        <v>6460.4232000000002</v>
      </c>
      <c r="D78" s="45">
        <v>0</v>
      </c>
      <c r="E78" s="45">
        <v>5904.7401018720684</v>
      </c>
      <c r="F78" s="45">
        <v>6460.4232000000002</v>
      </c>
      <c r="G78" s="45">
        <v>5904.7401018720684</v>
      </c>
    </row>
    <row r="79" spans="1:7" ht="11.25" customHeight="1" x14ac:dyDescent="0.2">
      <c r="A79" s="55">
        <v>44531</v>
      </c>
      <c r="B79" s="45">
        <v>0</v>
      </c>
      <c r="C79" s="45">
        <v>6603.4584000000004</v>
      </c>
      <c r="D79" s="45">
        <v>0</v>
      </c>
      <c r="E79" s="45">
        <v>6035.4723550500476</v>
      </c>
      <c r="F79" s="45">
        <v>6603.4584000000004</v>
      </c>
      <c r="G79" s="45">
        <v>6035.4723550500476</v>
      </c>
    </row>
    <row r="80" spans="1:7" ht="11.25" customHeight="1" x14ac:dyDescent="0.2">
      <c r="A80" s="55">
        <v>44562</v>
      </c>
      <c r="B80" s="45">
        <v>0</v>
      </c>
      <c r="C80" s="45">
        <v>6651.1367999999993</v>
      </c>
      <c r="D80" s="45">
        <v>0</v>
      </c>
      <c r="E80" s="45">
        <v>6079.0497727760403</v>
      </c>
      <c r="F80" s="45">
        <v>6651.1367999999993</v>
      </c>
      <c r="G80" s="45">
        <v>6079.0497727760403</v>
      </c>
    </row>
    <row r="81" spans="1:7" ht="11.25" customHeight="1" x14ac:dyDescent="0.2">
      <c r="A81" s="55">
        <v>44593</v>
      </c>
      <c r="B81" s="45">
        <v>0</v>
      </c>
      <c r="C81" s="45">
        <v>6730.6008000000002</v>
      </c>
      <c r="D81" s="45">
        <v>0</v>
      </c>
      <c r="E81" s="45">
        <v>6151.6788023193631</v>
      </c>
      <c r="F81" s="45">
        <v>6730.6008000000002</v>
      </c>
      <c r="G81" s="45">
        <v>6151.6788023193631</v>
      </c>
    </row>
    <row r="82" spans="1:7" ht="11.25" customHeight="1" x14ac:dyDescent="0.2">
      <c r="A82" s="55">
        <v>44621</v>
      </c>
      <c r="B82" s="45">
        <v>0</v>
      </c>
      <c r="C82" s="45">
        <v>6841.8503999999994</v>
      </c>
      <c r="D82" s="45">
        <v>0</v>
      </c>
      <c r="E82" s="45">
        <v>6253.3594436800131</v>
      </c>
      <c r="F82" s="45">
        <v>6841.8503999999994</v>
      </c>
      <c r="G82" s="45">
        <v>6253.3594436800131</v>
      </c>
    </row>
    <row r="83" spans="1:7" ht="11.25" customHeight="1" x14ac:dyDescent="0.2">
      <c r="A83" s="55">
        <v>44652</v>
      </c>
      <c r="B83" s="45">
        <v>0</v>
      </c>
      <c r="C83" s="45">
        <v>6913.3679999999995</v>
      </c>
      <c r="D83" s="45">
        <v>0</v>
      </c>
      <c r="E83" s="45">
        <v>6318.7255702690027</v>
      </c>
      <c r="F83" s="45">
        <v>6913.3679999999995</v>
      </c>
      <c r="G83" s="45">
        <v>6318.7255702690027</v>
      </c>
    </row>
    <row r="84" spans="1:7" ht="11.25" customHeight="1" x14ac:dyDescent="0.2">
      <c r="A84" s="55">
        <v>44682</v>
      </c>
      <c r="B84" s="45">
        <v>0</v>
      </c>
      <c r="C84" s="45">
        <v>7032.5639999999994</v>
      </c>
      <c r="D84" s="45">
        <v>0</v>
      </c>
      <c r="E84" s="45">
        <v>6427.669114583985</v>
      </c>
      <c r="F84" s="45">
        <v>7032.5639999999994</v>
      </c>
      <c r="G84" s="45">
        <v>6427.669114583985</v>
      </c>
    </row>
    <row r="85" spans="1:7" ht="11.25" customHeight="1" x14ac:dyDescent="0.2">
      <c r="A85" s="55">
        <v>44713</v>
      </c>
      <c r="B85" s="45">
        <v>0</v>
      </c>
      <c r="C85" s="45">
        <v>7211.3579999999993</v>
      </c>
      <c r="D85" s="45">
        <v>0</v>
      </c>
      <c r="E85" s="45">
        <v>6591.0844310564589</v>
      </c>
      <c r="F85" s="45">
        <v>7211.3579999999993</v>
      </c>
      <c r="G85" s="45">
        <v>6591.0844310564589</v>
      </c>
    </row>
    <row r="86" spans="1:7" ht="11.25" customHeight="1" x14ac:dyDescent="0.2">
      <c r="A86" s="55">
        <v>44743</v>
      </c>
      <c r="B86" s="45">
        <v>0</v>
      </c>
      <c r="C86" s="45">
        <v>7211.3579999999993</v>
      </c>
      <c r="D86" s="45">
        <v>0</v>
      </c>
      <c r="E86" s="45">
        <v>6591.0844310564589</v>
      </c>
      <c r="F86" s="45">
        <v>7211.3579999999993</v>
      </c>
      <c r="G86" s="45">
        <v>6591.0844310564589</v>
      </c>
    </row>
    <row r="87" spans="1:7" ht="11.25" customHeight="1" x14ac:dyDescent="0.2">
      <c r="A87" s="51" t="s">
        <v>29</v>
      </c>
      <c r="B87" s="45">
        <v>0</v>
      </c>
      <c r="C87" s="45">
        <v>92067.208499999979</v>
      </c>
      <c r="D87" s="45">
        <v>0</v>
      </c>
      <c r="E87" s="45">
        <v>84149.78142038919</v>
      </c>
      <c r="F87" s="45">
        <v>92067.208499999979</v>
      </c>
      <c r="G87" s="45">
        <v>84149.78142038919</v>
      </c>
    </row>
    <row r="88" spans="1:7" ht="11.25" customHeight="1" x14ac:dyDescent="0.2">
      <c r="A88" s="52" t="s">
        <v>25</v>
      </c>
      <c r="B88" s="45">
        <v>0</v>
      </c>
      <c r="C88" s="45">
        <v>92067.208499999979</v>
      </c>
      <c r="D88" s="45">
        <v>0</v>
      </c>
      <c r="E88" s="45">
        <v>84149.78142038919</v>
      </c>
      <c r="F88" s="45">
        <v>92067.208499999979</v>
      </c>
      <c r="G88" s="45">
        <v>84149.78142038919</v>
      </c>
    </row>
    <row r="89" spans="1:7" ht="11.25" customHeight="1" x14ac:dyDescent="0.2">
      <c r="A89" s="53" t="s">
        <v>25</v>
      </c>
      <c r="B89" s="45">
        <v>0</v>
      </c>
      <c r="C89" s="45">
        <v>92067.208499999979</v>
      </c>
      <c r="D89" s="45">
        <v>0</v>
      </c>
      <c r="E89" s="45">
        <v>84149.78142038919</v>
      </c>
      <c r="F89" s="45">
        <v>92067.208499999979</v>
      </c>
      <c r="G89" s="45">
        <v>84149.78142038919</v>
      </c>
    </row>
    <row r="90" spans="1:7" ht="11.25" customHeight="1" x14ac:dyDescent="0.2">
      <c r="A90" s="54" t="s">
        <v>25</v>
      </c>
      <c r="B90" s="45">
        <v>0</v>
      </c>
      <c r="C90" s="45">
        <v>92067.208499999979</v>
      </c>
      <c r="D90" s="45">
        <v>0</v>
      </c>
      <c r="E90" s="45">
        <v>84149.78142038919</v>
      </c>
      <c r="F90" s="45">
        <v>92067.208499999979</v>
      </c>
      <c r="G90" s="45">
        <v>84149.78142038919</v>
      </c>
    </row>
    <row r="91" spans="1:7" ht="11.25" customHeight="1" x14ac:dyDescent="0.2">
      <c r="A91" s="55">
        <v>44409</v>
      </c>
      <c r="B91" s="45">
        <v>0</v>
      </c>
      <c r="C91" s="45">
        <v>7477.5434999999979</v>
      </c>
      <c r="D91" s="45">
        <v>0</v>
      </c>
      <c r="E91" s="45">
        <v>6834.5034169951168</v>
      </c>
      <c r="F91" s="45">
        <v>7477.5434999999979</v>
      </c>
      <c r="G91" s="45">
        <v>6834.5034169951168</v>
      </c>
    </row>
    <row r="92" spans="1:7" ht="11.25" customHeight="1" x14ac:dyDescent="0.2">
      <c r="A92" s="55">
        <v>44440</v>
      </c>
      <c r="B92" s="45">
        <v>0</v>
      </c>
      <c r="C92" s="45">
        <v>7563.1184999999978</v>
      </c>
      <c r="D92" s="45">
        <v>0</v>
      </c>
      <c r="E92" s="45">
        <v>6912.7192949648479</v>
      </c>
      <c r="F92" s="45">
        <v>7563.1184999999978</v>
      </c>
      <c r="G92" s="45">
        <v>6912.7192949648479</v>
      </c>
    </row>
    <row r="93" spans="1:7" ht="11.25" customHeight="1" x14ac:dyDescent="0.2">
      <c r="A93" s="55">
        <v>44470</v>
      </c>
      <c r="B93" s="45">
        <v>0</v>
      </c>
      <c r="C93" s="45">
        <v>6914.2154999999984</v>
      </c>
      <c r="D93" s="45">
        <v>0</v>
      </c>
      <c r="E93" s="45">
        <v>6319.6194660172287</v>
      </c>
      <c r="F93" s="45">
        <v>6914.2154999999984</v>
      </c>
      <c r="G93" s="45">
        <v>6319.6194660172287</v>
      </c>
    </row>
    <row r="94" spans="1:7" ht="11.25" customHeight="1" x14ac:dyDescent="0.2">
      <c r="A94" s="55">
        <v>44501</v>
      </c>
      <c r="B94" s="45">
        <v>0</v>
      </c>
      <c r="C94" s="45">
        <v>7641.6029999999982</v>
      </c>
      <c r="D94" s="45">
        <v>0</v>
      </c>
      <c r="E94" s="45">
        <v>6984.4544287599447</v>
      </c>
      <c r="F94" s="45">
        <v>7641.6029999999982</v>
      </c>
      <c r="G94" s="45">
        <v>6984.4544287599447</v>
      </c>
    </row>
    <row r="95" spans="1:7" ht="11.25" customHeight="1" x14ac:dyDescent="0.2">
      <c r="A95" s="55">
        <v>44531</v>
      </c>
      <c r="B95" s="45">
        <v>0</v>
      </c>
      <c r="C95" s="45">
        <v>8036.2259999999987</v>
      </c>
      <c r="D95" s="45">
        <v>0</v>
      </c>
      <c r="E95" s="45">
        <v>7345.1413631689338</v>
      </c>
      <c r="F95" s="45">
        <v>8036.2259999999987</v>
      </c>
      <c r="G95" s="45">
        <v>7345.1413631689338</v>
      </c>
    </row>
    <row r="96" spans="1:7" ht="11.25" customHeight="1" x14ac:dyDescent="0.2">
      <c r="A96" s="55">
        <v>44562</v>
      </c>
      <c r="B96" s="45">
        <v>0</v>
      </c>
      <c r="C96" s="45">
        <v>7968.7439999999979</v>
      </c>
      <c r="D96" s="45">
        <v>0</v>
      </c>
      <c r="E96" s="45">
        <v>7283.4625565413744</v>
      </c>
      <c r="F96" s="45">
        <v>7968.7439999999979</v>
      </c>
      <c r="G96" s="45">
        <v>7283.4625565413744</v>
      </c>
    </row>
    <row r="97" spans="1:7" ht="11.25" customHeight="1" x14ac:dyDescent="0.2">
      <c r="A97" s="55">
        <v>44593</v>
      </c>
      <c r="B97" s="45">
        <v>0</v>
      </c>
      <c r="C97" s="45">
        <v>7767.0314999999982</v>
      </c>
      <c r="D97" s="45">
        <v>0</v>
      </c>
      <c r="E97" s="45">
        <v>7099.0965584698652</v>
      </c>
      <c r="F97" s="45">
        <v>7767.0314999999982</v>
      </c>
      <c r="G97" s="45">
        <v>7099.0965584698652</v>
      </c>
    </row>
    <row r="98" spans="1:7" ht="11.25" customHeight="1" x14ac:dyDescent="0.2">
      <c r="A98" s="55">
        <v>44621</v>
      </c>
      <c r="B98" s="45">
        <v>0</v>
      </c>
      <c r="C98" s="45">
        <v>8224.9799999999977</v>
      </c>
      <c r="D98" s="45">
        <v>0</v>
      </c>
      <c r="E98" s="45">
        <v>7517.6632425764556</v>
      </c>
      <c r="F98" s="45">
        <v>8224.9799999999977</v>
      </c>
      <c r="G98" s="45">
        <v>7517.6632425764556</v>
      </c>
    </row>
    <row r="99" spans="1:7" ht="11.25" customHeight="1" x14ac:dyDescent="0.2">
      <c r="A99" s="55">
        <v>44652</v>
      </c>
      <c r="B99" s="45">
        <v>0</v>
      </c>
      <c r="C99" s="45">
        <v>7695.8819999999978</v>
      </c>
      <c r="D99" s="45">
        <v>0</v>
      </c>
      <c r="E99" s="45">
        <v>7034.0656427864596</v>
      </c>
      <c r="F99" s="45">
        <v>7695.8819999999978</v>
      </c>
      <c r="G99" s="45">
        <v>7034.0656427864596</v>
      </c>
    </row>
    <row r="100" spans="1:7" ht="11.25" customHeight="1" x14ac:dyDescent="0.2">
      <c r="A100" s="55">
        <v>44682</v>
      </c>
      <c r="B100" s="45">
        <v>0</v>
      </c>
      <c r="C100" s="45">
        <v>7443.802499999998</v>
      </c>
      <c r="D100" s="45">
        <v>0</v>
      </c>
      <c r="E100" s="45">
        <v>6803.6640136813376</v>
      </c>
      <c r="F100" s="45">
        <v>7443.802499999998</v>
      </c>
      <c r="G100" s="45">
        <v>6803.6640136813376</v>
      </c>
    </row>
    <row r="101" spans="1:7" ht="11.25" customHeight="1" x14ac:dyDescent="0.2">
      <c r="A101" s="55">
        <v>44713</v>
      </c>
      <c r="B101" s="45">
        <v>0</v>
      </c>
      <c r="C101" s="45">
        <v>7667.0309999999981</v>
      </c>
      <c r="D101" s="45">
        <v>0</v>
      </c>
      <c r="E101" s="45">
        <v>7007.6957182138076</v>
      </c>
      <c r="F101" s="45">
        <v>7667.0309999999981</v>
      </c>
      <c r="G101" s="45">
        <v>7007.6957182138076</v>
      </c>
    </row>
    <row r="102" spans="1:7" ht="11.25" customHeight="1" x14ac:dyDescent="0.2">
      <c r="A102" s="55">
        <v>44743</v>
      </c>
      <c r="B102" s="45">
        <v>0</v>
      </c>
      <c r="C102" s="45">
        <v>7667.0309999999981</v>
      </c>
      <c r="D102" s="45">
        <v>0</v>
      </c>
      <c r="E102" s="45">
        <v>7007.6957182138076</v>
      </c>
      <c r="F102" s="45">
        <v>7667.0309999999981</v>
      </c>
      <c r="G102" s="45">
        <v>7007.6957182138076</v>
      </c>
    </row>
    <row r="103" spans="1:7" ht="11.25" customHeight="1" x14ac:dyDescent="0.2">
      <c r="A103" s="51" t="s">
        <v>30</v>
      </c>
      <c r="B103" s="45">
        <v>0</v>
      </c>
      <c r="C103" s="45">
        <v>10164.072639999995</v>
      </c>
      <c r="D103" s="45">
        <v>0</v>
      </c>
      <c r="E103" s="45">
        <v>9290.7613276659995</v>
      </c>
      <c r="F103" s="45">
        <v>10164.072639999995</v>
      </c>
      <c r="G103" s="45">
        <v>9290.7613276659995</v>
      </c>
    </row>
    <row r="104" spans="1:7" ht="11.25" customHeight="1" x14ac:dyDescent="0.2">
      <c r="A104" s="52" t="s">
        <v>25</v>
      </c>
      <c r="B104" s="45">
        <v>0</v>
      </c>
      <c r="C104" s="45">
        <v>10164.072639999995</v>
      </c>
      <c r="D104" s="45">
        <v>0</v>
      </c>
      <c r="E104" s="45">
        <v>9290.7613276659995</v>
      </c>
      <c r="F104" s="45">
        <v>10164.072639999995</v>
      </c>
      <c r="G104" s="45">
        <v>9290.7613276659995</v>
      </c>
    </row>
    <row r="105" spans="1:7" ht="11.25" customHeight="1" x14ac:dyDescent="0.2">
      <c r="A105" s="53" t="s">
        <v>25</v>
      </c>
      <c r="B105" s="45">
        <v>0</v>
      </c>
      <c r="C105" s="45">
        <v>10164.072639999995</v>
      </c>
      <c r="D105" s="45">
        <v>0</v>
      </c>
      <c r="E105" s="45">
        <v>9290.7613276659995</v>
      </c>
      <c r="F105" s="45">
        <v>10164.072639999995</v>
      </c>
      <c r="G105" s="45">
        <v>9290.7613276659995</v>
      </c>
    </row>
    <row r="106" spans="1:7" ht="11.25" customHeight="1" x14ac:dyDescent="0.2">
      <c r="A106" s="54" t="s">
        <v>25</v>
      </c>
      <c r="B106" s="45">
        <v>0</v>
      </c>
      <c r="C106" s="45">
        <v>10164.072639999995</v>
      </c>
      <c r="D106" s="45">
        <v>0</v>
      </c>
      <c r="E106" s="45">
        <v>9290.7613276659995</v>
      </c>
      <c r="F106" s="45">
        <v>10164.072639999995</v>
      </c>
      <c r="G106" s="45">
        <v>9290.7613276659995</v>
      </c>
    </row>
    <row r="107" spans="1:7" ht="11.25" customHeight="1" x14ac:dyDescent="0.2">
      <c r="A107" s="55">
        <v>44409</v>
      </c>
      <c r="B107" s="45">
        <v>0</v>
      </c>
      <c r="C107" s="45">
        <v>798.28831999999966</v>
      </c>
      <c r="D107" s="45">
        <v>0</v>
      </c>
      <c r="E107" s="45">
        <v>729.69827297332847</v>
      </c>
      <c r="F107" s="45">
        <v>798.28831999999966</v>
      </c>
      <c r="G107" s="45">
        <v>729.69827297332847</v>
      </c>
    </row>
    <row r="108" spans="1:7" ht="11.25" customHeight="1" x14ac:dyDescent="0.2">
      <c r="A108" s="55">
        <v>44440</v>
      </c>
      <c r="B108" s="45">
        <v>0</v>
      </c>
      <c r="C108" s="45">
        <v>938.43647999999962</v>
      </c>
      <c r="D108" s="45">
        <v>0</v>
      </c>
      <c r="E108" s="45">
        <v>857.80470739089537</v>
      </c>
      <c r="F108" s="45">
        <v>938.43647999999962</v>
      </c>
      <c r="G108" s="45">
        <v>857.80470739089537</v>
      </c>
    </row>
    <row r="109" spans="1:7" ht="11.25" customHeight="1" x14ac:dyDescent="0.2">
      <c r="A109" s="55">
        <v>44470</v>
      </c>
      <c r="B109" s="45">
        <v>0</v>
      </c>
      <c r="C109" s="45">
        <v>633.08095999999978</v>
      </c>
      <c r="D109" s="45">
        <v>0</v>
      </c>
      <c r="E109" s="45">
        <v>578.68576000748317</v>
      </c>
      <c r="F109" s="45">
        <v>633.08095999999978</v>
      </c>
      <c r="G109" s="45">
        <v>578.68576000748317</v>
      </c>
    </row>
    <row r="110" spans="1:7" ht="11.25" customHeight="1" x14ac:dyDescent="0.2">
      <c r="A110" s="55">
        <v>44501</v>
      </c>
      <c r="B110" s="45">
        <v>0</v>
      </c>
      <c r="C110" s="45">
        <v>880.98367999999959</v>
      </c>
      <c r="D110" s="45">
        <v>0</v>
      </c>
      <c r="E110" s="45">
        <v>805.28833218264731</v>
      </c>
      <c r="F110" s="45">
        <v>880.98367999999959</v>
      </c>
      <c r="G110" s="45">
        <v>805.28833218264731</v>
      </c>
    </row>
    <row r="111" spans="1:7" ht="11.25" customHeight="1" x14ac:dyDescent="0.2">
      <c r="A111" s="55">
        <v>44531</v>
      </c>
      <c r="B111" s="45">
        <v>0</v>
      </c>
      <c r="C111" s="45">
        <v>1107.2499199999995</v>
      </c>
      <c r="D111" s="45">
        <v>0</v>
      </c>
      <c r="E111" s="45">
        <v>1012.1134609283224</v>
      </c>
      <c r="F111" s="45">
        <v>1107.2499199999995</v>
      </c>
      <c r="G111" s="45">
        <v>1012.1134609283224</v>
      </c>
    </row>
    <row r="112" spans="1:7" ht="11.25" customHeight="1" x14ac:dyDescent="0.2">
      <c r="A112" s="55">
        <v>44562</v>
      </c>
      <c r="B112" s="45">
        <v>0</v>
      </c>
      <c r="C112" s="45">
        <v>987.08799999999951</v>
      </c>
      <c r="D112" s="45">
        <v>0</v>
      </c>
      <c r="E112" s="45">
        <v>902.27602086511399</v>
      </c>
      <c r="F112" s="45">
        <v>987.08799999999951</v>
      </c>
      <c r="G112" s="45">
        <v>902.27602086511399</v>
      </c>
    </row>
    <row r="113" spans="1:7" ht="11.25" customHeight="1" x14ac:dyDescent="0.2">
      <c r="A113" s="55">
        <v>44593</v>
      </c>
      <c r="B113" s="45">
        <v>0</v>
      </c>
      <c r="C113" s="45">
        <v>818.64127999999971</v>
      </c>
      <c r="D113" s="45">
        <v>0</v>
      </c>
      <c r="E113" s="45">
        <v>748.3024782332717</v>
      </c>
      <c r="F113" s="45">
        <v>818.64127999999971</v>
      </c>
      <c r="G113" s="45">
        <v>748.3024782332717</v>
      </c>
    </row>
    <row r="114" spans="1:7" ht="11.25" customHeight="1" x14ac:dyDescent="0.2">
      <c r="A114" s="55">
        <v>44621</v>
      </c>
      <c r="B114" s="45">
        <v>0</v>
      </c>
      <c r="C114" s="45">
        <v>989.47167999999965</v>
      </c>
      <c r="D114" s="45">
        <v>0</v>
      </c>
      <c r="E114" s="45">
        <v>904.4548917514137</v>
      </c>
      <c r="F114" s="45">
        <v>989.47167999999965</v>
      </c>
      <c r="G114" s="45">
        <v>904.4548917514137</v>
      </c>
    </row>
    <row r="115" spans="1:7" ht="11.25" customHeight="1" x14ac:dyDescent="0.2">
      <c r="A115" s="55">
        <v>44652</v>
      </c>
      <c r="B115" s="45">
        <v>0</v>
      </c>
      <c r="C115" s="45">
        <v>758.80479999999966</v>
      </c>
      <c r="D115" s="45">
        <v>0</v>
      </c>
      <c r="E115" s="45">
        <v>693.60723213872393</v>
      </c>
      <c r="F115" s="45">
        <v>758.80479999999966</v>
      </c>
      <c r="G115" s="45">
        <v>693.60723213872393</v>
      </c>
    </row>
    <row r="116" spans="1:7" ht="11.25" customHeight="1" x14ac:dyDescent="0.2">
      <c r="A116" s="55">
        <v>44682</v>
      </c>
      <c r="B116" s="45">
        <v>0</v>
      </c>
      <c r="C116" s="45">
        <v>663.88543999999979</v>
      </c>
      <c r="D116" s="45">
        <v>0</v>
      </c>
      <c r="E116" s="45">
        <v>606.84347607658628</v>
      </c>
      <c r="F116" s="45">
        <v>663.88543999999979</v>
      </c>
      <c r="G116" s="45">
        <v>606.84347607658628</v>
      </c>
    </row>
    <row r="117" spans="1:7" ht="11.25" customHeight="1" x14ac:dyDescent="0.2">
      <c r="A117" s="55">
        <v>44713</v>
      </c>
      <c r="B117" s="45">
        <v>0</v>
      </c>
      <c r="C117" s="45">
        <v>794.0710399999997</v>
      </c>
      <c r="D117" s="45">
        <v>0</v>
      </c>
      <c r="E117" s="45">
        <v>725.84334755910606</v>
      </c>
      <c r="F117" s="45">
        <v>794.0710399999997</v>
      </c>
      <c r="G117" s="45">
        <v>725.84334755910606</v>
      </c>
    </row>
    <row r="118" spans="1:7" ht="11.25" customHeight="1" x14ac:dyDescent="0.2">
      <c r="A118" s="55">
        <v>44743</v>
      </c>
      <c r="B118" s="45">
        <v>0</v>
      </c>
      <c r="C118" s="45">
        <v>794.0710399999997</v>
      </c>
      <c r="D118" s="45">
        <v>0</v>
      </c>
      <c r="E118" s="45">
        <v>725.84334755910606</v>
      </c>
      <c r="F118" s="45">
        <v>794.0710399999997</v>
      </c>
      <c r="G118" s="45">
        <v>725.84334755910606</v>
      </c>
    </row>
    <row r="119" spans="1:7" ht="11.25" customHeight="1" x14ac:dyDescent="0.2">
      <c r="A119" s="51" t="s">
        <v>31</v>
      </c>
      <c r="B119" s="45">
        <v>0</v>
      </c>
      <c r="C119" s="45">
        <v>-1.0122107596544082E-12</v>
      </c>
      <c r="D119" s="45">
        <v>0</v>
      </c>
      <c r="E119" s="45">
        <v>0</v>
      </c>
      <c r="F119" s="45">
        <v>-1.0122107596544082E-12</v>
      </c>
      <c r="G119" s="45">
        <v>0</v>
      </c>
    </row>
    <row r="120" spans="1:7" ht="11.25" customHeight="1" x14ac:dyDescent="0.2">
      <c r="A120" s="52" t="s">
        <v>25</v>
      </c>
      <c r="B120" s="45">
        <v>0</v>
      </c>
      <c r="C120" s="45">
        <v>-1.0122107596544082E-12</v>
      </c>
      <c r="D120" s="45">
        <v>0</v>
      </c>
      <c r="E120" s="45">
        <v>0</v>
      </c>
      <c r="F120" s="45">
        <v>-1.0122107596544082E-12</v>
      </c>
      <c r="G120" s="45">
        <v>0</v>
      </c>
    </row>
    <row r="121" spans="1:7" ht="11.25" customHeight="1" x14ac:dyDescent="0.2">
      <c r="A121" s="53" t="s">
        <v>25</v>
      </c>
      <c r="B121" s="45">
        <v>0</v>
      </c>
      <c r="C121" s="45">
        <v>-1.0122107596544082E-12</v>
      </c>
      <c r="D121" s="45">
        <v>0</v>
      </c>
      <c r="E121" s="45">
        <v>0</v>
      </c>
      <c r="F121" s="45">
        <v>-1.0122107596544082E-12</v>
      </c>
      <c r="G121" s="45">
        <v>0</v>
      </c>
    </row>
    <row r="122" spans="1:7" ht="11.25" customHeight="1" x14ac:dyDescent="0.2">
      <c r="A122" s="54" t="s">
        <v>25</v>
      </c>
      <c r="B122" s="45">
        <v>0</v>
      </c>
      <c r="C122" s="45">
        <v>-1.0122107596544082E-12</v>
      </c>
      <c r="D122" s="45">
        <v>0</v>
      </c>
      <c r="E122" s="45">
        <v>0</v>
      </c>
      <c r="F122" s="45">
        <v>-1.0122107596544082E-12</v>
      </c>
      <c r="G122" s="45">
        <v>0</v>
      </c>
    </row>
    <row r="123" spans="1:7" ht="11.25" customHeight="1" x14ac:dyDescent="0.2">
      <c r="A123" s="55">
        <v>44409</v>
      </c>
      <c r="B123" s="45">
        <v>0</v>
      </c>
      <c r="C123" s="45">
        <v>-4.9681148084346205E-14</v>
      </c>
      <c r="D123" s="45">
        <v>0</v>
      </c>
      <c r="E123" s="45">
        <v>0</v>
      </c>
      <c r="F123" s="45">
        <v>-4.9681148084346205E-14</v>
      </c>
      <c r="G123" s="45">
        <v>0</v>
      </c>
    </row>
    <row r="124" spans="1:7" ht="11.25" customHeight="1" x14ac:dyDescent="0.2">
      <c r="A124" s="55">
        <v>44440</v>
      </c>
      <c r="B124" s="45">
        <v>0</v>
      </c>
      <c r="C124" s="45">
        <v>-9.060840966412798E-14</v>
      </c>
      <c r="D124" s="45">
        <v>0</v>
      </c>
      <c r="E124" s="45">
        <v>0</v>
      </c>
      <c r="F124" s="45">
        <v>-9.060840966412798E-14</v>
      </c>
      <c r="G124" s="45">
        <v>0</v>
      </c>
    </row>
    <row r="125" spans="1:7" ht="11.25" customHeight="1" x14ac:dyDescent="0.2">
      <c r="A125" s="55">
        <v>44470</v>
      </c>
      <c r="B125" s="45">
        <v>0</v>
      </c>
      <c r="C125" s="45">
        <v>-3.4845015761675313E-14</v>
      </c>
      <c r="D125" s="45">
        <v>0</v>
      </c>
      <c r="E125" s="45">
        <v>0</v>
      </c>
      <c r="F125" s="45">
        <v>-3.4845015761675313E-14</v>
      </c>
      <c r="G125" s="45">
        <v>0</v>
      </c>
    </row>
    <row r="126" spans="1:7" ht="11.25" customHeight="1" x14ac:dyDescent="0.2">
      <c r="A126" s="55">
        <v>44501</v>
      </c>
      <c r="B126" s="45">
        <v>0</v>
      </c>
      <c r="C126" s="45">
        <v>-8.9130480773746971E-14</v>
      </c>
      <c r="D126" s="45">
        <v>0</v>
      </c>
      <c r="E126" s="45">
        <v>0</v>
      </c>
      <c r="F126" s="45">
        <v>-8.9130480773746971E-14</v>
      </c>
      <c r="G126" s="45">
        <v>0</v>
      </c>
    </row>
    <row r="127" spans="1:7" ht="11.25" customHeight="1" x14ac:dyDescent="0.2">
      <c r="A127" s="55">
        <v>44531</v>
      </c>
      <c r="B127" s="45">
        <v>0</v>
      </c>
      <c r="C127" s="45">
        <v>-1.3136514098732732E-13</v>
      </c>
      <c r="D127" s="45">
        <v>0</v>
      </c>
      <c r="E127" s="45">
        <v>0</v>
      </c>
      <c r="F127" s="45">
        <v>-1.3136514098732732E-13</v>
      </c>
      <c r="G127" s="45">
        <v>0</v>
      </c>
    </row>
    <row r="128" spans="1:7" ht="11.25" customHeight="1" x14ac:dyDescent="0.2">
      <c r="A128" s="55">
        <v>44562</v>
      </c>
      <c r="B128" s="45">
        <v>0</v>
      </c>
      <c r="C128" s="45">
        <v>-1.0942358130705543E-13</v>
      </c>
      <c r="D128" s="45">
        <v>0</v>
      </c>
      <c r="E128" s="45">
        <v>0</v>
      </c>
      <c r="F128" s="45">
        <v>-1.0942358130705543E-13</v>
      </c>
      <c r="G128" s="45">
        <v>0</v>
      </c>
    </row>
    <row r="129" spans="1:7" ht="11.25" customHeight="1" x14ac:dyDescent="0.2">
      <c r="A129" s="55">
        <v>44593</v>
      </c>
      <c r="B129" s="45">
        <v>0</v>
      </c>
      <c r="C129" s="45">
        <v>-9.2768459580838674E-14</v>
      </c>
      <c r="D129" s="45">
        <v>0</v>
      </c>
      <c r="E129" s="45">
        <v>0</v>
      </c>
      <c r="F129" s="45">
        <v>-9.2768459580838674E-14</v>
      </c>
      <c r="G129" s="45">
        <v>0</v>
      </c>
    </row>
    <row r="130" spans="1:7" ht="11.25" customHeight="1" x14ac:dyDescent="0.2">
      <c r="A130" s="55">
        <v>44621</v>
      </c>
      <c r="B130" s="45">
        <v>0</v>
      </c>
      <c r="C130" s="45">
        <v>-1.1561951396288349E-13</v>
      </c>
      <c r="D130" s="45">
        <v>0</v>
      </c>
      <c r="E130" s="45">
        <v>0</v>
      </c>
      <c r="F130" s="45">
        <v>-1.1561951396288349E-13</v>
      </c>
      <c r="G130" s="45">
        <v>0</v>
      </c>
    </row>
    <row r="131" spans="1:7" ht="11.25" customHeight="1" x14ac:dyDescent="0.2">
      <c r="A131" s="55">
        <v>44652</v>
      </c>
      <c r="B131" s="45">
        <v>0</v>
      </c>
      <c r="C131" s="45">
        <v>-5.4910742619540541E-14</v>
      </c>
      <c r="D131" s="45">
        <v>0</v>
      </c>
      <c r="E131" s="45">
        <v>0</v>
      </c>
      <c r="F131" s="45">
        <v>-5.4910742619540541E-14</v>
      </c>
      <c r="G131" s="45">
        <v>0</v>
      </c>
    </row>
    <row r="132" spans="1:7" ht="11.25" customHeight="1" x14ac:dyDescent="0.2">
      <c r="A132" s="55">
        <v>44682</v>
      </c>
      <c r="B132" s="45">
        <v>0</v>
      </c>
      <c r="C132" s="45">
        <v>-6.5028871176764364E-14</v>
      </c>
      <c r="D132" s="45">
        <v>0</v>
      </c>
      <c r="E132" s="45">
        <v>0</v>
      </c>
      <c r="F132" s="45">
        <v>-6.5028871176764364E-14</v>
      </c>
      <c r="G132" s="45">
        <v>0</v>
      </c>
    </row>
    <row r="133" spans="1:7" ht="11.25" customHeight="1" x14ac:dyDescent="0.2">
      <c r="A133" s="55">
        <v>44713</v>
      </c>
      <c r="B133" s="45">
        <v>0</v>
      </c>
      <c r="C133" s="45">
        <v>-8.9414697868051005E-14</v>
      </c>
      <c r="D133" s="45">
        <v>0</v>
      </c>
      <c r="E133" s="45">
        <v>0</v>
      </c>
      <c r="F133" s="45">
        <v>-8.9414697868051005E-14</v>
      </c>
      <c r="G133" s="45">
        <v>0</v>
      </c>
    </row>
    <row r="134" spans="1:7" ht="11.25" customHeight="1" x14ac:dyDescent="0.2">
      <c r="A134" s="55">
        <v>44743</v>
      </c>
      <c r="B134" s="45">
        <v>0</v>
      </c>
      <c r="C134" s="45">
        <v>-8.9414697868051005E-14</v>
      </c>
      <c r="D134" s="45">
        <v>0</v>
      </c>
      <c r="E134" s="45">
        <v>0</v>
      </c>
      <c r="F134" s="45">
        <v>-8.9414697868051005E-14</v>
      </c>
      <c r="G134" s="45">
        <v>0</v>
      </c>
    </row>
    <row r="135" spans="1:7" ht="11.25" customHeight="1" x14ac:dyDescent="0.2">
      <c r="A135" s="47" t="s">
        <v>734</v>
      </c>
      <c r="B135" s="45">
        <v>1751710.28</v>
      </c>
      <c r="C135" s="45">
        <v>1496349.1867800001</v>
      </c>
      <c r="D135" s="45">
        <v>1919914.1510981631</v>
      </c>
      <c r="E135" s="45">
        <v>2170646.0755940708</v>
      </c>
      <c r="F135" s="45">
        <v>3248059.4667800004</v>
      </c>
      <c r="G135" s="45">
        <v>4090560.2266922342</v>
      </c>
    </row>
    <row r="136" spans="1:7" ht="11.25" customHeight="1" x14ac:dyDescent="0.2">
      <c r="A136" s="48" t="s">
        <v>38</v>
      </c>
      <c r="B136" s="45">
        <v>1751710.28</v>
      </c>
      <c r="C136" s="45">
        <v>1496349.1867800001</v>
      </c>
      <c r="D136" s="45">
        <v>1919914.1510981631</v>
      </c>
      <c r="E136" s="45">
        <v>2170646.0755940708</v>
      </c>
      <c r="F136" s="45">
        <v>3248059.4667800004</v>
      </c>
      <c r="G136" s="45">
        <v>4090560.2266922342</v>
      </c>
    </row>
    <row r="137" spans="1:7" ht="11.25" customHeight="1" x14ac:dyDescent="0.2">
      <c r="A137" s="49" t="s">
        <v>56</v>
      </c>
      <c r="B137" s="45">
        <v>1751710.28</v>
      </c>
      <c r="C137" s="45">
        <v>1496349.1867800001</v>
      </c>
      <c r="D137" s="45">
        <v>1919914.1510981631</v>
      </c>
      <c r="E137" s="45">
        <v>2170646.0755940708</v>
      </c>
      <c r="F137" s="45">
        <v>3248059.4667800004</v>
      </c>
      <c r="G137" s="45">
        <v>4090560.2266922342</v>
      </c>
    </row>
    <row r="138" spans="1:7" ht="11.25" customHeight="1" x14ac:dyDescent="0.2">
      <c r="A138" s="50" t="s">
        <v>37</v>
      </c>
      <c r="B138" s="45">
        <v>1751710.28</v>
      </c>
      <c r="C138" s="45">
        <v>1496349.1867800001</v>
      </c>
      <c r="D138" s="45">
        <v>1919914.1510981631</v>
      </c>
      <c r="E138" s="45">
        <v>2170646.0755940708</v>
      </c>
      <c r="F138" s="45">
        <v>3248059.4667800004</v>
      </c>
      <c r="G138" s="45">
        <v>4090560.2266922342</v>
      </c>
    </row>
    <row r="139" spans="1:7" ht="11.25" customHeight="1" x14ac:dyDescent="0.2">
      <c r="A139" s="51" t="s">
        <v>25</v>
      </c>
      <c r="B139" s="45">
        <v>1751710.28</v>
      </c>
      <c r="C139" s="45">
        <v>1496349.1867800001</v>
      </c>
      <c r="D139" s="45">
        <v>1919914.1510981631</v>
      </c>
      <c r="E139" s="45">
        <v>2170646.0755940708</v>
      </c>
      <c r="F139" s="45">
        <v>3248059.4667800004</v>
      </c>
      <c r="G139" s="45">
        <v>4090560.2266922342</v>
      </c>
    </row>
    <row r="140" spans="1:7" ht="11.25" customHeight="1" x14ac:dyDescent="0.2">
      <c r="A140" s="52" t="s">
        <v>57</v>
      </c>
      <c r="B140" s="45">
        <v>1751710.28</v>
      </c>
      <c r="C140" s="45">
        <v>1496349.1867800001</v>
      </c>
      <c r="D140" s="45">
        <v>1919914.1510981631</v>
      </c>
      <c r="E140" s="45">
        <v>2170646.0755940708</v>
      </c>
      <c r="F140" s="45">
        <v>3248059.4667800004</v>
      </c>
      <c r="G140" s="45">
        <v>4090560.2266922342</v>
      </c>
    </row>
    <row r="141" spans="1:7" ht="11.25" customHeight="1" x14ac:dyDescent="0.2">
      <c r="A141" s="53" t="s">
        <v>25</v>
      </c>
      <c r="B141" s="45">
        <v>1751710.28</v>
      </c>
      <c r="C141" s="45">
        <v>1496349.1867800001</v>
      </c>
      <c r="D141" s="45">
        <v>1919914.1510981631</v>
      </c>
      <c r="E141" s="45">
        <v>2170646.0755940708</v>
      </c>
      <c r="F141" s="45">
        <v>3248059.4667800004</v>
      </c>
      <c r="G141" s="45">
        <v>4090560.2266922342</v>
      </c>
    </row>
    <row r="142" spans="1:7" ht="11.25" customHeight="1" x14ac:dyDescent="0.2">
      <c r="A142" s="54" t="s">
        <v>34</v>
      </c>
      <c r="B142" s="45">
        <v>750334.90500000003</v>
      </c>
      <c r="C142" s="45">
        <v>0</v>
      </c>
      <c r="D142" s="45">
        <v>822131.87429979746</v>
      </c>
      <c r="E142" s="45">
        <v>0</v>
      </c>
      <c r="F142" s="45">
        <v>750334.90500000003</v>
      </c>
      <c r="G142" s="45">
        <v>822131.87429979746</v>
      </c>
    </row>
    <row r="143" spans="1:7" ht="11.25" customHeight="1" x14ac:dyDescent="0.2">
      <c r="A143" s="55">
        <v>44409</v>
      </c>
      <c r="B143" s="45">
        <v>61471.44</v>
      </c>
      <c r="C143" s="45">
        <v>0</v>
      </c>
      <c r="D143" s="45">
        <v>67353.430909771618</v>
      </c>
      <c r="E143" s="45">
        <v>0</v>
      </c>
      <c r="F143" s="45">
        <v>61471.44</v>
      </c>
      <c r="G143" s="45">
        <v>67353.430909771618</v>
      </c>
    </row>
    <row r="144" spans="1:7" ht="11.25" customHeight="1" x14ac:dyDescent="0.2">
      <c r="A144" s="55">
        <v>44440</v>
      </c>
      <c r="B144" s="45">
        <v>61987.140000000007</v>
      </c>
      <c r="C144" s="45">
        <v>0</v>
      </c>
      <c r="D144" s="45">
        <v>67918.4764710952</v>
      </c>
      <c r="E144" s="45">
        <v>0</v>
      </c>
      <c r="F144" s="45">
        <v>61987.140000000007</v>
      </c>
      <c r="G144" s="45">
        <v>67918.4764710952</v>
      </c>
    </row>
    <row r="145" spans="1:7" ht="11.25" customHeight="1" x14ac:dyDescent="0.2">
      <c r="A145" s="55">
        <v>44470</v>
      </c>
      <c r="B145" s="45">
        <v>63628.785000000003</v>
      </c>
      <c r="C145" s="45">
        <v>0</v>
      </c>
      <c r="D145" s="45">
        <v>69717.204841308616</v>
      </c>
      <c r="E145" s="45">
        <v>0</v>
      </c>
      <c r="F145" s="45">
        <v>63628.785000000003</v>
      </c>
      <c r="G145" s="45">
        <v>69717.204841308616</v>
      </c>
    </row>
    <row r="146" spans="1:7" ht="11.25" customHeight="1" x14ac:dyDescent="0.2">
      <c r="A146" s="55">
        <v>44501</v>
      </c>
      <c r="B146" s="45">
        <v>62193.420000000006</v>
      </c>
      <c r="C146" s="45">
        <v>0</v>
      </c>
      <c r="D146" s="45">
        <v>68144.494695624642</v>
      </c>
      <c r="E146" s="45">
        <v>0</v>
      </c>
      <c r="F146" s="45">
        <v>62193.420000000006</v>
      </c>
      <c r="G146" s="45">
        <v>68144.494695624642</v>
      </c>
    </row>
    <row r="147" spans="1:7" ht="11.25" customHeight="1" x14ac:dyDescent="0.2">
      <c r="A147" s="55">
        <v>44531</v>
      </c>
      <c r="B147" s="45">
        <v>60809.625000000007</v>
      </c>
      <c r="C147" s="45">
        <v>0</v>
      </c>
      <c r="D147" s="45">
        <v>66628.289106073003</v>
      </c>
      <c r="E147" s="45">
        <v>0</v>
      </c>
      <c r="F147" s="45">
        <v>60809.625000000007</v>
      </c>
      <c r="G147" s="45">
        <v>66628.289106073003</v>
      </c>
    </row>
    <row r="148" spans="1:7" ht="11.25" customHeight="1" x14ac:dyDescent="0.2">
      <c r="A148" s="55">
        <v>44562</v>
      </c>
      <c r="B148" s="45">
        <v>61832.430000000008</v>
      </c>
      <c r="C148" s="45">
        <v>0</v>
      </c>
      <c r="D148" s="45">
        <v>67748.962802698123</v>
      </c>
      <c r="E148" s="45">
        <v>0</v>
      </c>
      <c r="F148" s="45">
        <v>61832.430000000008</v>
      </c>
      <c r="G148" s="45">
        <v>67748.962802698123</v>
      </c>
    </row>
    <row r="149" spans="1:7" ht="11.25" customHeight="1" x14ac:dyDescent="0.2">
      <c r="A149" s="55">
        <v>44593</v>
      </c>
      <c r="B149" s="45">
        <v>63671.76</v>
      </c>
      <c r="C149" s="45">
        <v>0</v>
      </c>
      <c r="D149" s="45">
        <v>69764.291971418919</v>
      </c>
      <c r="E149" s="45">
        <v>0</v>
      </c>
      <c r="F149" s="45">
        <v>63671.76</v>
      </c>
      <c r="G149" s="45">
        <v>69764.291971418919</v>
      </c>
    </row>
    <row r="150" spans="1:7" ht="11.25" customHeight="1" x14ac:dyDescent="0.2">
      <c r="A150" s="55">
        <v>44621</v>
      </c>
      <c r="B150" s="45">
        <v>65218.860000000008</v>
      </c>
      <c r="C150" s="45">
        <v>0</v>
      </c>
      <c r="D150" s="45">
        <v>71459.428655389682</v>
      </c>
      <c r="E150" s="45">
        <v>0</v>
      </c>
      <c r="F150" s="45">
        <v>65218.860000000008</v>
      </c>
      <c r="G150" s="45">
        <v>71459.428655389682</v>
      </c>
    </row>
    <row r="151" spans="1:7" ht="11.25" customHeight="1" x14ac:dyDescent="0.2">
      <c r="A151" s="55">
        <v>44652</v>
      </c>
      <c r="B151" s="45">
        <v>63938.205000000002</v>
      </c>
      <c r="C151" s="45">
        <v>0</v>
      </c>
      <c r="D151" s="45">
        <v>70056.232178102771</v>
      </c>
      <c r="E151" s="45">
        <v>0</v>
      </c>
      <c r="F151" s="45">
        <v>63938.205000000002</v>
      </c>
      <c r="G151" s="45">
        <v>70056.232178102771</v>
      </c>
    </row>
    <row r="152" spans="1:7" ht="11.25" customHeight="1" x14ac:dyDescent="0.2">
      <c r="A152" s="55">
        <v>44682</v>
      </c>
      <c r="B152" s="45">
        <v>61316.73</v>
      </c>
      <c r="C152" s="45">
        <v>0</v>
      </c>
      <c r="D152" s="45">
        <v>67183.91724137454</v>
      </c>
      <c r="E152" s="45">
        <v>0</v>
      </c>
      <c r="F152" s="45">
        <v>61316.73</v>
      </c>
      <c r="G152" s="45">
        <v>67183.91724137454</v>
      </c>
    </row>
    <row r="153" spans="1:7" ht="11.25" customHeight="1" x14ac:dyDescent="0.2">
      <c r="A153" s="55">
        <v>44713</v>
      </c>
      <c r="B153" s="45">
        <v>62133.255000000005</v>
      </c>
      <c r="C153" s="45">
        <v>0</v>
      </c>
      <c r="D153" s="45">
        <v>68078.572713470217</v>
      </c>
      <c r="E153" s="45">
        <v>0</v>
      </c>
      <c r="F153" s="45">
        <v>62133.255000000005</v>
      </c>
      <c r="G153" s="45">
        <v>68078.572713470217</v>
      </c>
    </row>
    <row r="154" spans="1:7" ht="11.25" customHeight="1" x14ac:dyDescent="0.2">
      <c r="A154" s="55">
        <v>44743</v>
      </c>
      <c r="B154" s="45">
        <v>62133.255000000005</v>
      </c>
      <c r="C154" s="45">
        <v>0</v>
      </c>
      <c r="D154" s="45">
        <v>68078.572713470217</v>
      </c>
      <c r="E154" s="45">
        <v>0</v>
      </c>
      <c r="F154" s="45">
        <v>62133.255000000005</v>
      </c>
      <c r="G154" s="45">
        <v>68078.572713470217</v>
      </c>
    </row>
    <row r="155" spans="1:7" ht="11.25" customHeight="1" x14ac:dyDescent="0.2">
      <c r="A155" s="54" t="s">
        <v>25</v>
      </c>
      <c r="B155" s="45">
        <v>0</v>
      </c>
      <c r="C155" s="45">
        <v>1496349.1867800001</v>
      </c>
      <c r="D155" s="45">
        <v>0</v>
      </c>
      <c r="E155" s="45">
        <v>2170646.0755940708</v>
      </c>
      <c r="F155" s="45">
        <v>1496349.1867800001</v>
      </c>
      <c r="G155" s="45">
        <v>2170646.0755940708</v>
      </c>
    </row>
    <row r="156" spans="1:7" ht="11.25" customHeight="1" x14ac:dyDescent="0.2">
      <c r="A156" s="55">
        <v>44409</v>
      </c>
      <c r="B156" s="45">
        <v>0</v>
      </c>
      <c r="C156" s="45">
        <v>125770.84897000001</v>
      </c>
      <c r="D156" s="45">
        <v>0</v>
      </c>
      <c r="E156" s="45">
        <v>182446.71908990943</v>
      </c>
      <c r="F156" s="45">
        <v>125770.84897000001</v>
      </c>
      <c r="G156" s="45">
        <v>182446.71908990943</v>
      </c>
    </row>
    <row r="157" spans="1:7" ht="11.25" customHeight="1" x14ac:dyDescent="0.2">
      <c r="A157" s="55">
        <v>44440</v>
      </c>
      <c r="B157" s="45">
        <v>0</v>
      </c>
      <c r="C157" s="45">
        <v>122939.93251500002</v>
      </c>
      <c r="D157" s="45">
        <v>0</v>
      </c>
      <c r="E157" s="45">
        <v>178340.11232481091</v>
      </c>
      <c r="F157" s="45">
        <v>122939.93251500002</v>
      </c>
      <c r="G157" s="45">
        <v>178340.11232481091</v>
      </c>
    </row>
    <row r="158" spans="1:7" ht="11.25" customHeight="1" x14ac:dyDescent="0.2">
      <c r="A158" s="55">
        <v>44470</v>
      </c>
      <c r="B158" s="45">
        <v>0</v>
      </c>
      <c r="C158" s="45">
        <v>127067.52374500001</v>
      </c>
      <c r="D158" s="45">
        <v>0</v>
      </c>
      <c r="E158" s="45">
        <v>184327.71186655696</v>
      </c>
      <c r="F158" s="45">
        <v>127067.52374500001</v>
      </c>
      <c r="G158" s="45">
        <v>184327.71186655696</v>
      </c>
    </row>
    <row r="159" spans="1:7" ht="11.25" customHeight="1" x14ac:dyDescent="0.2">
      <c r="A159" s="55">
        <v>44501</v>
      </c>
      <c r="B159" s="45">
        <v>0</v>
      </c>
      <c r="C159" s="45">
        <v>126000.48345000001</v>
      </c>
      <c r="D159" s="45">
        <v>0</v>
      </c>
      <c r="E159" s="45">
        <v>182779.83330364837</v>
      </c>
      <c r="F159" s="45">
        <v>126000.48345000001</v>
      </c>
      <c r="G159" s="45">
        <v>182779.83330364837</v>
      </c>
    </row>
    <row r="160" spans="1:7" ht="11.25" customHeight="1" x14ac:dyDescent="0.2">
      <c r="A160" s="55">
        <v>44531</v>
      </c>
      <c r="B160" s="45">
        <v>0</v>
      </c>
      <c r="C160" s="45">
        <v>111799.08142</v>
      </c>
      <c r="D160" s="45">
        <v>0</v>
      </c>
      <c r="E160" s="45">
        <v>162178.88142911415</v>
      </c>
      <c r="F160" s="45">
        <v>111799.08142</v>
      </c>
      <c r="G160" s="45">
        <v>162178.88142911415</v>
      </c>
    </row>
    <row r="161" spans="1:7" ht="11.25" customHeight="1" x14ac:dyDescent="0.2">
      <c r="A161" s="55">
        <v>44562</v>
      </c>
      <c r="B161" s="45">
        <v>0</v>
      </c>
      <c r="C161" s="45">
        <v>129532.33111500001</v>
      </c>
      <c r="D161" s="45">
        <v>0</v>
      </c>
      <c r="E161" s="45">
        <v>187903.23053028478</v>
      </c>
      <c r="F161" s="45">
        <v>129532.33111500001</v>
      </c>
      <c r="G161" s="45">
        <v>187903.23053028478</v>
      </c>
    </row>
    <row r="162" spans="1:7" ht="11.25" customHeight="1" x14ac:dyDescent="0.2">
      <c r="A162" s="55">
        <v>44593</v>
      </c>
      <c r="B162" s="45">
        <v>0</v>
      </c>
      <c r="C162" s="45">
        <v>119432.65692000001</v>
      </c>
      <c r="D162" s="45">
        <v>0</v>
      </c>
      <c r="E162" s="45">
        <v>173252.36003171402</v>
      </c>
      <c r="F162" s="45">
        <v>119432.65692000001</v>
      </c>
      <c r="G162" s="45">
        <v>173252.36003171402</v>
      </c>
    </row>
    <row r="163" spans="1:7" ht="11.25" customHeight="1" x14ac:dyDescent="0.2">
      <c r="A163" s="55">
        <v>44621</v>
      </c>
      <c r="B163" s="45">
        <v>0</v>
      </c>
      <c r="C163" s="45">
        <v>136096.68951500001</v>
      </c>
      <c r="D163" s="45">
        <v>0</v>
      </c>
      <c r="E163" s="45">
        <v>197425.67283562344</v>
      </c>
      <c r="F163" s="45">
        <v>136096.68951500001</v>
      </c>
      <c r="G163" s="45">
        <v>197425.67283562344</v>
      </c>
    </row>
    <row r="164" spans="1:7" ht="11.25" customHeight="1" x14ac:dyDescent="0.2">
      <c r="A164" s="55">
        <v>44652</v>
      </c>
      <c r="B164" s="45">
        <v>0</v>
      </c>
      <c r="C164" s="45">
        <v>124440.26769000001</v>
      </c>
      <c r="D164" s="45">
        <v>0</v>
      </c>
      <c r="E164" s="45">
        <v>180516.54058665104</v>
      </c>
      <c r="F164" s="45">
        <v>124440.26769000001</v>
      </c>
      <c r="G164" s="45">
        <v>180516.54058665104</v>
      </c>
    </row>
    <row r="165" spans="1:7" ht="11.25" customHeight="1" x14ac:dyDescent="0.2">
      <c r="A165" s="55">
        <v>44682</v>
      </c>
      <c r="B165" s="45">
        <v>0</v>
      </c>
      <c r="C165" s="45">
        <v>125085.41366000001</v>
      </c>
      <c r="D165" s="45">
        <v>0</v>
      </c>
      <c r="E165" s="45">
        <v>181452.40741528835</v>
      </c>
      <c r="F165" s="45">
        <v>125085.41366000001</v>
      </c>
      <c r="G165" s="45">
        <v>181452.40741528835</v>
      </c>
    </row>
    <row r="166" spans="1:7" ht="11.25" customHeight="1" x14ac:dyDescent="0.2">
      <c r="A166" s="55">
        <v>44713</v>
      </c>
      <c r="B166" s="45">
        <v>0</v>
      </c>
      <c r="C166" s="45">
        <v>124091.97889000001</v>
      </c>
      <c r="D166" s="45">
        <v>0</v>
      </c>
      <c r="E166" s="45">
        <v>180011.30309023469</v>
      </c>
      <c r="F166" s="45">
        <v>124091.97889000001</v>
      </c>
      <c r="G166" s="45">
        <v>180011.30309023469</v>
      </c>
    </row>
    <row r="167" spans="1:7" ht="11.25" customHeight="1" x14ac:dyDescent="0.2">
      <c r="A167" s="55">
        <v>44743</v>
      </c>
      <c r="B167" s="45">
        <v>0</v>
      </c>
      <c r="C167" s="45">
        <v>124091.97889000001</v>
      </c>
      <c r="D167" s="45">
        <v>0</v>
      </c>
      <c r="E167" s="45">
        <v>180011.30309023469</v>
      </c>
      <c r="F167" s="45">
        <v>124091.97889000001</v>
      </c>
      <c r="G167" s="45">
        <v>180011.30309023469</v>
      </c>
    </row>
    <row r="168" spans="1:7" ht="11.25" customHeight="1" x14ac:dyDescent="0.2">
      <c r="A168" s="54" t="s">
        <v>33</v>
      </c>
      <c r="B168" s="45">
        <v>1001375.3749999998</v>
      </c>
      <c r="C168" s="45">
        <v>0</v>
      </c>
      <c r="D168" s="45">
        <v>1097782.2767983652</v>
      </c>
      <c r="E168" s="45">
        <v>0</v>
      </c>
      <c r="F168" s="45">
        <v>1001375.3749999998</v>
      </c>
      <c r="G168" s="45">
        <v>1097782.2767983652</v>
      </c>
    </row>
    <row r="169" spans="1:7" ht="11.25" customHeight="1" x14ac:dyDescent="0.2">
      <c r="A169" s="55">
        <v>44409</v>
      </c>
      <c r="B169" s="45">
        <v>83833.75</v>
      </c>
      <c r="C169" s="45">
        <v>0</v>
      </c>
      <c r="D169" s="45">
        <v>91904.801381345082</v>
      </c>
      <c r="E169" s="45">
        <v>0</v>
      </c>
      <c r="F169" s="45">
        <v>83833.75</v>
      </c>
      <c r="G169" s="45">
        <v>91904.801381345082</v>
      </c>
    </row>
    <row r="170" spans="1:7" ht="11.25" customHeight="1" x14ac:dyDescent="0.2">
      <c r="A170" s="55">
        <v>44440</v>
      </c>
      <c r="B170" s="45">
        <v>83833.75</v>
      </c>
      <c r="C170" s="45">
        <v>0</v>
      </c>
      <c r="D170" s="45">
        <v>91904.801381345082</v>
      </c>
      <c r="E170" s="45">
        <v>0</v>
      </c>
      <c r="F170" s="45">
        <v>83833.75</v>
      </c>
      <c r="G170" s="45">
        <v>91904.801381345082</v>
      </c>
    </row>
    <row r="171" spans="1:7" ht="11.25" customHeight="1" x14ac:dyDescent="0.2">
      <c r="A171" s="55">
        <v>44470</v>
      </c>
      <c r="B171" s="45">
        <v>83833.75</v>
      </c>
      <c r="C171" s="45">
        <v>0</v>
      </c>
      <c r="D171" s="45">
        <v>91904.801381345082</v>
      </c>
      <c r="E171" s="45">
        <v>0</v>
      </c>
      <c r="F171" s="45">
        <v>83833.75</v>
      </c>
      <c r="G171" s="45">
        <v>91904.801381345082</v>
      </c>
    </row>
    <row r="172" spans="1:7" ht="11.25" customHeight="1" x14ac:dyDescent="0.2">
      <c r="A172" s="55">
        <v>44501</v>
      </c>
      <c r="B172" s="45">
        <v>83833.75</v>
      </c>
      <c r="C172" s="45">
        <v>0</v>
      </c>
      <c r="D172" s="45">
        <v>91904.801381345082</v>
      </c>
      <c r="E172" s="45">
        <v>0</v>
      </c>
      <c r="F172" s="45">
        <v>83833.75</v>
      </c>
      <c r="G172" s="45">
        <v>91904.801381345082</v>
      </c>
    </row>
    <row r="173" spans="1:7" ht="11.25" customHeight="1" x14ac:dyDescent="0.2">
      <c r="A173" s="55">
        <v>44531</v>
      </c>
      <c r="B173" s="45">
        <v>83833.75</v>
      </c>
      <c r="C173" s="45">
        <v>0</v>
      </c>
      <c r="D173" s="45">
        <v>91904.801381345082</v>
      </c>
      <c r="E173" s="45">
        <v>0</v>
      </c>
      <c r="F173" s="45">
        <v>83833.75</v>
      </c>
      <c r="G173" s="45">
        <v>91904.801381345082</v>
      </c>
    </row>
    <row r="174" spans="1:7" ht="11.25" customHeight="1" x14ac:dyDescent="0.2">
      <c r="A174" s="55">
        <v>44562</v>
      </c>
      <c r="B174" s="45">
        <v>84184.099999999991</v>
      </c>
      <c r="C174" s="45">
        <v>0</v>
      </c>
      <c r="D174" s="45">
        <v>92288.881148311892</v>
      </c>
      <c r="E174" s="45">
        <v>0</v>
      </c>
      <c r="F174" s="45">
        <v>84184.099999999991</v>
      </c>
      <c r="G174" s="45">
        <v>92288.881148311892</v>
      </c>
    </row>
    <row r="175" spans="1:7" ht="11.25" customHeight="1" x14ac:dyDescent="0.2">
      <c r="A175" s="55">
        <v>44593</v>
      </c>
      <c r="B175" s="45">
        <v>83833.75</v>
      </c>
      <c r="C175" s="45">
        <v>0</v>
      </c>
      <c r="D175" s="45">
        <v>91904.801381345082</v>
      </c>
      <c r="E175" s="45">
        <v>0</v>
      </c>
      <c r="F175" s="45">
        <v>83833.75</v>
      </c>
      <c r="G175" s="45">
        <v>91904.801381345082</v>
      </c>
    </row>
    <row r="176" spans="1:7" ht="11.25" customHeight="1" x14ac:dyDescent="0.2">
      <c r="A176" s="55">
        <v>44621</v>
      </c>
      <c r="B176" s="45">
        <v>83833.75</v>
      </c>
      <c r="C176" s="45">
        <v>0</v>
      </c>
      <c r="D176" s="45">
        <v>91904.801381345082</v>
      </c>
      <c r="E176" s="45">
        <v>0</v>
      </c>
      <c r="F176" s="45">
        <v>83833.75</v>
      </c>
      <c r="G176" s="45">
        <v>91904.801381345082</v>
      </c>
    </row>
    <row r="177" spans="1:7" ht="11.25" customHeight="1" x14ac:dyDescent="0.2">
      <c r="A177" s="55">
        <v>44652</v>
      </c>
      <c r="B177" s="45">
        <v>85034.95</v>
      </c>
      <c r="C177" s="45">
        <v>0</v>
      </c>
      <c r="D177" s="45">
        <v>93221.646296659877</v>
      </c>
      <c r="E177" s="45">
        <v>0</v>
      </c>
      <c r="F177" s="45">
        <v>85034.95</v>
      </c>
      <c r="G177" s="45">
        <v>93221.646296659877</v>
      </c>
    </row>
    <row r="178" spans="1:7" ht="11.25" customHeight="1" x14ac:dyDescent="0.2">
      <c r="A178" s="55">
        <v>44682</v>
      </c>
      <c r="B178" s="45">
        <v>81005.924999999988</v>
      </c>
      <c r="C178" s="45">
        <v>0</v>
      </c>
      <c r="D178" s="45">
        <v>88804.72897654149</v>
      </c>
      <c r="E178" s="45">
        <v>0</v>
      </c>
      <c r="F178" s="45">
        <v>81005.924999999988</v>
      </c>
      <c r="G178" s="45">
        <v>88804.72897654149</v>
      </c>
    </row>
    <row r="179" spans="1:7" ht="11.25" customHeight="1" x14ac:dyDescent="0.2">
      <c r="A179" s="55">
        <v>44713</v>
      </c>
      <c r="B179" s="45">
        <v>82157.074999999997</v>
      </c>
      <c r="C179" s="45">
        <v>0</v>
      </c>
      <c r="D179" s="45">
        <v>90066.705353718178</v>
      </c>
      <c r="E179" s="45">
        <v>0</v>
      </c>
      <c r="F179" s="45">
        <v>82157.074999999997</v>
      </c>
      <c r="G179" s="45">
        <v>90066.705353718178</v>
      </c>
    </row>
    <row r="180" spans="1:7" ht="11.25" customHeight="1" x14ac:dyDescent="0.2">
      <c r="A180" s="55">
        <v>44743</v>
      </c>
      <c r="B180" s="45">
        <v>82157.074999999997</v>
      </c>
      <c r="C180" s="45">
        <v>0</v>
      </c>
      <c r="D180" s="45">
        <v>90066.705353718178</v>
      </c>
      <c r="E180" s="45">
        <v>0</v>
      </c>
      <c r="F180" s="45">
        <v>82157.074999999997</v>
      </c>
      <c r="G180" s="45">
        <v>90066.705353718178</v>
      </c>
    </row>
    <row r="181" spans="1:7" ht="11.25" customHeight="1" x14ac:dyDescent="0.2">
      <c r="A181" s="47" t="s">
        <v>738</v>
      </c>
      <c r="B181" s="45">
        <v>0</v>
      </c>
      <c r="C181" s="45">
        <v>5285.5134660000022</v>
      </c>
      <c r="D181" s="45">
        <v>0</v>
      </c>
      <c r="E181" s="45">
        <v>5021.5104039340385</v>
      </c>
      <c r="F181" s="45">
        <v>5285.5134660000022</v>
      </c>
      <c r="G181" s="45">
        <v>5021.5104039340385</v>
      </c>
    </row>
    <row r="182" spans="1:7" ht="11.25" customHeight="1" x14ac:dyDescent="0.2">
      <c r="A182" s="48" t="s">
        <v>41</v>
      </c>
      <c r="B182" s="45">
        <v>0</v>
      </c>
      <c r="C182" s="45">
        <v>5285.5134660000022</v>
      </c>
      <c r="D182" s="45">
        <v>0</v>
      </c>
      <c r="E182" s="45">
        <v>5021.5104039340385</v>
      </c>
      <c r="F182" s="45">
        <v>5285.5134660000022</v>
      </c>
      <c r="G182" s="45">
        <v>5021.5104039340385</v>
      </c>
    </row>
    <row r="183" spans="1:7" ht="11.25" customHeight="1" x14ac:dyDescent="0.2">
      <c r="A183" s="49" t="s">
        <v>23</v>
      </c>
      <c r="B183" s="45">
        <v>0</v>
      </c>
      <c r="C183" s="45">
        <v>5285.5134660000022</v>
      </c>
      <c r="D183" s="45">
        <v>0</v>
      </c>
      <c r="E183" s="45">
        <v>5021.5104039340385</v>
      </c>
      <c r="F183" s="45">
        <v>5285.5134660000022</v>
      </c>
      <c r="G183" s="45">
        <v>5021.5104039340385</v>
      </c>
    </row>
    <row r="184" spans="1:7" ht="11.25" customHeight="1" x14ac:dyDescent="0.2">
      <c r="A184" s="50" t="s">
        <v>42</v>
      </c>
      <c r="B184" s="45">
        <v>0</v>
      </c>
      <c r="C184" s="45">
        <v>5285.5134660000022</v>
      </c>
      <c r="D184" s="45">
        <v>0</v>
      </c>
      <c r="E184" s="45">
        <v>5021.5104039340385</v>
      </c>
      <c r="F184" s="45">
        <v>5285.5134660000022</v>
      </c>
      <c r="G184" s="45">
        <v>5021.5104039340385</v>
      </c>
    </row>
    <row r="185" spans="1:7" ht="11.25" customHeight="1" x14ac:dyDescent="0.2">
      <c r="A185" s="51" t="s">
        <v>50</v>
      </c>
      <c r="B185" s="45">
        <v>0</v>
      </c>
      <c r="C185" s="45">
        <v>4657.2093680000016</v>
      </c>
      <c r="D185" s="45">
        <v>0</v>
      </c>
      <c r="E185" s="45">
        <v>4424.5891047572004</v>
      </c>
      <c r="F185" s="45">
        <v>4657.2093680000016</v>
      </c>
      <c r="G185" s="45">
        <v>4424.5891047572004</v>
      </c>
    </row>
    <row r="186" spans="1:7" ht="11.25" customHeight="1" x14ac:dyDescent="0.2">
      <c r="A186" s="52" t="s">
        <v>52</v>
      </c>
      <c r="B186" s="45">
        <v>0</v>
      </c>
      <c r="C186" s="45">
        <v>4657.2093680000016</v>
      </c>
      <c r="D186" s="45">
        <v>0</v>
      </c>
      <c r="E186" s="45">
        <v>4424.5891047572004</v>
      </c>
      <c r="F186" s="45">
        <v>4657.2093680000016</v>
      </c>
      <c r="G186" s="45">
        <v>4424.5891047572004</v>
      </c>
    </row>
    <row r="187" spans="1:7" ht="11.25" customHeight="1" x14ac:dyDescent="0.2">
      <c r="A187" s="53" t="s">
        <v>25</v>
      </c>
      <c r="B187" s="45">
        <v>0</v>
      </c>
      <c r="C187" s="45">
        <v>4657.2093680000016</v>
      </c>
      <c r="D187" s="45">
        <v>0</v>
      </c>
      <c r="E187" s="45">
        <v>4424.5891047572004</v>
      </c>
      <c r="F187" s="45">
        <v>4657.2093680000016</v>
      </c>
      <c r="G187" s="45">
        <v>4424.5891047572004</v>
      </c>
    </row>
    <row r="188" spans="1:7" ht="11.25" customHeight="1" x14ac:dyDescent="0.2">
      <c r="A188" s="54" t="s">
        <v>25</v>
      </c>
      <c r="B188" s="45">
        <v>0</v>
      </c>
      <c r="C188" s="45">
        <v>4657.2093680000016</v>
      </c>
      <c r="D188" s="45">
        <v>0</v>
      </c>
      <c r="E188" s="45">
        <v>4424.5891047572004</v>
      </c>
      <c r="F188" s="45">
        <v>4657.2093680000016</v>
      </c>
      <c r="G188" s="45">
        <v>4424.5891047572004</v>
      </c>
    </row>
    <row r="189" spans="1:7" ht="11.25" customHeight="1" x14ac:dyDescent="0.2">
      <c r="A189" s="55">
        <v>44409</v>
      </c>
      <c r="B189" s="45">
        <v>0</v>
      </c>
      <c r="C189" s="45">
        <v>166.77482800000004</v>
      </c>
      <c r="D189" s="45">
        <v>0</v>
      </c>
      <c r="E189" s="45">
        <v>158.44468835495911</v>
      </c>
      <c r="F189" s="45">
        <v>166.77482800000004</v>
      </c>
      <c r="G189" s="45">
        <v>158.44468835495911</v>
      </c>
    </row>
    <row r="190" spans="1:7" ht="11.25" customHeight="1" x14ac:dyDescent="0.2">
      <c r="A190" s="55">
        <v>44440</v>
      </c>
      <c r="B190" s="45">
        <v>0</v>
      </c>
      <c r="C190" s="45">
        <v>212.70479400000005</v>
      </c>
      <c r="D190" s="45">
        <v>0</v>
      </c>
      <c r="E190" s="45">
        <v>202.0805249874746</v>
      </c>
      <c r="F190" s="45">
        <v>212.70479400000005</v>
      </c>
      <c r="G190" s="45">
        <v>202.0805249874746</v>
      </c>
    </row>
    <row r="191" spans="1:7" ht="11.25" customHeight="1" x14ac:dyDescent="0.2">
      <c r="A191" s="55">
        <v>44470</v>
      </c>
      <c r="B191" s="45">
        <v>0</v>
      </c>
      <c r="C191" s="45">
        <v>186.39539600000006</v>
      </c>
      <c r="D191" s="45">
        <v>0</v>
      </c>
      <c r="E191" s="45">
        <v>177.08523992613078</v>
      </c>
      <c r="F191" s="45">
        <v>186.39539600000006</v>
      </c>
      <c r="G191" s="45">
        <v>177.08523992613078</v>
      </c>
    </row>
    <row r="192" spans="1:7" ht="11.25" customHeight="1" x14ac:dyDescent="0.2">
      <c r="A192" s="55">
        <v>44501</v>
      </c>
      <c r="B192" s="45">
        <v>0</v>
      </c>
      <c r="C192" s="45">
        <v>446.81384400000007</v>
      </c>
      <c r="D192" s="45">
        <v>0</v>
      </c>
      <c r="E192" s="45">
        <v>424.49619714350007</v>
      </c>
      <c r="F192" s="45">
        <v>446.81384400000007</v>
      </c>
      <c r="G192" s="45">
        <v>424.49619714350007</v>
      </c>
    </row>
    <row r="193" spans="1:7" ht="11.25" customHeight="1" x14ac:dyDescent="0.2">
      <c r="A193" s="55">
        <v>44531</v>
      </c>
      <c r="B193" s="45">
        <v>0</v>
      </c>
      <c r="C193" s="45">
        <v>1478.2314300000003</v>
      </c>
      <c r="D193" s="45">
        <v>0</v>
      </c>
      <c r="E193" s="45">
        <v>1404.3961013280466</v>
      </c>
      <c r="F193" s="45">
        <v>1478.2314300000003</v>
      </c>
      <c r="G193" s="45">
        <v>1404.3961013280466</v>
      </c>
    </row>
    <row r="194" spans="1:7" ht="11.25" customHeight="1" x14ac:dyDescent="0.2">
      <c r="A194" s="55">
        <v>44562</v>
      </c>
      <c r="B194" s="45">
        <v>0</v>
      </c>
      <c r="C194" s="45">
        <v>835.21190600000023</v>
      </c>
      <c r="D194" s="45">
        <v>0</v>
      </c>
      <c r="E194" s="45">
        <v>793.49438847283011</v>
      </c>
      <c r="F194" s="45">
        <v>835.21190600000023</v>
      </c>
      <c r="G194" s="45">
        <v>793.49438847283011</v>
      </c>
    </row>
    <row r="195" spans="1:7" ht="11.25" customHeight="1" x14ac:dyDescent="0.2">
      <c r="A195" s="55">
        <v>44593</v>
      </c>
      <c r="B195" s="45">
        <v>0</v>
      </c>
      <c r="C195" s="45">
        <v>387.50621800000005</v>
      </c>
      <c r="D195" s="45">
        <v>0</v>
      </c>
      <c r="E195" s="45">
        <v>368.1508935306403</v>
      </c>
      <c r="F195" s="45">
        <v>387.50621800000005</v>
      </c>
      <c r="G195" s="45">
        <v>368.1508935306403</v>
      </c>
    </row>
    <row r="196" spans="1:7" ht="11.25" customHeight="1" x14ac:dyDescent="0.2">
      <c r="A196" s="55">
        <v>44621</v>
      </c>
      <c r="B196" s="45">
        <v>0</v>
      </c>
      <c r="C196" s="45">
        <v>238.5682700000001</v>
      </c>
      <c r="D196" s="45">
        <v>0</v>
      </c>
      <c r="E196" s="45">
        <v>226.65216114947364</v>
      </c>
      <c r="F196" s="45">
        <v>238.5682700000001</v>
      </c>
      <c r="G196" s="45">
        <v>226.65216114947364</v>
      </c>
    </row>
    <row r="197" spans="1:7" ht="11.25" customHeight="1" x14ac:dyDescent="0.2">
      <c r="A197" s="55">
        <v>44652</v>
      </c>
      <c r="B197" s="45">
        <v>0</v>
      </c>
      <c r="C197" s="45">
        <v>134.22252200000003</v>
      </c>
      <c r="D197" s="45">
        <v>0</v>
      </c>
      <c r="E197" s="45">
        <v>127.51831870278795</v>
      </c>
      <c r="F197" s="45">
        <v>134.22252200000003</v>
      </c>
      <c r="G197" s="45">
        <v>127.51831870278795</v>
      </c>
    </row>
    <row r="198" spans="1:7" ht="11.25" customHeight="1" x14ac:dyDescent="0.2">
      <c r="A198" s="55">
        <v>44682</v>
      </c>
      <c r="B198" s="45">
        <v>0</v>
      </c>
      <c r="C198" s="45">
        <v>89.184400000000011</v>
      </c>
      <c r="D198" s="45">
        <v>0</v>
      </c>
      <c r="E198" s="45">
        <v>84.729779868962098</v>
      </c>
      <c r="F198" s="45">
        <v>89.184400000000011</v>
      </c>
      <c r="G198" s="45">
        <v>84.729779868962098</v>
      </c>
    </row>
    <row r="199" spans="1:7" ht="11.25" customHeight="1" x14ac:dyDescent="0.2">
      <c r="A199" s="55">
        <v>44713</v>
      </c>
      <c r="B199" s="45">
        <v>0</v>
      </c>
      <c r="C199" s="45">
        <v>240.79788000000011</v>
      </c>
      <c r="D199" s="45">
        <v>0</v>
      </c>
      <c r="E199" s="45">
        <v>228.7704056461977</v>
      </c>
      <c r="F199" s="45">
        <v>240.79788000000011</v>
      </c>
      <c r="G199" s="45">
        <v>228.7704056461977</v>
      </c>
    </row>
    <row r="200" spans="1:7" ht="11.25" customHeight="1" x14ac:dyDescent="0.2">
      <c r="A200" s="55">
        <v>44743</v>
      </c>
      <c r="B200" s="45">
        <v>0</v>
      </c>
      <c r="C200" s="45">
        <v>240.79788000000011</v>
      </c>
      <c r="D200" s="45">
        <v>0</v>
      </c>
      <c r="E200" s="45">
        <v>228.7704056461977</v>
      </c>
      <c r="F200" s="45">
        <v>240.79788000000011</v>
      </c>
      <c r="G200" s="45">
        <v>228.7704056461977</v>
      </c>
    </row>
    <row r="201" spans="1:7" ht="11.25" customHeight="1" x14ac:dyDescent="0.2">
      <c r="A201" s="51" t="s">
        <v>53</v>
      </c>
      <c r="B201" s="45">
        <v>0</v>
      </c>
      <c r="C201" s="45">
        <v>628.30409800000007</v>
      </c>
      <c r="D201" s="45">
        <v>0</v>
      </c>
      <c r="E201" s="45">
        <v>596.92129917683792</v>
      </c>
      <c r="F201" s="45">
        <v>628.30409800000007</v>
      </c>
      <c r="G201" s="45">
        <v>596.92129917683792</v>
      </c>
    </row>
    <row r="202" spans="1:7" ht="11.25" customHeight="1" x14ac:dyDescent="0.2">
      <c r="A202" s="52" t="s">
        <v>52</v>
      </c>
      <c r="B202" s="45">
        <v>0</v>
      </c>
      <c r="C202" s="45">
        <v>628.30409800000007</v>
      </c>
      <c r="D202" s="45">
        <v>0</v>
      </c>
      <c r="E202" s="45">
        <v>596.92129917683792</v>
      </c>
      <c r="F202" s="45">
        <v>628.30409800000007</v>
      </c>
      <c r="G202" s="45">
        <v>596.92129917683792</v>
      </c>
    </row>
    <row r="203" spans="1:7" ht="11.25" customHeight="1" x14ac:dyDescent="0.2">
      <c r="A203" s="53" t="s">
        <v>25</v>
      </c>
      <c r="B203" s="45">
        <v>0</v>
      </c>
      <c r="C203" s="45">
        <v>628.30409800000007</v>
      </c>
      <c r="D203" s="45">
        <v>0</v>
      </c>
      <c r="E203" s="45">
        <v>596.92129917683792</v>
      </c>
      <c r="F203" s="45">
        <v>628.30409800000007</v>
      </c>
      <c r="G203" s="45">
        <v>596.92129917683792</v>
      </c>
    </row>
    <row r="204" spans="1:7" ht="11.25" customHeight="1" x14ac:dyDescent="0.2">
      <c r="A204" s="54" t="s">
        <v>25</v>
      </c>
      <c r="B204" s="45">
        <v>0</v>
      </c>
      <c r="C204" s="45">
        <v>628.30409800000007</v>
      </c>
      <c r="D204" s="45">
        <v>0</v>
      </c>
      <c r="E204" s="45">
        <v>596.92129917683792</v>
      </c>
      <c r="F204" s="45">
        <v>628.30409800000007</v>
      </c>
      <c r="G204" s="45">
        <v>596.92129917683792</v>
      </c>
    </row>
    <row r="205" spans="1:7" ht="11.25" customHeight="1" x14ac:dyDescent="0.2">
      <c r="A205" s="55">
        <v>44409</v>
      </c>
      <c r="B205" s="45">
        <v>0</v>
      </c>
      <c r="C205" s="45">
        <v>625.1826440000001</v>
      </c>
      <c r="D205" s="45">
        <v>0</v>
      </c>
      <c r="E205" s="45">
        <v>593.95575688142424</v>
      </c>
      <c r="F205" s="45">
        <v>625.1826440000001</v>
      </c>
      <c r="G205" s="45">
        <v>593.95575688142424</v>
      </c>
    </row>
    <row r="206" spans="1:7" ht="11.25" customHeight="1" x14ac:dyDescent="0.2">
      <c r="A206" s="55">
        <v>44440</v>
      </c>
      <c r="B206" s="45">
        <v>0</v>
      </c>
      <c r="C206" s="45">
        <v>3.1214540000000008</v>
      </c>
      <c r="D206" s="45">
        <v>0</v>
      </c>
      <c r="E206" s="45">
        <v>2.9655422954136736</v>
      </c>
      <c r="F206" s="45">
        <v>3.1214540000000008</v>
      </c>
      <c r="G206" s="45">
        <v>2.9655422954136736</v>
      </c>
    </row>
    <row r="207" spans="1:7" ht="11.25" customHeight="1" x14ac:dyDescent="0.2">
      <c r="A207" s="47" t="s">
        <v>737</v>
      </c>
      <c r="B207" s="45">
        <v>0</v>
      </c>
      <c r="C207" s="45">
        <v>274491.29552000039</v>
      </c>
      <c r="D207" s="45">
        <v>0</v>
      </c>
      <c r="E207" s="45">
        <v>135402.42471959488</v>
      </c>
      <c r="F207" s="45">
        <v>274491.29552000039</v>
      </c>
      <c r="G207" s="45">
        <v>135402.42471959494</v>
      </c>
    </row>
    <row r="208" spans="1:7" ht="11.25" customHeight="1" x14ac:dyDescent="0.2">
      <c r="A208" s="48" t="s">
        <v>41</v>
      </c>
      <c r="B208" s="45">
        <v>0</v>
      </c>
      <c r="C208" s="45">
        <v>274491.29552000039</v>
      </c>
      <c r="D208" s="45">
        <v>0</v>
      </c>
      <c r="E208" s="45">
        <v>135402.42471959488</v>
      </c>
      <c r="F208" s="45">
        <v>274491.29552000039</v>
      </c>
      <c r="G208" s="45">
        <v>135402.42471959494</v>
      </c>
    </row>
    <row r="209" spans="1:7" ht="11.25" customHeight="1" x14ac:dyDescent="0.2">
      <c r="A209" s="49" t="s">
        <v>23</v>
      </c>
      <c r="B209" s="45">
        <v>0</v>
      </c>
      <c r="C209" s="45">
        <v>274491.29552000039</v>
      </c>
      <c r="D209" s="45">
        <v>0</v>
      </c>
      <c r="E209" s="45">
        <v>135402.42471959488</v>
      </c>
      <c r="F209" s="45">
        <v>274491.29552000039</v>
      </c>
      <c r="G209" s="45">
        <v>135402.42471959494</v>
      </c>
    </row>
    <row r="210" spans="1:7" ht="11.25" customHeight="1" x14ac:dyDescent="0.2">
      <c r="A210" s="50" t="s">
        <v>42</v>
      </c>
      <c r="B210" s="45">
        <v>0</v>
      </c>
      <c r="C210" s="45">
        <v>274491.29552000039</v>
      </c>
      <c r="D210" s="45">
        <v>0</v>
      </c>
      <c r="E210" s="45">
        <v>135402.42471959488</v>
      </c>
      <c r="F210" s="45">
        <v>274491.29552000039</v>
      </c>
      <c r="G210" s="45">
        <v>135402.42471959494</v>
      </c>
    </row>
    <row r="211" spans="1:7" ht="11.25" customHeight="1" x14ac:dyDescent="0.2">
      <c r="A211" s="51" t="s">
        <v>50</v>
      </c>
      <c r="B211" s="45">
        <v>0</v>
      </c>
      <c r="C211" s="45">
        <v>335.52254000000045</v>
      </c>
      <c r="D211" s="45">
        <v>0</v>
      </c>
      <c r="E211" s="45">
        <v>165.50821904211205</v>
      </c>
      <c r="F211" s="45">
        <v>335.52254000000045</v>
      </c>
      <c r="G211" s="45">
        <v>165.50821904211205</v>
      </c>
    </row>
    <row r="212" spans="1:7" ht="11.25" customHeight="1" x14ac:dyDescent="0.2">
      <c r="A212" s="52" t="s">
        <v>51</v>
      </c>
      <c r="B212" s="45">
        <v>0</v>
      </c>
      <c r="C212" s="45">
        <v>335.52254000000045</v>
      </c>
      <c r="D212" s="45">
        <v>0</v>
      </c>
      <c r="E212" s="45">
        <v>165.50821904211205</v>
      </c>
      <c r="F212" s="45">
        <v>335.52254000000045</v>
      </c>
      <c r="G212" s="45">
        <v>165.50821904211205</v>
      </c>
    </row>
    <row r="213" spans="1:7" ht="11.25" customHeight="1" x14ac:dyDescent="0.2">
      <c r="A213" s="53" t="s">
        <v>25</v>
      </c>
      <c r="B213" s="45">
        <v>0</v>
      </c>
      <c r="C213" s="45">
        <v>335.52254000000045</v>
      </c>
      <c r="D213" s="45">
        <v>0</v>
      </c>
      <c r="E213" s="45">
        <v>165.50821904211205</v>
      </c>
      <c r="F213" s="45">
        <v>335.52254000000045</v>
      </c>
      <c r="G213" s="45">
        <v>165.50821904211205</v>
      </c>
    </row>
    <row r="214" spans="1:7" ht="11.25" customHeight="1" x14ac:dyDescent="0.2">
      <c r="A214" s="54" t="s">
        <v>25</v>
      </c>
      <c r="B214" s="45">
        <v>0</v>
      </c>
      <c r="C214" s="45">
        <v>335.52254000000045</v>
      </c>
      <c r="D214" s="45">
        <v>0</v>
      </c>
      <c r="E214" s="45">
        <v>165.50821904211205</v>
      </c>
      <c r="F214" s="45">
        <v>335.52254000000045</v>
      </c>
      <c r="G214" s="45">
        <v>165.50821904211205</v>
      </c>
    </row>
    <row r="215" spans="1:7" ht="11.25" customHeight="1" x14ac:dyDescent="0.2">
      <c r="A215" s="55">
        <v>44409</v>
      </c>
      <c r="B215" s="45">
        <v>0</v>
      </c>
      <c r="C215" s="45">
        <v>21.305640000000032</v>
      </c>
      <c r="D215" s="45">
        <v>0</v>
      </c>
      <c r="E215" s="45">
        <v>10.50975154143857</v>
      </c>
      <c r="F215" s="45">
        <v>21.305640000000032</v>
      </c>
      <c r="G215" s="45">
        <v>10.50975154143857</v>
      </c>
    </row>
    <row r="216" spans="1:7" ht="11.25" customHeight="1" x14ac:dyDescent="0.2">
      <c r="A216" s="55">
        <v>44440</v>
      </c>
      <c r="B216" s="45">
        <v>0</v>
      </c>
      <c r="C216" s="45">
        <v>20.975320000000032</v>
      </c>
      <c r="D216" s="45">
        <v>0</v>
      </c>
      <c r="E216" s="45">
        <v>10.346809657075182</v>
      </c>
      <c r="F216" s="45">
        <v>20.975320000000032</v>
      </c>
      <c r="G216" s="45">
        <v>10.346809657075182</v>
      </c>
    </row>
    <row r="217" spans="1:7" ht="11.25" customHeight="1" x14ac:dyDescent="0.2">
      <c r="A217" s="55">
        <v>44470</v>
      </c>
      <c r="B217" s="45">
        <v>0</v>
      </c>
      <c r="C217" s="45">
        <v>18.497920000000029</v>
      </c>
      <c r="D217" s="45">
        <v>0</v>
      </c>
      <c r="E217" s="45">
        <v>9.1247455243497662</v>
      </c>
      <c r="F217" s="45">
        <v>18.497920000000029</v>
      </c>
      <c r="G217" s="45">
        <v>9.1247455243497662</v>
      </c>
    </row>
    <row r="218" spans="1:7" ht="11.25" customHeight="1" x14ac:dyDescent="0.2">
      <c r="A218" s="55">
        <v>44501</v>
      </c>
      <c r="B218" s="45">
        <v>0</v>
      </c>
      <c r="C218" s="45">
        <v>21.305640000000032</v>
      </c>
      <c r="D218" s="45">
        <v>0</v>
      </c>
      <c r="E218" s="45">
        <v>10.50975154143857</v>
      </c>
      <c r="F218" s="45">
        <v>21.305640000000032</v>
      </c>
      <c r="G218" s="45">
        <v>10.50975154143857</v>
      </c>
    </row>
    <row r="219" spans="1:7" ht="11.25" customHeight="1" x14ac:dyDescent="0.2">
      <c r="A219" s="55">
        <v>44531</v>
      </c>
      <c r="B219" s="45">
        <v>0</v>
      </c>
      <c r="C219" s="45">
        <v>31.132660000000048</v>
      </c>
      <c r="D219" s="45">
        <v>0</v>
      </c>
      <c r="E219" s="45">
        <v>15.357272601249383</v>
      </c>
      <c r="F219" s="45">
        <v>31.132660000000048</v>
      </c>
      <c r="G219" s="45">
        <v>15.357272601249383</v>
      </c>
    </row>
    <row r="220" spans="1:7" ht="11.25" customHeight="1" x14ac:dyDescent="0.2">
      <c r="A220" s="55">
        <v>44562</v>
      </c>
      <c r="B220" s="45">
        <v>0</v>
      </c>
      <c r="C220" s="45">
        <v>26.095280000000042</v>
      </c>
      <c r="D220" s="45">
        <v>0</v>
      </c>
      <c r="E220" s="45">
        <v>12.872408864707706</v>
      </c>
      <c r="F220" s="45">
        <v>26.095280000000042</v>
      </c>
      <c r="G220" s="45">
        <v>12.872408864707706</v>
      </c>
    </row>
    <row r="221" spans="1:7" ht="11.25" customHeight="1" x14ac:dyDescent="0.2">
      <c r="A221" s="55">
        <v>44593</v>
      </c>
      <c r="B221" s="45">
        <v>0</v>
      </c>
      <c r="C221" s="45">
        <v>50.373800000000074</v>
      </c>
      <c r="D221" s="45">
        <v>0</v>
      </c>
      <c r="E221" s="45">
        <v>24.848637365416774</v>
      </c>
      <c r="F221" s="45">
        <v>50.373800000000074</v>
      </c>
      <c r="G221" s="45">
        <v>24.848637365416774</v>
      </c>
    </row>
    <row r="222" spans="1:7" ht="11.25" customHeight="1" x14ac:dyDescent="0.2">
      <c r="A222" s="55">
        <v>44621</v>
      </c>
      <c r="B222" s="45">
        <v>0</v>
      </c>
      <c r="C222" s="45">
        <v>18.910820000000029</v>
      </c>
      <c r="D222" s="45">
        <v>0</v>
      </c>
      <c r="E222" s="45">
        <v>9.3284228798040019</v>
      </c>
      <c r="F222" s="45">
        <v>18.910820000000029</v>
      </c>
      <c r="G222" s="45">
        <v>9.3284228798040019</v>
      </c>
    </row>
    <row r="223" spans="1:7" ht="11.25" customHeight="1" x14ac:dyDescent="0.2">
      <c r="A223" s="55">
        <v>44652</v>
      </c>
      <c r="B223" s="45">
        <v>0</v>
      </c>
      <c r="C223" s="45">
        <v>24.691420000000036</v>
      </c>
      <c r="D223" s="45">
        <v>0</v>
      </c>
      <c r="E223" s="45">
        <v>12.179905856163304</v>
      </c>
      <c r="F223" s="45">
        <v>24.691420000000036</v>
      </c>
      <c r="G223" s="45">
        <v>12.179905856163304</v>
      </c>
    </row>
    <row r="224" spans="1:7" ht="11.25" customHeight="1" x14ac:dyDescent="0.2">
      <c r="A224" s="55">
        <v>44682</v>
      </c>
      <c r="B224" s="45">
        <v>0</v>
      </c>
      <c r="C224" s="45">
        <v>16.516000000000027</v>
      </c>
      <c r="D224" s="45">
        <v>0</v>
      </c>
      <c r="E224" s="45">
        <v>8.1470942181694337</v>
      </c>
      <c r="F224" s="45">
        <v>16.516000000000027</v>
      </c>
      <c r="G224" s="45">
        <v>8.1470942181694337</v>
      </c>
    </row>
    <row r="225" spans="1:7" ht="11.25" customHeight="1" x14ac:dyDescent="0.2">
      <c r="A225" s="55">
        <v>44713</v>
      </c>
      <c r="B225" s="45">
        <v>0</v>
      </c>
      <c r="C225" s="45">
        <v>42.859020000000065</v>
      </c>
      <c r="D225" s="45">
        <v>0</v>
      </c>
      <c r="E225" s="45">
        <v>21.141709496149684</v>
      </c>
      <c r="F225" s="45">
        <v>42.859020000000065</v>
      </c>
      <c r="G225" s="45">
        <v>21.141709496149684</v>
      </c>
    </row>
    <row r="226" spans="1:7" ht="11.25" customHeight="1" x14ac:dyDescent="0.2">
      <c r="A226" s="55">
        <v>44743</v>
      </c>
      <c r="B226" s="45">
        <v>0</v>
      </c>
      <c r="C226" s="45">
        <v>42.859020000000065</v>
      </c>
      <c r="D226" s="45">
        <v>0</v>
      </c>
      <c r="E226" s="45">
        <v>21.141709496149684</v>
      </c>
      <c r="F226" s="45">
        <v>42.859020000000065</v>
      </c>
      <c r="G226" s="45">
        <v>21.141709496149684</v>
      </c>
    </row>
    <row r="227" spans="1:7" ht="11.25" customHeight="1" x14ac:dyDescent="0.2">
      <c r="A227" s="51" t="s">
        <v>53</v>
      </c>
      <c r="B227" s="45">
        <v>0</v>
      </c>
      <c r="C227" s="45">
        <v>48.639620000000072</v>
      </c>
      <c r="D227" s="45">
        <v>0</v>
      </c>
      <c r="E227" s="45">
        <v>23.993192472508984</v>
      </c>
      <c r="F227" s="45">
        <v>48.639620000000072</v>
      </c>
      <c r="G227" s="45">
        <v>23.993192472508984</v>
      </c>
    </row>
    <row r="228" spans="1:7" ht="11.25" customHeight="1" x14ac:dyDescent="0.2">
      <c r="A228" s="52" t="s">
        <v>51</v>
      </c>
      <c r="B228" s="45">
        <v>0</v>
      </c>
      <c r="C228" s="45">
        <v>48.639620000000072</v>
      </c>
      <c r="D228" s="45">
        <v>0</v>
      </c>
      <c r="E228" s="45">
        <v>23.993192472508984</v>
      </c>
      <c r="F228" s="45">
        <v>48.639620000000072</v>
      </c>
      <c r="G228" s="45">
        <v>23.993192472508984</v>
      </c>
    </row>
    <row r="229" spans="1:7" ht="11.25" customHeight="1" x14ac:dyDescent="0.2">
      <c r="A229" s="53" t="s">
        <v>25</v>
      </c>
      <c r="B229" s="45">
        <v>0</v>
      </c>
      <c r="C229" s="45">
        <v>48.639620000000072</v>
      </c>
      <c r="D229" s="45">
        <v>0</v>
      </c>
      <c r="E229" s="45">
        <v>23.993192472508984</v>
      </c>
      <c r="F229" s="45">
        <v>48.639620000000072</v>
      </c>
      <c r="G229" s="45">
        <v>23.993192472508984</v>
      </c>
    </row>
    <row r="230" spans="1:7" ht="11.25" customHeight="1" x14ac:dyDescent="0.2">
      <c r="A230" s="54" t="s">
        <v>25</v>
      </c>
      <c r="B230" s="45">
        <v>0</v>
      </c>
      <c r="C230" s="45">
        <v>48.639620000000072</v>
      </c>
      <c r="D230" s="45">
        <v>0</v>
      </c>
      <c r="E230" s="45">
        <v>23.993192472508984</v>
      </c>
      <c r="F230" s="45">
        <v>48.639620000000072</v>
      </c>
      <c r="G230" s="45">
        <v>23.993192472508984</v>
      </c>
    </row>
    <row r="231" spans="1:7" ht="11.25" customHeight="1" x14ac:dyDescent="0.2">
      <c r="A231" s="55">
        <v>44409</v>
      </c>
      <c r="B231" s="45">
        <v>0</v>
      </c>
      <c r="C231" s="45">
        <v>40.959680000000063</v>
      </c>
      <c r="D231" s="45">
        <v>0</v>
      </c>
      <c r="E231" s="45">
        <v>20.204793661060197</v>
      </c>
      <c r="F231" s="45">
        <v>40.959680000000063</v>
      </c>
      <c r="G231" s="45">
        <v>20.204793661060197</v>
      </c>
    </row>
    <row r="232" spans="1:7" ht="11.25" customHeight="1" x14ac:dyDescent="0.2">
      <c r="A232" s="55">
        <v>44440</v>
      </c>
      <c r="B232" s="45">
        <v>0</v>
      </c>
      <c r="C232" s="45">
        <v>7.6799400000000118</v>
      </c>
      <c r="D232" s="45">
        <v>0</v>
      </c>
      <c r="E232" s="45">
        <v>3.7883988114487868</v>
      </c>
      <c r="F232" s="45">
        <v>7.6799400000000118</v>
      </c>
      <c r="G232" s="45">
        <v>3.7883988114487868</v>
      </c>
    </row>
    <row r="233" spans="1:7" ht="11.25" customHeight="1" x14ac:dyDescent="0.2">
      <c r="A233" s="51" t="s">
        <v>25</v>
      </c>
      <c r="B233" s="45">
        <v>0</v>
      </c>
      <c r="C233" s="45">
        <v>274107.13336000039</v>
      </c>
      <c r="D233" s="45">
        <v>0</v>
      </c>
      <c r="E233" s="45">
        <v>135212.92330808027</v>
      </c>
      <c r="F233" s="45">
        <v>274107.13336000039</v>
      </c>
      <c r="G233" s="45">
        <v>135212.92330808032</v>
      </c>
    </row>
    <row r="234" spans="1:7" ht="11.25" customHeight="1" x14ac:dyDescent="0.2">
      <c r="A234" s="52" t="s">
        <v>25</v>
      </c>
      <c r="B234" s="45">
        <v>0</v>
      </c>
      <c r="C234" s="45">
        <v>274107.13336000039</v>
      </c>
      <c r="D234" s="45">
        <v>0</v>
      </c>
      <c r="E234" s="45">
        <v>135212.92330808027</v>
      </c>
      <c r="F234" s="45">
        <v>274107.13336000039</v>
      </c>
      <c r="G234" s="45">
        <v>135212.92330808032</v>
      </c>
    </row>
    <row r="235" spans="1:7" ht="11.25" customHeight="1" x14ac:dyDescent="0.2">
      <c r="A235" s="53" t="s">
        <v>25</v>
      </c>
      <c r="B235" s="45">
        <v>0</v>
      </c>
      <c r="C235" s="45">
        <v>274107.13336000039</v>
      </c>
      <c r="D235" s="45">
        <v>0</v>
      </c>
      <c r="E235" s="45">
        <v>135212.92330808027</v>
      </c>
      <c r="F235" s="45">
        <v>274107.13336000039</v>
      </c>
      <c r="G235" s="45">
        <v>135212.92330808032</v>
      </c>
    </row>
    <row r="236" spans="1:7" ht="11.25" customHeight="1" x14ac:dyDescent="0.2">
      <c r="A236" s="54" t="s">
        <v>25</v>
      </c>
      <c r="B236" s="45">
        <v>0</v>
      </c>
      <c r="C236" s="45">
        <v>274107.13336000039</v>
      </c>
      <c r="D236" s="45">
        <v>0</v>
      </c>
      <c r="E236" s="45">
        <v>135212.92330808027</v>
      </c>
      <c r="F236" s="45">
        <v>274107.13336000039</v>
      </c>
      <c r="G236" s="45">
        <v>135212.92330808032</v>
      </c>
    </row>
    <row r="237" spans="1:7" ht="11.25" customHeight="1" x14ac:dyDescent="0.2">
      <c r="A237" s="55">
        <v>44409</v>
      </c>
      <c r="B237" s="45">
        <v>0</v>
      </c>
      <c r="C237" s="45">
        <v>22864.915560000038</v>
      </c>
      <c r="D237" s="45">
        <v>0</v>
      </c>
      <c r="E237" s="45">
        <v>11278.918706575947</v>
      </c>
      <c r="F237" s="45">
        <v>22864.915560000038</v>
      </c>
      <c r="G237" s="45">
        <v>11278.918706575947</v>
      </c>
    </row>
    <row r="238" spans="1:7" ht="11.25" customHeight="1" x14ac:dyDescent="0.2">
      <c r="A238" s="55">
        <v>44440</v>
      </c>
      <c r="B238" s="45">
        <v>0</v>
      </c>
      <c r="C238" s="45">
        <v>22854.840800000035</v>
      </c>
      <c r="D238" s="45">
        <v>0</v>
      </c>
      <c r="E238" s="45">
        <v>11273.948979102863</v>
      </c>
      <c r="F238" s="45">
        <v>22854.840800000035</v>
      </c>
      <c r="G238" s="45">
        <v>11273.948979102863</v>
      </c>
    </row>
    <row r="239" spans="1:7" ht="11.25" customHeight="1" x14ac:dyDescent="0.2">
      <c r="A239" s="55">
        <v>44470</v>
      </c>
      <c r="B239" s="45">
        <v>0</v>
      </c>
      <c r="C239" s="45">
        <v>22320.548200000037</v>
      </c>
      <c r="D239" s="45">
        <v>0</v>
      </c>
      <c r="E239" s="45">
        <v>11010.390481145081</v>
      </c>
      <c r="F239" s="45">
        <v>22320.548200000037</v>
      </c>
      <c r="G239" s="45">
        <v>11010.390481145081</v>
      </c>
    </row>
    <row r="240" spans="1:7" ht="11.25" customHeight="1" x14ac:dyDescent="0.2">
      <c r="A240" s="55">
        <v>44501</v>
      </c>
      <c r="B240" s="45">
        <v>0</v>
      </c>
      <c r="C240" s="45">
        <v>23505.406040000034</v>
      </c>
      <c r="D240" s="45">
        <v>0</v>
      </c>
      <c r="E240" s="45">
        <v>11594.863020356555</v>
      </c>
      <c r="F240" s="45">
        <v>23505.406040000034</v>
      </c>
      <c r="G240" s="45">
        <v>11594.863020356555</v>
      </c>
    </row>
    <row r="241" spans="1:7" ht="11.25" customHeight="1" x14ac:dyDescent="0.2">
      <c r="A241" s="55">
        <v>44531</v>
      </c>
      <c r="B241" s="45">
        <v>0</v>
      </c>
      <c r="C241" s="45">
        <v>23840.846000000034</v>
      </c>
      <c r="D241" s="45">
        <v>0</v>
      </c>
      <c r="E241" s="45">
        <v>11760.330503927578</v>
      </c>
      <c r="F241" s="45">
        <v>23840.846000000034</v>
      </c>
      <c r="G241" s="45">
        <v>11760.330503927578</v>
      </c>
    </row>
    <row r="242" spans="1:7" ht="11.25" customHeight="1" x14ac:dyDescent="0.2">
      <c r="A242" s="55">
        <v>44562</v>
      </c>
      <c r="B242" s="45">
        <v>0</v>
      </c>
      <c r="C242" s="45">
        <v>23794.766360000034</v>
      </c>
      <c r="D242" s="45">
        <v>0</v>
      </c>
      <c r="E242" s="45">
        <v>11737.600111058884</v>
      </c>
      <c r="F242" s="45">
        <v>23794.766360000034</v>
      </c>
      <c r="G242" s="45">
        <v>11737.600111058884</v>
      </c>
    </row>
    <row r="243" spans="1:7" ht="11.25" customHeight="1" x14ac:dyDescent="0.2">
      <c r="A243" s="55">
        <v>44593</v>
      </c>
      <c r="B243" s="45">
        <v>0</v>
      </c>
      <c r="C243" s="45">
        <v>22722.052160000036</v>
      </c>
      <c r="D243" s="45">
        <v>0</v>
      </c>
      <c r="E243" s="45">
        <v>11208.44634158878</v>
      </c>
      <c r="F243" s="45">
        <v>22722.052160000036</v>
      </c>
      <c r="G243" s="45">
        <v>11208.44634158878</v>
      </c>
    </row>
    <row r="244" spans="1:7" ht="11.25" customHeight="1" x14ac:dyDescent="0.2">
      <c r="A244" s="55">
        <v>44621</v>
      </c>
      <c r="B244" s="45">
        <v>0</v>
      </c>
      <c r="C244" s="45">
        <v>22997.951940000035</v>
      </c>
      <c r="D244" s="45">
        <v>0</v>
      </c>
      <c r="E244" s="45">
        <v>11344.5435505033</v>
      </c>
      <c r="F244" s="45">
        <v>22997.951940000035</v>
      </c>
      <c r="G244" s="45">
        <v>11344.5435505033</v>
      </c>
    </row>
    <row r="245" spans="1:7" ht="11.25" customHeight="1" x14ac:dyDescent="0.2">
      <c r="A245" s="55">
        <v>44652</v>
      </c>
      <c r="B245" s="45">
        <v>0</v>
      </c>
      <c r="C245" s="45">
        <v>22037.051060000034</v>
      </c>
      <c r="D245" s="45">
        <v>0</v>
      </c>
      <c r="E245" s="45">
        <v>10870.545608890203</v>
      </c>
      <c r="F245" s="45">
        <v>22037.051060000034</v>
      </c>
      <c r="G245" s="45">
        <v>10870.545608890203</v>
      </c>
    </row>
    <row r="246" spans="1:7" ht="11.25" customHeight="1" x14ac:dyDescent="0.2">
      <c r="A246" s="55">
        <v>44682</v>
      </c>
      <c r="B246" s="45">
        <v>0</v>
      </c>
      <c r="C246" s="45">
        <v>23506.231840000037</v>
      </c>
      <c r="D246" s="45">
        <v>0</v>
      </c>
      <c r="E246" s="45">
        <v>11595.270375067466</v>
      </c>
      <c r="F246" s="45">
        <v>23506.231840000037</v>
      </c>
      <c r="G246" s="45">
        <v>11595.270375067466</v>
      </c>
    </row>
    <row r="247" spans="1:7" ht="11.25" customHeight="1" x14ac:dyDescent="0.2">
      <c r="A247" s="55">
        <v>44713</v>
      </c>
      <c r="B247" s="45">
        <v>0</v>
      </c>
      <c r="C247" s="45">
        <v>21831.261700000032</v>
      </c>
      <c r="D247" s="45">
        <v>0</v>
      </c>
      <c r="E247" s="45">
        <v>10769.032814931812</v>
      </c>
      <c r="F247" s="45">
        <v>21831.261700000032</v>
      </c>
      <c r="G247" s="45">
        <v>10769.032814931812</v>
      </c>
    </row>
    <row r="248" spans="1:7" ht="11.25" customHeight="1" x14ac:dyDescent="0.2">
      <c r="A248" s="55">
        <v>44743</v>
      </c>
      <c r="B248" s="45">
        <v>0</v>
      </c>
      <c r="C248" s="45">
        <v>21831.261700000032</v>
      </c>
      <c r="D248" s="45">
        <v>0</v>
      </c>
      <c r="E248" s="45">
        <v>10769.032814931812</v>
      </c>
      <c r="F248" s="45">
        <v>21831.261700000032</v>
      </c>
      <c r="G248" s="45">
        <v>10769.032814931812</v>
      </c>
    </row>
    <row r="249" spans="1:7" ht="11.25" customHeight="1" x14ac:dyDescent="0.2">
      <c r="A249" s="47" t="s">
        <v>743</v>
      </c>
      <c r="B249" s="45">
        <v>0</v>
      </c>
      <c r="C249" s="45">
        <v>0</v>
      </c>
      <c r="D249" s="45">
        <v>0</v>
      </c>
      <c r="E249" s="45">
        <v>0</v>
      </c>
      <c r="F249" s="45">
        <v>0</v>
      </c>
      <c r="G249" s="45">
        <v>0</v>
      </c>
    </row>
    <row r="250" spans="1:7" ht="11.25" customHeight="1" x14ac:dyDescent="0.2">
      <c r="A250" s="48" t="s">
        <v>22</v>
      </c>
      <c r="B250" s="45">
        <v>0</v>
      </c>
      <c r="C250" s="45">
        <v>0</v>
      </c>
      <c r="D250" s="45">
        <v>0</v>
      </c>
      <c r="E250" s="45">
        <v>0</v>
      </c>
      <c r="F250" s="45">
        <v>0</v>
      </c>
      <c r="G250" s="45">
        <v>0</v>
      </c>
    </row>
    <row r="251" spans="1:7" ht="11.25" customHeight="1" x14ac:dyDescent="0.2">
      <c r="A251" s="49" t="s">
        <v>23</v>
      </c>
      <c r="B251" s="45">
        <v>0</v>
      </c>
      <c r="C251" s="45">
        <v>0</v>
      </c>
      <c r="D251" s="45">
        <v>0</v>
      </c>
      <c r="E251" s="45">
        <v>0</v>
      </c>
      <c r="F251" s="45">
        <v>0</v>
      </c>
      <c r="G251" s="45">
        <v>0</v>
      </c>
    </row>
    <row r="252" spans="1:7" ht="11.25" customHeight="1" x14ac:dyDescent="0.2">
      <c r="A252" s="50" t="s">
        <v>24</v>
      </c>
      <c r="B252" s="45">
        <v>0</v>
      </c>
      <c r="C252" s="45">
        <v>0</v>
      </c>
      <c r="D252" s="45">
        <v>0</v>
      </c>
      <c r="E252" s="45">
        <v>0</v>
      </c>
      <c r="F252" s="45">
        <v>0</v>
      </c>
      <c r="G252" s="45">
        <v>0</v>
      </c>
    </row>
    <row r="253" spans="1:7" ht="11.25" customHeight="1" x14ac:dyDescent="0.2">
      <c r="A253" s="51" t="s">
        <v>24</v>
      </c>
      <c r="B253" s="45">
        <v>0</v>
      </c>
      <c r="C253" s="45">
        <v>0</v>
      </c>
      <c r="D253" s="45">
        <v>0</v>
      </c>
      <c r="E253" s="45">
        <v>0</v>
      </c>
      <c r="F253" s="45">
        <v>0</v>
      </c>
      <c r="G253" s="45">
        <v>0</v>
      </c>
    </row>
    <row r="254" spans="1:7" ht="11.25" customHeight="1" x14ac:dyDescent="0.2">
      <c r="A254" s="52" t="s">
        <v>25</v>
      </c>
      <c r="B254" s="45">
        <v>0</v>
      </c>
      <c r="C254" s="45">
        <v>0</v>
      </c>
      <c r="D254" s="45">
        <v>0</v>
      </c>
      <c r="E254" s="45">
        <v>0</v>
      </c>
      <c r="F254" s="45">
        <v>0</v>
      </c>
      <c r="G254" s="45">
        <v>0</v>
      </c>
    </row>
    <row r="255" spans="1:7" ht="11.25" customHeight="1" x14ac:dyDescent="0.2">
      <c r="A255" s="53" t="s">
        <v>25</v>
      </c>
      <c r="B255" s="45">
        <v>0</v>
      </c>
      <c r="C255" s="45">
        <v>0</v>
      </c>
      <c r="D255" s="45">
        <v>0</v>
      </c>
      <c r="E255" s="45">
        <v>0</v>
      </c>
      <c r="F255" s="45">
        <v>0</v>
      </c>
      <c r="G255" s="45">
        <v>0</v>
      </c>
    </row>
    <row r="256" spans="1:7" ht="11.25" customHeight="1" x14ac:dyDescent="0.2">
      <c r="A256" s="54" t="s">
        <v>25</v>
      </c>
      <c r="B256" s="45">
        <v>0</v>
      </c>
      <c r="C256" s="45">
        <v>0</v>
      </c>
      <c r="D256" s="45">
        <v>0</v>
      </c>
      <c r="E256" s="45">
        <v>0</v>
      </c>
      <c r="F256" s="45">
        <v>0</v>
      </c>
      <c r="G256" s="45">
        <v>0</v>
      </c>
    </row>
    <row r="257" spans="1:7" ht="11.25" customHeight="1" x14ac:dyDescent="0.2">
      <c r="A257" s="55">
        <v>44409</v>
      </c>
      <c r="B257" s="45">
        <v>0</v>
      </c>
      <c r="C257" s="45">
        <v>0</v>
      </c>
      <c r="D257" s="45">
        <v>0</v>
      </c>
      <c r="E257" s="45">
        <v>0</v>
      </c>
      <c r="F257" s="45">
        <v>0</v>
      </c>
      <c r="G257" s="45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C3CB7-4F74-4194-87FB-3712274A2CA6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131" t="s">
        <v>810</v>
      </c>
      <c r="B1" s="156"/>
      <c r="C1" s="156"/>
      <c r="D1" s="156"/>
      <c r="E1" s="156"/>
      <c r="F1" s="156"/>
      <c r="G1" s="156"/>
      <c r="H1" s="156"/>
      <c r="I1" s="156"/>
      <c r="J1" s="156"/>
      <c r="L1" s="131" t="s">
        <v>820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</row>
    <row r="2" spans="1:22" ht="11.25" customHeight="1" x14ac:dyDescent="0.25">
      <c r="A2" s="147" t="s">
        <v>65</v>
      </c>
      <c r="B2" s="147" t="s">
        <v>66</v>
      </c>
      <c r="C2" s="147" t="s">
        <v>811</v>
      </c>
      <c r="D2" s="147" t="s">
        <v>71</v>
      </c>
      <c r="E2" s="147" t="s">
        <v>812</v>
      </c>
      <c r="F2" s="154"/>
      <c r="G2" s="154"/>
      <c r="H2" s="147" t="s">
        <v>575</v>
      </c>
      <c r="I2" s="154"/>
      <c r="J2" s="154"/>
      <c r="L2" s="147" t="s">
        <v>65</v>
      </c>
      <c r="M2" s="147" t="s">
        <v>66</v>
      </c>
      <c r="N2" s="147" t="s">
        <v>67</v>
      </c>
      <c r="O2" s="147" t="s">
        <v>68</v>
      </c>
      <c r="P2" s="147" t="s">
        <v>71</v>
      </c>
      <c r="Q2" s="147" t="s">
        <v>812</v>
      </c>
      <c r="R2" s="155"/>
      <c r="S2" s="155"/>
      <c r="T2" s="147" t="s">
        <v>575</v>
      </c>
      <c r="U2" s="155"/>
      <c r="V2" s="155"/>
    </row>
    <row r="3" spans="1:22" ht="11.25" customHeight="1" x14ac:dyDescent="0.25">
      <c r="A3" s="154"/>
      <c r="B3" s="154"/>
      <c r="C3" s="154"/>
      <c r="D3" s="154"/>
      <c r="E3" s="147" t="s">
        <v>533</v>
      </c>
      <c r="F3" s="154"/>
      <c r="G3" s="36" t="s">
        <v>561</v>
      </c>
      <c r="H3" s="147" t="s">
        <v>533</v>
      </c>
      <c r="I3" s="154"/>
      <c r="J3" s="36" t="s">
        <v>561</v>
      </c>
      <c r="L3" s="155"/>
      <c r="M3" s="155"/>
      <c r="N3" s="155"/>
      <c r="O3" s="155"/>
      <c r="P3" s="155"/>
      <c r="Q3" s="147" t="s">
        <v>533</v>
      </c>
      <c r="R3" s="155"/>
      <c r="S3" s="36" t="s">
        <v>561</v>
      </c>
      <c r="T3" s="147" t="s">
        <v>533</v>
      </c>
      <c r="U3" s="155"/>
      <c r="V3" s="36" t="s">
        <v>561</v>
      </c>
    </row>
    <row r="4" spans="1:22" ht="11.25" customHeight="1" x14ac:dyDescent="0.25">
      <c r="A4" s="154"/>
      <c r="B4" s="154"/>
      <c r="C4" s="154"/>
      <c r="D4" s="154"/>
      <c r="E4" s="36" t="s">
        <v>813</v>
      </c>
      <c r="F4" s="36" t="s">
        <v>814</v>
      </c>
      <c r="G4" s="36" t="s">
        <v>814</v>
      </c>
      <c r="H4" s="36" t="s">
        <v>813</v>
      </c>
      <c r="I4" s="36" t="s">
        <v>814</v>
      </c>
      <c r="J4" s="36" t="s">
        <v>814</v>
      </c>
      <c r="L4" s="155"/>
      <c r="M4" s="155"/>
      <c r="N4" s="155"/>
      <c r="O4" s="155"/>
      <c r="P4" s="155"/>
      <c r="Q4" s="36" t="s">
        <v>813</v>
      </c>
      <c r="R4" s="36" t="s">
        <v>814</v>
      </c>
      <c r="S4" s="36" t="s">
        <v>814</v>
      </c>
      <c r="T4" s="36" t="s">
        <v>813</v>
      </c>
      <c r="U4" s="36" t="s">
        <v>814</v>
      </c>
      <c r="V4" s="36" t="s">
        <v>814</v>
      </c>
    </row>
    <row r="5" spans="1:22" ht="11.25" customHeight="1" x14ac:dyDescent="0.25">
      <c r="A5" s="153" t="s">
        <v>38</v>
      </c>
      <c r="B5" s="153" t="s">
        <v>56</v>
      </c>
      <c r="C5" s="153" t="s">
        <v>25</v>
      </c>
      <c r="D5" s="37" t="s">
        <v>815</v>
      </c>
      <c r="E5" s="35">
        <f ca="1">ROUND('TUSD BE'!$AM$5+'TUSD BF_350'!$AM$5+'TUSD CVA'!$AM$5,2)</f>
        <v>39.79</v>
      </c>
      <c r="F5" s="35">
        <f ca="1">ROUND('TUSD BE'!$AM$7+'TUSD BF_350'!$AM$7+'TUSD CVA'!$AM$7,2)</f>
        <v>83.28</v>
      </c>
      <c r="G5" s="35">
        <f ca="1">ROUND('TE BE'!$AB$5+'TE BF_350'!$AB$5+'TE CVA'!$AB$5,2)</f>
        <v>316.98</v>
      </c>
      <c r="H5" s="35">
        <f ca="1">ROUND('TUSD BE'!$AM$5,2)</f>
        <v>54.63</v>
      </c>
      <c r="I5" s="35">
        <f ca="1">ROUND('TUSD BE'!$AM$7,2)</f>
        <v>93.6</v>
      </c>
      <c r="J5" s="35">
        <f>ROUND('TE BE'!$AB$5,2)</f>
        <v>347.53</v>
      </c>
      <c r="L5" s="150" t="s">
        <v>22</v>
      </c>
      <c r="M5" s="150" t="s">
        <v>821</v>
      </c>
      <c r="N5" s="150" t="s">
        <v>822</v>
      </c>
      <c r="O5" s="150" t="s">
        <v>822</v>
      </c>
      <c r="P5" s="37" t="s">
        <v>815</v>
      </c>
      <c r="Q5" s="35">
        <v>0</v>
      </c>
      <c r="R5" s="35">
        <f ca="1">ROUND('TUSD BE'!$AM$17+'TUSD BF_350'!$AM$17+'TUSD CVA'!$AM$17,2)</f>
        <v>776.28</v>
      </c>
      <c r="S5" s="35">
        <f ca="1">ROUND('TE BE'!$AB$8+'TE BF_350'!$AB$8+'TE CVA'!$AB$8,2)</f>
        <v>316.98</v>
      </c>
      <c r="T5" s="35">
        <v>0</v>
      </c>
      <c r="U5" s="35">
        <f ca="1">ROUND('TUSD BE'!$AM$17,2)</f>
        <v>1040.29</v>
      </c>
      <c r="V5" s="35">
        <f>ROUND('TE BE'!$AB$8,2)</f>
        <v>347.53</v>
      </c>
    </row>
    <row r="6" spans="1:22" ht="11.25" customHeight="1" x14ac:dyDescent="0.25">
      <c r="A6" s="154"/>
      <c r="B6" s="154"/>
      <c r="C6" s="154"/>
      <c r="D6" s="37" t="s">
        <v>816</v>
      </c>
      <c r="E6" s="35">
        <f ca="1">ROUND('TUSD BE'!$AM$6+'TUSD BF_350'!$AM$6+'TUSD CVA'!$AM$6,2)</f>
        <v>13.66</v>
      </c>
      <c r="F6" s="35">
        <f ca="1">ROUND('TUSD BE'!$AM$7+'TUSD BF_350'!$AM$7+'TUSD CVA'!$AM$7,2)</f>
        <v>83.28</v>
      </c>
      <c r="G6" s="35">
        <f ca="1">ROUND('TE BE'!$AB$6+'TE BF_350'!$AB$6+'TE CVA'!$AB$6,2)</f>
        <v>197.69</v>
      </c>
      <c r="H6" s="35">
        <f ca="1">ROUND('TUSD BE'!$AM$6,2)</f>
        <v>18.739999999999998</v>
      </c>
      <c r="I6" s="35">
        <f ca="1">ROUND('TUSD BE'!$AM$7,2)</f>
        <v>93.6</v>
      </c>
      <c r="J6" s="35">
        <f>ROUND('TE BE'!$AB$6,2)</f>
        <v>211.36</v>
      </c>
      <c r="L6" s="151"/>
      <c r="M6" s="151"/>
      <c r="N6" s="151"/>
      <c r="O6" s="151"/>
      <c r="P6" s="37" t="s">
        <v>823</v>
      </c>
      <c r="Q6" s="35">
        <v>0</v>
      </c>
      <c r="R6" s="35">
        <f ca="1">ROUND('TUSD BE'!$AM$18+'TUSD BF_350'!$AM$18+'TUSD CVA'!$AM$18,2)</f>
        <v>511.29</v>
      </c>
      <c r="S6" s="35">
        <f ca="1">ROUND('TE BE'!$AB$9+'TE BF_350'!$AB$9+'TE CVA'!$AB$9,2)</f>
        <v>197.69</v>
      </c>
      <c r="T6" s="35">
        <v>0</v>
      </c>
      <c r="U6" s="35">
        <f ca="1">ROUND('TUSD BE'!$AM$18,2)</f>
        <v>675.66</v>
      </c>
      <c r="V6" s="35">
        <f>ROUND('TE BE'!$AB$9,2)</f>
        <v>211.36</v>
      </c>
    </row>
    <row r="7" spans="1:22" ht="11.25" customHeight="1" x14ac:dyDescent="0.25">
      <c r="A7" s="154"/>
      <c r="B7" s="153" t="s">
        <v>817</v>
      </c>
      <c r="C7" s="153" t="s">
        <v>25</v>
      </c>
      <c r="D7" s="37" t="s">
        <v>815</v>
      </c>
      <c r="E7" s="35">
        <f ca="1">ROUND('TUSD BE'!$AM$5+'TUSD BF_350'!$AM$5+'TUSD CVA'!$AM$5,2)</f>
        <v>39.79</v>
      </c>
      <c r="F7" s="35">
        <f ca="1">ROUND('TUSD BE'!$AM$8+'TUSD BF_350'!$AM$8+'TUSD CVA'!$AM$8,2)</f>
        <v>3.96</v>
      </c>
      <c r="G7" s="35">
        <v>0</v>
      </c>
      <c r="H7" s="35">
        <f ca="1">ROUND('TUSD BE'!$AM$5,2)</f>
        <v>54.63</v>
      </c>
      <c r="I7" s="35">
        <f ca="1">ROUND('TUSD BE'!$AM$8,2)</f>
        <v>4.58</v>
      </c>
      <c r="J7" s="35">
        <v>0</v>
      </c>
      <c r="L7" s="151"/>
      <c r="M7" s="152"/>
      <c r="N7" s="152"/>
      <c r="O7" s="152"/>
      <c r="P7" s="37" t="s">
        <v>816</v>
      </c>
      <c r="Q7" s="35">
        <v>0</v>
      </c>
      <c r="R7" s="35">
        <f ca="1">ROUND('TUSD BE'!$AM$19+'TUSD BF_350'!$AM$19+'TUSD CVA'!$AM$19,2)</f>
        <v>246.31</v>
      </c>
      <c r="S7" s="35">
        <f ca="1">ROUND('TE BE'!$AB$10+'TE BF_350'!$AB$10+'TE CVA'!$AB$10,2)</f>
        <v>197.69</v>
      </c>
      <c r="T7" s="35">
        <v>0</v>
      </c>
      <c r="U7" s="35">
        <f ca="1">ROUND('TUSD BE'!$AM$19,2)</f>
        <v>311.02</v>
      </c>
      <c r="V7" s="35">
        <f>ROUND('TE BE'!$AB$10,2)</f>
        <v>211.36</v>
      </c>
    </row>
    <row r="8" spans="1:22" ht="11.25" customHeight="1" x14ac:dyDescent="0.25">
      <c r="A8" s="154"/>
      <c r="B8" s="154"/>
      <c r="C8" s="154"/>
      <c r="D8" s="37" t="s">
        <v>816</v>
      </c>
      <c r="E8" s="35">
        <f ca="1">ROUND('TUSD BE'!$AM$6+'TUSD BF_350'!$AM$6+'TUSD CVA'!$AM$6,2)</f>
        <v>13.66</v>
      </c>
      <c r="F8" s="35">
        <f ca="1">ROUND('TUSD BE'!$AM$8+'TUSD BF_350'!$AM$8+'TUSD CVA'!$AM$8,2)</f>
        <v>3.96</v>
      </c>
      <c r="G8" s="35">
        <v>0</v>
      </c>
      <c r="H8" s="35">
        <f ca="1">ROUND('TUSD BE'!$AM$6,2)</f>
        <v>18.739999999999998</v>
      </c>
      <c r="I8" s="35">
        <f ca="1">ROUND('TUSD BE'!$AM$8,2)</f>
        <v>4.58</v>
      </c>
      <c r="J8" s="35">
        <v>0</v>
      </c>
      <c r="L8" s="151"/>
      <c r="M8" s="37" t="s">
        <v>824</v>
      </c>
      <c r="N8" s="37" t="s">
        <v>822</v>
      </c>
      <c r="O8" s="37" t="s">
        <v>822</v>
      </c>
      <c r="P8" s="37" t="s">
        <v>818</v>
      </c>
      <c r="Q8" s="35">
        <v>0</v>
      </c>
      <c r="R8" s="35">
        <f ca="1">ROUND('TUSD BE'!$AM$25+'TUSD BF_350'!$AM$25+'TUSD CVA'!$AM$25,2)</f>
        <v>350.41</v>
      </c>
      <c r="S8" s="35">
        <f ca="1">ROUND('TE BE'!$AB$16+'TE BF_350'!$AB$16+'TE CVA'!$AB$16,2)</f>
        <v>207.63</v>
      </c>
      <c r="T8" s="35">
        <v>0</v>
      </c>
      <c r="U8" s="35">
        <f ca="1">ROUND('TUSD BE'!$AM$25,2)</f>
        <v>454.27</v>
      </c>
      <c r="V8" s="35">
        <f>ROUND('TE BE'!$AB$16,2)</f>
        <v>222.7</v>
      </c>
    </row>
    <row r="9" spans="1:22" ht="11.25" customHeight="1" x14ac:dyDescent="0.25">
      <c r="A9" s="154"/>
      <c r="B9" s="153" t="s">
        <v>39</v>
      </c>
      <c r="C9" s="153" t="s">
        <v>25</v>
      </c>
      <c r="D9" s="37" t="s">
        <v>818</v>
      </c>
      <c r="E9" s="35">
        <f ca="1">ROUND('TUSD BE'!$AM$10+'TUSD BF_350'!$AM$10+'TUSD CVA'!$AM$10,2)</f>
        <v>13.66</v>
      </c>
      <c r="F9" s="35">
        <v>0</v>
      </c>
      <c r="G9" s="35">
        <v>0</v>
      </c>
      <c r="H9" s="35">
        <f ca="1">ROUND('TUSD BE'!$AM$10,2)</f>
        <v>18.739999999999998</v>
      </c>
      <c r="I9" s="35">
        <v>0</v>
      </c>
      <c r="J9" s="35">
        <v>0</v>
      </c>
      <c r="L9" s="151"/>
      <c r="M9" s="37" t="s">
        <v>826</v>
      </c>
      <c r="N9" s="37" t="s">
        <v>822</v>
      </c>
      <c r="O9" s="37" t="s">
        <v>822</v>
      </c>
      <c r="P9" s="37" t="s">
        <v>818</v>
      </c>
      <c r="Q9" s="35">
        <v>0</v>
      </c>
      <c r="R9" s="35">
        <f ca="1">ROUND('TUSD BE'!$AM$20+'TUSD BF_350'!$AM$20+'TUSD CVA'!$AM$20,2)</f>
        <v>350.41</v>
      </c>
      <c r="S9" s="35">
        <f ca="1">ROUND('TE BE'!$AB$11+'TE BF_350'!$AB$11+'TE CVA'!$AB$11,2)</f>
        <v>207.63</v>
      </c>
      <c r="T9" s="35">
        <v>0</v>
      </c>
      <c r="U9" s="35">
        <f ca="1">ROUND('TUSD BE'!$AM$20,2)</f>
        <v>454.27</v>
      </c>
      <c r="V9" s="35">
        <f>ROUND('TE BE'!$AB$11,2)</f>
        <v>222.7</v>
      </c>
    </row>
    <row r="10" spans="1:22" ht="11.25" customHeight="1" x14ac:dyDescent="0.25">
      <c r="A10" s="154"/>
      <c r="B10" s="154"/>
      <c r="C10" s="154"/>
      <c r="D10" s="37" t="s">
        <v>815</v>
      </c>
      <c r="E10" s="35">
        <v>0</v>
      </c>
      <c r="F10" s="35">
        <f ca="1">ROUND('TUSD BE'!$AM$11+'TUSD BF_350'!$AM$11+'TUSD CVA'!$AM$11,2)</f>
        <v>1048.58</v>
      </c>
      <c r="G10" s="35">
        <f ca="1">ROUND('TE BE'!$AB$5+'TE BF_350'!$AB$5+'TE CVA'!$AB$5,2)</f>
        <v>316.98</v>
      </c>
      <c r="H10" s="35">
        <v>0</v>
      </c>
      <c r="I10" s="35">
        <f ca="1">ROUND('TUSD BE'!$AM$11,2)</f>
        <v>1419.23</v>
      </c>
      <c r="J10" s="35">
        <f>ROUND('TE BE'!$AB$5,2)</f>
        <v>347.53</v>
      </c>
      <c r="L10" s="151"/>
      <c r="M10" s="37" t="s">
        <v>824</v>
      </c>
      <c r="N10" s="37" t="s">
        <v>822</v>
      </c>
      <c r="O10" s="37" t="s">
        <v>825</v>
      </c>
      <c r="P10" s="37" t="s">
        <v>818</v>
      </c>
      <c r="Q10" s="35">
        <v>0</v>
      </c>
      <c r="R10" s="35">
        <f ca="1">ROUND('TUSD BE'!$AM$26+'TUSD BF_350'!$AM$26+'TUSD CVA'!$AM$26,2)</f>
        <v>258.67</v>
      </c>
      <c r="S10" s="35">
        <f ca="1">ROUND('TE BE'!$AB$17+'TE BF_350'!$AB$17+'TE CVA'!$AB$17,2)</f>
        <v>207.63</v>
      </c>
      <c r="T10" s="35">
        <v>0</v>
      </c>
      <c r="U10" s="35">
        <f ca="1">ROUND('TUSD BE'!$AM$26,2)</f>
        <v>351.05</v>
      </c>
      <c r="V10" s="35">
        <f>ROUND('TE BE'!$AB$17,2)</f>
        <v>222.7</v>
      </c>
    </row>
    <row r="11" spans="1:22" ht="11.25" customHeight="1" x14ac:dyDescent="0.25">
      <c r="A11" s="154"/>
      <c r="B11" s="154"/>
      <c r="C11" s="154"/>
      <c r="D11" s="37" t="s">
        <v>816</v>
      </c>
      <c r="E11" s="35">
        <v>0</v>
      </c>
      <c r="F11" s="35">
        <f ca="1">ROUND('TUSD BE'!$AM$12+'TUSD BF_350'!$AM$12+'TUSD CVA'!$AM$12,2)</f>
        <v>83.28</v>
      </c>
      <c r="G11" s="35">
        <f ca="1">ROUND('TE BE'!$AB$6+'TE BF_350'!$AB$6+'TE CVA'!$AB$6,2)</f>
        <v>197.69</v>
      </c>
      <c r="H11" s="35">
        <v>0</v>
      </c>
      <c r="I11" s="35">
        <f ca="1">ROUND('TUSD BE'!$AM$12,2)</f>
        <v>93.6</v>
      </c>
      <c r="J11" s="35">
        <f>ROUND('TE BE'!$AB$6,2)</f>
        <v>211.36</v>
      </c>
      <c r="L11" s="152"/>
      <c r="M11" s="37" t="s">
        <v>826</v>
      </c>
      <c r="N11" s="37" t="s">
        <v>822</v>
      </c>
      <c r="O11" s="37" t="s">
        <v>825</v>
      </c>
      <c r="P11" s="37" t="s">
        <v>818</v>
      </c>
      <c r="Q11" s="35">
        <v>0</v>
      </c>
      <c r="R11" s="35">
        <f ca="1">ROUND('TUSD BE'!$AM$21+'TUSD BF_350'!$AM$21+'TUSD CVA'!$AM$21,2)</f>
        <v>258.67</v>
      </c>
      <c r="S11" s="35">
        <f ca="1">ROUND('TE BE'!$AB$12+'TE BF_350'!$AB$12+'TE CVA'!$AB$12,2)</f>
        <v>207.63</v>
      </c>
      <c r="T11" s="35">
        <v>0</v>
      </c>
      <c r="U11" s="35">
        <f ca="1">ROUND('TUSD BE'!$AM$21,2)</f>
        <v>351.05</v>
      </c>
      <c r="V11" s="35">
        <f>ROUND('TE BE'!$AB$12,2)</f>
        <v>222.7</v>
      </c>
    </row>
    <row r="12" spans="1:22" ht="11.25" customHeight="1" x14ac:dyDescent="0.25">
      <c r="A12" s="154"/>
      <c r="B12" s="153" t="s">
        <v>819</v>
      </c>
      <c r="C12" s="153" t="s">
        <v>25</v>
      </c>
      <c r="D12" s="37" t="s">
        <v>818</v>
      </c>
      <c r="E12" s="35">
        <f ca="1">ROUND('TUSD BE'!$AM$10+'TUSD BF_350'!$AM$10+'TUSD CVA'!$AM$10,2)</f>
        <v>13.66</v>
      </c>
      <c r="F12" s="35">
        <v>0</v>
      </c>
      <c r="G12" s="35">
        <v>0</v>
      </c>
      <c r="H12" s="35">
        <f ca="1">ROUND('TUSD BE'!$AM$10,2)</f>
        <v>18.739999999999998</v>
      </c>
      <c r="I12" s="35">
        <v>0</v>
      </c>
      <c r="J12" s="35">
        <v>0</v>
      </c>
      <c r="L12" s="150" t="s">
        <v>41</v>
      </c>
      <c r="M12" s="150" t="s">
        <v>821</v>
      </c>
      <c r="N12" s="150" t="s">
        <v>827</v>
      </c>
      <c r="O12" s="150" t="s">
        <v>828</v>
      </c>
      <c r="P12" s="37" t="s">
        <v>815</v>
      </c>
      <c r="Q12" s="35">
        <v>0</v>
      </c>
      <c r="R12" s="35">
        <f ca="1">ROUND(('TUSD BE'!$AM$30+'TUSD BF_350'!$AM$30+'TUSD CVA'!$AM$30)*(1-CUSTOS!$M$38),2)</f>
        <v>740.82</v>
      </c>
      <c r="S12" s="35">
        <f ca="1">ROUND(('TE BE'!$AB$21+'TE BF_350'!$AB$21+'TE CVA'!$AB$21)*(1-CUSTOS!$M$38),2)</f>
        <v>297.95999999999998</v>
      </c>
      <c r="T12" s="35">
        <v>0</v>
      </c>
      <c r="U12" s="35">
        <f ca="1">ROUND('TUSD BE'!$AM$30*(1-CUSTOS!$M$38),2)</f>
        <v>993.18</v>
      </c>
      <c r="V12" s="35">
        <f>ROUND('TE BE'!$AB$21*(1-CUSTOS!$M$38),2)</f>
        <v>326.68</v>
      </c>
    </row>
    <row r="13" spans="1:22" ht="11.25" customHeight="1" x14ac:dyDescent="0.25">
      <c r="A13" s="154"/>
      <c r="B13" s="154"/>
      <c r="C13" s="154"/>
      <c r="D13" s="37" t="s">
        <v>815</v>
      </c>
      <c r="E13" s="35">
        <v>0</v>
      </c>
      <c r="F13" s="35">
        <f ca="1">ROUND('TUSD BE'!$AM$13+'TUSD BF_350'!$AM$13+'TUSD CVA'!$AM$13,2)</f>
        <v>969.26</v>
      </c>
      <c r="G13" s="35">
        <v>0</v>
      </c>
      <c r="H13" s="35">
        <v>0</v>
      </c>
      <c r="I13" s="35">
        <f ca="1">ROUND('TUSD BE'!$AM$13,2)</f>
        <v>1330.21</v>
      </c>
      <c r="J13" s="35">
        <v>0</v>
      </c>
      <c r="L13" s="151"/>
      <c r="M13" s="151"/>
      <c r="N13" s="151"/>
      <c r="O13" s="151"/>
      <c r="P13" s="37" t="s">
        <v>823</v>
      </c>
      <c r="Q13" s="35">
        <v>0</v>
      </c>
      <c r="R13" s="35">
        <f ca="1">ROUND(('TUSD BE'!$AM$31+'TUSD BF_350'!$AM$31+'TUSD CVA'!$AM$31)*(1-CUSTOS!$M$38),2)</f>
        <v>487.29</v>
      </c>
      <c r="S13" s="35">
        <f ca="1">ROUND(('TE BE'!$AB$22+'TE BF_350'!$AB$22+'TE CVA'!$AB$22)*(1-CUSTOS!$M$38),2)</f>
        <v>185.83</v>
      </c>
      <c r="T13" s="35">
        <v>0</v>
      </c>
      <c r="U13" s="35">
        <f ca="1">ROUND('TUSD BE'!$AM$31*(1-CUSTOS!$M$38),2)</f>
        <v>644.29999999999995</v>
      </c>
      <c r="V13" s="35">
        <f>ROUND('TE BE'!$AB$22*(1-CUSTOS!$M$38),2)</f>
        <v>198.67</v>
      </c>
    </row>
    <row r="14" spans="1:22" ht="11.25" customHeight="1" x14ac:dyDescent="0.25">
      <c r="A14" s="154"/>
      <c r="B14" s="154"/>
      <c r="C14" s="154"/>
      <c r="D14" s="37" t="s">
        <v>816</v>
      </c>
      <c r="E14" s="35">
        <v>0</v>
      </c>
      <c r="F14" s="35">
        <f ca="1">ROUND('TUSD BE'!$AM$14+'TUSD BF_350'!$AM$14+'TUSD CVA'!$AM$14,2)</f>
        <v>3.96</v>
      </c>
      <c r="G14" s="35">
        <v>0</v>
      </c>
      <c r="H14" s="35">
        <v>0</v>
      </c>
      <c r="I14" s="35">
        <f ca="1">ROUND('TUSD BE'!$AM$14,2)</f>
        <v>4.58</v>
      </c>
      <c r="J14" s="35">
        <v>0</v>
      </c>
      <c r="L14" s="151"/>
      <c r="M14" s="152"/>
      <c r="N14" s="152"/>
      <c r="O14" s="152"/>
      <c r="P14" s="37" t="s">
        <v>816</v>
      </c>
      <c r="Q14" s="35">
        <v>0</v>
      </c>
      <c r="R14" s="35">
        <f ca="1">ROUND(('TUSD BE'!$AM$32+'TUSD BF_350'!$AM$32+'TUSD CVA'!$AM$32)*(1-CUSTOS!$M$38),2)</f>
        <v>233.76</v>
      </c>
      <c r="S14" s="35">
        <f ca="1">ROUND(('TE BE'!$AB$23+'TE BF_350'!$AB$23+'TE CVA'!$AB$23)*(1-CUSTOS!$M$38),2)</f>
        <v>185.83</v>
      </c>
      <c r="T14" s="35">
        <v>0</v>
      </c>
      <c r="U14" s="35">
        <f ca="1">ROUND('TUSD BE'!$AM$32*(1-CUSTOS!$M$38),2)</f>
        <v>295.42</v>
      </c>
      <c r="V14" s="35">
        <f>ROUND('TE BE'!$AB$23*(1-CUSTOS!$M$38),2)</f>
        <v>198.67</v>
      </c>
    </row>
    <row r="15" spans="1:22" ht="11.25" customHeight="1" x14ac:dyDescent="0.25">
      <c r="A15" s="154"/>
      <c r="B15" s="37" t="s">
        <v>84</v>
      </c>
      <c r="C15" s="37" t="s">
        <v>25</v>
      </c>
      <c r="D15" s="37" t="s">
        <v>818</v>
      </c>
      <c r="E15" s="35">
        <f ca="1">ROUND('TUSD BE'!$AM$9+'TUSD BF_350'!$AM$9+'TUSD CVA'!$AM$9,2)</f>
        <v>5.34</v>
      </c>
      <c r="F15" s="35">
        <v>0</v>
      </c>
      <c r="G15" s="35">
        <v>0</v>
      </c>
      <c r="H15" s="35">
        <f ca="1">ROUND('TUSD BE'!$AM$9,2)</f>
        <v>7.38</v>
      </c>
      <c r="I15" s="35">
        <v>0</v>
      </c>
      <c r="J15" s="35">
        <v>0</v>
      </c>
      <c r="L15" s="151"/>
      <c r="M15" s="37" t="s">
        <v>824</v>
      </c>
      <c r="N15" s="37" t="s">
        <v>827</v>
      </c>
      <c r="O15" s="37" t="s">
        <v>828</v>
      </c>
      <c r="P15" s="37" t="s">
        <v>818</v>
      </c>
      <c r="Q15" s="35">
        <v>0</v>
      </c>
      <c r="R15" s="35">
        <f ca="1">ROUND(('TUSD BE'!$AM$42+'TUSD BF_350'!$AM$42+'TUSD CVA'!$AM$42)*(1-CUSTOS!$M$38),2)</f>
        <v>329.39</v>
      </c>
      <c r="S15" s="35">
        <f ca="1">ROUND(('TE BE'!$AB$33+'TE BF_350'!$AB$33+'TE CVA'!$AB$33)*(1-CUSTOS!$M$38),2)</f>
        <v>195.17</v>
      </c>
      <c r="T15" s="35">
        <v>0</v>
      </c>
      <c r="U15" s="35">
        <f ca="1">ROUND(('TUSD BE'!$AM$42)*(1-CUSTOS!$M$38),2)</f>
        <v>427.01</v>
      </c>
      <c r="V15" s="35">
        <f>ROUND(('TE BE'!$AB$33)*(1-CUSTOS!$M$38),2)</f>
        <v>209.34</v>
      </c>
    </row>
    <row r="16" spans="1:22" ht="11.25" customHeight="1" x14ac:dyDescent="0.25">
      <c r="L16" s="151"/>
      <c r="M16" s="37" t="s">
        <v>826</v>
      </c>
      <c r="N16" s="37" t="s">
        <v>827</v>
      </c>
      <c r="O16" s="37" t="s">
        <v>828</v>
      </c>
      <c r="P16" s="37" t="s">
        <v>818</v>
      </c>
      <c r="Q16" s="35">
        <v>0</v>
      </c>
      <c r="R16" s="35">
        <f ca="1">ROUND(('TUSD BE'!$AM$33+'TUSD BF_350'!$AM$33+'TUSD CVA'!$AM$33)*(1-CUSTOS!$M$38),2)</f>
        <v>329.39</v>
      </c>
      <c r="S16" s="35">
        <f ca="1">ROUND(('TE BE'!$AB$24+'TE BF_350'!$AB$24+'TE CVA'!$AB$24)*(1-CUSTOS!$M$38),2)</f>
        <v>195.17</v>
      </c>
      <c r="T16" s="35">
        <v>0</v>
      </c>
      <c r="U16" s="35">
        <f ca="1">ROUND(('TUSD BE'!$AM$33)*(1-CUSTOS!$M$38),2)</f>
        <v>427.01</v>
      </c>
      <c r="V16" s="35">
        <f>ROUND(('TE BE'!$AB$24)*(1-CUSTOS!$M$38),2)</f>
        <v>209.34</v>
      </c>
    </row>
    <row r="17" spans="12:22" ht="11.25" customHeight="1" x14ac:dyDescent="0.25">
      <c r="L17" s="151"/>
      <c r="M17" s="150" t="s">
        <v>821</v>
      </c>
      <c r="N17" s="150" t="s">
        <v>827</v>
      </c>
      <c r="O17" s="150" t="s">
        <v>829</v>
      </c>
      <c r="P17" s="37" t="s">
        <v>815</v>
      </c>
      <c r="Q17" s="35">
        <v>0</v>
      </c>
      <c r="R17" s="35">
        <f ca="1">ROUND(('TUSD BE'!$AM$34+'TUSD BF_350'!$AM$34+'TUSD CVA'!$AM$34)*(1-CUSTOS!$M$39),2)</f>
        <v>740.82</v>
      </c>
      <c r="S17" s="35">
        <f ca="1">ROUND(('TE BE'!$AB$25+'TE BF_350'!$AB$25+'TE CVA'!$AB$25)*(1-CUSTOS!$M$39),2)</f>
        <v>297.95999999999998</v>
      </c>
      <c r="T17" s="35">
        <v>0</v>
      </c>
      <c r="U17" s="35">
        <f ca="1">ROUND('TUSD BE'!$AM$34*(1-CUSTOS!$M$39),2)</f>
        <v>993.18</v>
      </c>
      <c r="V17" s="35">
        <f>ROUND('TE BE'!$AB$25*(1-CUSTOS!$M$39),2)</f>
        <v>326.68</v>
      </c>
    </row>
    <row r="18" spans="12:22" ht="11.25" customHeight="1" x14ac:dyDescent="0.25">
      <c r="L18" s="151"/>
      <c r="M18" s="151"/>
      <c r="N18" s="151"/>
      <c r="O18" s="151"/>
      <c r="P18" s="37" t="s">
        <v>823</v>
      </c>
      <c r="Q18" s="35">
        <v>0</v>
      </c>
      <c r="R18" s="35">
        <f ca="1">ROUND(('TUSD BE'!$AM$35+'TUSD BF_350'!$AM$35+'TUSD CVA'!$AM$35)*(1-CUSTOS!$M$39),2)</f>
        <v>487.29</v>
      </c>
      <c r="S18" s="35">
        <f ca="1">ROUND(('TE BE'!$AB$26+'TE BF_350'!$AB$26+'TE CVA'!$AB$26)*(1-CUSTOS!$M$39),2)</f>
        <v>185.83</v>
      </c>
      <c r="T18" s="35">
        <v>0</v>
      </c>
      <c r="U18" s="35">
        <f ca="1">ROUND('TUSD BE'!$AM$35*(1-CUSTOS!$M$39),2)</f>
        <v>644.29999999999995</v>
      </c>
      <c r="V18" s="35">
        <f>ROUND('TE BE'!$AB$26*(1-CUSTOS!$M$39),2)</f>
        <v>198.67</v>
      </c>
    </row>
    <row r="19" spans="12:22" ht="11.25" customHeight="1" x14ac:dyDescent="0.25">
      <c r="L19" s="151"/>
      <c r="M19" s="152"/>
      <c r="N19" s="152"/>
      <c r="O19" s="152"/>
      <c r="P19" s="37" t="s">
        <v>816</v>
      </c>
      <c r="Q19" s="35">
        <v>0</v>
      </c>
      <c r="R19" s="35">
        <f ca="1">ROUND(('TUSD BE'!$AM$36+'TUSD BF_350'!$AM$36+'TUSD CVA'!$AM$36)*(1-CUSTOS!$M$39),2)</f>
        <v>233.76</v>
      </c>
      <c r="S19" s="35">
        <f ca="1">ROUND(('TE BE'!$AB$27+'TE BF_350'!$AB$27+'TE CVA'!$AB$27)*(1-CUSTOS!$M$39),2)</f>
        <v>185.83</v>
      </c>
      <c r="T19" s="35">
        <v>0</v>
      </c>
      <c r="U19" s="35">
        <f ca="1">ROUND('TUSD BE'!$AM$36*(1-CUSTOS!$M$39),2)</f>
        <v>295.42</v>
      </c>
      <c r="V19" s="35">
        <f>ROUND('TE BE'!$AB$27*(1-CUSTOS!$M$39),2)</f>
        <v>198.67</v>
      </c>
    </row>
    <row r="20" spans="12:22" ht="11.25" customHeight="1" x14ac:dyDescent="0.25">
      <c r="L20" s="151"/>
      <c r="M20" s="37" t="s">
        <v>824</v>
      </c>
      <c r="N20" s="37" t="s">
        <v>827</v>
      </c>
      <c r="O20" s="37" t="s">
        <v>829</v>
      </c>
      <c r="P20" s="37" t="s">
        <v>818</v>
      </c>
      <c r="Q20" s="35">
        <v>0</v>
      </c>
      <c r="R20" s="35">
        <f ca="1">ROUND(('TUSD BE'!$AM$42+'TUSD BF_350'!$AM$42+'TUSD CVA'!$AM$42)*(1-CUSTOS!$M$39),2)</f>
        <v>329.39</v>
      </c>
      <c r="S20" s="35">
        <f ca="1">ROUND(('TE BE'!$AB$33+'TE BF_350'!$AB$33+'TE CVA'!$AB$33)*(1-CUSTOS!$M$39),2)</f>
        <v>195.17</v>
      </c>
      <c r="T20" s="35">
        <v>0</v>
      </c>
      <c r="U20" s="35">
        <f ca="1">ROUND(('TUSD BE'!$AM$42)*(1-CUSTOS!$M$39),2)</f>
        <v>427.01</v>
      </c>
      <c r="V20" s="35">
        <f>ROUND(('TE BE'!$AB$33)*(1-CUSTOS!$M$39),2)</f>
        <v>209.34</v>
      </c>
    </row>
    <row r="21" spans="12:22" ht="11.25" customHeight="1" x14ac:dyDescent="0.25">
      <c r="L21" s="151"/>
      <c r="M21" s="37" t="s">
        <v>826</v>
      </c>
      <c r="N21" s="37" t="s">
        <v>827</v>
      </c>
      <c r="O21" s="37" t="s">
        <v>829</v>
      </c>
      <c r="P21" s="37" t="s">
        <v>818</v>
      </c>
      <c r="Q21" s="35">
        <v>0</v>
      </c>
      <c r="R21" s="35">
        <f ca="1">ROUND(('TUSD BE'!$AM$33+'TUSD BF_350'!$AM$33+'TUSD CVA'!$AM$33)*(1-CUSTOS!$M$39),2)</f>
        <v>329.39</v>
      </c>
      <c r="S21" s="35">
        <f ca="1">ROUND(('TE BE'!$AB$24+'TE BF_350'!$AB$24+'TE CVA'!$AB$24)*(1-CUSTOS!$M$39),2)</f>
        <v>195.17</v>
      </c>
      <c r="T21" s="35">
        <v>0</v>
      </c>
      <c r="U21" s="35">
        <f ca="1">ROUND(('TUSD BE'!$AM$33)*(1-CUSTOS!$M$39),2)</f>
        <v>427.01</v>
      </c>
      <c r="V21" s="35">
        <f>ROUND(('TE BE'!$AB$24)*(1-CUSTOS!$M$39),2)</f>
        <v>209.34</v>
      </c>
    </row>
    <row r="22" spans="12:22" ht="11.25" customHeight="1" x14ac:dyDescent="0.25">
      <c r="L22" s="151"/>
      <c r="M22" s="150" t="s">
        <v>821</v>
      </c>
      <c r="N22" s="150" t="s">
        <v>827</v>
      </c>
      <c r="O22" s="150" t="s">
        <v>830</v>
      </c>
      <c r="P22" s="37" t="s">
        <v>815</v>
      </c>
      <c r="Q22" s="35">
        <v>0</v>
      </c>
      <c r="R22" s="35">
        <f ca="1">ROUND(('TUSD BE'!$AM$38+'TUSD BF_350'!$AM$38+'TUSD CVA'!$AM$38)*(1-CUSTOS!$M$40),2)</f>
        <v>725.06</v>
      </c>
      <c r="S22" s="35">
        <f ca="1">ROUND(('TE BE'!$AB$29+'TE BF_350'!$AB$29+'TE CVA'!$AB$29)*(1-CUSTOS!$M$40),2)</f>
        <v>291.62</v>
      </c>
      <c r="T22" s="35">
        <v>0</v>
      </c>
      <c r="U22" s="35">
        <f ca="1">ROUND('TUSD BE'!$AM$38*(1-CUSTOS!$M$40),2)</f>
        <v>972.05</v>
      </c>
      <c r="V22" s="35">
        <f>ROUND('TE BE'!$AB$29*(1-CUSTOS!$M$40),2)</f>
        <v>319.73</v>
      </c>
    </row>
    <row r="23" spans="12:22" ht="11.25" customHeight="1" x14ac:dyDescent="0.25">
      <c r="L23" s="151"/>
      <c r="M23" s="151"/>
      <c r="N23" s="151"/>
      <c r="O23" s="151"/>
      <c r="P23" s="37" t="s">
        <v>823</v>
      </c>
      <c r="Q23" s="35">
        <v>0</v>
      </c>
      <c r="R23" s="35">
        <f ca="1">ROUND(('TUSD BE'!$AM$39+'TUSD BF_350'!$AM$39+'TUSD CVA'!$AM$39)*(1-CUSTOS!$M$40),2)</f>
        <v>476.92</v>
      </c>
      <c r="S23" s="35">
        <f ca="1">ROUND(('TE BE'!$AB$30+'TE BF_350'!$AB$30+'TE CVA'!$AB$30)*(1-CUSTOS!$M$40),2)</f>
        <v>181.87</v>
      </c>
      <c r="T23" s="35">
        <v>0</v>
      </c>
      <c r="U23" s="35">
        <f ca="1">ROUND('TUSD BE'!$AM$39*(1-CUSTOS!$M$40),2)</f>
        <v>630.59</v>
      </c>
      <c r="V23" s="35">
        <f>ROUND('TE BE'!$AB$30*(1-CUSTOS!$M$40),2)</f>
        <v>194.45</v>
      </c>
    </row>
    <row r="24" spans="12:22" ht="11.25" customHeight="1" x14ac:dyDescent="0.25">
      <c r="L24" s="151"/>
      <c r="M24" s="152"/>
      <c r="N24" s="152"/>
      <c r="O24" s="152"/>
      <c r="P24" s="37" t="s">
        <v>816</v>
      </c>
      <c r="Q24" s="35">
        <v>0</v>
      </c>
      <c r="R24" s="35">
        <f ca="1">ROUND(('TUSD BE'!$AM$40+'TUSD BF_350'!$AM$40+'TUSD CVA'!$AM$40)*(1-CUSTOS!$M$40),2)</f>
        <v>228.78</v>
      </c>
      <c r="S24" s="35">
        <f ca="1">ROUND(('TE BE'!$AB$31+'TE BF_350'!$AB$31+'TE CVA'!$AB$31)*(1-CUSTOS!$M$40),2)</f>
        <v>181.87</v>
      </c>
      <c r="T24" s="35">
        <v>0</v>
      </c>
      <c r="U24" s="35">
        <f ca="1">ROUND('TUSD BE'!$AM$40*(1-CUSTOS!$M$40),2)</f>
        <v>289.13</v>
      </c>
      <c r="V24" s="35">
        <f>ROUND('TE BE'!$AB$31*(1-CUSTOS!$M$40),2)</f>
        <v>194.45</v>
      </c>
    </row>
    <row r="25" spans="12:22" ht="11.25" customHeight="1" x14ac:dyDescent="0.25">
      <c r="L25" s="151"/>
      <c r="M25" s="37" t="s">
        <v>824</v>
      </c>
      <c r="N25" s="37" t="s">
        <v>827</v>
      </c>
      <c r="O25" s="37" t="s">
        <v>830</v>
      </c>
      <c r="P25" s="37" t="s">
        <v>818</v>
      </c>
      <c r="Q25" s="35">
        <v>0</v>
      </c>
      <c r="R25" s="35">
        <f ca="1">ROUND(('TUSD BE'!$AM$42+'TUSD BF_350'!$AM$42+'TUSD CVA'!$AM$42)*(1-CUSTOS!$M$40),2)</f>
        <v>322.38</v>
      </c>
      <c r="S25" s="35">
        <f ca="1">ROUND(('TE BE'!$AB$33+'TE BF_350'!$AB$33+'TE CVA'!$AB$33)*(1-CUSTOS!$M$40),2)</f>
        <v>191.02</v>
      </c>
      <c r="T25" s="35">
        <v>0</v>
      </c>
      <c r="U25" s="35">
        <f ca="1">ROUND(('TUSD BE'!$AM$42)*(1-CUSTOS!$M$40),2)</f>
        <v>417.93</v>
      </c>
      <c r="V25" s="35">
        <f>ROUND(('TE BE'!$AB$33)*(1-CUSTOS!$M$40),2)</f>
        <v>204.89</v>
      </c>
    </row>
    <row r="26" spans="12:22" ht="11.25" customHeight="1" x14ac:dyDescent="0.25">
      <c r="L26" s="152"/>
      <c r="M26" s="37" t="s">
        <v>826</v>
      </c>
      <c r="N26" s="37" t="s">
        <v>827</v>
      </c>
      <c r="O26" s="37" t="s">
        <v>830</v>
      </c>
      <c r="P26" s="37" t="s">
        <v>818</v>
      </c>
      <c r="Q26" s="35">
        <v>0</v>
      </c>
      <c r="R26" s="35">
        <f ca="1">ROUND(('TUSD BE'!$AM$33+'TUSD BF_350'!$AM$33+'TUSD CVA'!$AM$33)*(1-CUSTOS!$M$40),2)</f>
        <v>322.38</v>
      </c>
      <c r="S26" s="35">
        <f ca="1">ROUND(('TE BE'!$AB$24+'TE BF_350'!$AB$24+'TE CVA'!$AB$24)*(1-CUSTOS!$M$40),2)</f>
        <v>191.02</v>
      </c>
      <c r="T26" s="35">
        <v>0</v>
      </c>
      <c r="U26" s="35">
        <f ca="1">ROUND(('TUSD BE'!$AM$33)*(1-CUSTOS!$M$40),2)</f>
        <v>417.93</v>
      </c>
      <c r="V26" s="35">
        <f>ROUND(('TE BE'!$AB$24)*(1-CUSTOS!$M$40),2)</f>
        <v>204.89</v>
      </c>
    </row>
    <row r="27" spans="12:22" ht="11.25" customHeight="1" x14ac:dyDescent="0.25">
      <c r="L27" s="150" t="s">
        <v>36</v>
      </c>
      <c r="M27" s="150" t="s">
        <v>821</v>
      </c>
      <c r="N27" s="150" t="s">
        <v>818</v>
      </c>
      <c r="O27" s="150" t="s">
        <v>818</v>
      </c>
      <c r="P27" s="37" t="s">
        <v>815</v>
      </c>
      <c r="Q27" s="35">
        <v>0</v>
      </c>
      <c r="R27" s="35">
        <f ca="1">ROUND(('TUSD BE'!$AM$45+'TUSD BF_350'!$AM$45+'TUSD CVA'!$AM$45)*(1-CUSTOS!$M$31),2)</f>
        <v>894.57</v>
      </c>
      <c r="S27" s="35">
        <f ca="1">ROUND(('TE BE'!$AB$36+'TE BF_350'!$AB$36+'TE CVA'!$AB$36)*(1-CUSTOS!$M$31),2)</f>
        <v>316.98</v>
      </c>
      <c r="T27" s="35">
        <v>0</v>
      </c>
      <c r="U27" s="35">
        <f ca="1">ROUND('TUSD BE'!$AM$45*(1-CUSTOS!$M$31),2)</f>
        <v>1203.08</v>
      </c>
      <c r="V27" s="35">
        <f>ROUND('TE BE'!$AB$36*(1-CUSTOS!$M$31),2)</f>
        <v>347.53</v>
      </c>
    </row>
    <row r="28" spans="12:22" ht="11.25" customHeight="1" x14ac:dyDescent="0.25">
      <c r="L28" s="151"/>
      <c r="M28" s="151"/>
      <c r="N28" s="151"/>
      <c r="O28" s="151"/>
      <c r="P28" s="37" t="s">
        <v>823</v>
      </c>
      <c r="Q28" s="35">
        <v>0</v>
      </c>
      <c r="R28" s="35">
        <f ca="1">ROUND(('TUSD BE'!$AM$46+'TUSD BF_350'!$AM$46+'TUSD CVA'!$AM$46)*(1-CUSTOS!$M$31),2)</f>
        <v>582.27</v>
      </c>
      <c r="S28" s="35">
        <f ca="1">ROUND(('TE BE'!$AB$37+'TE BF_350'!$AB$37+'TE CVA'!$AB$37)*(1-CUSTOS!$M$31),2)</f>
        <v>197.69</v>
      </c>
      <c r="T28" s="35">
        <v>0</v>
      </c>
      <c r="U28" s="35">
        <f ca="1">ROUND('TUSD BE'!$AM$46*(1-CUSTOS!$M$31),2)</f>
        <v>773.33</v>
      </c>
      <c r="V28" s="35">
        <f>ROUND('TE BE'!$AB$37*(1-CUSTOS!$M$31),2)</f>
        <v>211.36</v>
      </c>
    </row>
    <row r="29" spans="12:22" ht="11.25" customHeight="1" x14ac:dyDescent="0.25">
      <c r="L29" s="151"/>
      <c r="M29" s="152"/>
      <c r="N29" s="152"/>
      <c r="O29" s="152"/>
      <c r="P29" s="37" t="s">
        <v>816</v>
      </c>
      <c r="Q29" s="35">
        <v>0</v>
      </c>
      <c r="R29" s="35">
        <f ca="1">ROUND(('TUSD BE'!$AM$47+'TUSD BF_350'!$AM$47+'TUSD CVA'!$AM$47)*(1-CUSTOS!$M$31),2)</f>
        <v>269.97000000000003</v>
      </c>
      <c r="S29" s="35">
        <f ca="1">ROUND(('TE BE'!$AB$38+'TE BF_350'!$AB$38+'TE CVA'!$AB$38)*(1-CUSTOS!$M$31),2)</f>
        <v>197.69</v>
      </c>
      <c r="T29" s="35">
        <v>0</v>
      </c>
      <c r="U29" s="35">
        <f ca="1">ROUND('TUSD BE'!$AM$47*(1-CUSTOS!$M$31),2)</f>
        <v>343.57</v>
      </c>
      <c r="V29" s="35">
        <f>ROUND('TE BE'!$AB$38*(1-CUSTOS!$M$31),2)</f>
        <v>211.36</v>
      </c>
    </row>
    <row r="30" spans="12:22" ht="11.25" customHeight="1" x14ac:dyDescent="0.25">
      <c r="L30" s="151"/>
      <c r="M30" s="37" t="s">
        <v>824</v>
      </c>
      <c r="N30" s="37" t="s">
        <v>818</v>
      </c>
      <c r="O30" s="37" t="s">
        <v>818</v>
      </c>
      <c r="P30" s="37" t="s">
        <v>818</v>
      </c>
      <c r="Q30" s="35">
        <v>0</v>
      </c>
      <c r="R30" s="35">
        <f ca="1">ROUND(('TUSD BE'!$AM$49+'TUSD BF_350'!$AM$49+'TUSD CVA'!$AM$49)*(1-CUSTOS!$M$31),2)</f>
        <v>350.41</v>
      </c>
      <c r="S30" s="35">
        <f ca="1">ROUND(('TE BE'!$AB$40+'TE BF_350'!$AB$40+'TE CVA'!$AB$40)*(1-CUSTOS!$M$31),2)</f>
        <v>207.63</v>
      </c>
      <c r="T30" s="35">
        <v>0</v>
      </c>
      <c r="U30" s="35">
        <f ca="1">ROUND(('TUSD BE'!$AM$49)*(1-CUSTOS!$M$31),2)</f>
        <v>454.27</v>
      </c>
      <c r="V30" s="35">
        <f>ROUND(('TE BE'!$AB$40)*(1-CUSTOS!$M$31),2)</f>
        <v>222.7</v>
      </c>
    </row>
    <row r="31" spans="12:22" ht="11.25" customHeight="1" x14ac:dyDescent="0.25">
      <c r="L31" s="152"/>
      <c r="M31" s="37" t="s">
        <v>826</v>
      </c>
      <c r="N31" s="37" t="s">
        <v>818</v>
      </c>
      <c r="O31" s="37" t="s">
        <v>818</v>
      </c>
      <c r="P31" s="37" t="s">
        <v>818</v>
      </c>
      <c r="Q31" s="35">
        <v>0</v>
      </c>
      <c r="R31" s="35">
        <f ca="1">ROUND(('TUSD BE'!$AM$48+'TUSD BF_350'!$AM$48+'TUSD CVA'!$AM$48)*(1-CUSTOS!$M$31),2)</f>
        <v>350.41</v>
      </c>
      <c r="S31" s="35">
        <f ca="1">ROUND(('TE BE'!$AB$39+'TE BF_350'!$AB$39+'TE CVA'!$AB$39)*(1-CUSTOS!$M$31),2)</f>
        <v>207.63</v>
      </c>
      <c r="T31" s="35">
        <v>0</v>
      </c>
      <c r="U31" s="35">
        <f ca="1">ROUND(('TUSD BE'!$AM$48)*(1-CUSTOS!$M$31),2)</f>
        <v>454.27</v>
      </c>
      <c r="V31" s="35">
        <f>ROUND(('TE BE'!$AB$39)*(1-CUSTOS!$M$31),2)</f>
        <v>222.7</v>
      </c>
    </row>
    <row r="32" spans="12:22" ht="11.25" customHeight="1" x14ac:dyDescent="0.25">
      <c r="L32" s="150" t="s">
        <v>44</v>
      </c>
      <c r="M32" s="150" t="s">
        <v>826</v>
      </c>
      <c r="N32" s="150" t="s">
        <v>831</v>
      </c>
      <c r="O32" s="37" t="s">
        <v>832</v>
      </c>
      <c r="P32" s="37" t="s">
        <v>818</v>
      </c>
      <c r="Q32" s="35">
        <v>0</v>
      </c>
      <c r="R32" s="35">
        <f ca="1">ROUND(('TUSD BE'!$AM$50+'TUSD BF_350'!$AM$50+'TUSD CVA'!$AM$50),2)</f>
        <v>192.73</v>
      </c>
      <c r="S32" s="35">
        <f ca="1">ROUND(('TE BE'!$AB$41+'TE BF_350'!$AB$41+'TE CVA'!$AB$41),2)</f>
        <v>114.2</v>
      </c>
      <c r="T32" s="35">
        <v>0</v>
      </c>
      <c r="U32" s="35">
        <f ca="1">ROUND(('TUSD BE'!$AM$50),2)</f>
        <v>249.85</v>
      </c>
      <c r="V32" s="35">
        <f>ROUND(('TE BE'!$AB$41),2)</f>
        <v>122.49</v>
      </c>
    </row>
    <row r="33" spans="12:22" ht="11.25" customHeight="1" x14ac:dyDescent="0.25">
      <c r="L33" s="152"/>
      <c r="M33" s="152"/>
      <c r="N33" s="152"/>
      <c r="O33" s="37" t="s">
        <v>833</v>
      </c>
      <c r="P33" s="37" t="s">
        <v>818</v>
      </c>
      <c r="Q33" s="35">
        <v>0</v>
      </c>
      <c r="R33" s="35">
        <f ca="1">ROUND(('TUSD BE'!$AM$51+'TUSD BF_350'!$AM$51+'TUSD CVA'!$AM$51),2)</f>
        <v>210.25</v>
      </c>
      <c r="S33" s="35">
        <f ca="1">ROUND(('TE BE'!$AB$42+'TE BF_350'!$AB$42+'TE CVA'!$AB$42),2)</f>
        <v>124.58</v>
      </c>
      <c r="T33" s="35">
        <v>0</v>
      </c>
      <c r="U33" s="35">
        <f ca="1">ROUND(('TUSD BE'!$AM$51),2)</f>
        <v>272.56</v>
      </c>
      <c r="V33" s="35">
        <f>ROUND(('TE BE'!$AB$42),2)</f>
        <v>133.62</v>
      </c>
    </row>
    <row r="34" spans="12:22" ht="11.25" customHeight="1" x14ac:dyDescent="0.25">
      <c r="L34" s="150" t="s">
        <v>85</v>
      </c>
      <c r="M34" s="150" t="s">
        <v>834</v>
      </c>
      <c r="N34" s="37" t="s">
        <v>86</v>
      </c>
      <c r="O34" s="37" t="s">
        <v>818</v>
      </c>
      <c r="P34" s="37" t="s">
        <v>818</v>
      </c>
      <c r="Q34" s="35">
        <f ca="1">ROUND(('TUSD BE'!$AM$15+'TUSD BF_350'!$AM$15+'TUSD CVA'!$AM$15),2)</f>
        <v>4.3600000000000003</v>
      </c>
      <c r="R34" s="35">
        <v>0</v>
      </c>
      <c r="S34" s="35">
        <v>0</v>
      </c>
      <c r="T34" s="35">
        <f ca="1">ROUND(('TUSD BE'!$AM$15),2)</f>
        <v>6.02</v>
      </c>
      <c r="U34" s="35">
        <v>0</v>
      </c>
      <c r="V34" s="35">
        <v>0</v>
      </c>
    </row>
    <row r="35" spans="12:22" ht="11.25" customHeight="1" x14ac:dyDescent="0.25">
      <c r="L35" s="152"/>
      <c r="M35" s="152"/>
      <c r="N35" s="37" t="s">
        <v>87</v>
      </c>
      <c r="O35" s="37" t="s">
        <v>818</v>
      </c>
      <c r="P35" s="37" t="s">
        <v>818</v>
      </c>
      <c r="Q35" s="35">
        <f ca="1">ROUND(('TUSD BE'!$AM$16+'TUSD BF_350'!$AM$16+'TUSD CVA'!$AM$16),2)</f>
        <v>10.42</v>
      </c>
      <c r="R35" s="35">
        <v>0</v>
      </c>
      <c r="S35" s="35">
        <v>0</v>
      </c>
      <c r="T35" s="35">
        <f ca="1">ROUND(('TUSD BE'!$AM$16),2)</f>
        <v>14.4</v>
      </c>
      <c r="U35" s="35">
        <v>0</v>
      </c>
      <c r="V35" s="35">
        <v>0</v>
      </c>
    </row>
  </sheetData>
  <mergeCells count="51"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L27:L31"/>
    <mergeCell ref="L32:L33"/>
    <mergeCell ref="L34:L35"/>
    <mergeCell ref="M32:M33"/>
    <mergeCell ref="M34:M35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00C93-0141-4B85-9FE4-D74432A91B4E}">
  <dimension ref="A1:AN475"/>
  <sheetViews>
    <sheetView showGridLines="0" topLeftCell="AB1" workbookViewId="0">
      <selection sqref="A1:O475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9.4257812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60" t="s">
        <v>8</v>
      </c>
      <c r="J1" s="36" t="s">
        <v>781</v>
      </c>
      <c r="K1" s="36" t="s">
        <v>782</v>
      </c>
      <c r="L1" s="36" t="s">
        <v>783</v>
      </c>
      <c r="M1" s="36" t="s">
        <v>784</v>
      </c>
      <c r="N1" s="36" t="s">
        <v>785</v>
      </c>
      <c r="O1" s="36" t="s">
        <v>786</v>
      </c>
      <c r="P1" s="7"/>
      <c r="Q1" s="147" t="s">
        <v>787</v>
      </c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  <c r="AI1" s="155"/>
      <c r="AJ1" s="155"/>
      <c r="AL1" s="40" t="s">
        <v>808</v>
      </c>
      <c r="AM1" s="40" t="s">
        <v>62</v>
      </c>
      <c r="AN1" s="40" t="s">
        <v>809</v>
      </c>
    </row>
    <row r="2" spans="1:40" ht="11.25" customHeight="1" x14ac:dyDescent="0.2">
      <c r="A2" s="41" t="s">
        <v>21</v>
      </c>
      <c r="B2" s="41" t="s">
        <v>38</v>
      </c>
      <c r="C2" s="41" t="s">
        <v>56</v>
      </c>
      <c r="D2" s="41" t="s">
        <v>37</v>
      </c>
      <c r="E2" s="41" t="s">
        <v>25</v>
      </c>
      <c r="F2" s="41" t="s">
        <v>57</v>
      </c>
      <c r="G2" s="41" t="s">
        <v>25</v>
      </c>
      <c r="H2" s="41" t="s">
        <v>34</v>
      </c>
      <c r="I2" s="61">
        <v>44409</v>
      </c>
      <c r="J2" s="62">
        <f ca="1">EFEITO!$J$2*EFEITO!$Y$2</f>
        <v>97699.644344490443</v>
      </c>
      <c r="K2" s="62">
        <f ca="1">EFEITO!$L$2*EFEITO!$Z$2</f>
        <v>0</v>
      </c>
      <c r="L2" s="62">
        <f>EFEITO!$N$2*EFEITO!$AA$2</f>
        <v>0</v>
      </c>
      <c r="M2" s="62">
        <f ca="1">$J$2-EFEITO!$K$2*EFEITO!$Y$2</f>
        <v>48849.822172245222</v>
      </c>
      <c r="N2" s="62">
        <f ca="1">$K$2-EFEITO!$M$2*EFEITO!$Z$2</f>
        <v>0</v>
      </c>
      <c r="O2" s="62">
        <f>$L$2-EFEITO!$O$2*EFEITO!$AA$2</f>
        <v>0</v>
      </c>
      <c r="P2" s="45"/>
      <c r="Q2" s="34" t="s">
        <v>65</v>
      </c>
      <c r="R2" s="34" t="s">
        <v>789</v>
      </c>
      <c r="S2" s="34" t="s">
        <v>790</v>
      </c>
      <c r="T2" s="34" t="s">
        <v>791</v>
      </c>
      <c r="U2" s="34" t="s">
        <v>792</v>
      </c>
      <c r="V2" s="34" t="s">
        <v>793</v>
      </c>
      <c r="W2" s="34" t="s">
        <v>794</v>
      </c>
      <c r="X2" s="63" t="s">
        <v>795</v>
      </c>
      <c r="Y2" s="63" t="s">
        <v>796</v>
      </c>
      <c r="Z2" s="63" t="s">
        <v>797</v>
      </c>
      <c r="AA2" s="63" t="s">
        <v>798</v>
      </c>
      <c r="AB2" s="63" t="s">
        <v>799</v>
      </c>
      <c r="AC2" s="63" t="s">
        <v>800</v>
      </c>
      <c r="AD2" s="63" t="s">
        <v>801</v>
      </c>
      <c r="AE2" s="63" t="s">
        <v>802</v>
      </c>
      <c r="AF2" s="63" t="s">
        <v>803</v>
      </c>
      <c r="AG2" s="63" t="s">
        <v>804</v>
      </c>
      <c r="AH2" s="63" t="s">
        <v>805</v>
      </c>
      <c r="AI2" s="63" t="s">
        <v>806</v>
      </c>
      <c r="AJ2" s="63" t="s">
        <v>807</v>
      </c>
      <c r="AL2" s="41"/>
      <c r="AM2" s="41"/>
      <c r="AN2" s="41"/>
    </row>
    <row r="3" spans="1:40" ht="11.25" customHeight="1" x14ac:dyDescent="0.2">
      <c r="A3" s="41" t="s">
        <v>21</v>
      </c>
      <c r="B3" s="41" t="s">
        <v>38</v>
      </c>
      <c r="C3" s="41" t="s">
        <v>56</v>
      </c>
      <c r="D3" s="41" t="s">
        <v>37</v>
      </c>
      <c r="E3" s="41" t="s">
        <v>25</v>
      </c>
      <c r="F3" s="41" t="s">
        <v>57</v>
      </c>
      <c r="G3" s="41" t="s">
        <v>25</v>
      </c>
      <c r="H3" s="41" t="s">
        <v>34</v>
      </c>
      <c r="I3" s="61">
        <v>44440</v>
      </c>
      <c r="J3" s="62">
        <f ca="1">EFEITO!$J$3*EFEITO!$Y$3</f>
        <v>98519.272233286509</v>
      </c>
      <c r="K3" s="62">
        <f ca="1">EFEITO!$L$3*EFEITO!$Z$3</f>
        <v>0</v>
      </c>
      <c r="L3" s="62">
        <f>EFEITO!$N$3*EFEITO!$AA$3</f>
        <v>0</v>
      </c>
      <c r="M3" s="62">
        <f ca="1">$J$3-EFEITO!$K$3*EFEITO!$Y$3</f>
        <v>49259.636116643254</v>
      </c>
      <c r="N3" s="62">
        <f ca="1">$K$3-EFEITO!$M$3*EFEITO!$Z$3</f>
        <v>0</v>
      </c>
      <c r="O3" s="62">
        <f>$L$3-EFEITO!$O$3*EFEITO!$AA$3</f>
        <v>0</v>
      </c>
      <c r="P3" s="45"/>
      <c r="Q3" s="62" t="s">
        <v>788</v>
      </c>
      <c r="R3" s="62">
        <f>SUMIF($B$2:$B$475,$Q$3,$J$2:$J$475)</f>
        <v>0</v>
      </c>
      <c r="S3" s="62">
        <f>SUMIF($B$2:$B$475,$Q$3,$K$2:$K$475)</f>
        <v>0</v>
      </c>
      <c r="T3" s="62">
        <f>SUMIF($B$2:$B$475,$Q$3,$L$2:$L$475)</f>
        <v>0</v>
      </c>
      <c r="U3" s="62">
        <f>SUMIF($B$2:$B$475,$Q$3,$M$2:$M$475)</f>
        <v>0</v>
      </c>
      <c r="V3" s="62">
        <f>SUMIF($B$2:$B$475,$Q$3,$N$2:$N$475)</f>
        <v>0</v>
      </c>
      <c r="W3" s="62">
        <f>SUMIF($B$2:$B$475,$Q$3,$O$2:$O$475)</f>
        <v>0</v>
      </c>
      <c r="X3" s="42">
        <f>$R$3-$U$3</f>
        <v>0</v>
      </c>
      <c r="Y3" s="42">
        <f>$S$3-$V$3</f>
        <v>0</v>
      </c>
      <c r="Z3" s="42">
        <f>$T$3-$W$3</f>
        <v>0</v>
      </c>
      <c r="AA3" s="42">
        <f>SUMIF(EFEITO!$B$2:$B$475,$Q$3,EFEITO!$AE$2:$AE$475)</f>
        <v>0</v>
      </c>
      <c r="AB3" s="42">
        <f>SUMIF(EFEITO!$B$2:$B$475,$Q$3,EFEITO!$AF$2:$AF$475)</f>
        <v>0</v>
      </c>
      <c r="AC3" s="42">
        <f>SUMIF(EFEITO!$B$2:$B$475,$Q$3,EFEITO!$AG$2:$AH$475)</f>
        <v>0</v>
      </c>
      <c r="AD3" s="42">
        <f>SUMIF(SUBSIDIO!$B$2:$B$475,$Q$3,SUBSIDIO!$AD$2:$AD$475)</f>
        <v>0</v>
      </c>
      <c r="AE3" s="42">
        <f>SUMIF(SUBSIDIO!$B$2:$B$475,$Q$3,SUBSIDIO!$AE$2:$AE$475)</f>
        <v>0</v>
      </c>
      <c r="AF3" s="42" t="str">
        <f>IF(ABS($X$3-$AA$3)&lt;0.01,"OK","ERRO")</f>
        <v>OK</v>
      </c>
      <c r="AG3" s="42" t="str">
        <f>IF(ABS($Y$3-$AB$3)&lt;0.01,"OK","ERRO")</f>
        <v>OK</v>
      </c>
      <c r="AH3" s="42" t="str">
        <f>IF(ABS($Z$3-$AC$3)&lt;0.01,"OK","ERRO")</f>
        <v>OK</v>
      </c>
      <c r="AI3" s="42" t="str">
        <f>IF(ABS($U$3-$AD$3)&lt;0.01,"OK","ERRO")</f>
        <v>OK</v>
      </c>
      <c r="AJ3" s="42" t="str">
        <f>IF(ABS(($V$3+$W$3)-$AE$3)&lt;0.01,"OK","ERRO")</f>
        <v>OK</v>
      </c>
    </row>
    <row r="4" spans="1:40" ht="11.25" customHeight="1" x14ac:dyDescent="0.2">
      <c r="A4" s="41" t="s">
        <v>21</v>
      </c>
      <c r="B4" s="41" t="s">
        <v>38</v>
      </c>
      <c r="C4" s="41" t="s">
        <v>56</v>
      </c>
      <c r="D4" s="41" t="s">
        <v>37</v>
      </c>
      <c r="E4" s="41" t="s">
        <v>25</v>
      </c>
      <c r="F4" s="41" t="s">
        <v>57</v>
      </c>
      <c r="G4" s="41" t="s">
        <v>25</v>
      </c>
      <c r="H4" s="41" t="s">
        <v>34</v>
      </c>
      <c r="I4" s="61">
        <v>44470</v>
      </c>
      <c r="J4" s="62">
        <f ca="1">EFEITO!$J$4*EFEITO!$Y$4</f>
        <v>101128.42101262063</v>
      </c>
      <c r="K4" s="62">
        <f ca="1">EFEITO!$L$4*EFEITO!$Z$4</f>
        <v>0</v>
      </c>
      <c r="L4" s="62">
        <f>EFEITO!$N$4*EFEITO!$AA$4</f>
        <v>0</v>
      </c>
      <c r="M4" s="62">
        <f ca="1">$J$4-EFEITO!$K$4*EFEITO!$Y$4</f>
        <v>50564.210506310315</v>
      </c>
      <c r="N4" s="62">
        <f ca="1">$K$4-EFEITO!$M$4*EFEITO!$Z$4</f>
        <v>0</v>
      </c>
      <c r="O4" s="62">
        <f>$L$4-EFEITO!$O$4*EFEITO!$AA$4</f>
        <v>0</v>
      </c>
      <c r="P4" s="45"/>
      <c r="Q4" s="62" t="s">
        <v>666</v>
      </c>
      <c r="R4" s="62">
        <f>SUMIF($B$2:$B$475,$Q$4,$J$2:$J$475)</f>
        <v>0</v>
      </c>
      <c r="S4" s="62">
        <f>SUMIF($B$2:$B$475,$Q$4,$K$2:$K$475)</f>
        <v>0</v>
      </c>
      <c r="T4" s="62">
        <f>SUMIF($B$2:$B$475,$Q$4,$L$2:$L$475)</f>
        <v>0</v>
      </c>
      <c r="U4" s="62">
        <f>SUMIF($B$2:$B$475,$Q$4,$M$2:$M$475)</f>
        <v>0</v>
      </c>
      <c r="V4" s="62">
        <f>SUMIF($B$2:$B$475,$Q$4,$N$2:$N$475)</f>
        <v>0</v>
      </c>
      <c r="W4" s="62">
        <f>SUMIF($B$2:$B$475,$Q$4,$O$2:$O$475)</f>
        <v>0</v>
      </c>
      <c r="X4" s="42">
        <f>$R$4-$U$4</f>
        <v>0</v>
      </c>
      <c r="Y4" s="42">
        <f>$S$4-$V$4</f>
        <v>0</v>
      </c>
      <c r="Z4" s="42">
        <f>$T$4-$W$4</f>
        <v>0</v>
      </c>
      <c r="AA4" s="42">
        <f>SUMIF(EFEITO!$B$2:$B$475,$Q$4,EFEITO!$AE$2:$AE$475)</f>
        <v>0</v>
      </c>
      <c r="AB4" s="42">
        <f>SUMIF(EFEITO!$B$2:$B$475,$Q$4,EFEITO!$AF$2:$AF$475)</f>
        <v>0</v>
      </c>
      <c r="AC4" s="42">
        <f>SUMIF(EFEITO!$B$2:$B$475,$Q$4,EFEITO!$AG$2:$AH$475)</f>
        <v>0</v>
      </c>
      <c r="AD4" s="42">
        <f>SUMIF(SUBSIDIO!$B$2:$B$475,$Q$4,SUBSIDIO!$AD$2:$AD$475)</f>
        <v>0</v>
      </c>
      <c r="AE4" s="42">
        <f>SUMIF(SUBSIDIO!$B$2:$B$475,$Q$4,SUBSIDIO!$AE$2:$AE$475)</f>
        <v>0</v>
      </c>
      <c r="AF4" s="42" t="str">
        <f>IF(ABS($X$4-$AA$4)&lt;0.01,"OK","ERRO")</f>
        <v>OK</v>
      </c>
      <c r="AG4" s="42" t="str">
        <f>IF(ABS($Y$4-$AB$4)&lt;0.01,"OK","ERRO")</f>
        <v>OK</v>
      </c>
      <c r="AH4" s="42" t="str">
        <f>IF(ABS($Z$4-$AC$4)&lt;0.01,"OK","ERRO")</f>
        <v>OK</v>
      </c>
      <c r="AI4" s="42" t="str">
        <f>IF(ABS($U$4-$AD$4)&lt;0.01,"OK","ERRO")</f>
        <v>OK</v>
      </c>
      <c r="AJ4" s="42" t="str">
        <f>IF(ABS(($V$4+$W$4)-$AE$4)&lt;0.01,"OK","ERRO")</f>
        <v>OK</v>
      </c>
    </row>
    <row r="5" spans="1:40" ht="11.25" customHeight="1" x14ac:dyDescent="0.2">
      <c r="A5" s="41" t="s">
        <v>21</v>
      </c>
      <c r="B5" s="41" t="s">
        <v>38</v>
      </c>
      <c r="C5" s="41" t="s">
        <v>56</v>
      </c>
      <c r="D5" s="41" t="s">
        <v>37</v>
      </c>
      <c r="E5" s="41" t="s">
        <v>25</v>
      </c>
      <c r="F5" s="41" t="s">
        <v>57</v>
      </c>
      <c r="G5" s="41" t="s">
        <v>25</v>
      </c>
      <c r="H5" s="41" t="s">
        <v>34</v>
      </c>
      <c r="I5" s="61">
        <v>44501</v>
      </c>
      <c r="J5" s="62">
        <f ca="1">EFEITO!$J$5*EFEITO!$Y$5</f>
        <v>98847.123388804932</v>
      </c>
      <c r="K5" s="62">
        <f ca="1">EFEITO!$L$5*EFEITO!$Z$5</f>
        <v>0</v>
      </c>
      <c r="L5" s="62">
        <f>EFEITO!$N$5*EFEITO!$AA$5</f>
        <v>0</v>
      </c>
      <c r="M5" s="62">
        <f ca="1">$J$5-EFEITO!$K$5*EFEITO!$Y$5</f>
        <v>49423.561694402466</v>
      </c>
      <c r="N5" s="62">
        <f ca="1">$K$5-EFEITO!$M$5*EFEITO!$Z$5</f>
        <v>0</v>
      </c>
      <c r="O5" s="62">
        <f>$L$5-EFEITO!$O$5*EFEITO!$AA$5</f>
        <v>0</v>
      </c>
      <c r="P5" s="45"/>
      <c r="Q5" s="62" t="s">
        <v>667</v>
      </c>
      <c r="R5" s="62">
        <f>SUMIF($B$2:$B$475,$Q$5,$J$2:$J$475)</f>
        <v>0</v>
      </c>
      <c r="S5" s="62">
        <f>SUMIF($B$2:$B$475,$Q$5,$K$2:$K$475)</f>
        <v>0</v>
      </c>
      <c r="T5" s="62">
        <f>SUMIF($B$2:$B$475,$Q$5,$L$2:$L$475)</f>
        <v>0</v>
      </c>
      <c r="U5" s="62">
        <f>SUMIF($B$2:$B$475,$Q$5,$M$2:$M$475)</f>
        <v>0</v>
      </c>
      <c r="V5" s="62">
        <f>SUMIF($B$2:$B$475,$Q$5,$N$2:$N$475)</f>
        <v>0</v>
      </c>
      <c r="W5" s="62">
        <f>SUMIF($B$2:$B$475,$Q$5,$O$2:$O$475)</f>
        <v>0</v>
      </c>
      <c r="X5" s="42">
        <f>$R$5-$U$5</f>
        <v>0</v>
      </c>
      <c r="Y5" s="42">
        <f>$S$5-$V$5</f>
        <v>0</v>
      </c>
      <c r="Z5" s="42">
        <f>$T$5-$W$5</f>
        <v>0</v>
      </c>
      <c r="AA5" s="42">
        <f>SUMIF(EFEITO!$B$2:$B$475,$Q$5,EFEITO!$AE$2:$AE$475)</f>
        <v>0</v>
      </c>
      <c r="AB5" s="42">
        <f>SUMIF(EFEITO!$B$2:$B$475,$Q$5,EFEITO!$AF$2:$AF$475)</f>
        <v>0</v>
      </c>
      <c r="AC5" s="42">
        <f>SUMIF(EFEITO!$B$2:$B$475,$Q$5,EFEITO!$AG$2:$AH$475)</f>
        <v>0</v>
      </c>
      <c r="AD5" s="42">
        <f>SUMIF(SUBSIDIO!$B$2:$B$475,$Q$5,SUBSIDIO!$AD$2:$AD$475)</f>
        <v>0</v>
      </c>
      <c r="AE5" s="42">
        <f>SUMIF(SUBSIDIO!$B$2:$B$475,$Q$5,SUBSIDIO!$AE$2:$AE$475)</f>
        <v>0</v>
      </c>
      <c r="AF5" s="42" t="str">
        <f>IF(ABS($X$5-$AA$5)&lt;0.01,"OK","ERRO")</f>
        <v>OK</v>
      </c>
      <c r="AG5" s="42" t="str">
        <f>IF(ABS($Y$5-$AB$5)&lt;0.01,"OK","ERRO")</f>
        <v>OK</v>
      </c>
      <c r="AH5" s="42" t="str">
        <f>IF(ABS($Z$5-$AC$5)&lt;0.01,"OK","ERRO")</f>
        <v>OK</v>
      </c>
      <c r="AI5" s="42" t="str">
        <f>IF(ABS($U$5-$AD$5)&lt;0.01,"OK","ERRO")</f>
        <v>OK</v>
      </c>
      <c r="AJ5" s="42" t="str">
        <f>IF(ABS(($V$5+$W$5)-$AE$5)&lt;0.01,"OK","ERRO")</f>
        <v>OK</v>
      </c>
    </row>
    <row r="6" spans="1:40" ht="11.25" customHeight="1" x14ac:dyDescent="0.2">
      <c r="A6" s="41" t="s">
        <v>21</v>
      </c>
      <c r="B6" s="41" t="s">
        <v>38</v>
      </c>
      <c r="C6" s="41" t="s">
        <v>56</v>
      </c>
      <c r="D6" s="41" t="s">
        <v>37</v>
      </c>
      <c r="E6" s="41" t="s">
        <v>25</v>
      </c>
      <c r="F6" s="41" t="s">
        <v>57</v>
      </c>
      <c r="G6" s="41" t="s">
        <v>25</v>
      </c>
      <c r="H6" s="41" t="s">
        <v>34</v>
      </c>
      <c r="I6" s="61">
        <v>44531</v>
      </c>
      <c r="J6" s="62">
        <f ca="1">EFEITO!$J$6*EFEITO!$Y$6</f>
        <v>96647.788553868842</v>
      </c>
      <c r="K6" s="62">
        <f ca="1">EFEITO!$L$6*EFEITO!$Z$6</f>
        <v>0</v>
      </c>
      <c r="L6" s="62">
        <f>EFEITO!$N$6*EFEITO!$AA$6</f>
        <v>0</v>
      </c>
      <c r="M6" s="62">
        <f ca="1">$J$6-EFEITO!$K$6*EFEITO!$Y$6</f>
        <v>48323.894276934421</v>
      </c>
      <c r="N6" s="62">
        <f ca="1">$K$6-EFEITO!$M$6*EFEITO!$Z$6</f>
        <v>0</v>
      </c>
      <c r="O6" s="62">
        <f>$L$6-EFEITO!$O$6*EFEITO!$AA$6</f>
        <v>0</v>
      </c>
      <c r="P6" s="45"/>
      <c r="Q6" s="62" t="s">
        <v>668</v>
      </c>
      <c r="R6" s="62">
        <f>SUMIF($B$2:$B$475,$Q$6,$J$2:$J$475)</f>
        <v>0</v>
      </c>
      <c r="S6" s="62">
        <f>SUMIF($B$2:$B$475,$Q$6,$K$2:$K$475)</f>
        <v>0</v>
      </c>
      <c r="T6" s="62">
        <f>SUMIF($B$2:$B$475,$Q$6,$L$2:$L$475)</f>
        <v>0</v>
      </c>
      <c r="U6" s="62">
        <f>SUMIF($B$2:$B$475,$Q$6,$M$2:$M$475)</f>
        <v>0</v>
      </c>
      <c r="V6" s="62">
        <f>SUMIF($B$2:$B$475,$Q$6,$N$2:$N$475)</f>
        <v>0</v>
      </c>
      <c r="W6" s="62">
        <f>SUMIF($B$2:$B$475,$Q$6,$O$2:$O$475)</f>
        <v>0</v>
      </c>
      <c r="X6" s="42">
        <f>$R$6-$U$6</f>
        <v>0</v>
      </c>
      <c r="Y6" s="42">
        <f>$S$6-$V$6</f>
        <v>0</v>
      </c>
      <c r="Z6" s="42">
        <f>$T$6-$W$6</f>
        <v>0</v>
      </c>
      <c r="AA6" s="42">
        <f>SUMIF(EFEITO!$B$2:$B$475,$Q$6,EFEITO!$AE$2:$AE$475)</f>
        <v>0</v>
      </c>
      <c r="AB6" s="42">
        <f>SUMIF(EFEITO!$B$2:$B$475,$Q$6,EFEITO!$AF$2:$AF$475)</f>
        <v>0</v>
      </c>
      <c r="AC6" s="42">
        <f>SUMIF(EFEITO!$B$2:$B$475,$Q$6,EFEITO!$AG$2:$AH$475)</f>
        <v>0</v>
      </c>
      <c r="AD6" s="42">
        <f>SUMIF(SUBSIDIO!$B$2:$B$475,$Q$6,SUBSIDIO!$AD$2:$AD$475)</f>
        <v>0</v>
      </c>
      <c r="AE6" s="42">
        <f>SUMIF(SUBSIDIO!$B$2:$B$475,$Q$6,SUBSIDIO!$AE$2:$AE$475)</f>
        <v>0</v>
      </c>
      <c r="AF6" s="42" t="str">
        <f>IF(ABS($X$6-$AA$6)&lt;0.01,"OK","ERRO")</f>
        <v>OK</v>
      </c>
      <c r="AG6" s="42" t="str">
        <f>IF(ABS($Y$6-$AB$6)&lt;0.01,"OK","ERRO")</f>
        <v>OK</v>
      </c>
      <c r="AH6" s="42" t="str">
        <f>IF(ABS($Z$6-$AC$6)&lt;0.01,"OK","ERRO")</f>
        <v>OK</v>
      </c>
      <c r="AI6" s="42" t="str">
        <f>IF(ABS($U$6-$AD$6)&lt;0.01,"OK","ERRO")</f>
        <v>OK</v>
      </c>
      <c r="AJ6" s="42" t="str">
        <f>IF(ABS(($V$6+$W$6)-$AE$6)&lt;0.01,"OK","ERRO")</f>
        <v>OK</v>
      </c>
    </row>
    <row r="7" spans="1:40" ht="11.25" customHeight="1" x14ac:dyDescent="0.2">
      <c r="A7" s="41" t="s">
        <v>21</v>
      </c>
      <c r="B7" s="41" t="s">
        <v>38</v>
      </c>
      <c r="C7" s="41" t="s">
        <v>56</v>
      </c>
      <c r="D7" s="41" t="s">
        <v>37</v>
      </c>
      <c r="E7" s="41" t="s">
        <v>25</v>
      </c>
      <c r="F7" s="41" t="s">
        <v>57</v>
      </c>
      <c r="G7" s="41" t="s">
        <v>25</v>
      </c>
      <c r="H7" s="41" t="s">
        <v>34</v>
      </c>
      <c r="I7" s="61">
        <v>44562</v>
      </c>
      <c r="J7" s="62">
        <f ca="1">EFEITO!$J$7*EFEITO!$Y$7</f>
        <v>98273.383866647695</v>
      </c>
      <c r="K7" s="62">
        <f ca="1">EFEITO!$L$7*EFEITO!$Z$7</f>
        <v>0</v>
      </c>
      <c r="L7" s="62">
        <f>EFEITO!$N$7*EFEITO!$AA$7</f>
        <v>0</v>
      </c>
      <c r="M7" s="62">
        <f ca="1">$J$7-EFEITO!$K$7*EFEITO!$Y$7</f>
        <v>49136.691933323847</v>
      </c>
      <c r="N7" s="62">
        <f ca="1">$K$7-EFEITO!$M$7*EFEITO!$Z$7</f>
        <v>0</v>
      </c>
      <c r="O7" s="62">
        <f>$L$7-EFEITO!$O$7*EFEITO!$AA$7</f>
        <v>0</v>
      </c>
      <c r="P7" s="45"/>
      <c r="Q7" s="62" t="s">
        <v>38</v>
      </c>
      <c r="R7" s="62">
        <f ca="1">SUMIF($B$2:$B$475,$Q$7,$J$2:$J$475)</f>
        <v>3291649.3056889283</v>
      </c>
      <c r="S7" s="62">
        <f ca="1">SUMIF($B$2:$B$475,$Q$7,$K$2:$K$475)</f>
        <v>4300984.5145131797</v>
      </c>
      <c r="T7" s="62">
        <f>SUMIF($B$2:$B$475,$Q$7,$L$2:$L$475)</f>
        <v>1583182.5724992796</v>
      </c>
      <c r="U7" s="62">
        <f ca="1">SUMIF($B$2:$B$475,$Q$7,$M$2:$M$475)</f>
        <v>1393499.6117902836</v>
      </c>
      <c r="V7" s="62">
        <f ca="1">SUMIF($B$2:$B$475,$Q$7,$N$2:$N$475)</f>
        <v>1692377.1758077361</v>
      </c>
      <c r="W7" s="62">
        <f>SUMIF($B$2:$B$475,$Q$7,$O$2:$O$475)</f>
        <v>7705.0387749486717</v>
      </c>
      <c r="X7" s="42">
        <f ca="1">$R$7-$U$7</f>
        <v>1898149.6938986448</v>
      </c>
      <c r="Y7" s="42">
        <f ca="1">$S$7-$V$7</f>
        <v>2608607.3387054438</v>
      </c>
      <c r="Z7" s="42">
        <f>$T$7-$W$7</f>
        <v>1575477.5337243311</v>
      </c>
      <c r="AA7" s="42">
        <f ca="1">SUMIF(EFEITO!$B$2:$B$475,$Q$7,EFEITO!$AE$2:$AE$475)</f>
        <v>1898149.6938986473</v>
      </c>
      <c r="AB7" s="42">
        <f ca="1">SUMIF(EFEITO!$B$2:$B$475,$Q$7,EFEITO!$AF$2:$AF$475)</f>
        <v>2608607.3387054442</v>
      </c>
      <c r="AC7" s="42">
        <f>SUMIF(EFEITO!$B$2:$B$475,$Q$7,EFEITO!$AG$2:$AH$475)</f>
        <v>1575477.5337243301</v>
      </c>
      <c r="AD7" s="42">
        <f ca="1">SUMIF(SUBSIDIO!$B$2:$B$475,$Q$7,SUBSIDIO!$AD$2:$AD$475)</f>
        <v>1393499.6117902836</v>
      </c>
      <c r="AE7" s="42">
        <f ca="1">SUMIF(SUBSIDIO!$B$2:$B$475,$Q$7,SUBSIDIO!$AE$2:$AE$475)</f>
        <v>1700082.2145826851</v>
      </c>
      <c r="AF7" s="42" t="str">
        <f ca="1">IF(ABS($X$7-$AA$7)&lt;0.01,"OK","ERRO")</f>
        <v>OK</v>
      </c>
      <c r="AG7" s="42" t="str">
        <f ca="1">IF(ABS($Y$7-$AB$7)&lt;0.01,"OK","ERRO")</f>
        <v>OK</v>
      </c>
      <c r="AH7" s="42" t="str">
        <f>IF(ABS($Z$7-$AC$7)&lt;0.01,"OK","ERRO")</f>
        <v>OK</v>
      </c>
      <c r="AI7" s="42" t="str">
        <f ca="1">IF(ABS($U$7-$AD$7)&lt;0.01,"OK","ERRO")</f>
        <v>OK</v>
      </c>
      <c r="AJ7" s="42" t="str">
        <f ca="1">IF(ABS(($V$7+$W$7)-$AE$7)&lt;0.01,"OK","ERRO")</f>
        <v>OK</v>
      </c>
    </row>
    <row r="8" spans="1:40" ht="11.25" customHeight="1" x14ac:dyDescent="0.2">
      <c r="A8" s="41" t="s">
        <v>21</v>
      </c>
      <c r="B8" s="41" t="s">
        <v>38</v>
      </c>
      <c r="C8" s="41" t="s">
        <v>56</v>
      </c>
      <c r="D8" s="41" t="s">
        <v>37</v>
      </c>
      <c r="E8" s="41" t="s">
        <v>25</v>
      </c>
      <c r="F8" s="41" t="s">
        <v>57</v>
      </c>
      <c r="G8" s="41" t="s">
        <v>25</v>
      </c>
      <c r="H8" s="41" t="s">
        <v>34</v>
      </c>
      <c r="I8" s="61">
        <v>44593</v>
      </c>
      <c r="J8" s="62">
        <f ca="1">EFEITO!$J$8*EFEITO!$Y$8</f>
        <v>101196.72333668698</v>
      </c>
      <c r="K8" s="62">
        <f ca="1">EFEITO!$L$8*EFEITO!$Z$8</f>
        <v>0</v>
      </c>
      <c r="L8" s="62">
        <f>EFEITO!$N$8*EFEITO!$AA$8</f>
        <v>0</v>
      </c>
      <c r="M8" s="62">
        <f ca="1">$J$8-EFEITO!$K$8*EFEITO!$Y$8</f>
        <v>50598.361668343488</v>
      </c>
      <c r="N8" s="62">
        <f ca="1">$K$8-EFEITO!$M$8*EFEITO!$Z$8</f>
        <v>0</v>
      </c>
      <c r="O8" s="62">
        <f>$L$8-EFEITO!$O$8*EFEITO!$AA$8</f>
        <v>0</v>
      </c>
      <c r="P8" s="45"/>
      <c r="Q8" s="62" t="s">
        <v>669</v>
      </c>
      <c r="R8" s="62">
        <f>SUMIF($B$2:$B$475,$Q$8,$J$2:$J$475)</f>
        <v>0</v>
      </c>
      <c r="S8" s="62">
        <f>SUMIF($B$2:$B$475,$Q$8,$K$2:$K$475)</f>
        <v>0</v>
      </c>
      <c r="T8" s="62">
        <f>SUMIF($B$2:$B$475,$Q$8,$L$2:$L$475)</f>
        <v>0</v>
      </c>
      <c r="U8" s="62">
        <f>SUMIF($B$2:$B$475,$Q$8,$M$2:$M$475)</f>
        <v>0</v>
      </c>
      <c r="V8" s="62">
        <f>SUMIF($B$2:$B$475,$Q$8,$N$2:$N$475)</f>
        <v>0</v>
      </c>
      <c r="W8" s="62">
        <f>SUMIF($B$2:$B$475,$Q$8,$O$2:$O$475)</f>
        <v>0</v>
      </c>
      <c r="X8" s="42">
        <f>$R$8-$U$8</f>
        <v>0</v>
      </c>
      <c r="Y8" s="42">
        <f>$S$8-$V$8</f>
        <v>0</v>
      </c>
      <c r="Z8" s="42">
        <f>$T$8-$W$8</f>
        <v>0</v>
      </c>
      <c r="AA8" s="42">
        <f>SUMIF(EFEITO!$B$2:$B$475,$Q$8,EFEITO!$AE$2:$AE$475)</f>
        <v>0</v>
      </c>
      <c r="AB8" s="42">
        <f>SUMIF(EFEITO!$B$2:$B$475,$Q$8,EFEITO!$AF$2:$AF$475)</f>
        <v>0</v>
      </c>
      <c r="AC8" s="42">
        <f>SUMIF(EFEITO!$B$2:$B$475,$Q$8,EFEITO!$AG$2:$AH$475)</f>
        <v>0</v>
      </c>
      <c r="AD8" s="42">
        <f>SUMIF(SUBSIDIO!$B$2:$B$475,$Q$8,SUBSIDIO!$AD$2:$AD$475)</f>
        <v>0</v>
      </c>
      <c r="AE8" s="42">
        <f>SUMIF(SUBSIDIO!$B$2:$B$475,$Q$8,SUBSIDIO!$AE$2:$AE$475)</f>
        <v>0</v>
      </c>
      <c r="AF8" s="42" t="str">
        <f>IF(ABS($X$8-$AA$8)&lt;0.01,"OK","ERRO")</f>
        <v>OK</v>
      </c>
      <c r="AG8" s="42" t="str">
        <f>IF(ABS($Y$8-$AB$8)&lt;0.01,"OK","ERRO")</f>
        <v>OK</v>
      </c>
      <c r="AH8" s="42" t="str">
        <f>IF(ABS($Z$8-$AC$8)&lt;0.01,"OK","ERRO")</f>
        <v>OK</v>
      </c>
      <c r="AI8" s="42" t="str">
        <f>IF(ABS($U$8-$AD$8)&lt;0.01,"OK","ERRO")</f>
        <v>OK</v>
      </c>
      <c r="AJ8" s="42" t="str">
        <f>IF(ABS(($V$8+$W$8)-$AE$8)&lt;0.01,"OK","ERRO")</f>
        <v>OK</v>
      </c>
    </row>
    <row r="9" spans="1:40" ht="11.25" customHeight="1" x14ac:dyDescent="0.2">
      <c r="A9" s="41" t="s">
        <v>21</v>
      </c>
      <c r="B9" s="41" t="s">
        <v>38</v>
      </c>
      <c r="C9" s="41" t="s">
        <v>56</v>
      </c>
      <c r="D9" s="41" t="s">
        <v>37</v>
      </c>
      <c r="E9" s="41" t="s">
        <v>25</v>
      </c>
      <c r="F9" s="41" t="s">
        <v>57</v>
      </c>
      <c r="G9" s="41" t="s">
        <v>25</v>
      </c>
      <c r="H9" s="41" t="s">
        <v>34</v>
      </c>
      <c r="I9" s="61">
        <v>44621</v>
      </c>
      <c r="J9" s="62">
        <f ca="1">EFEITO!$J$9*EFEITO!$Y$9</f>
        <v>103655.60700307516</v>
      </c>
      <c r="K9" s="62">
        <f ca="1">EFEITO!$L$9*EFEITO!$Z$9</f>
        <v>0</v>
      </c>
      <c r="L9" s="62">
        <f>EFEITO!$N$9*EFEITO!$AA$9</f>
        <v>0</v>
      </c>
      <c r="M9" s="62">
        <f ca="1">$J$9-EFEITO!$K$9*EFEITO!$Y$9</f>
        <v>51827.803501537579</v>
      </c>
      <c r="N9" s="62">
        <f ca="1">$K$9-EFEITO!$M$9*EFEITO!$Z$9</f>
        <v>0</v>
      </c>
      <c r="O9" s="62">
        <f>$L$9-EFEITO!$O$9*EFEITO!$AA$9</f>
        <v>0</v>
      </c>
      <c r="P9" s="45"/>
      <c r="Q9" s="62" t="s">
        <v>22</v>
      </c>
      <c r="R9" s="62">
        <f>SUMIF($B$2:$B$475,$Q$9,$J$2:$J$475)</f>
        <v>0</v>
      </c>
      <c r="S9" s="62">
        <f ca="1">SUMIF($B$2:$B$475,$Q$9,$K$2:$K$475)</f>
        <v>3904348.0040855794</v>
      </c>
      <c r="T9" s="62">
        <f>SUMIF($B$2:$B$475,$Q$9,$L$2:$L$475)</f>
        <v>2355147.3320420273</v>
      </c>
      <c r="U9" s="62">
        <f>SUMIF($B$2:$B$475,$Q$9,$M$2:$M$475)</f>
        <v>0</v>
      </c>
      <c r="V9" s="62">
        <f ca="1">SUMIF($B$2:$B$475,$Q$9,$N$2:$N$475)</f>
        <v>77666.220834616601</v>
      </c>
      <c r="W9" s="62">
        <f>SUMIF($B$2:$B$475,$Q$9,$O$2:$O$475)</f>
        <v>62341.845592110716</v>
      </c>
      <c r="X9" s="42">
        <f>$R$9-$U$9</f>
        <v>0</v>
      </c>
      <c r="Y9" s="42">
        <f ca="1">$S$9-$V$9</f>
        <v>3826681.7832509628</v>
      </c>
      <c r="Z9" s="42">
        <f>$T$9-$W$9</f>
        <v>2292805.4864499164</v>
      </c>
      <c r="AA9" s="42">
        <f>SUMIF(EFEITO!$B$2:$B$475,$Q$9,EFEITO!$AE$2:$AE$475)</f>
        <v>0</v>
      </c>
      <c r="AB9" s="42">
        <f ca="1">SUMIF(EFEITO!$B$2:$B$475,$Q$9,EFEITO!$AF$2:$AF$475)</f>
        <v>3826681.7832509647</v>
      </c>
      <c r="AC9" s="42">
        <f>SUMIF(EFEITO!$B$2:$B$475,$Q$9,EFEITO!$AG$2:$AH$475)</f>
        <v>2292805.4864499168</v>
      </c>
      <c r="AD9" s="42">
        <f>SUMIF(SUBSIDIO!$B$2:$B$475,$Q$9,SUBSIDIO!$AD$2:$AD$475)</f>
        <v>0</v>
      </c>
      <c r="AE9" s="42">
        <f ca="1">SUMIF(SUBSIDIO!$B$2:$B$475,$Q$9,SUBSIDIO!$AE$2:$AE$475)</f>
        <v>140008.06642672734</v>
      </c>
      <c r="AF9" s="42" t="str">
        <f>IF(ABS($X$9-$AA$9)&lt;0.01,"OK","ERRO")</f>
        <v>OK</v>
      </c>
      <c r="AG9" s="42" t="str">
        <f ca="1">IF(ABS($Y$9-$AB$9)&lt;0.01,"OK","ERRO")</f>
        <v>OK</v>
      </c>
      <c r="AH9" s="42" t="str">
        <f>IF(ABS($Z$9-$AC$9)&lt;0.01,"OK","ERRO")</f>
        <v>OK</v>
      </c>
      <c r="AI9" s="42" t="str">
        <f>IF(ABS($U$9-$AD$9)&lt;0.01,"OK","ERRO")</f>
        <v>OK</v>
      </c>
      <c r="AJ9" s="42" t="str">
        <f ca="1">IF(ABS(($V$9+$W$9)-$AE$9)&lt;0.01,"OK","ERRO")</f>
        <v>OK</v>
      </c>
    </row>
    <row r="10" spans="1:40" ht="11.25" customHeight="1" x14ac:dyDescent="0.2">
      <c r="A10" s="41" t="s">
        <v>21</v>
      </c>
      <c r="B10" s="41" t="s">
        <v>38</v>
      </c>
      <c r="C10" s="41" t="s">
        <v>56</v>
      </c>
      <c r="D10" s="41" t="s">
        <v>37</v>
      </c>
      <c r="E10" s="41" t="s">
        <v>25</v>
      </c>
      <c r="F10" s="41" t="s">
        <v>57</v>
      </c>
      <c r="G10" s="41" t="s">
        <v>25</v>
      </c>
      <c r="H10" s="41" t="s">
        <v>34</v>
      </c>
      <c r="I10" s="61">
        <v>44652</v>
      </c>
      <c r="J10" s="62">
        <f ca="1">EFEITO!$J$10*EFEITO!$Y$10</f>
        <v>101620.19774589827</v>
      </c>
      <c r="K10" s="62">
        <f ca="1">EFEITO!$L$10*EFEITO!$Z$10</f>
        <v>0</v>
      </c>
      <c r="L10" s="62">
        <f>EFEITO!$N$10*EFEITO!$AA$10</f>
        <v>0</v>
      </c>
      <c r="M10" s="62">
        <f ca="1">$J$10-EFEITO!$K$10*EFEITO!$Y$10</f>
        <v>50810.098872949136</v>
      </c>
      <c r="N10" s="62">
        <f ca="1">$K$10-EFEITO!$M$10*EFEITO!$Z$10</f>
        <v>0</v>
      </c>
      <c r="O10" s="62">
        <f>$L$10-EFEITO!$O$10*EFEITO!$AA$10</f>
        <v>0</v>
      </c>
      <c r="P10" s="45"/>
      <c r="Q10" s="62" t="s">
        <v>41</v>
      </c>
      <c r="R10" s="62">
        <f>SUMIF($B$2:$B$475,$Q$10,$J$2:$J$475)</f>
        <v>0</v>
      </c>
      <c r="S10" s="62">
        <f ca="1">SUMIF($B$2:$B$475,$Q$10,$K$2:$K$475)</f>
        <v>1168900.724304761</v>
      </c>
      <c r="T10" s="62">
        <f>SUMIF($B$2:$B$475,$Q$10,$L$2:$L$475)</f>
        <v>692612.95690289489</v>
      </c>
      <c r="U10" s="62">
        <f>SUMIF($B$2:$B$475,$Q$10,$M$2:$M$475)</f>
        <v>0</v>
      </c>
      <c r="V10" s="62">
        <f ca="1">SUMIF($B$2:$B$475,$Q$10,$N$2:$N$475)</f>
        <v>72476.574757655457</v>
      </c>
      <c r="W10" s="62">
        <f>SUMIF($B$2:$B$475,$Q$10,$O$2:$O$475)</f>
        <v>42944.805923488828</v>
      </c>
      <c r="X10" s="42">
        <f>$R$10-$U$10</f>
        <v>0</v>
      </c>
      <c r="Y10" s="42">
        <f ca="1">$S$10-$V$10</f>
        <v>1096424.1495471057</v>
      </c>
      <c r="Z10" s="42">
        <f>$T$10-$W$10</f>
        <v>649668.15097940608</v>
      </c>
      <c r="AA10" s="42">
        <f>SUMIF(EFEITO!$B$2:$B$475,$Q$10,EFEITO!$AE$2:$AE$475)</f>
        <v>0</v>
      </c>
      <c r="AB10" s="42">
        <f ca="1">SUMIF(EFEITO!$B$2:$B$475,$Q$10,EFEITO!$AF$2:$AF$475)</f>
        <v>1096424.1495471057</v>
      </c>
      <c r="AC10" s="42">
        <f>SUMIF(EFEITO!$B$2:$B$475,$Q$10,EFEITO!$AG$2:$AH$475)</f>
        <v>649668.15097940608</v>
      </c>
      <c r="AD10" s="42">
        <f>SUMIF(SUBSIDIO!$B$2:$B$475,$Q$10,SUBSIDIO!$AD$2:$AD$475)</f>
        <v>0</v>
      </c>
      <c r="AE10" s="42">
        <f ca="1">SUMIF(SUBSIDIO!$B$2:$B$475,$Q$10,SUBSIDIO!$AE$2:$AE$475)</f>
        <v>115421.38068114431</v>
      </c>
      <c r="AF10" s="42" t="str">
        <f>IF(ABS($X$10-$AA$10)&lt;0.01,"OK","ERRO")</f>
        <v>OK</v>
      </c>
      <c r="AG10" s="42" t="str">
        <f ca="1">IF(ABS($Y$10-$AB$10)&lt;0.01,"OK","ERRO")</f>
        <v>OK</v>
      </c>
      <c r="AH10" s="42" t="str">
        <f>IF(ABS($Z$10-$AC$10)&lt;0.01,"OK","ERRO")</f>
        <v>OK</v>
      </c>
      <c r="AI10" s="42" t="str">
        <f>IF(ABS($U$10-$AD$10)&lt;0.01,"OK","ERRO")</f>
        <v>OK</v>
      </c>
      <c r="AJ10" s="42" t="str">
        <f ca="1">IF(ABS(($V$10+$W$10)-$AE$10)&lt;0.01,"OK","ERRO")</f>
        <v>OK</v>
      </c>
    </row>
    <row r="11" spans="1:40" ht="11.25" customHeight="1" x14ac:dyDescent="0.2">
      <c r="A11" s="41" t="s">
        <v>21</v>
      </c>
      <c r="B11" s="41" t="s">
        <v>38</v>
      </c>
      <c r="C11" s="41" t="s">
        <v>56</v>
      </c>
      <c r="D11" s="41" t="s">
        <v>37</v>
      </c>
      <c r="E11" s="41" t="s">
        <v>25</v>
      </c>
      <c r="F11" s="41" t="s">
        <v>57</v>
      </c>
      <c r="G11" s="41" t="s">
        <v>25</v>
      </c>
      <c r="H11" s="41" t="s">
        <v>34</v>
      </c>
      <c r="I11" s="61">
        <v>44682</v>
      </c>
      <c r="J11" s="62">
        <f ca="1">EFEITO!$J$11*EFEITO!$Y$11</f>
        <v>97453.75597785163</v>
      </c>
      <c r="K11" s="62">
        <f ca="1">EFEITO!$L$11*EFEITO!$Z$11</f>
        <v>0</v>
      </c>
      <c r="L11" s="62">
        <f>EFEITO!$N$11*EFEITO!$AA$11</f>
        <v>0</v>
      </c>
      <c r="M11" s="62">
        <f ca="1">$J$11-EFEITO!$K$11*EFEITO!$Y$11</f>
        <v>48726.877988925815</v>
      </c>
      <c r="N11" s="62">
        <f ca="1">$K$11-EFEITO!$M$11*EFEITO!$Z$11</f>
        <v>0</v>
      </c>
      <c r="O11" s="62">
        <f>$L$11-EFEITO!$O$11*EFEITO!$AA$11</f>
        <v>0</v>
      </c>
      <c r="P11" s="45"/>
      <c r="Q11" s="62" t="s">
        <v>36</v>
      </c>
      <c r="R11" s="62">
        <f>SUMIF($B$2:$B$475,$Q$11,$J$2:$J$475)</f>
        <v>0</v>
      </c>
      <c r="S11" s="62">
        <f ca="1">SUMIF($B$2:$B$475,$Q$11,$K$2:$K$475)</f>
        <v>2292457.7573268665</v>
      </c>
      <c r="T11" s="62">
        <f>SUMIF($B$2:$B$475,$Q$11,$L$2:$L$475)</f>
        <v>1358617.9968775229</v>
      </c>
      <c r="U11" s="62">
        <f>SUMIF($B$2:$B$475,$Q$11,$M$2:$M$475)</f>
        <v>0</v>
      </c>
      <c r="V11" s="62">
        <f ca="1">SUMIF($B$2:$B$475,$Q$11,$N$2:$N$475)</f>
        <v>2334.8110391867685</v>
      </c>
      <c r="W11" s="62">
        <f>SUMIF($B$2:$B$475,$Q$11,$O$2:$O$475)</f>
        <v>1383.4539957381694</v>
      </c>
      <c r="X11" s="42">
        <f>$R$11-$U$11</f>
        <v>0</v>
      </c>
      <c r="Y11" s="42">
        <f ca="1">$S$11-$V$11</f>
        <v>2290122.94628768</v>
      </c>
      <c r="Z11" s="42">
        <f>$T$11-$W$11</f>
        <v>1357234.5428817847</v>
      </c>
      <c r="AA11" s="42">
        <f>SUMIF(EFEITO!$B$2:$B$475,$Q$11,EFEITO!$AE$2:$AE$475)</f>
        <v>0</v>
      </c>
      <c r="AB11" s="42">
        <f ca="1">SUMIF(EFEITO!$B$2:$B$475,$Q$11,EFEITO!$AF$2:$AF$475)</f>
        <v>2290122.94628768</v>
      </c>
      <c r="AC11" s="42">
        <f>SUMIF(EFEITO!$B$2:$B$475,$Q$11,EFEITO!$AG$2:$AH$475)</f>
        <v>1357234.5428817845</v>
      </c>
      <c r="AD11" s="42">
        <f>SUMIF(SUBSIDIO!$B$2:$B$475,$Q$11,SUBSIDIO!$AD$2:$AD$475)</f>
        <v>0</v>
      </c>
      <c r="AE11" s="42">
        <f ca="1">SUMIF(SUBSIDIO!$B$2:$B$475,$Q$11,SUBSIDIO!$AE$2:$AE$475)</f>
        <v>3718.265034924932</v>
      </c>
      <c r="AF11" s="42" t="str">
        <f>IF(ABS($X$11-$AA$11)&lt;0.01,"OK","ERRO")</f>
        <v>OK</v>
      </c>
      <c r="AG11" s="42" t="str">
        <f ca="1">IF(ABS($Y$11-$AB$11)&lt;0.01,"OK","ERRO")</f>
        <v>OK</v>
      </c>
      <c r="AH11" s="42" t="str">
        <f>IF(ABS($Z$11-$AC$11)&lt;0.01,"OK","ERRO")</f>
        <v>OK</v>
      </c>
      <c r="AI11" s="42" t="str">
        <f>IF(ABS($U$11-$AD$11)&lt;0.01,"OK","ERRO")</f>
        <v>OK</v>
      </c>
      <c r="AJ11" s="42" t="str">
        <f ca="1">IF(ABS(($V$11+$W$11)-$AE$11)&lt;0.01,"OK","ERRO")</f>
        <v>OK</v>
      </c>
    </row>
    <row r="12" spans="1:40" ht="11.25" customHeight="1" x14ac:dyDescent="0.2">
      <c r="A12" s="41" t="s">
        <v>21</v>
      </c>
      <c r="B12" s="41" t="s">
        <v>38</v>
      </c>
      <c r="C12" s="41" t="s">
        <v>56</v>
      </c>
      <c r="D12" s="41" t="s">
        <v>37</v>
      </c>
      <c r="E12" s="41" t="s">
        <v>25</v>
      </c>
      <c r="F12" s="41" t="s">
        <v>57</v>
      </c>
      <c r="G12" s="41" t="s">
        <v>25</v>
      </c>
      <c r="H12" s="41" t="s">
        <v>34</v>
      </c>
      <c r="I12" s="61">
        <v>44713</v>
      </c>
      <c r="J12" s="62">
        <f ca="1">EFEITO!$J$12*EFEITO!$Y$12</f>
        <v>98751.500135112059</v>
      </c>
      <c r="K12" s="62">
        <f ca="1">EFEITO!$L$12*EFEITO!$Z$12</f>
        <v>0</v>
      </c>
      <c r="L12" s="62">
        <f>EFEITO!$N$12*EFEITO!$AA$12</f>
        <v>0</v>
      </c>
      <c r="M12" s="62">
        <f ca="1">$J$12-EFEITO!$K$12*EFEITO!$Y$12</f>
        <v>49375.75006755603</v>
      </c>
      <c r="N12" s="62">
        <f ca="1">$K$12-EFEITO!$M$12*EFEITO!$Z$12</f>
        <v>0</v>
      </c>
      <c r="O12" s="62">
        <f>$L$12-EFEITO!$O$12*EFEITO!$AA$12</f>
        <v>0</v>
      </c>
      <c r="P12" s="45"/>
      <c r="Q12" s="62" t="s">
        <v>44</v>
      </c>
      <c r="R12" s="62">
        <f>SUMIF($B$2:$B$475,$Q$12,$J$2:$J$475)</f>
        <v>0</v>
      </c>
      <c r="S12" s="62">
        <f ca="1">SUMIF($B$2:$B$475,$Q$12,$K$2:$K$475)</f>
        <v>348140.21318159992</v>
      </c>
      <c r="T12" s="62">
        <f>SUMIF($B$2:$B$475,$Q$12,$L$2:$L$475)</f>
        <v>206284.7746218392</v>
      </c>
      <c r="U12" s="62">
        <f>SUMIF($B$2:$B$475,$Q$12,$M$2:$M$475)</f>
        <v>0</v>
      </c>
      <c r="V12" s="62">
        <f ca="1">SUMIF($B$2:$B$475,$Q$12,$N$2:$N$475)</f>
        <v>0</v>
      </c>
      <c r="W12" s="62">
        <f>SUMIF($B$2:$B$475,$Q$12,$O$2:$O$475)</f>
        <v>0</v>
      </c>
      <c r="X12" s="42">
        <f>$R$12-$U$12</f>
        <v>0</v>
      </c>
      <c r="Y12" s="42">
        <f ca="1">$S$12-$V$12</f>
        <v>348140.21318159992</v>
      </c>
      <c r="Z12" s="42">
        <f>$T$12-$W$12</f>
        <v>206284.7746218392</v>
      </c>
      <c r="AA12" s="42">
        <f>SUMIF(EFEITO!$B$2:$B$475,$Q$12,EFEITO!$AE$2:$AE$475)</f>
        <v>0</v>
      </c>
      <c r="AB12" s="42">
        <f ca="1">SUMIF(EFEITO!$B$2:$B$475,$Q$12,EFEITO!$AF$2:$AF$475)</f>
        <v>348140.21318159992</v>
      </c>
      <c r="AC12" s="42">
        <f>SUMIF(EFEITO!$B$2:$B$475,$Q$12,EFEITO!$AG$2:$AH$475)</f>
        <v>206284.7746218392</v>
      </c>
      <c r="AD12" s="42">
        <f>SUMIF(SUBSIDIO!$B$2:$B$475,$Q$12,SUBSIDIO!$AD$2:$AD$475)</f>
        <v>0</v>
      </c>
      <c r="AE12" s="42">
        <f>SUMIF(SUBSIDIO!$B$2:$B$475,$Q$12,SUBSIDIO!$AE$2:$AE$475)</f>
        <v>0</v>
      </c>
      <c r="AF12" s="42" t="str">
        <f>IF(ABS($X$12-$AA$12)&lt;0.01,"OK","ERRO")</f>
        <v>OK</v>
      </c>
      <c r="AG12" s="42" t="str">
        <f ca="1">IF(ABS($Y$12-$AB$12)&lt;0.01,"OK","ERRO")</f>
        <v>OK</v>
      </c>
      <c r="AH12" s="42" t="str">
        <f>IF(ABS($Z$12-$AC$12)&lt;0.01,"OK","ERRO")</f>
        <v>OK</v>
      </c>
      <c r="AI12" s="42" t="str">
        <f>IF(ABS($U$12-$AD$12)&lt;0.01,"OK","ERRO")</f>
        <v>OK</v>
      </c>
      <c r="AJ12" s="42" t="str">
        <f ca="1">IF(ABS(($V$12+$W$12)-$AE$12)&lt;0.01,"OK","ERRO")</f>
        <v>OK</v>
      </c>
    </row>
    <row r="13" spans="1:40" ht="11.25" customHeight="1" x14ac:dyDescent="0.2">
      <c r="A13" s="41" t="s">
        <v>55</v>
      </c>
      <c r="B13" s="41" t="s">
        <v>38</v>
      </c>
      <c r="C13" s="41" t="s">
        <v>56</v>
      </c>
      <c r="D13" s="41" t="s">
        <v>37</v>
      </c>
      <c r="E13" s="41" t="s">
        <v>25</v>
      </c>
      <c r="F13" s="41" t="s">
        <v>57</v>
      </c>
      <c r="G13" s="41" t="s">
        <v>25</v>
      </c>
      <c r="H13" s="41" t="s">
        <v>34</v>
      </c>
      <c r="I13" s="61">
        <v>44743</v>
      </c>
      <c r="J13" s="62">
        <f ca="1">EFEITO!$J$13*EFEITO!$Y$13</f>
        <v>98751.500135112059</v>
      </c>
      <c r="K13" s="62">
        <f ca="1">EFEITO!$L$13*EFEITO!$Z$13</f>
        <v>0</v>
      </c>
      <c r="L13" s="62">
        <f>EFEITO!$N$13*EFEITO!$AA$13</f>
        <v>0</v>
      </c>
      <c r="M13" s="62">
        <f ca="1">$J$13-EFEITO!$K$13*EFEITO!$Y$13</f>
        <v>49375.75006755603</v>
      </c>
      <c r="N13" s="62">
        <f ca="1">$K$13-EFEITO!$M$13*EFEITO!$Z$13</f>
        <v>0</v>
      </c>
      <c r="O13" s="62">
        <f>$L$13-EFEITO!$O$13*EFEITO!$AA$13</f>
        <v>0</v>
      </c>
      <c r="P13" s="45"/>
      <c r="Q13" s="62" t="s">
        <v>85</v>
      </c>
      <c r="R13" s="62">
        <f>SUMIF($B$2:$B$475,$Q$13,$J$2:$J$475)</f>
        <v>0</v>
      </c>
      <c r="S13" s="62">
        <f>SUMIF($B$2:$B$475,$Q$13,$K$2:$K$475)</f>
        <v>0</v>
      </c>
      <c r="T13" s="62">
        <f>SUMIF($B$2:$B$475,$Q$13,$L$2:$L$475)</f>
        <v>0</v>
      </c>
      <c r="U13" s="62">
        <f>SUMIF($B$2:$B$475,$Q$13,$M$2:$M$475)</f>
        <v>0</v>
      </c>
      <c r="V13" s="62">
        <f>SUMIF($B$2:$B$475,$Q$13,$N$2:$N$475)</f>
        <v>0</v>
      </c>
      <c r="W13" s="62">
        <f>SUMIF($B$2:$B$475,$Q$13,$O$2:$O$475)</f>
        <v>0</v>
      </c>
      <c r="X13" s="42">
        <f>$R$13-$U$13</f>
        <v>0</v>
      </c>
      <c r="Y13" s="42">
        <f>$S$13-$V$13</f>
        <v>0</v>
      </c>
      <c r="Z13" s="42">
        <f>$T$13-$W$13</f>
        <v>0</v>
      </c>
      <c r="AA13" s="42">
        <f>SUMIF(EFEITO!$B$2:$B$475,$Q$13,EFEITO!$AE$2:$AE$475)</f>
        <v>0</v>
      </c>
      <c r="AB13" s="42">
        <f>SUMIF(EFEITO!$B$2:$B$475,$Q$13,EFEITO!$AF$2:$AF$475)</f>
        <v>0</v>
      </c>
      <c r="AC13" s="42">
        <f>SUMIF(EFEITO!$B$2:$B$475,$Q$13,EFEITO!$AG$2:$AH$475)</f>
        <v>0</v>
      </c>
      <c r="AD13" s="42">
        <f>SUMIF(SUBSIDIO!$B$2:$B$475,$Q$13,SUBSIDIO!$AD$2:$AD$475)</f>
        <v>0</v>
      </c>
      <c r="AE13" s="42">
        <f>SUMIF(SUBSIDIO!$B$2:$B$475,$Q$13,SUBSIDIO!$AE$2:$AE$475)</f>
        <v>0</v>
      </c>
      <c r="AF13" s="42" t="str">
        <f>IF(ABS($X$13-$AA$13)&lt;0.01,"OK","ERRO")</f>
        <v>OK</v>
      </c>
      <c r="AG13" s="42" t="str">
        <f>IF(ABS($Y$13-$AB$13)&lt;0.01,"OK","ERRO")</f>
        <v>OK</v>
      </c>
      <c r="AH13" s="42" t="str">
        <f>IF(ABS($Z$13-$AC$13)&lt;0.01,"OK","ERRO")</f>
        <v>OK</v>
      </c>
      <c r="AI13" s="42" t="str">
        <f>IF(ABS($U$13-$AD$13)&lt;0.01,"OK","ERRO")</f>
        <v>OK</v>
      </c>
      <c r="AJ13" s="42" t="str">
        <f>IF(ABS(($V$13+$W$13)-$AE$13)&lt;0.01,"OK","ERRO")</f>
        <v>OK</v>
      </c>
    </row>
    <row r="14" spans="1:40" ht="11.25" customHeight="1" x14ac:dyDescent="0.2">
      <c r="A14" s="41" t="s">
        <v>21</v>
      </c>
      <c r="B14" s="41" t="s">
        <v>38</v>
      </c>
      <c r="C14" s="41" t="s">
        <v>56</v>
      </c>
      <c r="D14" s="41" t="s">
        <v>37</v>
      </c>
      <c r="E14" s="41" t="s">
        <v>25</v>
      </c>
      <c r="F14" s="41" t="s">
        <v>57</v>
      </c>
      <c r="G14" s="41" t="s">
        <v>25</v>
      </c>
      <c r="H14" s="41" t="s">
        <v>25</v>
      </c>
      <c r="I14" s="61">
        <v>44409</v>
      </c>
      <c r="J14" s="62">
        <f>EFEITO!$J$14*EFEITO!$Y$14</f>
        <v>0</v>
      </c>
      <c r="K14" s="62">
        <f ca="1">EFEITO!$L$14*EFEITO!$Z$14</f>
        <v>283876.74679693871</v>
      </c>
      <c r="L14" s="62">
        <f>EFEITO!$N$14*EFEITO!$AA$14</f>
        <v>0</v>
      </c>
      <c r="M14" s="62">
        <f>$J$14-EFEITO!$K$14*EFEITO!$Y$14</f>
        <v>0</v>
      </c>
      <c r="N14" s="62">
        <f ca="1">$K$14-EFEITO!$M$14*EFEITO!$Z$14</f>
        <v>141938.37339846935</v>
      </c>
      <c r="O14" s="62">
        <f>$L$14-EFEITO!$O$14*EFEITO!$AA$14</f>
        <v>0</v>
      </c>
      <c r="P14" s="45"/>
      <c r="Q14" s="45"/>
      <c r="R14" s="45"/>
      <c r="S14" s="45"/>
      <c r="T14" s="45"/>
      <c r="U14" s="45"/>
      <c r="V14" s="45"/>
      <c r="W14" s="45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41" t="s">
        <v>21</v>
      </c>
      <c r="B15" s="41" t="s">
        <v>38</v>
      </c>
      <c r="C15" s="41" t="s">
        <v>56</v>
      </c>
      <c r="D15" s="41" t="s">
        <v>37</v>
      </c>
      <c r="E15" s="41" t="s">
        <v>25</v>
      </c>
      <c r="F15" s="41" t="s">
        <v>57</v>
      </c>
      <c r="G15" s="41" t="s">
        <v>25</v>
      </c>
      <c r="H15" s="41" t="s">
        <v>25</v>
      </c>
      <c r="I15" s="61">
        <v>44440</v>
      </c>
      <c r="J15" s="62">
        <f>EFEITO!$J$15*EFEITO!$Y$15</f>
        <v>0</v>
      </c>
      <c r="K15" s="62">
        <f ca="1">EFEITO!$L$15*EFEITO!$Z$15</f>
        <v>277487.09959108254</v>
      </c>
      <c r="L15" s="62">
        <f>EFEITO!$N$15*EFEITO!$AA$15</f>
        <v>0</v>
      </c>
      <c r="M15" s="62">
        <f>$J$15-EFEITO!$K$15*EFEITO!$Y$15</f>
        <v>0</v>
      </c>
      <c r="N15" s="62">
        <f ca="1">$K$15-EFEITO!$M$15*EFEITO!$Z$15</f>
        <v>138743.54979554127</v>
      </c>
      <c r="O15" s="62">
        <f>$L$15-EFEITO!$O$15*EFEITO!$AA$15</f>
        <v>0</v>
      </c>
      <c r="P15" s="45"/>
      <c r="Q15" s="45"/>
      <c r="R15" s="45"/>
      <c r="S15" s="45"/>
      <c r="T15" s="45"/>
      <c r="U15" s="45"/>
      <c r="V15" s="45"/>
      <c r="W15" s="45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41" t="s">
        <v>21</v>
      </c>
      <c r="B16" s="41" t="s">
        <v>38</v>
      </c>
      <c r="C16" s="41" t="s">
        <v>56</v>
      </c>
      <c r="D16" s="41" t="s">
        <v>37</v>
      </c>
      <c r="E16" s="41" t="s">
        <v>25</v>
      </c>
      <c r="F16" s="41" t="s">
        <v>57</v>
      </c>
      <c r="G16" s="41" t="s">
        <v>25</v>
      </c>
      <c r="H16" s="41" t="s">
        <v>25</v>
      </c>
      <c r="I16" s="61">
        <v>44470</v>
      </c>
      <c r="J16" s="62">
        <f>EFEITO!$J$16*EFEITO!$Y$16</f>
        <v>0</v>
      </c>
      <c r="K16" s="62">
        <f ca="1">EFEITO!$L$16*EFEITO!$Z$16</f>
        <v>286803.46487028536</v>
      </c>
      <c r="L16" s="62">
        <f>EFEITO!$N$16*EFEITO!$AA$16</f>
        <v>0</v>
      </c>
      <c r="M16" s="62">
        <f>$J$16-EFEITO!$K$16*EFEITO!$Y$16</f>
        <v>0</v>
      </c>
      <c r="N16" s="62">
        <f ca="1">$K$16-EFEITO!$M$16*EFEITO!$Z$16</f>
        <v>143401.73243514268</v>
      </c>
      <c r="O16" s="62">
        <f>$L$16-EFEITO!$O$16*EFEITO!$AA$16</f>
        <v>0</v>
      </c>
      <c r="P16" s="45"/>
      <c r="Q16" s="45"/>
      <c r="R16" s="45"/>
      <c r="S16" s="45"/>
      <c r="T16" s="45"/>
      <c r="U16" s="45"/>
      <c r="V16" s="45"/>
      <c r="W16" s="45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41" t="s">
        <v>21</v>
      </c>
      <c r="B17" s="41" t="s">
        <v>38</v>
      </c>
      <c r="C17" s="41" t="s">
        <v>56</v>
      </c>
      <c r="D17" s="41" t="s">
        <v>37</v>
      </c>
      <c r="E17" s="41" t="s">
        <v>25</v>
      </c>
      <c r="F17" s="41" t="s">
        <v>57</v>
      </c>
      <c r="G17" s="41" t="s">
        <v>25</v>
      </c>
      <c r="H17" s="41" t="s">
        <v>25</v>
      </c>
      <c r="I17" s="61">
        <v>44501</v>
      </c>
      <c r="J17" s="62">
        <f>EFEITO!$J$17*EFEITO!$Y$17</f>
        <v>0</v>
      </c>
      <c r="K17" s="62">
        <f ca="1">EFEITO!$L$17*EFEITO!$Z$17</f>
        <v>284395.05361977295</v>
      </c>
      <c r="L17" s="62">
        <f>EFEITO!$N$17*EFEITO!$AA$17</f>
        <v>0</v>
      </c>
      <c r="M17" s="62">
        <f>$J$17-EFEITO!$K$17*EFEITO!$Y$17</f>
        <v>0</v>
      </c>
      <c r="N17" s="62">
        <f ca="1">$K$17-EFEITO!$M$17*EFEITO!$Z$17</f>
        <v>142197.52680988648</v>
      </c>
      <c r="O17" s="62">
        <f>$L$17-EFEITO!$O$17*EFEITO!$AA$17</f>
        <v>0</v>
      </c>
      <c r="P17" s="45"/>
      <c r="Q17" s="45"/>
      <c r="R17" s="45"/>
      <c r="S17" s="45"/>
      <c r="T17" s="45"/>
      <c r="U17" s="45"/>
      <c r="V17" s="45"/>
      <c r="W17" s="45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41" t="s">
        <v>21</v>
      </c>
      <c r="B18" s="41" t="s">
        <v>38</v>
      </c>
      <c r="C18" s="41" t="s">
        <v>56</v>
      </c>
      <c r="D18" s="41" t="s">
        <v>37</v>
      </c>
      <c r="E18" s="41" t="s">
        <v>25</v>
      </c>
      <c r="F18" s="41" t="s">
        <v>57</v>
      </c>
      <c r="G18" s="41" t="s">
        <v>25</v>
      </c>
      <c r="H18" s="41" t="s">
        <v>25</v>
      </c>
      <c r="I18" s="61">
        <v>44531</v>
      </c>
      <c r="J18" s="62">
        <f>EFEITO!$J$18*EFEITO!$Y$18</f>
        <v>0</v>
      </c>
      <c r="K18" s="62">
        <f ca="1">EFEITO!$L$18*EFEITO!$Z$18</f>
        <v>252341.14095839416</v>
      </c>
      <c r="L18" s="62">
        <f>EFEITO!$N$18*EFEITO!$AA$18</f>
        <v>0</v>
      </c>
      <c r="M18" s="62">
        <f>$J$18-EFEITO!$K$18*EFEITO!$Y$18</f>
        <v>0</v>
      </c>
      <c r="N18" s="62">
        <f ca="1">$K$18-EFEITO!$M$18*EFEITO!$Z$18</f>
        <v>126170.57047919708</v>
      </c>
      <c r="O18" s="62">
        <f>$L$18-EFEITO!$O$18*EFEITO!$AA$18</f>
        <v>0</v>
      </c>
      <c r="P18" s="45"/>
      <c r="Q18" s="45"/>
      <c r="R18" s="45"/>
      <c r="S18" s="45"/>
      <c r="T18" s="45"/>
      <c r="U18" s="45"/>
      <c r="V18" s="45"/>
      <c r="W18" s="45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41" t="s">
        <v>21</v>
      </c>
      <c r="B19" s="41" t="s">
        <v>38</v>
      </c>
      <c r="C19" s="41" t="s">
        <v>56</v>
      </c>
      <c r="D19" s="41" t="s">
        <v>37</v>
      </c>
      <c r="E19" s="41" t="s">
        <v>25</v>
      </c>
      <c r="F19" s="41" t="s">
        <v>57</v>
      </c>
      <c r="G19" s="41" t="s">
        <v>25</v>
      </c>
      <c r="H19" s="41" t="s">
        <v>25</v>
      </c>
      <c r="I19" s="61">
        <v>44562</v>
      </c>
      <c r="J19" s="62">
        <f>EFEITO!$J$19*EFEITO!$Y$19</f>
        <v>0</v>
      </c>
      <c r="K19" s="62">
        <f ca="1">EFEITO!$L$19*EFEITO!$Z$19</f>
        <v>292366.76911293715</v>
      </c>
      <c r="L19" s="62">
        <f>EFEITO!$N$19*EFEITO!$AA$19</f>
        <v>0</v>
      </c>
      <c r="M19" s="62">
        <f>$J$19-EFEITO!$K$19*EFEITO!$Y$19</f>
        <v>0</v>
      </c>
      <c r="N19" s="62">
        <f ca="1">$K$19-EFEITO!$M$19*EFEITO!$Z$19</f>
        <v>146183.38455646858</v>
      </c>
      <c r="O19" s="62">
        <f>$L$19-EFEITO!$O$19*EFEITO!$AA$19</f>
        <v>0</v>
      </c>
      <c r="P19" s="45"/>
      <c r="Q19" s="45"/>
      <c r="R19" s="45"/>
      <c r="S19" s="45"/>
      <c r="T19" s="45"/>
      <c r="U19" s="45"/>
      <c r="V19" s="45"/>
      <c r="W19" s="45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41" t="s">
        <v>21</v>
      </c>
      <c r="B20" s="41" t="s">
        <v>38</v>
      </c>
      <c r="C20" s="41" t="s">
        <v>56</v>
      </c>
      <c r="D20" s="41" t="s">
        <v>37</v>
      </c>
      <c r="E20" s="41" t="s">
        <v>25</v>
      </c>
      <c r="F20" s="41" t="s">
        <v>57</v>
      </c>
      <c r="G20" s="41" t="s">
        <v>25</v>
      </c>
      <c r="H20" s="41" t="s">
        <v>25</v>
      </c>
      <c r="I20" s="61">
        <v>44593</v>
      </c>
      <c r="J20" s="62">
        <f>EFEITO!$J$20*EFEITO!$Y$20</f>
        <v>0</v>
      </c>
      <c r="K20" s="62">
        <f ca="1">EFEITO!$L$20*EFEITO!$Z$20</f>
        <v>269570.84559277812</v>
      </c>
      <c r="L20" s="62">
        <f>EFEITO!$N$20*EFEITO!$AA$20</f>
        <v>0</v>
      </c>
      <c r="M20" s="62">
        <f>$J$20-EFEITO!$K$20*EFEITO!$Y$20</f>
        <v>0</v>
      </c>
      <c r="N20" s="62">
        <f ca="1">$K$20-EFEITO!$M$20*EFEITO!$Z$20</f>
        <v>134785.42279638906</v>
      </c>
      <c r="O20" s="62">
        <f>$L$20-EFEITO!$O$20*EFEITO!$AA$20</f>
        <v>0</v>
      </c>
      <c r="P20" s="45"/>
      <c r="Q20" s="45"/>
      <c r="R20" s="45"/>
      <c r="S20" s="45"/>
      <c r="T20" s="45"/>
      <c r="U20" s="45"/>
      <c r="V20" s="45"/>
      <c r="W20" s="45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41" t="s">
        <v>21</v>
      </c>
      <c r="B21" s="41" t="s">
        <v>38</v>
      </c>
      <c r="C21" s="41" t="s">
        <v>56</v>
      </c>
      <c r="D21" s="41" t="s">
        <v>37</v>
      </c>
      <c r="E21" s="41" t="s">
        <v>25</v>
      </c>
      <c r="F21" s="41" t="s">
        <v>57</v>
      </c>
      <c r="G21" s="41" t="s">
        <v>25</v>
      </c>
      <c r="H21" s="41" t="s">
        <v>25</v>
      </c>
      <c r="I21" s="61">
        <v>44621</v>
      </c>
      <c r="J21" s="62">
        <f>EFEITO!$J$21*EFEITO!$Y$21</f>
        <v>0</v>
      </c>
      <c r="K21" s="62">
        <f ca="1">EFEITO!$L$21*EFEITO!$Z$21</f>
        <v>307183.14924125804</v>
      </c>
      <c r="L21" s="62">
        <f>EFEITO!$N$21*EFEITO!$AA$21</f>
        <v>0</v>
      </c>
      <c r="M21" s="62">
        <f>$J$21-EFEITO!$K$21*EFEITO!$Y$21</f>
        <v>0</v>
      </c>
      <c r="N21" s="62">
        <f ca="1">$K$21-EFEITO!$M$21*EFEITO!$Z$21</f>
        <v>153591.57462062902</v>
      </c>
      <c r="O21" s="62">
        <f>$L$21-EFEITO!$O$21*EFEITO!$AA$21</f>
        <v>0</v>
      </c>
      <c r="P21" s="45"/>
      <c r="Q21" s="45"/>
      <c r="R21" s="45"/>
      <c r="S21" s="45"/>
      <c r="T21" s="45"/>
      <c r="U21" s="45"/>
      <c r="V21" s="45"/>
      <c r="W21" s="45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41" t="s">
        <v>21</v>
      </c>
      <c r="B22" s="41" t="s">
        <v>38</v>
      </c>
      <c r="C22" s="41" t="s">
        <v>56</v>
      </c>
      <c r="D22" s="41" t="s">
        <v>37</v>
      </c>
      <c r="E22" s="41" t="s">
        <v>25</v>
      </c>
      <c r="F22" s="41" t="s">
        <v>57</v>
      </c>
      <c r="G22" s="41" t="s">
        <v>25</v>
      </c>
      <c r="H22" s="41" t="s">
        <v>25</v>
      </c>
      <c r="I22" s="61">
        <v>44652</v>
      </c>
      <c r="J22" s="62">
        <f>EFEITO!$J$22*EFEITO!$Y$22</f>
        <v>0</v>
      </c>
      <c r="K22" s="62">
        <f ca="1">EFEITO!$L$22*EFEITO!$Z$22</f>
        <v>280873.49852272694</v>
      </c>
      <c r="L22" s="62">
        <f>EFEITO!$N$22*EFEITO!$AA$22</f>
        <v>0</v>
      </c>
      <c r="M22" s="62">
        <f>$J$22-EFEITO!$K$22*EFEITO!$Y$22</f>
        <v>0</v>
      </c>
      <c r="N22" s="62">
        <f ca="1">$K$22-EFEITO!$M$22*EFEITO!$Z$22</f>
        <v>140436.74926136347</v>
      </c>
      <c r="O22" s="62">
        <f>$L$22-EFEITO!$O$22*EFEITO!$AA$22</f>
        <v>0</v>
      </c>
      <c r="P22" s="45"/>
      <c r="Q22" s="45"/>
      <c r="R22" s="45"/>
      <c r="S22" s="45"/>
      <c r="T22" s="45"/>
      <c r="U22" s="45"/>
      <c r="V22" s="45"/>
      <c r="W22" s="45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41" t="s">
        <v>21</v>
      </c>
      <c r="B23" s="41" t="s">
        <v>38</v>
      </c>
      <c r="C23" s="41" t="s">
        <v>56</v>
      </c>
      <c r="D23" s="41" t="s">
        <v>37</v>
      </c>
      <c r="E23" s="41" t="s">
        <v>25</v>
      </c>
      <c r="F23" s="41" t="s">
        <v>57</v>
      </c>
      <c r="G23" s="41" t="s">
        <v>25</v>
      </c>
      <c r="H23" s="41" t="s">
        <v>25</v>
      </c>
      <c r="I23" s="61">
        <v>44682</v>
      </c>
      <c r="J23" s="62">
        <f>EFEITO!$J$23*EFEITO!$Y$23</f>
        <v>0</v>
      </c>
      <c r="K23" s="62">
        <f ca="1">EFEITO!$L$23*EFEITO!$Z$23</f>
        <v>282329.65422710986</v>
      </c>
      <c r="L23" s="62">
        <f>EFEITO!$N$23*EFEITO!$AA$23</f>
        <v>0</v>
      </c>
      <c r="M23" s="62">
        <f>$J$23-EFEITO!$K$23*EFEITO!$Y$23</f>
        <v>0</v>
      </c>
      <c r="N23" s="62">
        <f ca="1">$K$23-EFEITO!$M$23*EFEITO!$Z$23</f>
        <v>141164.82711355493</v>
      </c>
      <c r="O23" s="62">
        <f>$L$23-EFEITO!$O$23*EFEITO!$AA$23</f>
        <v>0</v>
      </c>
      <c r="P23" s="45"/>
      <c r="Q23" s="45"/>
      <c r="R23" s="45"/>
      <c r="S23" s="45"/>
      <c r="T23" s="45"/>
      <c r="U23" s="45"/>
      <c r="V23" s="45"/>
      <c r="W23" s="45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41" t="s">
        <v>21</v>
      </c>
      <c r="B24" s="41" t="s">
        <v>38</v>
      </c>
      <c r="C24" s="41" t="s">
        <v>56</v>
      </c>
      <c r="D24" s="41" t="s">
        <v>37</v>
      </c>
      <c r="E24" s="41" t="s">
        <v>25</v>
      </c>
      <c r="F24" s="41" t="s">
        <v>57</v>
      </c>
      <c r="G24" s="41" t="s">
        <v>25</v>
      </c>
      <c r="H24" s="41" t="s">
        <v>25</v>
      </c>
      <c r="I24" s="61">
        <v>44713</v>
      </c>
      <c r="J24" s="62">
        <f>EFEITO!$J$24*EFEITO!$Y$24</f>
        <v>0</v>
      </c>
      <c r="K24" s="62">
        <f ca="1">EFEITO!$L$24*EFEITO!$Z$24</f>
        <v>280087.37763462355</v>
      </c>
      <c r="L24" s="62">
        <f>EFEITO!$N$24*EFEITO!$AA$24</f>
        <v>0</v>
      </c>
      <c r="M24" s="62">
        <f>$J$24-EFEITO!$K$24*EFEITO!$Y$24</f>
        <v>0</v>
      </c>
      <c r="N24" s="62">
        <f ca="1">$K$24-EFEITO!$M$24*EFEITO!$Z$24</f>
        <v>140043.68881731178</v>
      </c>
      <c r="O24" s="62">
        <f>$L$24-EFEITO!$O$24*EFEITO!$AA$24</f>
        <v>0</v>
      </c>
      <c r="P24" s="45"/>
      <c r="Q24" s="45"/>
      <c r="R24" s="45"/>
      <c r="S24" s="45"/>
      <c r="T24" s="45"/>
      <c r="U24" s="45"/>
      <c r="V24" s="45"/>
      <c r="W24" s="45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41" t="s">
        <v>55</v>
      </c>
      <c r="B25" s="41" t="s">
        <v>38</v>
      </c>
      <c r="C25" s="41" t="s">
        <v>56</v>
      </c>
      <c r="D25" s="41" t="s">
        <v>37</v>
      </c>
      <c r="E25" s="41" t="s">
        <v>25</v>
      </c>
      <c r="F25" s="41" t="s">
        <v>57</v>
      </c>
      <c r="G25" s="41" t="s">
        <v>25</v>
      </c>
      <c r="H25" s="41" t="s">
        <v>25</v>
      </c>
      <c r="I25" s="61">
        <v>44743</v>
      </c>
      <c r="J25" s="62">
        <f>EFEITO!$J$25*EFEITO!$Y$25</f>
        <v>0</v>
      </c>
      <c r="K25" s="62">
        <f ca="1">EFEITO!$L$25*EFEITO!$Z$25</f>
        <v>280087.37763462355</v>
      </c>
      <c r="L25" s="62">
        <f>EFEITO!$N$25*EFEITO!$AA$25</f>
        <v>0</v>
      </c>
      <c r="M25" s="62">
        <f>$J$25-EFEITO!$K$25*EFEITO!$Y$25</f>
        <v>0</v>
      </c>
      <c r="N25" s="62">
        <f ca="1">$K$25-EFEITO!$M$25*EFEITO!$Z$25</f>
        <v>140043.68881731178</v>
      </c>
      <c r="O25" s="62">
        <f>$L$25-EFEITO!$O$25*EFEITO!$AA$25</f>
        <v>0</v>
      </c>
      <c r="P25" s="45"/>
      <c r="Q25" s="45"/>
      <c r="R25" s="45"/>
      <c r="S25" s="45"/>
      <c r="T25" s="45"/>
      <c r="U25" s="45"/>
      <c r="V25" s="45"/>
      <c r="W25" s="45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41" t="s">
        <v>21</v>
      </c>
      <c r="B26" s="41" t="s">
        <v>38</v>
      </c>
      <c r="C26" s="41" t="s">
        <v>56</v>
      </c>
      <c r="D26" s="41" t="s">
        <v>37</v>
      </c>
      <c r="E26" s="41" t="s">
        <v>25</v>
      </c>
      <c r="F26" s="41" t="s">
        <v>57</v>
      </c>
      <c r="G26" s="41" t="s">
        <v>25</v>
      </c>
      <c r="H26" s="41" t="s">
        <v>33</v>
      </c>
      <c r="I26" s="61">
        <v>44409</v>
      </c>
      <c r="J26" s="62">
        <f ca="1">EFEITO!$J$26*EFEITO!$Y$26</f>
        <v>133281.21496024632</v>
      </c>
      <c r="K26" s="62">
        <f ca="1">EFEITO!$L$26*EFEITO!$Z$26</f>
        <v>0</v>
      </c>
      <c r="L26" s="62">
        <f>EFEITO!$N$26*EFEITO!$AA$26</f>
        <v>0</v>
      </c>
      <c r="M26" s="62">
        <f ca="1">$J$26-EFEITO!$K$26*EFEITO!$Y$26</f>
        <v>66640.607480123159</v>
      </c>
      <c r="N26" s="62">
        <f ca="1">$K$26-EFEITO!$M$26*EFEITO!$Z$26</f>
        <v>0</v>
      </c>
      <c r="O26" s="62">
        <f>$L$26-EFEITO!$O$26*EFEITO!$AA$26</f>
        <v>0</v>
      </c>
      <c r="P26" s="45"/>
      <c r="Q26" s="45"/>
      <c r="R26" s="45"/>
      <c r="S26" s="45"/>
      <c r="T26" s="45"/>
      <c r="U26" s="45"/>
      <c r="V26" s="45"/>
      <c r="W26" s="45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41" t="s">
        <v>21</v>
      </c>
      <c r="B27" s="41" t="s">
        <v>38</v>
      </c>
      <c r="C27" s="41" t="s">
        <v>56</v>
      </c>
      <c r="D27" s="41" t="s">
        <v>37</v>
      </c>
      <c r="E27" s="41" t="s">
        <v>25</v>
      </c>
      <c r="F27" s="41" t="s">
        <v>57</v>
      </c>
      <c r="G27" s="41" t="s">
        <v>25</v>
      </c>
      <c r="H27" s="41" t="s">
        <v>33</v>
      </c>
      <c r="I27" s="61">
        <v>44440</v>
      </c>
      <c r="J27" s="62">
        <f ca="1">EFEITO!$J$27*EFEITO!$Y$27</f>
        <v>133281.21496024632</v>
      </c>
      <c r="K27" s="62">
        <f ca="1">EFEITO!$L$27*EFEITO!$Z$27</f>
        <v>0</v>
      </c>
      <c r="L27" s="62">
        <f>EFEITO!$N$27*EFEITO!$AA$27</f>
        <v>0</v>
      </c>
      <c r="M27" s="62">
        <f ca="1">$J$27-EFEITO!$K$27*EFEITO!$Y$27</f>
        <v>66640.607480123159</v>
      </c>
      <c r="N27" s="62">
        <f ca="1">$K$27-EFEITO!$M$27*EFEITO!$Z$27</f>
        <v>0</v>
      </c>
      <c r="O27" s="62">
        <f>$L$27-EFEITO!$O$27*EFEITO!$AA$27</f>
        <v>0</v>
      </c>
      <c r="P27" s="45"/>
      <c r="Q27" s="45"/>
      <c r="R27" s="45"/>
      <c r="S27" s="45"/>
      <c r="T27" s="45"/>
      <c r="U27" s="45"/>
      <c r="V27" s="45"/>
      <c r="W27" s="45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41" t="s">
        <v>21</v>
      </c>
      <c r="B28" s="41" t="s">
        <v>38</v>
      </c>
      <c r="C28" s="41" t="s">
        <v>56</v>
      </c>
      <c r="D28" s="41" t="s">
        <v>37</v>
      </c>
      <c r="E28" s="41" t="s">
        <v>25</v>
      </c>
      <c r="F28" s="41" t="s">
        <v>57</v>
      </c>
      <c r="G28" s="41" t="s">
        <v>25</v>
      </c>
      <c r="H28" s="41" t="s">
        <v>33</v>
      </c>
      <c r="I28" s="61">
        <v>44470</v>
      </c>
      <c r="J28" s="62">
        <f ca="1">EFEITO!$J$28*EFEITO!$Y$28</f>
        <v>133281.21496024632</v>
      </c>
      <c r="K28" s="62">
        <f ca="1">EFEITO!$L$28*EFEITO!$Z$28</f>
        <v>0</v>
      </c>
      <c r="L28" s="62">
        <f>EFEITO!$N$28*EFEITO!$AA$28</f>
        <v>0</v>
      </c>
      <c r="M28" s="62">
        <f ca="1">$J$28-EFEITO!$K$28*EFEITO!$Y$28</f>
        <v>66640.607480123159</v>
      </c>
      <c r="N28" s="62">
        <f ca="1">$K$28-EFEITO!$M$28*EFEITO!$Z$28</f>
        <v>0</v>
      </c>
      <c r="O28" s="62">
        <f>$L$28-EFEITO!$O$28*EFEITO!$AA$28</f>
        <v>0</v>
      </c>
      <c r="P28" s="45"/>
      <c r="Q28" s="45"/>
      <c r="R28" s="45"/>
      <c r="S28" s="45"/>
      <c r="T28" s="45"/>
      <c r="U28" s="45"/>
      <c r="V28" s="45"/>
      <c r="W28" s="45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41" t="s">
        <v>21</v>
      </c>
      <c r="B29" s="41" t="s">
        <v>38</v>
      </c>
      <c r="C29" s="41" t="s">
        <v>56</v>
      </c>
      <c r="D29" s="41" t="s">
        <v>37</v>
      </c>
      <c r="E29" s="41" t="s">
        <v>25</v>
      </c>
      <c r="F29" s="41" t="s">
        <v>57</v>
      </c>
      <c r="G29" s="41" t="s">
        <v>25</v>
      </c>
      <c r="H29" s="41" t="s">
        <v>33</v>
      </c>
      <c r="I29" s="61">
        <v>44501</v>
      </c>
      <c r="J29" s="62">
        <f ca="1">EFEITO!$J$29*EFEITO!$Y$29</f>
        <v>133281.21496024632</v>
      </c>
      <c r="K29" s="62">
        <f ca="1">EFEITO!$L$29*EFEITO!$Z$29</f>
        <v>0</v>
      </c>
      <c r="L29" s="62">
        <f>EFEITO!$N$29*EFEITO!$AA$29</f>
        <v>0</v>
      </c>
      <c r="M29" s="62">
        <f ca="1">$J$29-EFEITO!$K$29*EFEITO!$Y$29</f>
        <v>66640.607480123159</v>
      </c>
      <c r="N29" s="62">
        <f ca="1">$K$29-EFEITO!$M$29*EFEITO!$Z$29</f>
        <v>0</v>
      </c>
      <c r="O29" s="62">
        <f>$L$29-EFEITO!$O$29*EFEITO!$AA$29</f>
        <v>0</v>
      </c>
      <c r="P29" s="45"/>
      <c r="Q29" s="45"/>
      <c r="R29" s="45"/>
      <c r="S29" s="45"/>
      <c r="T29" s="45"/>
      <c r="U29" s="45"/>
      <c r="V29" s="45"/>
      <c r="W29" s="45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41" t="s">
        <v>21</v>
      </c>
      <c r="B30" s="41" t="s">
        <v>38</v>
      </c>
      <c r="C30" s="41" t="s">
        <v>56</v>
      </c>
      <c r="D30" s="41" t="s">
        <v>37</v>
      </c>
      <c r="E30" s="41" t="s">
        <v>25</v>
      </c>
      <c r="F30" s="41" t="s">
        <v>57</v>
      </c>
      <c r="G30" s="41" t="s">
        <v>25</v>
      </c>
      <c r="H30" s="41" t="s">
        <v>33</v>
      </c>
      <c r="I30" s="61">
        <v>44531</v>
      </c>
      <c r="J30" s="62">
        <f ca="1">EFEITO!$J$30*EFEITO!$Y$30</f>
        <v>133281.21496024632</v>
      </c>
      <c r="K30" s="62">
        <f ca="1">EFEITO!$L$30*EFEITO!$Z$30</f>
        <v>0</v>
      </c>
      <c r="L30" s="62">
        <f>EFEITO!$N$30*EFEITO!$AA$30</f>
        <v>0</v>
      </c>
      <c r="M30" s="62">
        <f ca="1">$J$30-EFEITO!$K$30*EFEITO!$Y$30</f>
        <v>66640.607480123159</v>
      </c>
      <c r="N30" s="62">
        <f ca="1">$K$30-EFEITO!$M$30*EFEITO!$Z$30</f>
        <v>0</v>
      </c>
      <c r="O30" s="62">
        <f>$L$30-EFEITO!$O$30*EFEITO!$AA$30</f>
        <v>0</v>
      </c>
      <c r="P30" s="45"/>
      <c r="Q30" s="45"/>
      <c r="R30" s="45"/>
      <c r="S30" s="45"/>
      <c r="T30" s="45"/>
      <c r="U30" s="45"/>
      <c r="V30" s="45"/>
      <c r="W30" s="45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41" t="s">
        <v>21</v>
      </c>
      <c r="B31" s="41" t="s">
        <v>38</v>
      </c>
      <c r="C31" s="41" t="s">
        <v>56</v>
      </c>
      <c r="D31" s="41" t="s">
        <v>37</v>
      </c>
      <c r="E31" s="41" t="s">
        <v>25</v>
      </c>
      <c r="F31" s="41" t="s">
        <v>57</v>
      </c>
      <c r="G31" s="41" t="s">
        <v>25</v>
      </c>
      <c r="H31" s="41" t="s">
        <v>33</v>
      </c>
      <c r="I31" s="61">
        <v>44562</v>
      </c>
      <c r="J31" s="62">
        <f ca="1">EFEITO!$J$31*EFEITO!$Y$31</f>
        <v>133838.21108246825</v>
      </c>
      <c r="K31" s="62">
        <f ca="1">EFEITO!$L$31*EFEITO!$Z$31</f>
        <v>0</v>
      </c>
      <c r="L31" s="62">
        <f>EFEITO!$N$31*EFEITO!$AA$31</f>
        <v>0</v>
      </c>
      <c r="M31" s="62">
        <f ca="1">$J$31-EFEITO!$K$31*EFEITO!$Y$31</f>
        <v>66919.105541234123</v>
      </c>
      <c r="N31" s="62">
        <f ca="1">$K$31-EFEITO!$M$31*EFEITO!$Z$31</f>
        <v>0</v>
      </c>
      <c r="O31" s="62">
        <f>$L$31-EFEITO!$O$31*EFEITO!$AA$31</f>
        <v>0</v>
      </c>
      <c r="P31" s="45"/>
      <c r="Q31" s="45"/>
      <c r="R31" s="45"/>
      <c r="S31" s="45"/>
      <c r="T31" s="45"/>
      <c r="U31" s="45"/>
      <c r="V31" s="45"/>
      <c r="W31" s="45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41" t="s">
        <v>21</v>
      </c>
      <c r="B32" s="41" t="s">
        <v>38</v>
      </c>
      <c r="C32" s="41" t="s">
        <v>56</v>
      </c>
      <c r="D32" s="41" t="s">
        <v>37</v>
      </c>
      <c r="E32" s="41" t="s">
        <v>25</v>
      </c>
      <c r="F32" s="41" t="s">
        <v>57</v>
      </c>
      <c r="G32" s="41" t="s">
        <v>25</v>
      </c>
      <c r="H32" s="41" t="s">
        <v>33</v>
      </c>
      <c r="I32" s="61">
        <v>44593</v>
      </c>
      <c r="J32" s="62">
        <f ca="1">EFEITO!$J$32*EFEITO!$Y$32</f>
        <v>133281.21496024632</v>
      </c>
      <c r="K32" s="62">
        <f ca="1">EFEITO!$L$32*EFEITO!$Z$32</f>
        <v>0</v>
      </c>
      <c r="L32" s="62">
        <f>EFEITO!$N$32*EFEITO!$AA$32</f>
        <v>0</v>
      </c>
      <c r="M32" s="62">
        <f ca="1">$J$32-EFEITO!$K$32*EFEITO!$Y$32</f>
        <v>66640.607480123159</v>
      </c>
      <c r="N32" s="62">
        <f ca="1">$K$32-EFEITO!$M$32*EFEITO!$Z$32</f>
        <v>0</v>
      </c>
      <c r="O32" s="62">
        <f>$L$32-EFEITO!$O$32*EFEITO!$AA$32</f>
        <v>0</v>
      </c>
      <c r="P32" s="45"/>
      <c r="Q32" s="45"/>
      <c r="R32" s="45"/>
      <c r="S32" s="45"/>
      <c r="T32" s="45"/>
      <c r="U32" s="45"/>
      <c r="V32" s="45"/>
      <c r="W32" s="45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41" t="s">
        <v>21</v>
      </c>
      <c r="B33" s="41" t="s">
        <v>38</v>
      </c>
      <c r="C33" s="41" t="s">
        <v>56</v>
      </c>
      <c r="D33" s="41" t="s">
        <v>37</v>
      </c>
      <c r="E33" s="41" t="s">
        <v>25</v>
      </c>
      <c r="F33" s="41" t="s">
        <v>57</v>
      </c>
      <c r="G33" s="41" t="s">
        <v>25</v>
      </c>
      <c r="H33" s="41" t="s">
        <v>33</v>
      </c>
      <c r="I33" s="61">
        <v>44621</v>
      </c>
      <c r="J33" s="62">
        <f ca="1">EFEITO!$J$33*EFEITO!$Y$33</f>
        <v>133281.21496024632</v>
      </c>
      <c r="K33" s="62">
        <f ca="1">EFEITO!$L$33*EFEITO!$Z$33</f>
        <v>0</v>
      </c>
      <c r="L33" s="62">
        <f>EFEITO!$N$33*EFEITO!$AA$33</f>
        <v>0</v>
      </c>
      <c r="M33" s="62">
        <f ca="1">$J$33-EFEITO!$K$33*EFEITO!$Y$33</f>
        <v>66640.607480123159</v>
      </c>
      <c r="N33" s="62">
        <f ca="1">$K$33-EFEITO!$M$33*EFEITO!$Z$33</f>
        <v>0</v>
      </c>
      <c r="O33" s="62">
        <f>$L$33-EFEITO!$O$33*EFEITO!$AA$33</f>
        <v>0</v>
      </c>
      <c r="P33" s="45"/>
      <c r="Q33" s="45"/>
      <c r="R33" s="45"/>
      <c r="S33" s="45"/>
      <c r="T33" s="45"/>
      <c r="U33" s="45"/>
      <c r="V33" s="45"/>
      <c r="W33" s="45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41" t="s">
        <v>21</v>
      </c>
      <c r="B34" s="41" t="s">
        <v>38</v>
      </c>
      <c r="C34" s="41" t="s">
        <v>56</v>
      </c>
      <c r="D34" s="41" t="s">
        <v>37</v>
      </c>
      <c r="E34" s="41" t="s">
        <v>25</v>
      </c>
      <c r="F34" s="41" t="s">
        <v>57</v>
      </c>
      <c r="G34" s="41" t="s">
        <v>25</v>
      </c>
      <c r="H34" s="41" t="s">
        <v>33</v>
      </c>
      <c r="I34" s="61">
        <v>44652</v>
      </c>
      <c r="J34" s="62">
        <f ca="1">EFEITO!$J$34*EFEITO!$Y$34</f>
        <v>135190.91595072148</v>
      </c>
      <c r="K34" s="62">
        <f ca="1">EFEITO!$L$34*EFEITO!$Z$34</f>
        <v>0</v>
      </c>
      <c r="L34" s="62">
        <f>EFEITO!$N$34*EFEITO!$AA$34</f>
        <v>0</v>
      </c>
      <c r="M34" s="62">
        <f ca="1">$J$34-EFEITO!$K$34*EFEITO!$Y$34</f>
        <v>67595.45797536074</v>
      </c>
      <c r="N34" s="62">
        <f ca="1">$K$34-EFEITO!$M$34*EFEITO!$Z$34</f>
        <v>0</v>
      </c>
      <c r="O34" s="62">
        <f>$L$34-EFEITO!$O$34*EFEITO!$AA$34</f>
        <v>0</v>
      </c>
      <c r="P34" s="45"/>
      <c r="Q34" s="45"/>
      <c r="R34" s="45"/>
      <c r="S34" s="45"/>
      <c r="T34" s="45"/>
      <c r="U34" s="45"/>
      <c r="V34" s="45"/>
      <c r="W34" s="45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41" t="s">
        <v>21</v>
      </c>
      <c r="B35" s="41" t="s">
        <v>38</v>
      </c>
      <c r="C35" s="41" t="s">
        <v>56</v>
      </c>
      <c r="D35" s="41" t="s">
        <v>37</v>
      </c>
      <c r="E35" s="41" t="s">
        <v>25</v>
      </c>
      <c r="F35" s="41" t="s">
        <v>57</v>
      </c>
      <c r="G35" s="41" t="s">
        <v>25</v>
      </c>
      <c r="H35" s="41" t="s">
        <v>33</v>
      </c>
      <c r="I35" s="61">
        <v>44682</v>
      </c>
      <c r="J35" s="62">
        <f ca="1">EFEITO!$J$35*EFEITO!$Y$35</f>
        <v>128785.46054516935</v>
      </c>
      <c r="K35" s="62">
        <f ca="1">EFEITO!$L$35*EFEITO!$Z$35</f>
        <v>0</v>
      </c>
      <c r="L35" s="62">
        <f>EFEITO!$N$35*EFEITO!$AA$35</f>
        <v>0</v>
      </c>
      <c r="M35" s="62">
        <f ca="1">$J$35-EFEITO!$K$35*EFEITO!$Y$35</f>
        <v>64392.730272584675</v>
      </c>
      <c r="N35" s="62">
        <f ca="1">$K$35-EFEITO!$M$35*EFEITO!$Z$35</f>
        <v>0</v>
      </c>
      <c r="O35" s="62">
        <f>$L$35-EFEITO!$O$35*EFEITO!$AA$35</f>
        <v>0</v>
      </c>
      <c r="P35" s="45"/>
      <c r="Q35" s="45"/>
      <c r="R35" s="45"/>
      <c r="S35" s="45"/>
      <c r="T35" s="45"/>
      <c r="U35" s="45"/>
      <c r="V35" s="45"/>
      <c r="W35" s="45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41" t="s">
        <v>21</v>
      </c>
      <c r="B36" s="41" t="s">
        <v>38</v>
      </c>
      <c r="C36" s="41" t="s">
        <v>56</v>
      </c>
      <c r="D36" s="41" t="s">
        <v>37</v>
      </c>
      <c r="E36" s="41" t="s">
        <v>25</v>
      </c>
      <c r="F36" s="41" t="s">
        <v>57</v>
      </c>
      <c r="G36" s="41" t="s">
        <v>25</v>
      </c>
      <c r="H36" s="41" t="s">
        <v>33</v>
      </c>
      <c r="I36" s="61">
        <v>44713</v>
      </c>
      <c r="J36" s="62">
        <f ca="1">EFEITO!$J$36*EFEITO!$Y$36</f>
        <v>130615.59066104138</v>
      </c>
      <c r="K36" s="62">
        <f ca="1">EFEITO!$L$36*EFEITO!$Z$36</f>
        <v>0</v>
      </c>
      <c r="L36" s="62">
        <f>EFEITO!$N$36*EFEITO!$AA$36</f>
        <v>0</v>
      </c>
      <c r="M36" s="62">
        <f ca="1">$J$36-EFEITO!$K$36*EFEITO!$Y$36</f>
        <v>65307.79533052069</v>
      </c>
      <c r="N36" s="62">
        <f ca="1">$K$36-EFEITO!$M$36*EFEITO!$Z$36</f>
        <v>0</v>
      </c>
      <c r="O36" s="62">
        <f>$L$36-EFEITO!$O$36*EFEITO!$AA$36</f>
        <v>0</v>
      </c>
      <c r="P36" s="45"/>
      <c r="Q36" s="45"/>
      <c r="R36" s="45"/>
      <c r="S36" s="45"/>
      <c r="T36" s="45"/>
      <c r="U36" s="45"/>
      <c r="V36" s="45"/>
      <c r="W36" s="45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41" t="s">
        <v>55</v>
      </c>
      <c r="B37" s="41" t="s">
        <v>38</v>
      </c>
      <c r="C37" s="41" t="s">
        <v>56</v>
      </c>
      <c r="D37" s="41" t="s">
        <v>37</v>
      </c>
      <c r="E37" s="41" t="s">
        <v>25</v>
      </c>
      <c r="F37" s="41" t="s">
        <v>57</v>
      </c>
      <c r="G37" s="41" t="s">
        <v>25</v>
      </c>
      <c r="H37" s="41" t="s">
        <v>33</v>
      </c>
      <c r="I37" s="61">
        <v>44743</v>
      </c>
      <c r="J37" s="62">
        <f ca="1">EFEITO!$J$37*EFEITO!$Y$37</f>
        <v>130615.59066104138</v>
      </c>
      <c r="K37" s="62">
        <f ca="1">EFEITO!$L$37*EFEITO!$Z$37</f>
        <v>0</v>
      </c>
      <c r="L37" s="62">
        <f>EFEITO!$N$37*EFEITO!$AA$37</f>
        <v>0</v>
      </c>
      <c r="M37" s="62">
        <f ca="1">$J$37-EFEITO!$K$37*EFEITO!$Y$37</f>
        <v>65307.79533052069</v>
      </c>
      <c r="N37" s="62">
        <f ca="1">$K$37-EFEITO!$M$37*EFEITO!$Z$37</f>
        <v>0</v>
      </c>
      <c r="O37" s="62">
        <f>$L$37-EFEITO!$O$37*EFEITO!$AA$37</f>
        <v>0</v>
      </c>
      <c r="P37" s="45"/>
      <c r="Q37" s="45"/>
      <c r="R37" s="45"/>
      <c r="S37" s="45"/>
      <c r="T37" s="45"/>
      <c r="U37" s="45"/>
      <c r="V37" s="45"/>
      <c r="W37" s="45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41" t="s">
        <v>21</v>
      </c>
      <c r="B38" s="41" t="s">
        <v>38</v>
      </c>
      <c r="C38" s="41" t="s">
        <v>39</v>
      </c>
      <c r="D38" s="41" t="s">
        <v>40</v>
      </c>
      <c r="E38" s="41" t="s">
        <v>25</v>
      </c>
      <c r="F38" s="41" t="s">
        <v>25</v>
      </c>
      <c r="G38" s="41" t="s">
        <v>25</v>
      </c>
      <c r="H38" s="41" t="s">
        <v>34</v>
      </c>
      <c r="I38" s="61">
        <v>44409</v>
      </c>
      <c r="J38" s="62">
        <f>EFEITO!$J$38*EFEITO!$Y$38</f>
        <v>0</v>
      </c>
      <c r="K38" s="62">
        <f ca="1">EFEITO!$L$38*EFEITO!$Z$38</f>
        <v>17848.608282729743</v>
      </c>
      <c r="L38" s="62">
        <f>EFEITO!$N$38*EFEITO!$AA$38</f>
        <v>42371.201456134666</v>
      </c>
      <c r="M38" s="62">
        <f>$J$38-EFEITO!$K$38*EFEITO!$Y$38</f>
        <v>0</v>
      </c>
      <c r="N38" s="62">
        <f ca="1">$K$38-EFEITO!$M$38*EFEITO!$Z$38</f>
        <v>0</v>
      </c>
      <c r="O38" s="62">
        <f>$L$38-EFEITO!$O$38*EFEITO!$AA$38</f>
        <v>0</v>
      </c>
      <c r="P38" s="45"/>
      <c r="Q38" s="45"/>
      <c r="R38" s="45"/>
      <c r="S38" s="45"/>
      <c r="T38" s="45"/>
      <c r="U38" s="45"/>
      <c r="V38" s="45"/>
      <c r="W38" s="45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41" t="s">
        <v>21</v>
      </c>
      <c r="B39" s="41" t="s">
        <v>38</v>
      </c>
      <c r="C39" s="41" t="s">
        <v>39</v>
      </c>
      <c r="D39" s="41" t="s">
        <v>40</v>
      </c>
      <c r="E39" s="41" t="s">
        <v>25</v>
      </c>
      <c r="F39" s="41" t="s">
        <v>25</v>
      </c>
      <c r="G39" s="41" t="s">
        <v>25</v>
      </c>
      <c r="H39" s="41" t="s">
        <v>34</v>
      </c>
      <c r="I39" s="61">
        <v>44440</v>
      </c>
      <c r="J39" s="62">
        <f>EFEITO!$J$39*EFEITO!$Y$39</f>
        <v>0</v>
      </c>
      <c r="K39" s="62">
        <f ca="1">EFEITO!$L$39*EFEITO!$Z$39</f>
        <v>15808.9410250692</v>
      </c>
      <c r="L39" s="62">
        <f>EFEITO!$N$39*EFEITO!$AA$39</f>
        <v>37529.190756541953</v>
      </c>
      <c r="M39" s="62">
        <f>$J$39-EFEITO!$K$39*EFEITO!$Y$39</f>
        <v>0</v>
      </c>
      <c r="N39" s="62">
        <f ca="1">$K$39-EFEITO!$M$39*EFEITO!$Z$39</f>
        <v>0</v>
      </c>
      <c r="O39" s="62">
        <f>$L$39-EFEITO!$O$39*EFEITO!$AA$39</f>
        <v>0</v>
      </c>
      <c r="P39" s="45"/>
      <c r="Q39" s="45"/>
      <c r="R39" s="45"/>
      <c r="S39" s="45"/>
      <c r="T39" s="45"/>
      <c r="U39" s="45"/>
      <c r="V39" s="45"/>
      <c r="W39" s="45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41" t="s">
        <v>21</v>
      </c>
      <c r="B40" s="41" t="s">
        <v>38</v>
      </c>
      <c r="C40" s="41" t="s">
        <v>39</v>
      </c>
      <c r="D40" s="41" t="s">
        <v>40</v>
      </c>
      <c r="E40" s="41" t="s">
        <v>25</v>
      </c>
      <c r="F40" s="41" t="s">
        <v>25</v>
      </c>
      <c r="G40" s="41" t="s">
        <v>25</v>
      </c>
      <c r="H40" s="41" t="s">
        <v>34</v>
      </c>
      <c r="I40" s="61">
        <v>44470</v>
      </c>
      <c r="J40" s="62">
        <f>EFEITO!$J$40*EFEITO!$Y$40</f>
        <v>0</v>
      </c>
      <c r="K40" s="62">
        <f ca="1">EFEITO!$L$40*EFEITO!$Z$40</f>
        <v>22493.550114999773</v>
      </c>
      <c r="L40" s="62">
        <f>EFEITO!$N$40*EFEITO!$AA$40</f>
        <v>53397.930431837223</v>
      </c>
      <c r="M40" s="62">
        <f>$J$40-EFEITO!$K$40*EFEITO!$Y$40</f>
        <v>0</v>
      </c>
      <c r="N40" s="62">
        <f ca="1">$K$40-EFEITO!$M$40*EFEITO!$Z$40</f>
        <v>0</v>
      </c>
      <c r="O40" s="62">
        <f>$L$40-EFEITO!$O$40*EFEITO!$AA$40</f>
        <v>0</v>
      </c>
      <c r="P40" s="45"/>
      <c r="Q40" s="45"/>
      <c r="R40" s="45"/>
      <c r="S40" s="45"/>
      <c r="T40" s="45"/>
      <c r="U40" s="45"/>
      <c r="V40" s="45"/>
      <c r="W40" s="45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41" t="s">
        <v>21</v>
      </c>
      <c r="B41" s="41" t="s">
        <v>38</v>
      </c>
      <c r="C41" s="41" t="s">
        <v>39</v>
      </c>
      <c r="D41" s="41" t="s">
        <v>40</v>
      </c>
      <c r="E41" s="41" t="s">
        <v>25</v>
      </c>
      <c r="F41" s="41" t="s">
        <v>25</v>
      </c>
      <c r="G41" s="41" t="s">
        <v>25</v>
      </c>
      <c r="H41" s="41" t="s">
        <v>34</v>
      </c>
      <c r="I41" s="61">
        <v>44501</v>
      </c>
      <c r="J41" s="62">
        <f>EFEITO!$J$41*EFEITO!$Y$41</f>
        <v>0</v>
      </c>
      <c r="K41" s="62">
        <f ca="1">EFEITO!$L$41*EFEITO!$Z$41</f>
        <v>22272.869992809738</v>
      </c>
      <c r="L41" s="62">
        <f>EFEITO!$N$41*EFEITO!$AA$41</f>
        <v>52874.053064674328</v>
      </c>
      <c r="M41" s="62">
        <f>$J$41-EFEITO!$K$41*EFEITO!$Y$41</f>
        <v>0</v>
      </c>
      <c r="N41" s="62">
        <f ca="1">$K$41-EFEITO!$M$41*EFEITO!$Z$41</f>
        <v>0</v>
      </c>
      <c r="O41" s="62">
        <f>$L$41-EFEITO!$O$41*EFEITO!$AA$41</f>
        <v>0</v>
      </c>
      <c r="P41" s="45"/>
      <c r="Q41" s="45"/>
      <c r="R41" s="45"/>
      <c r="S41" s="45"/>
      <c r="T41" s="45"/>
      <c r="U41" s="45"/>
      <c r="V41" s="45"/>
      <c r="W41" s="45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41" t="s">
        <v>21</v>
      </c>
      <c r="B42" s="41" t="s">
        <v>38</v>
      </c>
      <c r="C42" s="41" t="s">
        <v>39</v>
      </c>
      <c r="D42" s="41" t="s">
        <v>40</v>
      </c>
      <c r="E42" s="41" t="s">
        <v>25</v>
      </c>
      <c r="F42" s="41" t="s">
        <v>25</v>
      </c>
      <c r="G42" s="41" t="s">
        <v>25</v>
      </c>
      <c r="H42" s="41" t="s">
        <v>34</v>
      </c>
      <c r="I42" s="61">
        <v>44531</v>
      </c>
      <c r="J42" s="62">
        <f>EFEITO!$J$42*EFEITO!$Y$42</f>
        <v>0</v>
      </c>
      <c r="K42" s="62">
        <f ca="1">EFEITO!$L$42*EFEITO!$Z$42</f>
        <v>19996.533713540113</v>
      </c>
      <c r="L42" s="62">
        <f>EFEITO!$N$42*EFEITO!$AA$42</f>
        <v>47470.208599995975</v>
      </c>
      <c r="M42" s="62">
        <f>$J$42-EFEITO!$K$42*EFEITO!$Y$42</f>
        <v>0</v>
      </c>
      <c r="N42" s="62">
        <f ca="1">$K$42-EFEITO!$M$42*EFEITO!$Z$42</f>
        <v>0</v>
      </c>
      <c r="O42" s="62">
        <f>$L$42-EFEITO!$O$42*EFEITO!$AA$42</f>
        <v>0</v>
      </c>
      <c r="P42" s="45"/>
      <c r="Q42" s="45"/>
      <c r="R42" s="45"/>
      <c r="S42" s="45"/>
      <c r="T42" s="45"/>
      <c r="U42" s="45"/>
      <c r="V42" s="45"/>
      <c r="W42" s="45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41" t="s">
        <v>21</v>
      </c>
      <c r="B43" s="41" t="s">
        <v>38</v>
      </c>
      <c r="C43" s="41" t="s">
        <v>39</v>
      </c>
      <c r="D43" s="41" t="s">
        <v>40</v>
      </c>
      <c r="E43" s="41" t="s">
        <v>25</v>
      </c>
      <c r="F43" s="41" t="s">
        <v>25</v>
      </c>
      <c r="G43" s="41" t="s">
        <v>25</v>
      </c>
      <c r="H43" s="41" t="s">
        <v>34</v>
      </c>
      <c r="I43" s="61">
        <v>44562</v>
      </c>
      <c r="J43" s="62">
        <f>EFEITO!$J$43*EFEITO!$Y$43</f>
        <v>0</v>
      </c>
      <c r="K43" s="62">
        <f ca="1">EFEITO!$L$43*EFEITO!$Z$43</f>
        <v>19331.079050739911</v>
      </c>
      <c r="L43" s="62">
        <f>EFEITO!$N$43*EFEITO!$AA$43</f>
        <v>45890.471226034213</v>
      </c>
      <c r="M43" s="62">
        <f>$J$43-EFEITO!$K$43*EFEITO!$Y$43</f>
        <v>0</v>
      </c>
      <c r="N43" s="62">
        <f ca="1">$K$43-EFEITO!$M$43*EFEITO!$Z$43</f>
        <v>0</v>
      </c>
      <c r="O43" s="62">
        <f>$L$43-EFEITO!$O$43*EFEITO!$AA$43</f>
        <v>0</v>
      </c>
      <c r="P43" s="45"/>
      <c r="Q43" s="45"/>
      <c r="R43" s="45"/>
      <c r="S43" s="45"/>
      <c r="T43" s="45"/>
      <c r="U43" s="45"/>
      <c r="V43" s="45"/>
      <c r="W43" s="45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41" t="s">
        <v>21</v>
      </c>
      <c r="B44" s="41" t="s">
        <v>38</v>
      </c>
      <c r="C44" s="41" t="s">
        <v>39</v>
      </c>
      <c r="D44" s="41" t="s">
        <v>40</v>
      </c>
      <c r="E44" s="41" t="s">
        <v>25</v>
      </c>
      <c r="F44" s="41" t="s">
        <v>25</v>
      </c>
      <c r="G44" s="41" t="s">
        <v>25</v>
      </c>
      <c r="H44" s="41" t="s">
        <v>34</v>
      </c>
      <c r="I44" s="61">
        <v>44593</v>
      </c>
      <c r="J44" s="62">
        <f>EFEITO!$J$44*EFEITO!$Y$44</f>
        <v>0</v>
      </c>
      <c r="K44" s="62">
        <f ca="1">EFEITO!$L$44*EFEITO!$Z$44</f>
        <v>21837.422310194015</v>
      </c>
      <c r="L44" s="62">
        <f>EFEITO!$N$44*EFEITO!$AA$44</f>
        <v>51840.334289997059</v>
      </c>
      <c r="M44" s="62">
        <f>$J$44-EFEITO!$K$44*EFEITO!$Y$44</f>
        <v>0</v>
      </c>
      <c r="N44" s="62">
        <f ca="1">$K$44-EFEITO!$M$44*EFEITO!$Z$44</f>
        <v>0</v>
      </c>
      <c r="O44" s="62">
        <f>$L$44-EFEITO!$O$44*EFEITO!$AA$44</f>
        <v>0</v>
      </c>
      <c r="P44" s="45"/>
      <c r="Q44" s="45"/>
      <c r="R44" s="45"/>
      <c r="S44" s="45"/>
      <c r="T44" s="45"/>
      <c r="U44" s="45"/>
      <c r="V44" s="45"/>
      <c r="W44" s="45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41" t="s">
        <v>21</v>
      </c>
      <c r="B45" s="41" t="s">
        <v>38</v>
      </c>
      <c r="C45" s="41" t="s">
        <v>39</v>
      </c>
      <c r="D45" s="41" t="s">
        <v>40</v>
      </c>
      <c r="E45" s="41" t="s">
        <v>25</v>
      </c>
      <c r="F45" s="41" t="s">
        <v>25</v>
      </c>
      <c r="G45" s="41" t="s">
        <v>25</v>
      </c>
      <c r="H45" s="41" t="s">
        <v>34</v>
      </c>
      <c r="I45" s="61">
        <v>44621</v>
      </c>
      <c r="J45" s="62">
        <f>EFEITO!$J$45*EFEITO!$Y$45</f>
        <v>0</v>
      </c>
      <c r="K45" s="62">
        <f ca="1">EFEITO!$L$45*EFEITO!$Z$45</f>
        <v>24436.118118896702</v>
      </c>
      <c r="L45" s="62">
        <f>EFEITO!$N$45*EFEITO!$AA$45</f>
        <v>58009.435089878272</v>
      </c>
      <c r="M45" s="62">
        <f>$J$45-EFEITO!$K$45*EFEITO!$Y$45</f>
        <v>0</v>
      </c>
      <c r="N45" s="62">
        <f ca="1">$K$45-EFEITO!$M$45*EFEITO!$Z$45</f>
        <v>0</v>
      </c>
      <c r="O45" s="62">
        <f>$L$45-EFEITO!$O$45*EFEITO!$AA$45</f>
        <v>0</v>
      </c>
      <c r="P45" s="45"/>
      <c r="Q45" s="45"/>
      <c r="R45" s="45"/>
      <c r="S45" s="45"/>
      <c r="T45" s="45"/>
      <c r="U45" s="45"/>
      <c r="V45" s="45"/>
      <c r="W45" s="45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41" t="s">
        <v>21</v>
      </c>
      <c r="B46" s="41" t="s">
        <v>38</v>
      </c>
      <c r="C46" s="41" t="s">
        <v>39</v>
      </c>
      <c r="D46" s="41" t="s">
        <v>40</v>
      </c>
      <c r="E46" s="41" t="s">
        <v>25</v>
      </c>
      <c r="F46" s="41" t="s">
        <v>25</v>
      </c>
      <c r="G46" s="41" t="s">
        <v>25</v>
      </c>
      <c r="H46" s="41" t="s">
        <v>34</v>
      </c>
      <c r="I46" s="61">
        <v>44652</v>
      </c>
      <c r="J46" s="62">
        <f>EFEITO!$J$46*EFEITO!$Y$46</f>
        <v>0</v>
      </c>
      <c r="K46" s="62">
        <f ca="1">EFEITO!$L$46*EFEITO!$Z$46</f>
        <v>18918.948513110299</v>
      </c>
      <c r="L46" s="62">
        <f>EFEITO!$N$46*EFEITO!$AA$46</f>
        <v>44912.105531660949</v>
      </c>
      <c r="M46" s="62">
        <f>$J$46-EFEITO!$K$46*EFEITO!$Y$46</f>
        <v>0</v>
      </c>
      <c r="N46" s="62">
        <f ca="1">$K$46-EFEITO!$M$46*EFEITO!$Z$46</f>
        <v>0</v>
      </c>
      <c r="O46" s="62">
        <f>$L$46-EFEITO!$O$46*EFEITO!$AA$46</f>
        <v>0</v>
      </c>
      <c r="P46" s="45"/>
      <c r="Q46" s="45"/>
      <c r="R46" s="45"/>
      <c r="S46" s="45"/>
      <c r="T46" s="45"/>
      <c r="U46" s="45"/>
      <c r="V46" s="45"/>
      <c r="W46" s="45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41" t="s">
        <v>21</v>
      </c>
      <c r="B47" s="41" t="s">
        <v>38</v>
      </c>
      <c r="C47" s="41" t="s">
        <v>39</v>
      </c>
      <c r="D47" s="41" t="s">
        <v>40</v>
      </c>
      <c r="E47" s="41" t="s">
        <v>25</v>
      </c>
      <c r="F47" s="41" t="s">
        <v>25</v>
      </c>
      <c r="G47" s="41" t="s">
        <v>25</v>
      </c>
      <c r="H47" s="41" t="s">
        <v>34</v>
      </c>
      <c r="I47" s="61">
        <v>44682</v>
      </c>
      <c r="J47" s="62">
        <f>EFEITO!$J$47*EFEITO!$Y$47</f>
        <v>0</v>
      </c>
      <c r="K47" s="62">
        <f ca="1">EFEITO!$L$47*EFEITO!$Z$47</f>
        <v>16733.132721697493</v>
      </c>
      <c r="L47" s="62">
        <f>EFEITO!$N$47*EFEITO!$AA$47</f>
        <v>39723.149632305642</v>
      </c>
      <c r="M47" s="62">
        <f>$J$47-EFEITO!$K$47*EFEITO!$Y$47</f>
        <v>0</v>
      </c>
      <c r="N47" s="62">
        <f ca="1">$K$47-EFEITO!$M$47*EFEITO!$Z$47</f>
        <v>0</v>
      </c>
      <c r="O47" s="62">
        <f>$L$47-EFEITO!$O$47*EFEITO!$AA$47</f>
        <v>0</v>
      </c>
      <c r="P47" s="45"/>
      <c r="Q47" s="45"/>
      <c r="R47" s="45"/>
      <c r="S47" s="45"/>
      <c r="T47" s="45"/>
      <c r="U47" s="45"/>
      <c r="V47" s="45"/>
      <c r="W47" s="45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41" t="s">
        <v>21</v>
      </c>
      <c r="B48" s="41" t="s">
        <v>38</v>
      </c>
      <c r="C48" s="41" t="s">
        <v>39</v>
      </c>
      <c r="D48" s="41" t="s">
        <v>40</v>
      </c>
      <c r="E48" s="41" t="s">
        <v>25</v>
      </c>
      <c r="F48" s="41" t="s">
        <v>25</v>
      </c>
      <c r="G48" s="41" t="s">
        <v>25</v>
      </c>
      <c r="H48" s="41" t="s">
        <v>34</v>
      </c>
      <c r="I48" s="61">
        <v>44713</v>
      </c>
      <c r="J48" s="62">
        <f>EFEITO!$J$48*EFEITO!$Y$48</f>
        <v>0</v>
      </c>
      <c r="K48" s="62">
        <f ca="1">EFEITO!$L$48*EFEITO!$Z$48</f>
        <v>15099.017235759758</v>
      </c>
      <c r="L48" s="62">
        <f>EFEITO!$N$48*EFEITO!$AA$48</f>
        <v>35843.887150857554</v>
      </c>
      <c r="M48" s="62">
        <f>$J$48-EFEITO!$K$48*EFEITO!$Y$48</f>
        <v>0</v>
      </c>
      <c r="N48" s="62">
        <f ca="1">$K$48-EFEITO!$M$48*EFEITO!$Z$48</f>
        <v>0</v>
      </c>
      <c r="O48" s="62">
        <f>$L$48-EFEITO!$O$48*EFEITO!$AA$48</f>
        <v>0</v>
      </c>
      <c r="P48" s="45"/>
      <c r="Q48" s="45"/>
      <c r="R48" s="45"/>
      <c r="S48" s="45"/>
      <c r="T48" s="45"/>
      <c r="U48" s="45"/>
      <c r="V48" s="45"/>
      <c r="W48" s="45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41" t="s">
        <v>55</v>
      </c>
      <c r="B49" s="41" t="s">
        <v>38</v>
      </c>
      <c r="C49" s="41" t="s">
        <v>39</v>
      </c>
      <c r="D49" s="41" t="s">
        <v>40</v>
      </c>
      <c r="E49" s="41" t="s">
        <v>25</v>
      </c>
      <c r="F49" s="41" t="s">
        <v>25</v>
      </c>
      <c r="G49" s="41" t="s">
        <v>25</v>
      </c>
      <c r="H49" s="41" t="s">
        <v>34</v>
      </c>
      <c r="I49" s="61">
        <v>44743</v>
      </c>
      <c r="J49" s="62">
        <f>EFEITO!$J$49*EFEITO!$Y$49</f>
        <v>0</v>
      </c>
      <c r="K49" s="62">
        <f ca="1">EFEITO!$L$49*EFEITO!$Z$49</f>
        <v>15099.017235759758</v>
      </c>
      <c r="L49" s="62">
        <f>EFEITO!$N$49*EFEITO!$AA$49</f>
        <v>35843.887150857554</v>
      </c>
      <c r="M49" s="62">
        <f>$J$49-EFEITO!$K$49*EFEITO!$Y$49</f>
        <v>0</v>
      </c>
      <c r="N49" s="62">
        <f ca="1">$K$49-EFEITO!$M$49*EFEITO!$Z$49</f>
        <v>0</v>
      </c>
      <c r="O49" s="62">
        <f>$L$49-EFEITO!$O$49*EFEITO!$AA$49</f>
        <v>0</v>
      </c>
      <c r="P49" s="45"/>
      <c r="Q49" s="45"/>
      <c r="R49" s="45"/>
      <c r="S49" s="45"/>
      <c r="T49" s="45"/>
      <c r="U49" s="45"/>
      <c r="V49" s="45"/>
      <c r="W49" s="45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41" t="s">
        <v>21</v>
      </c>
      <c r="B50" s="41" t="s">
        <v>38</v>
      </c>
      <c r="C50" s="41" t="s">
        <v>39</v>
      </c>
      <c r="D50" s="41" t="s">
        <v>40</v>
      </c>
      <c r="E50" s="41" t="s">
        <v>25</v>
      </c>
      <c r="F50" s="41" t="s">
        <v>25</v>
      </c>
      <c r="G50" s="41" t="s">
        <v>25</v>
      </c>
      <c r="H50" s="41" t="s">
        <v>25</v>
      </c>
      <c r="I50" s="61">
        <v>44409</v>
      </c>
      <c r="J50" s="62">
        <f ca="1">EFEITO!$J$50*EFEITO!$Y$50</f>
        <v>13073.06482629717</v>
      </c>
      <c r="K50" s="62">
        <f>EFEITO!$L$50*EFEITO!$Z$50</f>
        <v>0</v>
      </c>
      <c r="L50" s="62">
        <f>EFEITO!$N$50*EFEITO!$AA$50</f>
        <v>0</v>
      </c>
      <c r="M50" s="62">
        <f ca="1">$J$50-EFEITO!$K$50*EFEITO!$Y$50</f>
        <v>0</v>
      </c>
      <c r="N50" s="62">
        <f>$K$50-EFEITO!$M$50*EFEITO!$Z$50</f>
        <v>0</v>
      </c>
      <c r="O50" s="62">
        <f>$L$50-EFEITO!$O$50*EFEITO!$AA$50</f>
        <v>0</v>
      </c>
      <c r="P50" s="45"/>
      <c r="Q50" s="45"/>
      <c r="R50" s="45"/>
      <c r="S50" s="45"/>
      <c r="T50" s="45"/>
      <c r="U50" s="45"/>
      <c r="V50" s="45"/>
      <c r="W50" s="45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41" t="s">
        <v>21</v>
      </c>
      <c r="B51" s="41" t="s">
        <v>38</v>
      </c>
      <c r="C51" s="41" t="s">
        <v>39</v>
      </c>
      <c r="D51" s="41" t="s">
        <v>40</v>
      </c>
      <c r="E51" s="41" t="s">
        <v>25</v>
      </c>
      <c r="F51" s="41" t="s">
        <v>25</v>
      </c>
      <c r="G51" s="41" t="s">
        <v>25</v>
      </c>
      <c r="H51" s="41" t="s">
        <v>25</v>
      </c>
      <c r="I51" s="61">
        <v>44440</v>
      </c>
      <c r="J51" s="62">
        <f ca="1">EFEITO!$J$51*EFEITO!$Y$51</f>
        <v>13045.743896670634</v>
      </c>
      <c r="K51" s="62">
        <f>EFEITO!$L$51*EFEITO!$Z$51</f>
        <v>0</v>
      </c>
      <c r="L51" s="62">
        <f>EFEITO!$N$51*EFEITO!$AA$51</f>
        <v>0</v>
      </c>
      <c r="M51" s="62">
        <f ca="1">$J$51-EFEITO!$K$51*EFEITO!$Y$51</f>
        <v>0</v>
      </c>
      <c r="N51" s="62">
        <f>$K$51-EFEITO!$M$51*EFEITO!$Z$51</f>
        <v>0</v>
      </c>
      <c r="O51" s="62">
        <f>$L$51-EFEITO!$O$51*EFEITO!$AA$51</f>
        <v>0</v>
      </c>
      <c r="P51" s="45"/>
      <c r="Q51" s="45"/>
      <c r="R51" s="45"/>
      <c r="S51" s="45"/>
      <c r="T51" s="45"/>
      <c r="U51" s="45"/>
      <c r="V51" s="45"/>
      <c r="W51" s="45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41" t="s">
        <v>21</v>
      </c>
      <c r="B52" s="41" t="s">
        <v>38</v>
      </c>
      <c r="C52" s="41" t="s">
        <v>39</v>
      </c>
      <c r="D52" s="41" t="s">
        <v>40</v>
      </c>
      <c r="E52" s="41" t="s">
        <v>25</v>
      </c>
      <c r="F52" s="41" t="s">
        <v>25</v>
      </c>
      <c r="G52" s="41" t="s">
        <v>25</v>
      </c>
      <c r="H52" s="41" t="s">
        <v>25</v>
      </c>
      <c r="I52" s="61">
        <v>44470</v>
      </c>
      <c r="J52" s="62">
        <f ca="1">EFEITO!$J$52*EFEITO!$Y$52</f>
        <v>16337.915916668146</v>
      </c>
      <c r="K52" s="62">
        <f>EFEITO!$L$52*EFEITO!$Z$52</f>
        <v>0</v>
      </c>
      <c r="L52" s="62">
        <f>EFEITO!$N$52*EFEITO!$AA$52</f>
        <v>0</v>
      </c>
      <c r="M52" s="62">
        <f ca="1">$J$52-EFEITO!$K$52*EFEITO!$Y$52</f>
        <v>0</v>
      </c>
      <c r="N52" s="62">
        <f>$K$52-EFEITO!$M$52*EFEITO!$Z$52</f>
        <v>0</v>
      </c>
      <c r="O52" s="62">
        <f>$L$52-EFEITO!$O$52*EFEITO!$AA$52</f>
        <v>0</v>
      </c>
      <c r="P52" s="45"/>
      <c r="Q52" s="45"/>
      <c r="R52" s="45"/>
      <c r="S52" s="45"/>
      <c r="T52" s="45"/>
      <c r="U52" s="45"/>
      <c r="V52" s="45"/>
      <c r="W52" s="45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41" t="s">
        <v>21</v>
      </c>
      <c r="B53" s="41" t="s">
        <v>38</v>
      </c>
      <c r="C53" s="41" t="s">
        <v>39</v>
      </c>
      <c r="D53" s="41" t="s">
        <v>40</v>
      </c>
      <c r="E53" s="41" t="s">
        <v>25</v>
      </c>
      <c r="F53" s="41" t="s">
        <v>25</v>
      </c>
      <c r="G53" s="41" t="s">
        <v>25</v>
      </c>
      <c r="H53" s="41" t="s">
        <v>25</v>
      </c>
      <c r="I53" s="61">
        <v>44501</v>
      </c>
      <c r="J53" s="62">
        <f ca="1">EFEITO!$J$53*EFEITO!$Y$53</f>
        <v>15094.813618660786</v>
      </c>
      <c r="K53" s="62">
        <f>EFEITO!$L$53*EFEITO!$Z$53</f>
        <v>0</v>
      </c>
      <c r="L53" s="62">
        <f>EFEITO!$N$53*EFEITO!$AA$53</f>
        <v>0</v>
      </c>
      <c r="M53" s="62">
        <f ca="1">$J$53-EFEITO!$K$53*EFEITO!$Y$53</f>
        <v>0</v>
      </c>
      <c r="N53" s="62">
        <f>$K$53-EFEITO!$M$53*EFEITO!$Z$53</f>
        <v>0</v>
      </c>
      <c r="O53" s="62">
        <f>$L$53-EFEITO!$O$53*EFEITO!$AA$53</f>
        <v>0</v>
      </c>
      <c r="P53" s="45"/>
      <c r="Q53" s="45"/>
      <c r="R53" s="45"/>
      <c r="S53" s="45"/>
      <c r="T53" s="45"/>
      <c r="U53" s="45"/>
      <c r="V53" s="45"/>
      <c r="W53" s="45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41" t="s">
        <v>21</v>
      </c>
      <c r="B54" s="41" t="s">
        <v>38</v>
      </c>
      <c r="C54" s="41" t="s">
        <v>39</v>
      </c>
      <c r="D54" s="41" t="s">
        <v>40</v>
      </c>
      <c r="E54" s="41" t="s">
        <v>25</v>
      </c>
      <c r="F54" s="41" t="s">
        <v>25</v>
      </c>
      <c r="G54" s="41" t="s">
        <v>25</v>
      </c>
      <c r="H54" s="41" t="s">
        <v>25</v>
      </c>
      <c r="I54" s="61">
        <v>44531</v>
      </c>
      <c r="J54" s="62">
        <f ca="1">EFEITO!$J$54*EFEITO!$Y$54</f>
        <v>13742.427602147287</v>
      </c>
      <c r="K54" s="62">
        <f>EFEITO!$L$54*EFEITO!$Z$54</f>
        <v>0</v>
      </c>
      <c r="L54" s="62">
        <f>EFEITO!$N$54*EFEITO!$AA$54</f>
        <v>0</v>
      </c>
      <c r="M54" s="62">
        <f ca="1">$J$54-EFEITO!$K$54*EFEITO!$Y$54</f>
        <v>0</v>
      </c>
      <c r="N54" s="62">
        <f>$K$54-EFEITO!$M$54*EFEITO!$Z$54</f>
        <v>0</v>
      </c>
      <c r="O54" s="62">
        <f>$L$54-EFEITO!$O$54*EFEITO!$AA$54</f>
        <v>0</v>
      </c>
      <c r="P54" s="45"/>
      <c r="Q54" s="45"/>
      <c r="R54" s="45"/>
      <c r="S54" s="45"/>
      <c r="T54" s="45"/>
      <c r="U54" s="45"/>
      <c r="V54" s="45"/>
      <c r="W54" s="45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41" t="s">
        <v>21</v>
      </c>
      <c r="B55" s="41" t="s">
        <v>38</v>
      </c>
      <c r="C55" s="41" t="s">
        <v>39</v>
      </c>
      <c r="D55" s="41" t="s">
        <v>40</v>
      </c>
      <c r="E55" s="41" t="s">
        <v>25</v>
      </c>
      <c r="F55" s="41" t="s">
        <v>25</v>
      </c>
      <c r="G55" s="41" t="s">
        <v>25</v>
      </c>
      <c r="H55" s="41" t="s">
        <v>25</v>
      </c>
      <c r="I55" s="61">
        <v>44562</v>
      </c>
      <c r="J55" s="62">
        <f ca="1">EFEITO!$J$55*EFEITO!$Y$55</f>
        <v>13892.69271509323</v>
      </c>
      <c r="K55" s="62">
        <f>EFEITO!$L$55*EFEITO!$Z$55</f>
        <v>0</v>
      </c>
      <c r="L55" s="62">
        <f>EFEITO!$N$55*EFEITO!$AA$55</f>
        <v>0</v>
      </c>
      <c r="M55" s="62">
        <f ca="1">$J$55-EFEITO!$K$55*EFEITO!$Y$55</f>
        <v>0</v>
      </c>
      <c r="N55" s="62">
        <f>$K$55-EFEITO!$M$55*EFEITO!$Z$55</f>
        <v>0</v>
      </c>
      <c r="O55" s="62">
        <f>$L$55-EFEITO!$O$55*EFEITO!$AA$55</f>
        <v>0</v>
      </c>
      <c r="P55" s="45"/>
      <c r="Q55" s="45"/>
      <c r="R55" s="45"/>
      <c r="S55" s="45"/>
      <c r="T55" s="45"/>
      <c r="U55" s="45"/>
      <c r="V55" s="45"/>
      <c r="W55" s="45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41" t="s">
        <v>21</v>
      </c>
      <c r="B56" s="41" t="s">
        <v>38</v>
      </c>
      <c r="C56" s="41" t="s">
        <v>39</v>
      </c>
      <c r="D56" s="41" t="s">
        <v>40</v>
      </c>
      <c r="E56" s="41" t="s">
        <v>25</v>
      </c>
      <c r="F56" s="41" t="s">
        <v>25</v>
      </c>
      <c r="G56" s="41" t="s">
        <v>25</v>
      </c>
      <c r="H56" s="41" t="s">
        <v>25</v>
      </c>
      <c r="I56" s="61">
        <v>44593</v>
      </c>
      <c r="J56" s="62">
        <f ca="1">EFEITO!$J$56*EFEITO!$Y$56</f>
        <v>16133.008944469129</v>
      </c>
      <c r="K56" s="62">
        <f>EFEITO!$L$56*EFEITO!$Z$56</f>
        <v>0</v>
      </c>
      <c r="L56" s="62">
        <f>EFEITO!$N$56*EFEITO!$AA$56</f>
        <v>0</v>
      </c>
      <c r="M56" s="62">
        <f ca="1">$J$56-EFEITO!$K$56*EFEITO!$Y$56</f>
        <v>0</v>
      </c>
      <c r="N56" s="62">
        <f>$K$56-EFEITO!$M$56*EFEITO!$Z$56</f>
        <v>0</v>
      </c>
      <c r="O56" s="62">
        <f>$L$56-EFEITO!$O$56*EFEITO!$AA$56</f>
        <v>0</v>
      </c>
      <c r="P56" s="45"/>
      <c r="Q56" s="45"/>
      <c r="R56" s="45"/>
      <c r="S56" s="45"/>
      <c r="T56" s="45"/>
      <c r="U56" s="45"/>
      <c r="V56" s="45"/>
      <c r="W56" s="45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41" t="s">
        <v>21</v>
      </c>
      <c r="B57" s="41" t="s">
        <v>38</v>
      </c>
      <c r="C57" s="41" t="s">
        <v>39</v>
      </c>
      <c r="D57" s="41" t="s">
        <v>40</v>
      </c>
      <c r="E57" s="41" t="s">
        <v>25</v>
      </c>
      <c r="F57" s="41" t="s">
        <v>25</v>
      </c>
      <c r="G57" s="41" t="s">
        <v>25</v>
      </c>
      <c r="H57" s="41" t="s">
        <v>25</v>
      </c>
      <c r="I57" s="61">
        <v>44621</v>
      </c>
      <c r="J57" s="62">
        <f ca="1">EFEITO!$J$57*EFEITO!$Y$57</f>
        <v>15996.404296336454</v>
      </c>
      <c r="K57" s="62">
        <f>EFEITO!$L$57*EFEITO!$Z$57</f>
        <v>0</v>
      </c>
      <c r="L57" s="62">
        <f>EFEITO!$N$57*EFEITO!$AA$57</f>
        <v>0</v>
      </c>
      <c r="M57" s="62">
        <f ca="1">$J$57-EFEITO!$K$57*EFEITO!$Y$57</f>
        <v>0</v>
      </c>
      <c r="N57" s="62">
        <f>$K$57-EFEITO!$M$57*EFEITO!$Z$57</f>
        <v>0</v>
      </c>
      <c r="O57" s="62">
        <f>$L$57-EFEITO!$O$57*EFEITO!$AA$57</f>
        <v>0</v>
      </c>
      <c r="P57" s="45"/>
      <c r="Q57" s="45"/>
      <c r="R57" s="45"/>
      <c r="S57" s="45"/>
      <c r="T57" s="45"/>
      <c r="U57" s="45"/>
      <c r="V57" s="45"/>
      <c r="W57" s="45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41" t="s">
        <v>21</v>
      </c>
      <c r="B58" s="41" t="s">
        <v>38</v>
      </c>
      <c r="C58" s="41" t="s">
        <v>39</v>
      </c>
      <c r="D58" s="41" t="s">
        <v>40</v>
      </c>
      <c r="E58" s="41" t="s">
        <v>25</v>
      </c>
      <c r="F58" s="41" t="s">
        <v>25</v>
      </c>
      <c r="G58" s="41" t="s">
        <v>25</v>
      </c>
      <c r="H58" s="41" t="s">
        <v>25</v>
      </c>
      <c r="I58" s="61">
        <v>44652</v>
      </c>
      <c r="J58" s="62">
        <f ca="1">EFEITO!$J$58*EFEITO!$Y$58</f>
        <v>16228.632198162004</v>
      </c>
      <c r="K58" s="62">
        <f>EFEITO!$L$58*EFEITO!$Z$58</f>
        <v>0</v>
      </c>
      <c r="L58" s="62">
        <f>EFEITO!$N$58*EFEITO!$AA$58</f>
        <v>0</v>
      </c>
      <c r="M58" s="62">
        <f ca="1">$J$58-EFEITO!$K$58*EFEITO!$Y$58</f>
        <v>0</v>
      </c>
      <c r="N58" s="62">
        <f>$K$58-EFEITO!$M$58*EFEITO!$Z$58</f>
        <v>0</v>
      </c>
      <c r="O58" s="62">
        <f>$L$58-EFEITO!$O$58*EFEITO!$AA$58</f>
        <v>0</v>
      </c>
      <c r="P58" s="45"/>
      <c r="Q58" s="45"/>
      <c r="R58" s="45"/>
      <c r="S58" s="45"/>
      <c r="T58" s="45"/>
      <c r="U58" s="45"/>
      <c r="V58" s="45"/>
      <c r="W58" s="45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41" t="s">
        <v>21</v>
      </c>
      <c r="B59" s="41" t="s">
        <v>38</v>
      </c>
      <c r="C59" s="41" t="s">
        <v>39</v>
      </c>
      <c r="D59" s="41" t="s">
        <v>40</v>
      </c>
      <c r="E59" s="41" t="s">
        <v>25</v>
      </c>
      <c r="F59" s="41" t="s">
        <v>25</v>
      </c>
      <c r="G59" s="41" t="s">
        <v>25</v>
      </c>
      <c r="H59" s="41" t="s">
        <v>25</v>
      </c>
      <c r="I59" s="61">
        <v>44682</v>
      </c>
      <c r="J59" s="62">
        <f ca="1">EFEITO!$J$59*EFEITO!$Y$59</f>
        <v>13004.762502230831</v>
      </c>
      <c r="K59" s="62">
        <f>EFEITO!$L$59*EFEITO!$Z$59</f>
        <v>0</v>
      </c>
      <c r="L59" s="62">
        <f>EFEITO!$N$59*EFEITO!$AA$59</f>
        <v>0</v>
      </c>
      <c r="M59" s="62">
        <f ca="1">$J$59-EFEITO!$K$59*EFEITO!$Y$59</f>
        <v>0</v>
      </c>
      <c r="N59" s="62">
        <f>$K$59-EFEITO!$M$59*EFEITO!$Z$59</f>
        <v>0</v>
      </c>
      <c r="O59" s="62">
        <f>$L$59-EFEITO!$O$59*EFEITO!$AA$59</f>
        <v>0</v>
      </c>
      <c r="P59" s="45"/>
      <c r="Q59" s="45"/>
      <c r="R59" s="45"/>
      <c r="S59" s="45"/>
      <c r="T59" s="45"/>
      <c r="U59" s="45"/>
      <c r="V59" s="45"/>
      <c r="W59" s="45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41" t="s">
        <v>21</v>
      </c>
      <c r="B60" s="41" t="s">
        <v>38</v>
      </c>
      <c r="C60" s="41" t="s">
        <v>39</v>
      </c>
      <c r="D60" s="41" t="s">
        <v>40</v>
      </c>
      <c r="E60" s="41" t="s">
        <v>25</v>
      </c>
      <c r="F60" s="41" t="s">
        <v>25</v>
      </c>
      <c r="G60" s="41" t="s">
        <v>25</v>
      </c>
      <c r="H60" s="41" t="s">
        <v>25</v>
      </c>
      <c r="I60" s="61">
        <v>44713</v>
      </c>
      <c r="J60" s="62">
        <f ca="1">EFEITO!$J$60*EFEITO!$Y$60</f>
        <v>12048.529965302094</v>
      </c>
      <c r="K60" s="62">
        <f>EFEITO!$L$60*EFEITO!$Z$60</f>
        <v>0</v>
      </c>
      <c r="L60" s="62">
        <f>EFEITO!$N$60*EFEITO!$AA$60</f>
        <v>0</v>
      </c>
      <c r="M60" s="62">
        <f ca="1">$J$60-EFEITO!$K$60*EFEITO!$Y$60</f>
        <v>0</v>
      </c>
      <c r="N60" s="62">
        <f>$K$60-EFEITO!$M$60*EFEITO!$Z$60</f>
        <v>0</v>
      </c>
      <c r="O60" s="62">
        <f>$L$60-EFEITO!$O$60*EFEITO!$AA$60</f>
        <v>0</v>
      </c>
      <c r="P60" s="45"/>
      <c r="Q60" s="45"/>
      <c r="R60" s="45"/>
      <c r="S60" s="45"/>
      <c r="T60" s="45"/>
      <c r="U60" s="45"/>
      <c r="V60" s="45"/>
      <c r="W60" s="45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41" t="s">
        <v>55</v>
      </c>
      <c r="B61" s="41" t="s">
        <v>38</v>
      </c>
      <c r="C61" s="41" t="s">
        <v>39</v>
      </c>
      <c r="D61" s="41" t="s">
        <v>40</v>
      </c>
      <c r="E61" s="41" t="s">
        <v>25</v>
      </c>
      <c r="F61" s="41" t="s">
        <v>25</v>
      </c>
      <c r="G61" s="41" t="s">
        <v>25</v>
      </c>
      <c r="H61" s="41" t="s">
        <v>25</v>
      </c>
      <c r="I61" s="61">
        <v>44743</v>
      </c>
      <c r="J61" s="62">
        <f ca="1">EFEITO!$J$61*EFEITO!$Y$61</f>
        <v>12048.529965302094</v>
      </c>
      <c r="K61" s="62">
        <f>EFEITO!$L$61*EFEITO!$Z$61</f>
        <v>0</v>
      </c>
      <c r="L61" s="62">
        <f>EFEITO!$N$61*EFEITO!$AA$61</f>
        <v>0</v>
      </c>
      <c r="M61" s="62">
        <f ca="1">$J$61-EFEITO!$K$61*EFEITO!$Y$61</f>
        <v>0</v>
      </c>
      <c r="N61" s="62">
        <f>$K$61-EFEITO!$M$61*EFEITO!$Z$61</f>
        <v>0</v>
      </c>
      <c r="O61" s="62">
        <f>$L$61-EFEITO!$O$61*EFEITO!$AA$61</f>
        <v>0</v>
      </c>
      <c r="P61" s="45"/>
      <c r="Q61" s="45"/>
      <c r="R61" s="45"/>
      <c r="S61" s="45"/>
      <c r="T61" s="45"/>
      <c r="U61" s="45"/>
      <c r="V61" s="45"/>
      <c r="W61" s="45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41" t="s">
        <v>21</v>
      </c>
      <c r="B62" s="41" t="s">
        <v>38</v>
      </c>
      <c r="C62" s="41" t="s">
        <v>39</v>
      </c>
      <c r="D62" s="41" t="s">
        <v>40</v>
      </c>
      <c r="E62" s="41" t="s">
        <v>25</v>
      </c>
      <c r="F62" s="41" t="s">
        <v>25</v>
      </c>
      <c r="G62" s="41" t="s">
        <v>25</v>
      </c>
      <c r="H62" s="41" t="s">
        <v>33</v>
      </c>
      <c r="I62" s="61">
        <v>44409</v>
      </c>
      <c r="J62" s="62">
        <f>EFEITO!$J$62*EFEITO!$Y$62</f>
        <v>0</v>
      </c>
      <c r="K62" s="62">
        <f ca="1">EFEITO!$L$62*EFEITO!$Z$62</f>
        <v>14140.103400065251</v>
      </c>
      <c r="L62" s="62">
        <f>EFEITO!$N$62*EFEITO!$AA$62</f>
        <v>4274.4730265132202</v>
      </c>
      <c r="M62" s="62">
        <f>$J$62-EFEITO!$K$62*EFEITO!$Y$62</f>
        <v>0</v>
      </c>
      <c r="N62" s="62">
        <f ca="1">$K$62-EFEITO!$M$62*EFEITO!$Z$62</f>
        <v>0</v>
      </c>
      <c r="O62" s="62">
        <f>$L$62-EFEITO!$O$62*EFEITO!$AA$62</f>
        <v>0</v>
      </c>
      <c r="P62" s="45"/>
      <c r="Q62" s="45"/>
      <c r="R62" s="45"/>
      <c r="S62" s="45"/>
      <c r="T62" s="45"/>
      <c r="U62" s="45"/>
      <c r="V62" s="45"/>
      <c r="W62" s="45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41" t="s">
        <v>21</v>
      </c>
      <c r="B63" s="41" t="s">
        <v>38</v>
      </c>
      <c r="C63" s="41" t="s">
        <v>39</v>
      </c>
      <c r="D63" s="41" t="s">
        <v>40</v>
      </c>
      <c r="E63" s="41" t="s">
        <v>25</v>
      </c>
      <c r="F63" s="41" t="s">
        <v>25</v>
      </c>
      <c r="G63" s="41" t="s">
        <v>25</v>
      </c>
      <c r="H63" s="41" t="s">
        <v>33</v>
      </c>
      <c r="I63" s="61">
        <v>44440</v>
      </c>
      <c r="J63" s="62">
        <f>EFEITO!$J$63*EFEITO!$Y$63</f>
        <v>0</v>
      </c>
      <c r="K63" s="62">
        <f ca="1">EFEITO!$L$63*EFEITO!$Z$63</f>
        <v>14424.26862226901</v>
      </c>
      <c r="L63" s="62">
        <f>EFEITO!$N$63*EFEITO!$AA$63</f>
        <v>4360.3745608243125</v>
      </c>
      <c r="M63" s="62">
        <f>$J$63-EFEITO!$K$63*EFEITO!$Y$63</f>
        <v>0</v>
      </c>
      <c r="N63" s="62">
        <f ca="1">$K$63-EFEITO!$M$63*EFEITO!$Z$63</f>
        <v>0</v>
      </c>
      <c r="O63" s="62">
        <f>$L$63-EFEITO!$O$63*EFEITO!$AA$63</f>
        <v>0</v>
      </c>
      <c r="P63" s="45"/>
      <c r="Q63" s="45"/>
      <c r="R63" s="45"/>
      <c r="S63" s="45"/>
      <c r="T63" s="45"/>
      <c r="U63" s="45"/>
      <c r="V63" s="45"/>
      <c r="W63" s="45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41" t="s">
        <v>21</v>
      </c>
      <c r="B64" s="41" t="s">
        <v>38</v>
      </c>
      <c r="C64" s="41" t="s">
        <v>39</v>
      </c>
      <c r="D64" s="41" t="s">
        <v>40</v>
      </c>
      <c r="E64" s="41" t="s">
        <v>25</v>
      </c>
      <c r="F64" s="41" t="s">
        <v>25</v>
      </c>
      <c r="G64" s="41" t="s">
        <v>25</v>
      </c>
      <c r="H64" s="41" t="s">
        <v>33</v>
      </c>
      <c r="I64" s="61">
        <v>44470</v>
      </c>
      <c r="J64" s="62">
        <f>EFEITO!$J$64*EFEITO!$Y$64</f>
        <v>0</v>
      </c>
      <c r="K64" s="62">
        <f ca="1">EFEITO!$L$64*EFEITO!$Z$64</f>
        <v>21285.128581232817</v>
      </c>
      <c r="L64" s="62">
        <f>EFEITO!$N$64*EFEITO!$AA$64</f>
        <v>6434.3735977153765</v>
      </c>
      <c r="M64" s="62">
        <f>$J$64-EFEITO!$K$64*EFEITO!$Y$64</f>
        <v>0</v>
      </c>
      <c r="N64" s="62">
        <f ca="1">$K$64-EFEITO!$M$64*EFEITO!$Z$64</f>
        <v>0</v>
      </c>
      <c r="O64" s="62">
        <f>$L$64-EFEITO!$O$64*EFEITO!$AA$64</f>
        <v>0</v>
      </c>
      <c r="P64" s="45"/>
      <c r="Q64" s="45"/>
      <c r="R64" s="45"/>
      <c r="S64" s="45"/>
      <c r="T64" s="45"/>
      <c r="U64" s="45"/>
      <c r="V64" s="45"/>
      <c r="W64" s="45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41" t="s">
        <v>21</v>
      </c>
      <c r="B65" s="41" t="s">
        <v>38</v>
      </c>
      <c r="C65" s="41" t="s">
        <v>39</v>
      </c>
      <c r="D65" s="41" t="s">
        <v>40</v>
      </c>
      <c r="E65" s="41" t="s">
        <v>25</v>
      </c>
      <c r="F65" s="41" t="s">
        <v>25</v>
      </c>
      <c r="G65" s="41" t="s">
        <v>25</v>
      </c>
      <c r="H65" s="41" t="s">
        <v>33</v>
      </c>
      <c r="I65" s="61">
        <v>44501</v>
      </c>
      <c r="J65" s="62">
        <f>EFEITO!$J$65*EFEITO!$Y$65</f>
        <v>0</v>
      </c>
      <c r="K65" s="62">
        <f ca="1">EFEITO!$L$65*EFEITO!$Z$65</f>
        <v>14533.320958465287</v>
      </c>
      <c r="L65" s="62">
        <f>EFEITO!$N$65*EFEITO!$AA$65</f>
        <v>4393.3404632905622</v>
      </c>
      <c r="M65" s="62">
        <f>$J$65-EFEITO!$K$65*EFEITO!$Y$65</f>
        <v>0</v>
      </c>
      <c r="N65" s="62">
        <f ca="1">$K$65-EFEITO!$M$65*EFEITO!$Z$65</f>
        <v>0</v>
      </c>
      <c r="O65" s="62">
        <f>$L$65-EFEITO!$O$65*EFEITO!$AA$65</f>
        <v>0</v>
      </c>
      <c r="P65" s="45"/>
      <c r="Q65" s="45"/>
      <c r="R65" s="45"/>
      <c r="S65" s="45"/>
      <c r="T65" s="45"/>
      <c r="U65" s="45"/>
      <c r="V65" s="45"/>
      <c r="W65" s="45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41" t="s">
        <v>21</v>
      </c>
      <c r="B66" s="41" t="s">
        <v>38</v>
      </c>
      <c r="C66" s="41" t="s">
        <v>39</v>
      </c>
      <c r="D66" s="41" t="s">
        <v>40</v>
      </c>
      <c r="E66" s="41" t="s">
        <v>25</v>
      </c>
      <c r="F66" s="41" t="s">
        <v>25</v>
      </c>
      <c r="G66" s="41" t="s">
        <v>25</v>
      </c>
      <c r="H66" s="41" t="s">
        <v>33</v>
      </c>
      <c r="I66" s="61">
        <v>44531</v>
      </c>
      <c r="J66" s="62">
        <f>EFEITO!$J$66*EFEITO!$Y$66</f>
        <v>0</v>
      </c>
      <c r="K66" s="62">
        <f ca="1">EFEITO!$L$66*EFEITO!$Z$66</f>
        <v>19196.356911011833</v>
      </c>
      <c r="L66" s="62">
        <f>EFEITO!$N$66*EFEITO!$AA$66</f>
        <v>5802.9497735541354</v>
      </c>
      <c r="M66" s="62">
        <f>$J$66-EFEITO!$K$66*EFEITO!$Y$66</f>
        <v>0</v>
      </c>
      <c r="N66" s="62">
        <f ca="1">$K$66-EFEITO!$M$66*EFEITO!$Z$66</f>
        <v>0</v>
      </c>
      <c r="O66" s="62">
        <f>$L$66-EFEITO!$O$66*EFEITO!$AA$66</f>
        <v>0</v>
      </c>
      <c r="P66" s="45"/>
      <c r="Q66" s="45"/>
      <c r="R66" s="45"/>
      <c r="S66" s="45"/>
      <c r="T66" s="45"/>
      <c r="U66" s="45"/>
      <c r="V66" s="45"/>
      <c r="W66" s="45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41" t="s">
        <v>21</v>
      </c>
      <c r="B67" s="41" t="s">
        <v>38</v>
      </c>
      <c r="C67" s="41" t="s">
        <v>39</v>
      </c>
      <c r="D67" s="41" t="s">
        <v>40</v>
      </c>
      <c r="E67" s="41" t="s">
        <v>25</v>
      </c>
      <c r="F67" s="41" t="s">
        <v>25</v>
      </c>
      <c r="G67" s="41" t="s">
        <v>25</v>
      </c>
      <c r="H67" s="41" t="s">
        <v>33</v>
      </c>
      <c r="I67" s="61">
        <v>44562</v>
      </c>
      <c r="J67" s="62">
        <f>EFEITO!$J$67*EFEITO!$Y$67</f>
        <v>0</v>
      </c>
      <c r="K67" s="62">
        <f ca="1">EFEITO!$L$67*EFEITO!$Z$67</f>
        <v>17689.547227222902</v>
      </c>
      <c r="L67" s="62">
        <f>EFEITO!$N$67*EFEITO!$AA$67</f>
        <v>5347.4497558233616</v>
      </c>
      <c r="M67" s="62">
        <f>$J$67-EFEITO!$K$67*EFEITO!$Y$67</f>
        <v>0</v>
      </c>
      <c r="N67" s="62">
        <f ca="1">$K$67-EFEITO!$M$67*EFEITO!$Z$67</f>
        <v>0</v>
      </c>
      <c r="O67" s="62">
        <f>$L$67-EFEITO!$O$67*EFEITO!$AA$67</f>
        <v>0</v>
      </c>
      <c r="P67" s="45"/>
      <c r="Q67" s="45"/>
      <c r="R67" s="45"/>
      <c r="S67" s="45"/>
      <c r="T67" s="45"/>
      <c r="U67" s="45"/>
      <c r="V67" s="45"/>
      <c r="W67" s="45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41" t="s">
        <v>21</v>
      </c>
      <c r="B68" s="41" t="s">
        <v>38</v>
      </c>
      <c r="C68" s="41" t="s">
        <v>39</v>
      </c>
      <c r="D68" s="41" t="s">
        <v>40</v>
      </c>
      <c r="E68" s="41" t="s">
        <v>25</v>
      </c>
      <c r="F68" s="41" t="s">
        <v>25</v>
      </c>
      <c r="G68" s="41" t="s">
        <v>25</v>
      </c>
      <c r="H68" s="41" t="s">
        <v>33</v>
      </c>
      <c r="I68" s="61">
        <v>44593</v>
      </c>
      <c r="J68" s="62">
        <f>EFEITO!$J$68*EFEITO!$Y$68</f>
        <v>0</v>
      </c>
      <c r="K68" s="62">
        <f ca="1">EFEITO!$L$68*EFEITO!$Z$68</f>
        <v>17540.648845108753</v>
      </c>
      <c r="L68" s="62">
        <f>EFEITO!$N$68*EFEITO!$AA$68</f>
        <v>5302.438619763675</v>
      </c>
      <c r="M68" s="62">
        <f>$J$68-EFEITO!$K$68*EFEITO!$Y$68</f>
        <v>0</v>
      </c>
      <c r="N68" s="62">
        <f ca="1">$K$68-EFEITO!$M$68*EFEITO!$Z$68</f>
        <v>0</v>
      </c>
      <c r="O68" s="62">
        <f>$L$68-EFEITO!$O$68*EFEITO!$AA$68</f>
        <v>0</v>
      </c>
      <c r="P68" s="45"/>
      <c r="Q68" s="45"/>
      <c r="R68" s="45"/>
      <c r="S68" s="45"/>
      <c r="T68" s="45"/>
      <c r="U68" s="45"/>
      <c r="V68" s="45"/>
      <c r="W68" s="45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41" t="s">
        <v>21</v>
      </c>
      <c r="B69" s="41" t="s">
        <v>38</v>
      </c>
      <c r="C69" s="41" t="s">
        <v>39</v>
      </c>
      <c r="D69" s="41" t="s">
        <v>40</v>
      </c>
      <c r="E69" s="41" t="s">
        <v>25</v>
      </c>
      <c r="F69" s="41" t="s">
        <v>25</v>
      </c>
      <c r="G69" s="41" t="s">
        <v>25</v>
      </c>
      <c r="H69" s="41" t="s">
        <v>33</v>
      </c>
      <c r="I69" s="61">
        <v>44621</v>
      </c>
      <c r="J69" s="62">
        <f>EFEITO!$J$69*EFEITO!$Y$69</f>
        <v>0</v>
      </c>
      <c r="K69" s="62">
        <f ca="1">EFEITO!$L$69*EFEITO!$Z$69</f>
        <v>20184.119417712718</v>
      </c>
      <c r="L69" s="62">
        <f>EFEITO!$N$69*EFEITO!$AA$69</f>
        <v>6101.5447747388189</v>
      </c>
      <c r="M69" s="62">
        <f>$J$69-EFEITO!$K$69*EFEITO!$Y$69</f>
        <v>0</v>
      </c>
      <c r="N69" s="62">
        <f ca="1">$K$69-EFEITO!$M$69*EFEITO!$Z$69</f>
        <v>0</v>
      </c>
      <c r="O69" s="62">
        <f>$L$69-EFEITO!$O$69*EFEITO!$AA$69</f>
        <v>0</v>
      </c>
      <c r="P69" s="45"/>
      <c r="Q69" s="45"/>
      <c r="R69" s="45"/>
      <c r="S69" s="45"/>
      <c r="T69" s="45"/>
      <c r="U69" s="45"/>
      <c r="V69" s="45"/>
      <c r="W69" s="45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41" t="s">
        <v>21</v>
      </c>
      <c r="B70" s="41" t="s">
        <v>38</v>
      </c>
      <c r="C70" s="41" t="s">
        <v>39</v>
      </c>
      <c r="D70" s="41" t="s">
        <v>40</v>
      </c>
      <c r="E70" s="41" t="s">
        <v>25</v>
      </c>
      <c r="F70" s="41" t="s">
        <v>25</v>
      </c>
      <c r="G70" s="41" t="s">
        <v>25</v>
      </c>
      <c r="H70" s="41" t="s">
        <v>33</v>
      </c>
      <c r="I70" s="61">
        <v>44652</v>
      </c>
      <c r="J70" s="62">
        <f>EFEITO!$J$70*EFEITO!$Y$70</f>
        <v>0</v>
      </c>
      <c r="K70" s="62">
        <f ca="1">EFEITO!$L$70*EFEITO!$Z$70</f>
        <v>13173.312496479033</v>
      </c>
      <c r="L70" s="62">
        <f>EFEITO!$N$70*EFEITO!$AA$70</f>
        <v>3982.2176219566618</v>
      </c>
      <c r="M70" s="62">
        <f>$J$70-EFEITO!$K$70*EFEITO!$Y$70</f>
        <v>0</v>
      </c>
      <c r="N70" s="62">
        <f ca="1">$K$70-EFEITO!$M$70*EFEITO!$Z$70</f>
        <v>0</v>
      </c>
      <c r="O70" s="62">
        <f>$L$70-EFEITO!$O$70*EFEITO!$AA$70</f>
        <v>0</v>
      </c>
      <c r="P70" s="45"/>
      <c r="Q70" s="45"/>
      <c r="R70" s="45"/>
      <c r="S70" s="45"/>
      <c r="T70" s="45"/>
      <c r="U70" s="45"/>
      <c r="V70" s="45"/>
      <c r="W70" s="45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41" t="s">
        <v>21</v>
      </c>
      <c r="B71" s="41" t="s">
        <v>38</v>
      </c>
      <c r="C71" s="41" t="s">
        <v>39</v>
      </c>
      <c r="D71" s="41" t="s">
        <v>40</v>
      </c>
      <c r="E71" s="41" t="s">
        <v>25</v>
      </c>
      <c r="F71" s="41" t="s">
        <v>25</v>
      </c>
      <c r="G71" s="41" t="s">
        <v>25</v>
      </c>
      <c r="H71" s="41" t="s">
        <v>33</v>
      </c>
      <c r="I71" s="61">
        <v>44682</v>
      </c>
      <c r="J71" s="62">
        <f>EFEITO!$J$71*EFEITO!$Y$71</f>
        <v>0</v>
      </c>
      <c r="K71" s="62">
        <f ca="1">EFEITO!$L$71*EFEITO!$Z$71</f>
        <v>13975.476315615104</v>
      </c>
      <c r="L71" s="62">
        <f>EFEITO!$N$71*EFEITO!$AA$71</f>
        <v>4224.7071929824397</v>
      </c>
      <c r="M71" s="62">
        <f>$J$71-EFEITO!$K$71*EFEITO!$Y$71</f>
        <v>0</v>
      </c>
      <c r="N71" s="62">
        <f ca="1">$K$71-EFEITO!$M$71*EFEITO!$Z$71</f>
        <v>0</v>
      </c>
      <c r="O71" s="62">
        <f>$L$71-EFEITO!$O$71*EFEITO!$AA$71</f>
        <v>0</v>
      </c>
      <c r="P71" s="45"/>
      <c r="Q71" s="45"/>
      <c r="R71" s="45"/>
      <c r="S71" s="45"/>
      <c r="T71" s="45"/>
      <c r="U71" s="45"/>
      <c r="V71" s="45"/>
      <c r="W71" s="45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41" t="s">
        <v>21</v>
      </c>
      <c r="B72" s="41" t="s">
        <v>38</v>
      </c>
      <c r="C72" s="41" t="s">
        <v>39</v>
      </c>
      <c r="D72" s="41" t="s">
        <v>40</v>
      </c>
      <c r="E72" s="41" t="s">
        <v>25</v>
      </c>
      <c r="F72" s="41" t="s">
        <v>25</v>
      </c>
      <c r="G72" s="41" t="s">
        <v>25</v>
      </c>
      <c r="H72" s="41" t="s">
        <v>33</v>
      </c>
      <c r="I72" s="61">
        <v>44713</v>
      </c>
      <c r="J72" s="62">
        <f>EFEITO!$J$72*EFEITO!$Y$72</f>
        <v>0</v>
      </c>
      <c r="K72" s="62">
        <f ca="1">EFEITO!$L$72*EFEITO!$Z$72</f>
        <v>13479.497901953195</v>
      </c>
      <c r="L72" s="62">
        <f>EFEITO!$N$72*EFEITO!$AA$72</f>
        <v>4074.7757327272857</v>
      </c>
      <c r="M72" s="62">
        <f>$J$72-EFEITO!$K$72*EFEITO!$Y$72</f>
        <v>0</v>
      </c>
      <c r="N72" s="62">
        <f ca="1">$K$72-EFEITO!$M$72*EFEITO!$Z$72</f>
        <v>0</v>
      </c>
      <c r="O72" s="62">
        <f>$L$72-EFEITO!$O$72*EFEITO!$AA$72</f>
        <v>0</v>
      </c>
      <c r="P72" s="45"/>
      <c r="Q72" s="45"/>
      <c r="R72" s="45"/>
      <c r="S72" s="45"/>
      <c r="T72" s="45"/>
      <c r="U72" s="45"/>
      <c r="V72" s="45"/>
      <c r="W72" s="45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41" t="s">
        <v>55</v>
      </c>
      <c r="B73" s="41" t="s">
        <v>38</v>
      </c>
      <c r="C73" s="41" t="s">
        <v>39</v>
      </c>
      <c r="D73" s="41" t="s">
        <v>40</v>
      </c>
      <c r="E73" s="41" t="s">
        <v>25</v>
      </c>
      <c r="F73" s="41" t="s">
        <v>25</v>
      </c>
      <c r="G73" s="41" t="s">
        <v>25</v>
      </c>
      <c r="H73" s="41" t="s">
        <v>33</v>
      </c>
      <c r="I73" s="61">
        <v>44743</v>
      </c>
      <c r="J73" s="62">
        <f>EFEITO!$J$73*EFEITO!$Y$73</f>
        <v>0</v>
      </c>
      <c r="K73" s="62">
        <f ca="1">EFEITO!$L$73*EFEITO!$Z$73</f>
        <v>13479.497901953195</v>
      </c>
      <c r="L73" s="62">
        <f>EFEITO!$N$73*EFEITO!$AA$73</f>
        <v>4074.7757327272857</v>
      </c>
      <c r="M73" s="62">
        <f>$J$73-EFEITO!$K$73*EFEITO!$Y$73</f>
        <v>0</v>
      </c>
      <c r="N73" s="62">
        <f ca="1">$K$73-EFEITO!$M$73*EFEITO!$Z$73</f>
        <v>0</v>
      </c>
      <c r="O73" s="62">
        <f>$L$73-EFEITO!$O$73*EFEITO!$AA$73</f>
        <v>0</v>
      </c>
      <c r="P73" s="45"/>
      <c r="Q73" s="45"/>
      <c r="R73" s="45"/>
      <c r="S73" s="45"/>
      <c r="T73" s="45"/>
      <c r="U73" s="45"/>
      <c r="V73" s="45"/>
      <c r="W73" s="45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41" t="s">
        <v>21</v>
      </c>
      <c r="B74" s="41" t="s">
        <v>38</v>
      </c>
      <c r="C74" s="41" t="s">
        <v>39</v>
      </c>
      <c r="D74" s="41" t="s">
        <v>37</v>
      </c>
      <c r="E74" s="41" t="s">
        <v>25</v>
      </c>
      <c r="F74" s="41" t="s">
        <v>25</v>
      </c>
      <c r="G74" s="41" t="s">
        <v>25</v>
      </c>
      <c r="H74" s="41" t="s">
        <v>34</v>
      </c>
      <c r="I74" s="61">
        <v>44409</v>
      </c>
      <c r="J74" s="62">
        <f>EFEITO!$J$74*EFEITO!$Y$74</f>
        <v>0</v>
      </c>
      <c r="K74" s="62">
        <f ca="1">EFEITO!$L$74*EFEITO!$Z$74</f>
        <v>25294.438880939215</v>
      </c>
      <c r="L74" s="62">
        <f>EFEITO!$N$74*EFEITO!$AA$74</f>
        <v>60047.021513783147</v>
      </c>
      <c r="M74" s="62">
        <f>$J$74-EFEITO!$K$74*EFEITO!$Y$74</f>
        <v>0</v>
      </c>
      <c r="N74" s="62">
        <f ca="1">$K$74-EFEITO!$M$74*EFEITO!$Z$74</f>
        <v>0</v>
      </c>
      <c r="O74" s="62">
        <f>$L$74-EFEITO!$O$74*EFEITO!$AA$74</f>
        <v>0</v>
      </c>
      <c r="P74" s="45"/>
      <c r="Q74" s="45"/>
      <c r="R74" s="45"/>
      <c r="S74" s="45"/>
      <c r="T74" s="45"/>
      <c r="U74" s="45"/>
      <c r="V74" s="45"/>
      <c r="W74" s="45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41" t="s">
        <v>21</v>
      </c>
      <c r="B75" s="41" t="s">
        <v>38</v>
      </c>
      <c r="C75" s="41" t="s">
        <v>39</v>
      </c>
      <c r="D75" s="41" t="s">
        <v>37</v>
      </c>
      <c r="E75" s="41" t="s">
        <v>25</v>
      </c>
      <c r="F75" s="41" t="s">
        <v>25</v>
      </c>
      <c r="G75" s="41" t="s">
        <v>25</v>
      </c>
      <c r="H75" s="41" t="s">
        <v>34</v>
      </c>
      <c r="I75" s="61">
        <v>44440</v>
      </c>
      <c r="J75" s="62">
        <f>EFEITO!$J$75*EFEITO!$Y$75</f>
        <v>0</v>
      </c>
      <c r="K75" s="62">
        <f ca="1">EFEITO!$L$75*EFEITO!$Z$75</f>
        <v>24106.929997003419</v>
      </c>
      <c r="L75" s="62">
        <f>EFEITO!$N$75*EFEITO!$AA$75</f>
        <v>57227.968209729239</v>
      </c>
      <c r="M75" s="62">
        <f>$J$75-EFEITO!$K$75*EFEITO!$Y$75</f>
        <v>0</v>
      </c>
      <c r="N75" s="62">
        <f ca="1">$K$75-EFEITO!$M$75*EFEITO!$Z$75</f>
        <v>0</v>
      </c>
      <c r="O75" s="62">
        <f>$L$75-EFEITO!$O$75*EFEITO!$AA$75</f>
        <v>0</v>
      </c>
      <c r="P75" s="45"/>
      <c r="Q75" s="45"/>
      <c r="R75" s="45"/>
      <c r="S75" s="45"/>
      <c r="T75" s="45"/>
      <c r="U75" s="45"/>
      <c r="V75" s="45"/>
      <c r="W75" s="45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41" t="s">
        <v>21</v>
      </c>
      <c r="B76" s="41" t="s">
        <v>38</v>
      </c>
      <c r="C76" s="41" t="s">
        <v>39</v>
      </c>
      <c r="D76" s="41" t="s">
        <v>37</v>
      </c>
      <c r="E76" s="41" t="s">
        <v>25</v>
      </c>
      <c r="F76" s="41" t="s">
        <v>25</v>
      </c>
      <c r="G76" s="41" t="s">
        <v>25</v>
      </c>
      <c r="H76" s="41" t="s">
        <v>34</v>
      </c>
      <c r="I76" s="61">
        <v>44470</v>
      </c>
      <c r="J76" s="62">
        <f>EFEITO!$J$76*EFEITO!$Y$76</f>
        <v>0</v>
      </c>
      <c r="K76" s="62">
        <f ca="1">EFEITO!$L$76*EFEITO!$Z$76</f>
        <v>22724.140023808905</v>
      </c>
      <c r="L76" s="62">
        <f>EFEITO!$N$76*EFEITO!$AA$76</f>
        <v>53945.332858129317</v>
      </c>
      <c r="M76" s="62">
        <f>$J$76-EFEITO!$K$76*EFEITO!$Y$76</f>
        <v>0</v>
      </c>
      <c r="N76" s="62">
        <f ca="1">$K$76-EFEITO!$M$76*EFEITO!$Z$76</f>
        <v>0</v>
      </c>
      <c r="O76" s="62">
        <f>$L$76-EFEITO!$O$76*EFEITO!$AA$76</f>
        <v>0</v>
      </c>
      <c r="P76" s="45"/>
      <c r="Q76" s="45"/>
      <c r="R76" s="45"/>
      <c r="S76" s="45"/>
      <c r="T76" s="45"/>
      <c r="U76" s="45"/>
      <c r="V76" s="45"/>
      <c r="W76" s="45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41" t="s">
        <v>21</v>
      </c>
      <c r="B77" s="41" t="s">
        <v>38</v>
      </c>
      <c r="C77" s="41" t="s">
        <v>39</v>
      </c>
      <c r="D77" s="41" t="s">
        <v>37</v>
      </c>
      <c r="E77" s="41" t="s">
        <v>25</v>
      </c>
      <c r="F77" s="41" t="s">
        <v>25</v>
      </c>
      <c r="G77" s="41" t="s">
        <v>25</v>
      </c>
      <c r="H77" s="41" t="s">
        <v>34</v>
      </c>
      <c r="I77" s="61">
        <v>44501</v>
      </c>
      <c r="J77" s="62">
        <f>EFEITO!$J$77*EFEITO!$Y$77</f>
        <v>0</v>
      </c>
      <c r="K77" s="62">
        <f ca="1">EFEITO!$L$77*EFEITO!$Z$77</f>
        <v>23436.97845624161</v>
      </c>
      <c r="L77" s="62">
        <f>EFEITO!$N$77*EFEITO!$AA$77</f>
        <v>55637.555598851715</v>
      </c>
      <c r="M77" s="62">
        <f>$J$77-EFEITO!$K$77*EFEITO!$Y$77</f>
        <v>0</v>
      </c>
      <c r="N77" s="62">
        <f ca="1">$K$77-EFEITO!$M$77*EFEITO!$Z$77</f>
        <v>0</v>
      </c>
      <c r="O77" s="62">
        <f>$L$77-EFEITO!$O$77*EFEITO!$AA$77</f>
        <v>0</v>
      </c>
      <c r="P77" s="45"/>
      <c r="Q77" s="45"/>
      <c r="R77" s="45"/>
      <c r="S77" s="45"/>
      <c r="T77" s="45"/>
      <c r="U77" s="45"/>
      <c r="V77" s="45"/>
      <c r="W77" s="45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41" t="s">
        <v>21</v>
      </c>
      <c r="B78" s="41" t="s">
        <v>38</v>
      </c>
      <c r="C78" s="41" t="s">
        <v>39</v>
      </c>
      <c r="D78" s="41" t="s">
        <v>37</v>
      </c>
      <c r="E78" s="41" t="s">
        <v>25</v>
      </c>
      <c r="F78" s="41" t="s">
        <v>25</v>
      </c>
      <c r="G78" s="41" t="s">
        <v>25</v>
      </c>
      <c r="H78" s="41" t="s">
        <v>34</v>
      </c>
      <c r="I78" s="61">
        <v>44531</v>
      </c>
      <c r="J78" s="62">
        <f>EFEITO!$J$78*EFEITO!$Y$78</f>
        <v>0</v>
      </c>
      <c r="K78" s="62">
        <f ca="1">EFEITO!$L$78*EFEITO!$Z$78</f>
        <v>22264.209338957753</v>
      </c>
      <c r="L78" s="62">
        <f>EFEITO!$N$78*EFEITO!$AA$78</f>
        <v>52853.493349132841</v>
      </c>
      <c r="M78" s="62">
        <f>$J$78-EFEITO!$K$78*EFEITO!$Y$78</f>
        <v>0</v>
      </c>
      <c r="N78" s="62">
        <f ca="1">$K$78-EFEITO!$M$78*EFEITO!$Z$78</f>
        <v>0</v>
      </c>
      <c r="O78" s="62">
        <f>$L$78-EFEITO!$O$78*EFEITO!$AA$78</f>
        <v>0</v>
      </c>
      <c r="P78" s="45"/>
      <c r="Q78" s="45"/>
      <c r="R78" s="45"/>
      <c r="S78" s="45"/>
      <c r="T78" s="45"/>
      <c r="U78" s="45"/>
      <c r="V78" s="45"/>
      <c r="W78" s="45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41" t="s">
        <v>21</v>
      </c>
      <c r="B79" s="41" t="s">
        <v>38</v>
      </c>
      <c r="C79" s="41" t="s">
        <v>39</v>
      </c>
      <c r="D79" s="41" t="s">
        <v>37</v>
      </c>
      <c r="E79" s="41" t="s">
        <v>25</v>
      </c>
      <c r="F79" s="41" t="s">
        <v>25</v>
      </c>
      <c r="G79" s="41" t="s">
        <v>25</v>
      </c>
      <c r="H79" s="41" t="s">
        <v>34</v>
      </c>
      <c r="I79" s="61">
        <v>44562</v>
      </c>
      <c r="J79" s="62">
        <f>EFEITO!$J$79*EFEITO!$Y$79</f>
        <v>0</v>
      </c>
      <c r="K79" s="62">
        <f ca="1">EFEITO!$L$79*EFEITO!$Z$79</f>
        <v>20315.728773296487</v>
      </c>
      <c r="L79" s="62">
        <f>EFEITO!$N$79*EFEITO!$AA$79</f>
        <v>48227.952731443285</v>
      </c>
      <c r="M79" s="62">
        <f>$J$79-EFEITO!$K$79*EFEITO!$Y$79</f>
        <v>0</v>
      </c>
      <c r="N79" s="62">
        <f ca="1">$K$79-EFEITO!$M$79*EFEITO!$Z$79</f>
        <v>0</v>
      </c>
      <c r="O79" s="62">
        <f>$L$79-EFEITO!$O$79*EFEITO!$AA$79</f>
        <v>0</v>
      </c>
      <c r="P79" s="45"/>
      <c r="Q79" s="45"/>
      <c r="R79" s="45"/>
      <c r="S79" s="45"/>
      <c r="T79" s="45"/>
      <c r="U79" s="45"/>
      <c r="V79" s="45"/>
      <c r="W79" s="45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41" t="s">
        <v>21</v>
      </c>
      <c r="B80" s="41" t="s">
        <v>38</v>
      </c>
      <c r="C80" s="41" t="s">
        <v>39</v>
      </c>
      <c r="D80" s="41" t="s">
        <v>37</v>
      </c>
      <c r="E80" s="41" t="s">
        <v>25</v>
      </c>
      <c r="F80" s="41" t="s">
        <v>25</v>
      </c>
      <c r="G80" s="41" t="s">
        <v>25</v>
      </c>
      <c r="H80" s="41" t="s">
        <v>34</v>
      </c>
      <c r="I80" s="61">
        <v>44593</v>
      </c>
      <c r="J80" s="62">
        <f>EFEITO!$J$80*EFEITO!$Y$80</f>
        <v>0</v>
      </c>
      <c r="K80" s="62">
        <f ca="1">EFEITO!$L$80*EFEITO!$Z$80</f>
        <v>23284.584258653773</v>
      </c>
      <c r="L80" s="62">
        <f>EFEITO!$N$80*EFEITO!$AA$80</f>
        <v>55275.78368115054</v>
      </c>
      <c r="M80" s="62">
        <f>$J$80-EFEITO!$K$80*EFEITO!$Y$80</f>
        <v>0</v>
      </c>
      <c r="N80" s="62">
        <f ca="1">$K$80-EFEITO!$M$80*EFEITO!$Z$80</f>
        <v>0</v>
      </c>
      <c r="O80" s="62">
        <f>$L$80-EFEITO!$O$80*EFEITO!$AA$80</f>
        <v>0</v>
      </c>
      <c r="P80" s="45"/>
      <c r="Q80" s="45"/>
      <c r="R80" s="45"/>
      <c r="S80" s="45"/>
      <c r="T80" s="45"/>
      <c r="U80" s="45"/>
      <c r="V80" s="45"/>
      <c r="W80" s="45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41" t="s">
        <v>21</v>
      </c>
      <c r="B81" s="41" t="s">
        <v>38</v>
      </c>
      <c r="C81" s="41" t="s">
        <v>39</v>
      </c>
      <c r="D81" s="41" t="s">
        <v>37</v>
      </c>
      <c r="E81" s="41" t="s">
        <v>25</v>
      </c>
      <c r="F81" s="41" t="s">
        <v>25</v>
      </c>
      <c r="G81" s="41" t="s">
        <v>25</v>
      </c>
      <c r="H81" s="41" t="s">
        <v>34</v>
      </c>
      <c r="I81" s="61">
        <v>44621</v>
      </c>
      <c r="J81" s="62">
        <f>EFEITO!$J$81*EFEITO!$Y$81</f>
        <v>0</v>
      </c>
      <c r="K81" s="62">
        <f ca="1">EFEITO!$L$81*EFEITO!$Z$81</f>
        <v>26023.182937273163</v>
      </c>
      <c r="L81" s="62">
        <f>EFEITO!$N$81*EFEITO!$AA$81</f>
        <v>61777.002962855775</v>
      </c>
      <c r="M81" s="62">
        <f>$J$81-EFEITO!$K$81*EFEITO!$Y$81</f>
        <v>0</v>
      </c>
      <c r="N81" s="62">
        <f ca="1">$K$81-EFEITO!$M$81*EFEITO!$Z$81</f>
        <v>0</v>
      </c>
      <c r="O81" s="62">
        <f>$L$81-EFEITO!$O$81*EFEITO!$AA$81</f>
        <v>0</v>
      </c>
      <c r="P81" s="45"/>
      <c r="Q81" s="45"/>
      <c r="R81" s="45"/>
      <c r="S81" s="45"/>
      <c r="T81" s="45"/>
      <c r="U81" s="45"/>
      <c r="V81" s="45"/>
      <c r="W81" s="45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41" t="s">
        <v>21</v>
      </c>
      <c r="B82" s="41" t="s">
        <v>38</v>
      </c>
      <c r="C82" s="41" t="s">
        <v>39</v>
      </c>
      <c r="D82" s="41" t="s">
        <v>37</v>
      </c>
      <c r="E82" s="41" t="s">
        <v>25</v>
      </c>
      <c r="F82" s="41" t="s">
        <v>25</v>
      </c>
      <c r="G82" s="41" t="s">
        <v>25</v>
      </c>
      <c r="H82" s="41" t="s">
        <v>34</v>
      </c>
      <c r="I82" s="61">
        <v>44652</v>
      </c>
      <c r="J82" s="62">
        <f>EFEITO!$J$82*EFEITO!$Y$82</f>
        <v>0</v>
      </c>
      <c r="K82" s="62">
        <f ca="1">EFEITO!$L$82*EFEITO!$Z$82</f>
        <v>23697.214449390234</v>
      </c>
      <c r="L82" s="62">
        <f>EFEITO!$N$82*EFEITO!$AA$82</f>
        <v>56255.335512958904</v>
      </c>
      <c r="M82" s="62">
        <f>$J$82-EFEITO!$K$82*EFEITO!$Y$82</f>
        <v>0</v>
      </c>
      <c r="N82" s="62">
        <f ca="1">$K$82-EFEITO!$M$82*EFEITO!$Z$82</f>
        <v>0</v>
      </c>
      <c r="O82" s="62">
        <f>$L$82-EFEITO!$O$82*EFEITO!$AA$82</f>
        <v>0</v>
      </c>
      <c r="P82" s="45"/>
      <c r="Q82" s="45"/>
      <c r="R82" s="45"/>
      <c r="S82" s="45"/>
      <c r="T82" s="45"/>
      <c r="U82" s="45"/>
      <c r="V82" s="45"/>
      <c r="W82" s="45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41" t="s">
        <v>21</v>
      </c>
      <c r="B83" s="41" t="s">
        <v>38</v>
      </c>
      <c r="C83" s="41" t="s">
        <v>39</v>
      </c>
      <c r="D83" s="41" t="s">
        <v>37</v>
      </c>
      <c r="E83" s="41" t="s">
        <v>25</v>
      </c>
      <c r="F83" s="41" t="s">
        <v>25</v>
      </c>
      <c r="G83" s="41" t="s">
        <v>25</v>
      </c>
      <c r="H83" s="41" t="s">
        <v>34</v>
      </c>
      <c r="I83" s="61">
        <v>44682</v>
      </c>
      <c r="J83" s="62">
        <f>EFEITO!$J$83*EFEITO!$Y$83</f>
        <v>0</v>
      </c>
      <c r="K83" s="62">
        <f ca="1">EFEITO!$L$83*EFEITO!$Z$83</f>
        <v>26995.008230087376</v>
      </c>
      <c r="L83" s="62">
        <f>EFEITO!$N$83*EFEITO!$AA$83</f>
        <v>64084.040274097642</v>
      </c>
      <c r="M83" s="62">
        <f>$J$83-EFEITO!$K$83*EFEITO!$Y$83</f>
        <v>0</v>
      </c>
      <c r="N83" s="62">
        <f ca="1">$K$83-EFEITO!$M$83*EFEITO!$Z$83</f>
        <v>0</v>
      </c>
      <c r="O83" s="62">
        <f>$L$83-EFEITO!$O$83*EFEITO!$AA$83</f>
        <v>0</v>
      </c>
      <c r="P83" s="45"/>
      <c r="Q83" s="45"/>
      <c r="R83" s="45"/>
      <c r="S83" s="45"/>
      <c r="T83" s="45"/>
      <c r="U83" s="45"/>
      <c r="V83" s="45"/>
      <c r="W83" s="45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41" t="s">
        <v>21</v>
      </c>
      <c r="B84" s="41" t="s">
        <v>38</v>
      </c>
      <c r="C84" s="41" t="s">
        <v>39</v>
      </c>
      <c r="D84" s="41" t="s">
        <v>37</v>
      </c>
      <c r="E84" s="41" t="s">
        <v>25</v>
      </c>
      <c r="F84" s="41" t="s">
        <v>25</v>
      </c>
      <c r="G84" s="41" t="s">
        <v>25</v>
      </c>
      <c r="H84" s="41" t="s">
        <v>34</v>
      </c>
      <c r="I84" s="61">
        <v>44713</v>
      </c>
      <c r="J84" s="62">
        <f>EFEITO!$J$84*EFEITO!$Y$84</f>
        <v>0</v>
      </c>
      <c r="K84" s="62">
        <f ca="1">EFEITO!$L$84*EFEITO!$Z$84</f>
        <v>23930.469174769205</v>
      </c>
      <c r="L84" s="62">
        <f>EFEITO!$N$84*EFEITO!$AA$84</f>
        <v>56809.064005571447</v>
      </c>
      <c r="M84" s="62">
        <f>$J$84-EFEITO!$K$84*EFEITO!$Y$84</f>
        <v>0</v>
      </c>
      <c r="N84" s="62">
        <f ca="1">$K$84-EFEITO!$M$84*EFEITO!$Z$84</f>
        <v>0</v>
      </c>
      <c r="O84" s="62">
        <f>$L$84-EFEITO!$O$84*EFEITO!$AA$84</f>
        <v>0</v>
      </c>
      <c r="P84" s="45"/>
      <c r="Q84" s="45"/>
      <c r="R84" s="45"/>
      <c r="S84" s="45"/>
      <c r="T84" s="45"/>
      <c r="U84" s="45"/>
      <c r="V84" s="45"/>
      <c r="W84" s="45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41" t="s">
        <v>55</v>
      </c>
      <c r="B85" s="41" t="s">
        <v>38</v>
      </c>
      <c r="C85" s="41" t="s">
        <v>39</v>
      </c>
      <c r="D85" s="41" t="s">
        <v>37</v>
      </c>
      <c r="E85" s="41" t="s">
        <v>25</v>
      </c>
      <c r="F85" s="41" t="s">
        <v>25</v>
      </c>
      <c r="G85" s="41" t="s">
        <v>25</v>
      </c>
      <c r="H85" s="41" t="s">
        <v>34</v>
      </c>
      <c r="I85" s="61">
        <v>44743</v>
      </c>
      <c r="J85" s="62">
        <f>EFEITO!$J$85*EFEITO!$Y$85</f>
        <v>0</v>
      </c>
      <c r="K85" s="62">
        <f ca="1">EFEITO!$L$85*EFEITO!$Z$85</f>
        <v>23930.469174769205</v>
      </c>
      <c r="L85" s="62">
        <f>EFEITO!$N$85*EFEITO!$AA$85</f>
        <v>56809.064005571447</v>
      </c>
      <c r="M85" s="62">
        <f>$J$85-EFEITO!$K$85*EFEITO!$Y$85</f>
        <v>0</v>
      </c>
      <c r="N85" s="62">
        <f ca="1">$K$85-EFEITO!$M$85*EFEITO!$Z$85</f>
        <v>0</v>
      </c>
      <c r="O85" s="62">
        <f>$L$85-EFEITO!$O$85*EFEITO!$AA$85</f>
        <v>0</v>
      </c>
      <c r="P85" s="45"/>
      <c r="Q85" s="45"/>
      <c r="R85" s="45"/>
      <c r="S85" s="45"/>
      <c r="T85" s="45"/>
      <c r="U85" s="45"/>
      <c r="V85" s="45"/>
      <c r="W85" s="45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41" t="s">
        <v>21</v>
      </c>
      <c r="B86" s="41" t="s">
        <v>38</v>
      </c>
      <c r="C86" s="41" t="s">
        <v>39</v>
      </c>
      <c r="D86" s="41" t="s">
        <v>37</v>
      </c>
      <c r="E86" s="41" t="s">
        <v>25</v>
      </c>
      <c r="F86" s="41" t="s">
        <v>25</v>
      </c>
      <c r="G86" s="41" t="s">
        <v>25</v>
      </c>
      <c r="H86" s="41" t="s">
        <v>25</v>
      </c>
      <c r="I86" s="61">
        <v>44409</v>
      </c>
      <c r="J86" s="62">
        <f ca="1">EFEITO!$J$86*EFEITO!$Y$86</f>
        <v>23700.906451019426</v>
      </c>
      <c r="K86" s="62">
        <f>EFEITO!$L$86*EFEITO!$Z$86</f>
        <v>0</v>
      </c>
      <c r="L86" s="62">
        <f>EFEITO!$N$86*EFEITO!$AA$86</f>
        <v>0</v>
      </c>
      <c r="M86" s="62">
        <f ca="1">$J$86-EFEITO!$K$86*EFEITO!$Y$86</f>
        <v>0</v>
      </c>
      <c r="N86" s="62">
        <f>$K$86-EFEITO!$M$86*EFEITO!$Z$86</f>
        <v>0</v>
      </c>
      <c r="O86" s="62">
        <f>$L$86-EFEITO!$O$86*EFEITO!$AA$86</f>
        <v>0</v>
      </c>
      <c r="P86" s="45"/>
      <c r="Q86" s="45"/>
      <c r="R86" s="45"/>
      <c r="S86" s="45"/>
      <c r="T86" s="45"/>
      <c r="U86" s="45"/>
      <c r="V86" s="45"/>
      <c r="W86" s="45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41" t="s">
        <v>21</v>
      </c>
      <c r="B87" s="41" t="s">
        <v>38</v>
      </c>
      <c r="C87" s="41" t="s">
        <v>39</v>
      </c>
      <c r="D87" s="41" t="s">
        <v>37</v>
      </c>
      <c r="E87" s="41" t="s">
        <v>25</v>
      </c>
      <c r="F87" s="41" t="s">
        <v>25</v>
      </c>
      <c r="G87" s="41" t="s">
        <v>25</v>
      </c>
      <c r="H87" s="41" t="s">
        <v>25</v>
      </c>
      <c r="I87" s="61">
        <v>44440</v>
      </c>
      <c r="J87" s="62">
        <f ca="1">EFEITO!$J$87*EFEITO!$Y$87</f>
        <v>23468.678549193875</v>
      </c>
      <c r="K87" s="62">
        <f>EFEITO!$L$87*EFEITO!$Z$87</f>
        <v>0</v>
      </c>
      <c r="L87" s="62">
        <f>EFEITO!$N$87*EFEITO!$AA$87</f>
        <v>0</v>
      </c>
      <c r="M87" s="62">
        <f ca="1">$J$87-EFEITO!$K$87*EFEITO!$Y$87</f>
        <v>0</v>
      </c>
      <c r="N87" s="62">
        <f>$K$87-EFEITO!$M$87*EFEITO!$Z$87</f>
        <v>0</v>
      </c>
      <c r="O87" s="62">
        <f>$L$87-EFEITO!$O$87*EFEITO!$AA$87</f>
        <v>0</v>
      </c>
      <c r="P87" s="45"/>
      <c r="Q87" s="45"/>
      <c r="R87" s="45"/>
      <c r="S87" s="45"/>
      <c r="T87" s="45"/>
      <c r="U87" s="45"/>
      <c r="V87" s="45"/>
      <c r="W87" s="45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41" t="s">
        <v>21</v>
      </c>
      <c r="B88" s="41" t="s">
        <v>38</v>
      </c>
      <c r="C88" s="41" t="s">
        <v>39</v>
      </c>
      <c r="D88" s="41" t="s">
        <v>37</v>
      </c>
      <c r="E88" s="41" t="s">
        <v>25</v>
      </c>
      <c r="F88" s="41" t="s">
        <v>25</v>
      </c>
      <c r="G88" s="41" t="s">
        <v>25</v>
      </c>
      <c r="H88" s="41" t="s">
        <v>25</v>
      </c>
      <c r="I88" s="61">
        <v>44470</v>
      </c>
      <c r="J88" s="62">
        <f ca="1">EFEITO!$J$88*EFEITO!$Y$88</f>
        <v>23236.450647368325</v>
      </c>
      <c r="K88" s="62">
        <f>EFEITO!$L$88*EFEITO!$Z$88</f>
        <v>0</v>
      </c>
      <c r="L88" s="62">
        <f>EFEITO!$N$88*EFEITO!$AA$88</f>
        <v>0</v>
      </c>
      <c r="M88" s="62">
        <f ca="1">$J$88-EFEITO!$K$88*EFEITO!$Y$88</f>
        <v>0</v>
      </c>
      <c r="N88" s="62">
        <f>$K$88-EFEITO!$M$88*EFEITO!$Z$88</f>
        <v>0</v>
      </c>
      <c r="O88" s="62">
        <f>$L$88-EFEITO!$O$88*EFEITO!$AA$88</f>
        <v>0</v>
      </c>
      <c r="P88" s="45"/>
      <c r="Q88" s="45"/>
      <c r="R88" s="45"/>
      <c r="S88" s="45"/>
      <c r="T88" s="45"/>
      <c r="U88" s="45"/>
      <c r="V88" s="45"/>
      <c r="W88" s="45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41" t="s">
        <v>21</v>
      </c>
      <c r="B89" s="41" t="s">
        <v>38</v>
      </c>
      <c r="C89" s="41" t="s">
        <v>39</v>
      </c>
      <c r="D89" s="41" t="s">
        <v>37</v>
      </c>
      <c r="E89" s="41" t="s">
        <v>25</v>
      </c>
      <c r="F89" s="41" t="s">
        <v>25</v>
      </c>
      <c r="G89" s="41" t="s">
        <v>25</v>
      </c>
      <c r="H89" s="41" t="s">
        <v>25</v>
      </c>
      <c r="I89" s="61">
        <v>44501</v>
      </c>
      <c r="J89" s="62">
        <f ca="1">EFEITO!$J$89*EFEITO!$Y$89</f>
        <v>23318.413436247931</v>
      </c>
      <c r="K89" s="62">
        <f>EFEITO!$L$89*EFEITO!$Z$89</f>
        <v>0</v>
      </c>
      <c r="L89" s="62">
        <f>EFEITO!$N$89*EFEITO!$AA$89</f>
        <v>0</v>
      </c>
      <c r="M89" s="62">
        <f ca="1">$J$89-EFEITO!$K$89*EFEITO!$Y$89</f>
        <v>0</v>
      </c>
      <c r="N89" s="62">
        <f>$K$89-EFEITO!$M$89*EFEITO!$Z$89</f>
        <v>0</v>
      </c>
      <c r="O89" s="62">
        <f>$L$89-EFEITO!$O$89*EFEITO!$AA$89</f>
        <v>0</v>
      </c>
      <c r="P89" s="45"/>
      <c r="Q89" s="45"/>
      <c r="R89" s="45"/>
      <c r="S89" s="45"/>
      <c r="T89" s="45"/>
      <c r="U89" s="45"/>
      <c r="V89" s="45"/>
      <c r="W89" s="45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41" t="s">
        <v>21</v>
      </c>
      <c r="B90" s="41" t="s">
        <v>38</v>
      </c>
      <c r="C90" s="41" t="s">
        <v>39</v>
      </c>
      <c r="D90" s="41" t="s">
        <v>37</v>
      </c>
      <c r="E90" s="41" t="s">
        <v>25</v>
      </c>
      <c r="F90" s="41" t="s">
        <v>25</v>
      </c>
      <c r="G90" s="41" t="s">
        <v>25</v>
      </c>
      <c r="H90" s="41" t="s">
        <v>25</v>
      </c>
      <c r="I90" s="61">
        <v>44531</v>
      </c>
      <c r="J90" s="62">
        <f ca="1">EFEITO!$J$90*EFEITO!$Y$90</f>
        <v>23659.925056579621</v>
      </c>
      <c r="K90" s="62">
        <f>EFEITO!$L$90*EFEITO!$Z$90</f>
        <v>0</v>
      </c>
      <c r="L90" s="62">
        <f>EFEITO!$N$90*EFEITO!$AA$90</f>
        <v>0</v>
      </c>
      <c r="M90" s="62">
        <f ca="1">$J$90-EFEITO!$K$90*EFEITO!$Y$90</f>
        <v>0</v>
      </c>
      <c r="N90" s="62">
        <f>$K$90-EFEITO!$M$90*EFEITO!$Z$90</f>
        <v>0</v>
      </c>
      <c r="O90" s="62">
        <f>$L$90-EFEITO!$O$90*EFEITO!$AA$90</f>
        <v>0</v>
      </c>
      <c r="P90" s="45"/>
      <c r="Q90" s="45"/>
      <c r="R90" s="45"/>
      <c r="S90" s="45"/>
      <c r="T90" s="45"/>
      <c r="U90" s="45"/>
      <c r="V90" s="45"/>
      <c r="W90" s="45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41" t="s">
        <v>21</v>
      </c>
      <c r="B91" s="41" t="s">
        <v>38</v>
      </c>
      <c r="C91" s="41" t="s">
        <v>39</v>
      </c>
      <c r="D91" s="41" t="s">
        <v>37</v>
      </c>
      <c r="E91" s="41" t="s">
        <v>25</v>
      </c>
      <c r="F91" s="41" t="s">
        <v>25</v>
      </c>
      <c r="G91" s="41" t="s">
        <v>25</v>
      </c>
      <c r="H91" s="41" t="s">
        <v>25</v>
      </c>
      <c r="I91" s="61">
        <v>44562</v>
      </c>
      <c r="J91" s="62">
        <f ca="1">EFEITO!$J$91*EFEITO!$Y$91</f>
        <v>23769.208775085765</v>
      </c>
      <c r="K91" s="62">
        <f>EFEITO!$L$91*EFEITO!$Z$91</f>
        <v>0</v>
      </c>
      <c r="L91" s="62">
        <f>EFEITO!$N$91*EFEITO!$AA$91</f>
        <v>0</v>
      </c>
      <c r="M91" s="62">
        <f ca="1">$J$91-EFEITO!$K$91*EFEITO!$Y$91</f>
        <v>0</v>
      </c>
      <c r="N91" s="62">
        <f>$K$91-EFEITO!$M$91*EFEITO!$Z$91</f>
        <v>0</v>
      </c>
      <c r="O91" s="62">
        <f>$L$91-EFEITO!$O$91*EFEITO!$AA$91</f>
        <v>0</v>
      </c>
      <c r="P91" s="45"/>
      <c r="Q91" s="45"/>
      <c r="R91" s="45"/>
      <c r="S91" s="45"/>
      <c r="T91" s="45"/>
      <c r="U91" s="45"/>
      <c r="V91" s="45"/>
      <c r="W91" s="45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41" t="s">
        <v>21</v>
      </c>
      <c r="B92" s="41" t="s">
        <v>38</v>
      </c>
      <c r="C92" s="41" t="s">
        <v>39</v>
      </c>
      <c r="D92" s="41" t="s">
        <v>37</v>
      </c>
      <c r="E92" s="41" t="s">
        <v>25</v>
      </c>
      <c r="F92" s="41" t="s">
        <v>25</v>
      </c>
      <c r="G92" s="41" t="s">
        <v>25</v>
      </c>
      <c r="H92" s="41" t="s">
        <v>25</v>
      </c>
      <c r="I92" s="61">
        <v>44593</v>
      </c>
      <c r="J92" s="62">
        <f ca="1">EFEITO!$J$92*EFEITO!$Y$92</f>
        <v>23864.832028778637</v>
      </c>
      <c r="K92" s="62">
        <f>EFEITO!$L$92*EFEITO!$Z$92</f>
        <v>0</v>
      </c>
      <c r="L92" s="62">
        <f>EFEITO!$N$92*EFEITO!$AA$92</f>
        <v>0</v>
      </c>
      <c r="M92" s="62">
        <f ca="1">$J$92-EFEITO!$K$92*EFEITO!$Y$92</f>
        <v>0</v>
      </c>
      <c r="N92" s="62">
        <f>$K$92-EFEITO!$M$92*EFEITO!$Z$92</f>
        <v>0</v>
      </c>
      <c r="O92" s="62">
        <f>$L$92-EFEITO!$O$92*EFEITO!$AA$92</f>
        <v>0</v>
      </c>
      <c r="P92" s="45"/>
      <c r="Q92" s="45"/>
      <c r="R92" s="45"/>
      <c r="S92" s="45"/>
      <c r="T92" s="45"/>
      <c r="U92" s="45"/>
      <c r="V92" s="45"/>
      <c r="W92" s="45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41" t="s">
        <v>21</v>
      </c>
      <c r="B93" s="41" t="s">
        <v>38</v>
      </c>
      <c r="C93" s="41" t="s">
        <v>39</v>
      </c>
      <c r="D93" s="41" t="s">
        <v>37</v>
      </c>
      <c r="E93" s="41" t="s">
        <v>25</v>
      </c>
      <c r="F93" s="41" t="s">
        <v>25</v>
      </c>
      <c r="G93" s="41" t="s">
        <v>25</v>
      </c>
      <c r="H93" s="41" t="s">
        <v>25</v>
      </c>
      <c r="I93" s="61">
        <v>44621</v>
      </c>
      <c r="J93" s="62">
        <f ca="1">EFEITO!$J$93*EFEITO!$Y$93</f>
        <v>23878.492493591904</v>
      </c>
      <c r="K93" s="62">
        <f>EFEITO!$L$93*EFEITO!$Z$93</f>
        <v>0</v>
      </c>
      <c r="L93" s="62">
        <f>EFEITO!$N$93*EFEITO!$AA$93</f>
        <v>0</v>
      </c>
      <c r="M93" s="62">
        <f ca="1">$J$93-EFEITO!$K$93*EFEITO!$Y$93</f>
        <v>0</v>
      </c>
      <c r="N93" s="62">
        <f>$K$93-EFEITO!$M$93*EFEITO!$Z$93</f>
        <v>0</v>
      </c>
      <c r="O93" s="62">
        <f>$L$93-EFEITO!$O$93*EFEITO!$AA$93</f>
        <v>0</v>
      </c>
      <c r="P93" s="45"/>
      <c r="Q93" s="45"/>
      <c r="R93" s="45"/>
      <c r="S93" s="45"/>
      <c r="T93" s="45"/>
      <c r="U93" s="45"/>
      <c r="V93" s="45"/>
      <c r="W93" s="45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41" t="s">
        <v>21</v>
      </c>
      <c r="B94" s="41" t="s">
        <v>38</v>
      </c>
      <c r="C94" s="41" t="s">
        <v>39</v>
      </c>
      <c r="D94" s="41" t="s">
        <v>37</v>
      </c>
      <c r="E94" s="41" t="s">
        <v>25</v>
      </c>
      <c r="F94" s="41" t="s">
        <v>25</v>
      </c>
      <c r="G94" s="41" t="s">
        <v>25</v>
      </c>
      <c r="H94" s="41" t="s">
        <v>25</v>
      </c>
      <c r="I94" s="61">
        <v>44652</v>
      </c>
      <c r="J94" s="62">
        <f ca="1">EFEITO!$J$94*EFEITO!$Y$94</f>
        <v>23550.641338073481</v>
      </c>
      <c r="K94" s="62">
        <f>EFEITO!$L$94*EFEITO!$Z$94</f>
        <v>0</v>
      </c>
      <c r="L94" s="62">
        <f>EFEITO!$N$94*EFEITO!$AA$94</f>
        <v>0</v>
      </c>
      <c r="M94" s="62">
        <f ca="1">$J$94-EFEITO!$K$94*EFEITO!$Y$94</f>
        <v>0</v>
      </c>
      <c r="N94" s="62">
        <f>$K$94-EFEITO!$M$94*EFEITO!$Z$94</f>
        <v>0</v>
      </c>
      <c r="O94" s="62">
        <f>$L$94-EFEITO!$O$94*EFEITO!$AA$94</f>
        <v>0</v>
      </c>
      <c r="P94" s="45"/>
      <c r="Q94" s="45"/>
      <c r="R94" s="45"/>
      <c r="S94" s="45"/>
      <c r="T94" s="45"/>
      <c r="U94" s="45"/>
      <c r="V94" s="45"/>
      <c r="W94" s="45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41" t="s">
        <v>21</v>
      </c>
      <c r="B95" s="41" t="s">
        <v>38</v>
      </c>
      <c r="C95" s="41" t="s">
        <v>39</v>
      </c>
      <c r="D95" s="41" t="s">
        <v>37</v>
      </c>
      <c r="E95" s="41" t="s">
        <v>25</v>
      </c>
      <c r="F95" s="41" t="s">
        <v>25</v>
      </c>
      <c r="G95" s="41" t="s">
        <v>25</v>
      </c>
      <c r="H95" s="41" t="s">
        <v>25</v>
      </c>
      <c r="I95" s="61">
        <v>44682</v>
      </c>
      <c r="J95" s="62">
        <f ca="1">EFEITO!$J$95*EFEITO!$Y$95</f>
        <v>23687.245986206159</v>
      </c>
      <c r="K95" s="62">
        <f>EFEITO!$L$95*EFEITO!$Z$95</f>
        <v>0</v>
      </c>
      <c r="L95" s="62">
        <f>EFEITO!$N$95*EFEITO!$AA$95</f>
        <v>0</v>
      </c>
      <c r="M95" s="62">
        <f ca="1">$J$95-EFEITO!$K$95*EFEITO!$Y$95</f>
        <v>0</v>
      </c>
      <c r="N95" s="62">
        <f>$K$95-EFEITO!$M$95*EFEITO!$Z$95</f>
        <v>0</v>
      </c>
      <c r="O95" s="62">
        <f>$L$95-EFEITO!$O$95*EFEITO!$AA$95</f>
        <v>0</v>
      </c>
      <c r="P95" s="45"/>
      <c r="Q95" s="45"/>
      <c r="R95" s="45"/>
      <c r="S95" s="45"/>
      <c r="T95" s="45"/>
      <c r="U95" s="45"/>
      <c r="V95" s="45"/>
      <c r="W95" s="45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41" t="s">
        <v>21</v>
      </c>
      <c r="B96" s="41" t="s">
        <v>38</v>
      </c>
      <c r="C96" s="41" t="s">
        <v>39</v>
      </c>
      <c r="D96" s="41" t="s">
        <v>37</v>
      </c>
      <c r="E96" s="41" t="s">
        <v>25</v>
      </c>
      <c r="F96" s="41" t="s">
        <v>25</v>
      </c>
      <c r="G96" s="41" t="s">
        <v>25</v>
      </c>
      <c r="H96" s="41" t="s">
        <v>25</v>
      </c>
      <c r="I96" s="61">
        <v>44713</v>
      </c>
      <c r="J96" s="62">
        <f ca="1">EFEITO!$J$96*EFEITO!$Y$96</f>
        <v>23878.492493591904</v>
      </c>
      <c r="K96" s="62">
        <f>EFEITO!$L$96*EFEITO!$Z$96</f>
        <v>0</v>
      </c>
      <c r="L96" s="62">
        <f>EFEITO!$N$96*EFEITO!$AA$96</f>
        <v>0</v>
      </c>
      <c r="M96" s="62">
        <f ca="1">$J$96-EFEITO!$K$96*EFEITO!$Y$96</f>
        <v>0</v>
      </c>
      <c r="N96" s="62">
        <f>$K$96-EFEITO!$M$96*EFEITO!$Z$96</f>
        <v>0</v>
      </c>
      <c r="O96" s="62">
        <f>$L$96-EFEITO!$O$96*EFEITO!$AA$96</f>
        <v>0</v>
      </c>
      <c r="P96" s="45"/>
      <c r="Q96" s="45"/>
      <c r="R96" s="45"/>
      <c r="S96" s="45"/>
      <c r="T96" s="45"/>
      <c r="U96" s="45"/>
      <c r="V96" s="45"/>
      <c r="W96" s="45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41" t="s">
        <v>55</v>
      </c>
      <c r="B97" s="41" t="s">
        <v>38</v>
      </c>
      <c r="C97" s="41" t="s">
        <v>39</v>
      </c>
      <c r="D97" s="41" t="s">
        <v>37</v>
      </c>
      <c r="E97" s="41" t="s">
        <v>25</v>
      </c>
      <c r="F97" s="41" t="s">
        <v>25</v>
      </c>
      <c r="G97" s="41" t="s">
        <v>25</v>
      </c>
      <c r="H97" s="41" t="s">
        <v>25</v>
      </c>
      <c r="I97" s="61">
        <v>44743</v>
      </c>
      <c r="J97" s="62">
        <f ca="1">EFEITO!$J$97*EFEITO!$Y$97</f>
        <v>23878.492493591904</v>
      </c>
      <c r="K97" s="62">
        <f>EFEITO!$L$97*EFEITO!$Z$97</f>
        <v>0</v>
      </c>
      <c r="L97" s="62">
        <f>EFEITO!$N$97*EFEITO!$AA$97</f>
        <v>0</v>
      </c>
      <c r="M97" s="62">
        <f ca="1">$J$97-EFEITO!$K$97*EFEITO!$Y$97</f>
        <v>0</v>
      </c>
      <c r="N97" s="62">
        <f>$K$97-EFEITO!$M$97*EFEITO!$Z$97</f>
        <v>0</v>
      </c>
      <c r="O97" s="62">
        <f>$L$97-EFEITO!$O$97*EFEITO!$AA$97</f>
        <v>0</v>
      </c>
      <c r="P97" s="45"/>
      <c r="Q97" s="45"/>
      <c r="R97" s="45"/>
      <c r="S97" s="45"/>
      <c r="T97" s="45"/>
      <c r="U97" s="45"/>
      <c r="V97" s="45"/>
      <c r="W97" s="45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41" t="s">
        <v>21</v>
      </c>
      <c r="B98" s="41" t="s">
        <v>38</v>
      </c>
      <c r="C98" s="41" t="s">
        <v>39</v>
      </c>
      <c r="D98" s="41" t="s">
        <v>37</v>
      </c>
      <c r="E98" s="41" t="s">
        <v>25</v>
      </c>
      <c r="F98" s="41" t="s">
        <v>25</v>
      </c>
      <c r="G98" s="41" t="s">
        <v>25</v>
      </c>
      <c r="H98" s="41" t="s">
        <v>33</v>
      </c>
      <c r="I98" s="61">
        <v>44409</v>
      </c>
      <c r="J98" s="62">
        <f>EFEITO!$J$98*EFEITO!$Y$98</f>
        <v>0</v>
      </c>
      <c r="K98" s="62">
        <f ca="1">EFEITO!$L$98*EFEITO!$Z$98</f>
        <v>7286.5835021915782</v>
      </c>
      <c r="L98" s="62">
        <f>EFEITO!$N$98*EFEITO!$AA$98</f>
        <v>2202.6928484419996</v>
      </c>
      <c r="M98" s="62">
        <f>$J$98-EFEITO!$K$98*EFEITO!$Y$98</f>
        <v>0</v>
      </c>
      <c r="N98" s="62">
        <f ca="1">$K$98-EFEITO!$M$98*EFEITO!$Z$98</f>
        <v>0</v>
      </c>
      <c r="O98" s="62">
        <f>$L$98-EFEITO!$O$98*EFEITO!$AA$98</f>
        <v>0</v>
      </c>
      <c r="P98" s="45"/>
      <c r="Q98" s="45"/>
      <c r="R98" s="45"/>
      <c r="S98" s="45"/>
      <c r="T98" s="45"/>
      <c r="U98" s="45"/>
      <c r="V98" s="45"/>
      <c r="W98" s="45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41" t="s">
        <v>21</v>
      </c>
      <c r="B99" s="41" t="s">
        <v>38</v>
      </c>
      <c r="C99" s="41" t="s">
        <v>39</v>
      </c>
      <c r="D99" s="41" t="s">
        <v>37</v>
      </c>
      <c r="E99" s="41" t="s">
        <v>25</v>
      </c>
      <c r="F99" s="41" t="s">
        <v>25</v>
      </c>
      <c r="G99" s="41" t="s">
        <v>25</v>
      </c>
      <c r="H99" s="41" t="s">
        <v>33</v>
      </c>
      <c r="I99" s="61">
        <v>44440</v>
      </c>
      <c r="J99" s="62">
        <f>EFEITO!$J$99*EFEITO!$Y$99</f>
        <v>0</v>
      </c>
      <c r="K99" s="62">
        <f ca="1">EFEITO!$L$99*EFEITO!$Z$99</f>
        <v>6011.5100328197323</v>
      </c>
      <c r="L99" s="62">
        <f>EFEITO!$N$99*EFEITO!$AA$99</f>
        <v>1817.2453734520052</v>
      </c>
      <c r="M99" s="62">
        <f>$J$99-EFEITO!$K$99*EFEITO!$Y$99</f>
        <v>0</v>
      </c>
      <c r="N99" s="62">
        <f ca="1">$K$99-EFEITO!$M$99*EFEITO!$Z$99</f>
        <v>0</v>
      </c>
      <c r="O99" s="62">
        <f>$L$99-EFEITO!$O$99*EFEITO!$AA$99</f>
        <v>0</v>
      </c>
      <c r="P99" s="45"/>
      <c r="Q99" s="45"/>
      <c r="R99" s="45"/>
      <c r="S99" s="45"/>
      <c r="T99" s="45"/>
      <c r="U99" s="45"/>
      <c r="V99" s="45"/>
      <c r="W99" s="45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41" t="s">
        <v>21</v>
      </c>
      <c r="B100" s="41" t="s">
        <v>38</v>
      </c>
      <c r="C100" s="41" t="s">
        <v>39</v>
      </c>
      <c r="D100" s="41" t="s">
        <v>37</v>
      </c>
      <c r="E100" s="41" t="s">
        <v>25</v>
      </c>
      <c r="F100" s="41" t="s">
        <v>25</v>
      </c>
      <c r="G100" s="41" t="s">
        <v>25</v>
      </c>
      <c r="H100" s="41" t="s">
        <v>33</v>
      </c>
      <c r="I100" s="61">
        <v>44470</v>
      </c>
      <c r="J100" s="62">
        <f>EFEITO!$J$100*EFEITO!$Y$100</f>
        <v>0</v>
      </c>
      <c r="K100" s="62">
        <f ca="1">EFEITO!$L$100*EFEITO!$Z$100</f>
        <v>6074.4248421637376</v>
      </c>
      <c r="L100" s="62">
        <f>EFEITO!$N$100*EFEITO!$AA$100</f>
        <v>1836.2641633363801</v>
      </c>
      <c r="M100" s="62">
        <f>$J$100-EFEITO!$K$100*EFEITO!$Y$100</f>
        <v>0</v>
      </c>
      <c r="N100" s="62">
        <f ca="1">$K$100-EFEITO!$M$100*EFEITO!$Z$100</f>
        <v>0</v>
      </c>
      <c r="O100" s="62">
        <f>$L$100-EFEITO!$O$100*EFEITO!$AA$100</f>
        <v>0</v>
      </c>
      <c r="P100" s="45"/>
      <c r="Q100" s="45"/>
      <c r="R100" s="45"/>
      <c r="S100" s="45"/>
      <c r="T100" s="45"/>
      <c r="U100" s="45"/>
      <c r="V100" s="45"/>
      <c r="W100" s="45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41" t="s">
        <v>21</v>
      </c>
      <c r="B101" s="41" t="s">
        <v>38</v>
      </c>
      <c r="C101" s="41" t="s">
        <v>39</v>
      </c>
      <c r="D101" s="41" t="s">
        <v>37</v>
      </c>
      <c r="E101" s="41" t="s">
        <v>25</v>
      </c>
      <c r="F101" s="41" t="s">
        <v>25</v>
      </c>
      <c r="G101" s="41" t="s">
        <v>25</v>
      </c>
      <c r="H101" s="41" t="s">
        <v>33</v>
      </c>
      <c r="I101" s="61">
        <v>44501</v>
      </c>
      <c r="J101" s="62">
        <f>EFEITO!$J$101*EFEITO!$Y$101</f>
        <v>0</v>
      </c>
      <c r="K101" s="62">
        <f ca="1">EFEITO!$L$101*EFEITO!$Z$101</f>
        <v>5466.2483518383506</v>
      </c>
      <c r="L101" s="62">
        <f>EFEITO!$N$101*EFEITO!$AA$101</f>
        <v>1652.4158611207577</v>
      </c>
      <c r="M101" s="62">
        <f>$J$101-EFEITO!$K$101*EFEITO!$Y$101</f>
        <v>0</v>
      </c>
      <c r="N101" s="62">
        <f ca="1">$K$101-EFEITO!$M$101*EFEITO!$Z$101</f>
        <v>0</v>
      </c>
      <c r="O101" s="62">
        <f>$L$101-EFEITO!$O$101*EFEITO!$AA$101</f>
        <v>0</v>
      </c>
      <c r="P101" s="45"/>
      <c r="Q101" s="45"/>
      <c r="R101" s="45"/>
      <c r="S101" s="45"/>
      <c r="T101" s="45"/>
      <c r="U101" s="45"/>
      <c r="V101" s="45"/>
      <c r="W101" s="45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41" t="s">
        <v>21</v>
      </c>
      <c r="B102" s="41" t="s">
        <v>38</v>
      </c>
      <c r="C102" s="41" t="s">
        <v>39</v>
      </c>
      <c r="D102" s="41" t="s">
        <v>37</v>
      </c>
      <c r="E102" s="41" t="s">
        <v>25</v>
      </c>
      <c r="F102" s="41" t="s">
        <v>25</v>
      </c>
      <c r="G102" s="41" t="s">
        <v>25</v>
      </c>
      <c r="H102" s="41" t="s">
        <v>33</v>
      </c>
      <c r="I102" s="61">
        <v>44531</v>
      </c>
      <c r="J102" s="62">
        <f>EFEITO!$J$102*EFEITO!$Y$102</f>
        <v>0</v>
      </c>
      <c r="K102" s="62">
        <f ca="1">EFEITO!$L$102*EFEITO!$Z$102</f>
        <v>6446.6707974491037</v>
      </c>
      <c r="L102" s="62">
        <f>EFEITO!$N$102*EFEITO!$AA$102</f>
        <v>1948.792003485597</v>
      </c>
      <c r="M102" s="62">
        <f>$J$102-EFEITO!$K$102*EFEITO!$Y$102</f>
        <v>0</v>
      </c>
      <c r="N102" s="62">
        <f ca="1">$K$102-EFEITO!$M$102*EFEITO!$Z$102</f>
        <v>0</v>
      </c>
      <c r="O102" s="62">
        <f>$L$102-EFEITO!$O$102*EFEITO!$AA$102</f>
        <v>0</v>
      </c>
      <c r="P102" s="45"/>
      <c r="Q102" s="45"/>
      <c r="R102" s="45"/>
      <c r="S102" s="45"/>
      <c r="T102" s="45"/>
      <c r="U102" s="45"/>
      <c r="V102" s="45"/>
      <c r="W102" s="45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41" t="s">
        <v>21</v>
      </c>
      <c r="B103" s="41" t="s">
        <v>38</v>
      </c>
      <c r="C103" s="41" t="s">
        <v>39</v>
      </c>
      <c r="D103" s="41" t="s">
        <v>37</v>
      </c>
      <c r="E103" s="41" t="s">
        <v>25</v>
      </c>
      <c r="F103" s="41" t="s">
        <v>25</v>
      </c>
      <c r="G103" s="41" t="s">
        <v>25</v>
      </c>
      <c r="H103" s="41" t="s">
        <v>33</v>
      </c>
      <c r="I103" s="61">
        <v>44562</v>
      </c>
      <c r="J103" s="62">
        <f>EFEITO!$J$103*EFEITO!$Y$103</f>
        <v>0</v>
      </c>
      <c r="K103" s="62">
        <f ca="1">EFEITO!$L$103*EFEITO!$Z$103</f>
        <v>5908.7491775578565</v>
      </c>
      <c r="L103" s="62">
        <f>EFEITO!$N$103*EFEITO!$AA$103</f>
        <v>1786.1813499741932</v>
      </c>
      <c r="M103" s="62">
        <f>$J$103-EFEITO!$K$103*EFEITO!$Y$103</f>
        <v>0</v>
      </c>
      <c r="N103" s="62">
        <f ca="1">$K$103-EFEITO!$M$103*EFEITO!$Z$103</f>
        <v>0</v>
      </c>
      <c r="O103" s="62">
        <f>$L$103-EFEITO!$O$103*EFEITO!$AA$103</f>
        <v>0</v>
      </c>
      <c r="P103" s="45"/>
      <c r="Q103" s="45"/>
      <c r="R103" s="45"/>
      <c r="S103" s="45"/>
      <c r="T103" s="45"/>
      <c r="U103" s="45"/>
      <c r="V103" s="45"/>
      <c r="W103" s="45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41" t="s">
        <v>21</v>
      </c>
      <c r="B104" s="41" t="s">
        <v>38</v>
      </c>
      <c r="C104" s="41" t="s">
        <v>39</v>
      </c>
      <c r="D104" s="41" t="s">
        <v>37</v>
      </c>
      <c r="E104" s="41" t="s">
        <v>25</v>
      </c>
      <c r="F104" s="41" t="s">
        <v>25</v>
      </c>
      <c r="G104" s="41" t="s">
        <v>25</v>
      </c>
      <c r="H104" s="41" t="s">
        <v>33</v>
      </c>
      <c r="I104" s="61">
        <v>44593</v>
      </c>
      <c r="J104" s="62">
        <f>EFEITO!$J$104*EFEITO!$Y$104</f>
        <v>0</v>
      </c>
      <c r="K104" s="62">
        <f ca="1">EFEITO!$L$104*EFEITO!$Z$104</f>
        <v>6602.9092406533846</v>
      </c>
      <c r="L104" s="62">
        <f>EFEITO!$N$104*EFEITO!$AA$104</f>
        <v>1996.0219983651275</v>
      </c>
      <c r="M104" s="62">
        <f>$J$104-EFEITO!$K$104*EFEITO!$Y$104</f>
        <v>0</v>
      </c>
      <c r="N104" s="62">
        <f ca="1">$K$104-EFEITO!$M$104*EFEITO!$Z$104</f>
        <v>0</v>
      </c>
      <c r="O104" s="62">
        <f>$L$104-EFEITO!$O$104*EFEITO!$AA$104</f>
        <v>0</v>
      </c>
      <c r="P104" s="45"/>
      <c r="Q104" s="45"/>
      <c r="R104" s="45"/>
      <c r="S104" s="45"/>
      <c r="T104" s="45"/>
      <c r="U104" s="45"/>
      <c r="V104" s="45"/>
      <c r="W104" s="45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41" t="s">
        <v>21</v>
      </c>
      <c r="B105" s="41" t="s">
        <v>38</v>
      </c>
      <c r="C105" s="41" t="s">
        <v>39</v>
      </c>
      <c r="D105" s="41" t="s">
        <v>37</v>
      </c>
      <c r="E105" s="41" t="s">
        <v>25</v>
      </c>
      <c r="F105" s="41" t="s">
        <v>25</v>
      </c>
      <c r="G105" s="41" t="s">
        <v>25</v>
      </c>
      <c r="H105" s="41" t="s">
        <v>33</v>
      </c>
      <c r="I105" s="61">
        <v>44621</v>
      </c>
      <c r="J105" s="62">
        <f>EFEITO!$J$105*EFEITO!$Y$105</f>
        <v>0</v>
      </c>
      <c r="K105" s="62">
        <f ca="1">EFEITO!$L$105*EFEITO!$Z$105</f>
        <v>6386.9017285722994</v>
      </c>
      <c r="L105" s="62">
        <f>EFEITO!$N$105*EFEITO!$AA$105</f>
        <v>1930.7241530954411</v>
      </c>
      <c r="M105" s="62">
        <f>$J$105-EFEITO!$K$105*EFEITO!$Y$105</f>
        <v>0</v>
      </c>
      <c r="N105" s="62">
        <f ca="1">$K$105-EFEITO!$M$105*EFEITO!$Z$105</f>
        <v>0</v>
      </c>
      <c r="O105" s="62">
        <f>$L$105-EFEITO!$O$105*EFEITO!$AA$105</f>
        <v>0</v>
      </c>
      <c r="P105" s="45"/>
      <c r="Q105" s="45"/>
      <c r="R105" s="45"/>
      <c r="S105" s="45"/>
      <c r="T105" s="45"/>
      <c r="U105" s="45"/>
      <c r="V105" s="45"/>
      <c r="W105" s="45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41" t="s">
        <v>21</v>
      </c>
      <c r="B106" s="41" t="s">
        <v>38</v>
      </c>
      <c r="C106" s="41" t="s">
        <v>39</v>
      </c>
      <c r="D106" s="41" t="s">
        <v>37</v>
      </c>
      <c r="E106" s="41" t="s">
        <v>25</v>
      </c>
      <c r="F106" s="41" t="s">
        <v>25</v>
      </c>
      <c r="G106" s="41" t="s">
        <v>25</v>
      </c>
      <c r="H106" s="41" t="s">
        <v>33</v>
      </c>
      <c r="I106" s="61">
        <v>44652</v>
      </c>
      <c r="J106" s="62">
        <f>EFEITO!$J$106*EFEITO!$Y$106</f>
        <v>0</v>
      </c>
      <c r="K106" s="62">
        <f ca="1">EFEITO!$L$106*EFEITO!$Z$106</f>
        <v>5240.8036183556642</v>
      </c>
      <c r="L106" s="62">
        <f>EFEITO!$N$106*EFEITO!$AA$106</f>
        <v>1584.2651973684149</v>
      </c>
      <c r="M106" s="62">
        <f>$J$106-EFEITO!$K$106*EFEITO!$Y$106</f>
        <v>0</v>
      </c>
      <c r="N106" s="62">
        <f ca="1">$K$106-EFEITO!$M$106*EFEITO!$Z$106</f>
        <v>0</v>
      </c>
      <c r="O106" s="62">
        <f>$L$106-EFEITO!$O$106*EFEITO!$AA$106</f>
        <v>0</v>
      </c>
      <c r="P106" s="45"/>
      <c r="Q106" s="45"/>
      <c r="R106" s="45"/>
      <c r="S106" s="45"/>
      <c r="T106" s="45"/>
      <c r="U106" s="45"/>
      <c r="V106" s="45"/>
      <c r="W106" s="45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41" t="s">
        <v>21</v>
      </c>
      <c r="B107" s="41" t="s">
        <v>38</v>
      </c>
      <c r="C107" s="41" t="s">
        <v>39</v>
      </c>
      <c r="D107" s="41" t="s">
        <v>37</v>
      </c>
      <c r="E107" s="41" t="s">
        <v>25</v>
      </c>
      <c r="F107" s="41" t="s">
        <v>25</v>
      </c>
      <c r="G107" s="41" t="s">
        <v>25</v>
      </c>
      <c r="H107" s="41" t="s">
        <v>33</v>
      </c>
      <c r="I107" s="61">
        <v>44682</v>
      </c>
      <c r="J107" s="62">
        <f>EFEITO!$J$107*EFEITO!$Y$107</f>
        <v>0</v>
      </c>
      <c r="K107" s="62">
        <f ca="1">EFEITO!$L$107*EFEITO!$Z$107</f>
        <v>6140.4853919749439</v>
      </c>
      <c r="L107" s="62">
        <f>EFEITO!$N$107*EFEITO!$AA$107</f>
        <v>1856.2338927149733</v>
      </c>
      <c r="M107" s="62">
        <f>$J$107-EFEITO!$K$107*EFEITO!$Y$107</f>
        <v>0</v>
      </c>
      <c r="N107" s="62">
        <f ca="1">$K$107-EFEITO!$M$107*EFEITO!$Z$107</f>
        <v>0</v>
      </c>
      <c r="O107" s="62">
        <f>$L$107-EFEITO!$O$107*EFEITO!$AA$107</f>
        <v>0</v>
      </c>
      <c r="P107" s="45"/>
      <c r="Q107" s="45"/>
      <c r="R107" s="45"/>
      <c r="S107" s="45"/>
      <c r="T107" s="45"/>
      <c r="U107" s="45"/>
      <c r="V107" s="45"/>
      <c r="W107" s="45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41" t="s">
        <v>21</v>
      </c>
      <c r="B108" s="41" t="s">
        <v>38</v>
      </c>
      <c r="C108" s="41" t="s">
        <v>39</v>
      </c>
      <c r="D108" s="41" t="s">
        <v>37</v>
      </c>
      <c r="E108" s="41" t="s">
        <v>25</v>
      </c>
      <c r="F108" s="41" t="s">
        <v>25</v>
      </c>
      <c r="G108" s="41" t="s">
        <v>25</v>
      </c>
      <c r="H108" s="41" t="s">
        <v>33</v>
      </c>
      <c r="I108" s="61">
        <v>44713</v>
      </c>
      <c r="J108" s="62">
        <f>EFEITO!$J$108*EFEITO!$Y$108</f>
        <v>0</v>
      </c>
      <c r="K108" s="62">
        <f ca="1">EFEITO!$L$108*EFEITO!$Z$108</f>
        <v>7082.1103718235599</v>
      </c>
      <c r="L108" s="62">
        <f>EFEITO!$N$108*EFEITO!$AA$108</f>
        <v>2140.8817813177816</v>
      </c>
      <c r="M108" s="62">
        <f>$J$108-EFEITO!$K$108*EFEITO!$Y$108</f>
        <v>0</v>
      </c>
      <c r="N108" s="62">
        <f ca="1">$K$108-EFEITO!$M$108*EFEITO!$Z$108</f>
        <v>0</v>
      </c>
      <c r="O108" s="62">
        <f>$L$108-EFEITO!$O$108*EFEITO!$AA$108</f>
        <v>0</v>
      </c>
      <c r="P108" s="45"/>
      <c r="Q108" s="45"/>
      <c r="R108" s="45"/>
      <c r="S108" s="45"/>
      <c r="T108" s="45"/>
      <c r="U108" s="45"/>
      <c r="V108" s="45"/>
      <c r="W108" s="45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41" t="s">
        <v>55</v>
      </c>
      <c r="B109" s="41" t="s">
        <v>38</v>
      </c>
      <c r="C109" s="41" t="s">
        <v>39</v>
      </c>
      <c r="D109" s="41" t="s">
        <v>37</v>
      </c>
      <c r="E109" s="41" t="s">
        <v>25</v>
      </c>
      <c r="F109" s="41" t="s">
        <v>25</v>
      </c>
      <c r="G109" s="41" t="s">
        <v>25</v>
      </c>
      <c r="H109" s="41" t="s">
        <v>33</v>
      </c>
      <c r="I109" s="61">
        <v>44743</v>
      </c>
      <c r="J109" s="62">
        <f>EFEITO!$J$109*EFEITO!$Y$109</f>
        <v>0</v>
      </c>
      <c r="K109" s="62">
        <f ca="1">EFEITO!$L$109*EFEITO!$Z$109</f>
        <v>7082.1103718235599</v>
      </c>
      <c r="L109" s="62">
        <f>EFEITO!$N$109*EFEITO!$AA$109</f>
        <v>2140.8817813177816</v>
      </c>
      <c r="M109" s="62">
        <f>$J$109-EFEITO!$K$109*EFEITO!$Y$109</f>
        <v>0</v>
      </c>
      <c r="N109" s="62">
        <f ca="1">$K$109-EFEITO!$M$109*EFEITO!$Z$109</f>
        <v>0</v>
      </c>
      <c r="O109" s="62">
        <f>$L$109-EFEITO!$O$109*EFEITO!$AA$109</f>
        <v>0</v>
      </c>
      <c r="P109" s="45"/>
      <c r="Q109" s="45"/>
      <c r="R109" s="45"/>
      <c r="S109" s="45"/>
      <c r="T109" s="45"/>
      <c r="U109" s="45"/>
      <c r="V109" s="45"/>
      <c r="W109" s="45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41" t="s">
        <v>21</v>
      </c>
      <c r="B110" s="41" t="s">
        <v>38</v>
      </c>
      <c r="C110" s="41" t="s">
        <v>39</v>
      </c>
      <c r="D110" s="41" t="s">
        <v>43</v>
      </c>
      <c r="E110" s="41" t="s">
        <v>25</v>
      </c>
      <c r="F110" s="41" t="s">
        <v>25</v>
      </c>
      <c r="G110" s="41" t="s">
        <v>25</v>
      </c>
      <c r="H110" s="41" t="s">
        <v>34</v>
      </c>
      <c r="I110" s="61">
        <v>44409</v>
      </c>
      <c r="J110" s="62">
        <f>EFEITO!$J$110*EFEITO!$Y$110</f>
        <v>0</v>
      </c>
      <c r="K110" s="62">
        <f ca="1">EFEITO!$L$110*EFEITO!$Z$110</f>
        <v>661.37416242763391</v>
      </c>
      <c r="L110" s="62">
        <f>EFEITO!$N$110*EFEITO!$AA$110</f>
        <v>1570.0505849085603</v>
      </c>
      <c r="M110" s="62">
        <f>$J$110-EFEITO!$K$110*EFEITO!$Y$110</f>
        <v>0</v>
      </c>
      <c r="N110" s="62">
        <f ca="1">$K$110-EFEITO!$M$110*EFEITO!$Z$110</f>
        <v>0</v>
      </c>
      <c r="O110" s="62">
        <f>$L$110-EFEITO!$O$110*EFEITO!$AA$110</f>
        <v>0</v>
      </c>
      <c r="P110" s="45"/>
      <c r="Q110" s="45"/>
      <c r="R110" s="45"/>
      <c r="S110" s="45"/>
      <c r="T110" s="45"/>
      <c r="U110" s="45"/>
      <c r="V110" s="45"/>
      <c r="W110" s="45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41" t="s">
        <v>21</v>
      </c>
      <c r="B111" s="41" t="s">
        <v>38</v>
      </c>
      <c r="C111" s="41" t="s">
        <v>39</v>
      </c>
      <c r="D111" s="41" t="s">
        <v>43</v>
      </c>
      <c r="E111" s="41" t="s">
        <v>25</v>
      </c>
      <c r="F111" s="41" t="s">
        <v>25</v>
      </c>
      <c r="G111" s="41" t="s">
        <v>25</v>
      </c>
      <c r="H111" s="41" t="s">
        <v>34</v>
      </c>
      <c r="I111" s="61">
        <v>44440</v>
      </c>
      <c r="J111" s="62">
        <f>EFEITO!$J$111*EFEITO!$Y$111</f>
        <v>0</v>
      </c>
      <c r="K111" s="62">
        <f ca="1">EFEITO!$L$111*EFEITO!$Z$111</f>
        <v>511.64478140964275</v>
      </c>
      <c r="L111" s="62">
        <f>EFEITO!$N$111*EFEITO!$AA$111</f>
        <v>1214.6047335278513</v>
      </c>
      <c r="M111" s="62">
        <f>$J$111-EFEITO!$K$111*EFEITO!$Y$111</f>
        <v>0</v>
      </c>
      <c r="N111" s="62">
        <f ca="1">$K$111-EFEITO!$M$111*EFEITO!$Z$111</f>
        <v>0</v>
      </c>
      <c r="O111" s="62">
        <f>$L$111-EFEITO!$O$111*EFEITO!$AA$111</f>
        <v>0</v>
      </c>
      <c r="P111" s="45"/>
      <c r="Q111" s="45"/>
      <c r="R111" s="45"/>
      <c r="S111" s="45"/>
      <c r="T111" s="45"/>
      <c r="U111" s="45"/>
      <c r="V111" s="45"/>
      <c r="W111" s="45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41" t="s">
        <v>21</v>
      </c>
      <c r="B112" s="41" t="s">
        <v>38</v>
      </c>
      <c r="C112" s="41" t="s">
        <v>39</v>
      </c>
      <c r="D112" s="41" t="s">
        <v>43</v>
      </c>
      <c r="E112" s="41" t="s">
        <v>25</v>
      </c>
      <c r="F112" s="41" t="s">
        <v>25</v>
      </c>
      <c r="G112" s="41" t="s">
        <v>25</v>
      </c>
      <c r="H112" s="41" t="s">
        <v>34</v>
      </c>
      <c r="I112" s="61">
        <v>44470</v>
      </c>
      <c r="J112" s="62">
        <f>EFEITO!$J$112*EFEITO!$Y$112</f>
        <v>0</v>
      </c>
      <c r="K112" s="62">
        <f ca="1">EFEITO!$L$112*EFEITO!$Z$112</f>
        <v>493.32416749197978</v>
      </c>
      <c r="L112" s="62">
        <f>EFEITO!$N$112*EFEITO!$AA$112</f>
        <v>1171.1130275747055</v>
      </c>
      <c r="M112" s="62">
        <f>$J$112-EFEITO!$K$112*EFEITO!$Y$112</f>
        <v>0</v>
      </c>
      <c r="N112" s="62">
        <f ca="1">$K$112-EFEITO!$M$112*EFEITO!$Z$112</f>
        <v>0</v>
      </c>
      <c r="O112" s="62">
        <f>$L$112-EFEITO!$O$112*EFEITO!$AA$112</f>
        <v>0</v>
      </c>
      <c r="P112" s="45"/>
      <c r="Q112" s="45"/>
      <c r="R112" s="45"/>
      <c r="S112" s="45"/>
      <c r="T112" s="45"/>
      <c r="U112" s="45"/>
      <c r="V112" s="45"/>
      <c r="W112" s="45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41" t="s">
        <v>21</v>
      </c>
      <c r="B113" s="41" t="s">
        <v>38</v>
      </c>
      <c r="C113" s="41" t="s">
        <v>39</v>
      </c>
      <c r="D113" s="41" t="s">
        <v>43</v>
      </c>
      <c r="E113" s="41" t="s">
        <v>25</v>
      </c>
      <c r="F113" s="41" t="s">
        <v>25</v>
      </c>
      <c r="G113" s="41" t="s">
        <v>25</v>
      </c>
      <c r="H113" s="41" t="s">
        <v>34</v>
      </c>
      <c r="I113" s="61">
        <v>44501</v>
      </c>
      <c r="J113" s="62">
        <f>EFEITO!$J$113*EFEITO!$Y$113</f>
        <v>0</v>
      </c>
      <c r="K113" s="62">
        <f ca="1">EFEITO!$L$113*EFEITO!$Z$113</f>
        <v>728.82733185175675</v>
      </c>
      <c r="L113" s="62">
        <f>EFEITO!$N$113*EFEITO!$AA$113</f>
        <v>1730.1791386451423</v>
      </c>
      <c r="M113" s="62">
        <f>$J$113-EFEITO!$K$113*EFEITO!$Y$113</f>
        <v>0</v>
      </c>
      <c r="N113" s="62">
        <f ca="1">$K$113-EFEITO!$M$113*EFEITO!$Z$113</f>
        <v>0</v>
      </c>
      <c r="O113" s="62">
        <f>$L$113-EFEITO!$O$113*EFEITO!$AA$113</f>
        <v>0</v>
      </c>
      <c r="P113" s="45"/>
      <c r="Q113" s="45"/>
      <c r="R113" s="45"/>
      <c r="S113" s="45"/>
      <c r="T113" s="45"/>
      <c r="U113" s="45"/>
      <c r="V113" s="45"/>
      <c r="W113" s="45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41" t="s">
        <v>21</v>
      </c>
      <c r="B114" s="41" t="s">
        <v>38</v>
      </c>
      <c r="C114" s="41" t="s">
        <v>39</v>
      </c>
      <c r="D114" s="41" t="s">
        <v>43</v>
      </c>
      <c r="E114" s="41" t="s">
        <v>25</v>
      </c>
      <c r="F114" s="41" t="s">
        <v>25</v>
      </c>
      <c r="G114" s="41" t="s">
        <v>25</v>
      </c>
      <c r="H114" s="41" t="s">
        <v>34</v>
      </c>
      <c r="I114" s="61">
        <v>44531</v>
      </c>
      <c r="J114" s="62">
        <f>EFEITO!$J$114*EFEITO!$Y$114</f>
        <v>0</v>
      </c>
      <c r="K114" s="62">
        <f ca="1">EFEITO!$L$114*EFEITO!$Z$114</f>
        <v>691.60317539177777</v>
      </c>
      <c r="L114" s="62">
        <f>EFEITO!$N$114*EFEITO!$AA$114</f>
        <v>1641.8118997312506</v>
      </c>
      <c r="M114" s="62">
        <f>$J$114-EFEITO!$K$114*EFEITO!$Y$114</f>
        <v>0</v>
      </c>
      <c r="N114" s="62">
        <f ca="1">$K$114-EFEITO!$M$114*EFEITO!$Z$114</f>
        <v>0</v>
      </c>
      <c r="O114" s="62">
        <f>$L$114-EFEITO!$O$114*EFEITO!$AA$114</f>
        <v>0</v>
      </c>
      <c r="P114" s="45"/>
      <c r="Q114" s="45"/>
      <c r="R114" s="45"/>
      <c r="S114" s="45"/>
      <c r="T114" s="45"/>
      <c r="U114" s="45"/>
      <c r="V114" s="45"/>
      <c r="W114" s="45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41" t="s">
        <v>21</v>
      </c>
      <c r="B115" s="41" t="s">
        <v>38</v>
      </c>
      <c r="C115" s="41" t="s">
        <v>39</v>
      </c>
      <c r="D115" s="41" t="s">
        <v>43</v>
      </c>
      <c r="E115" s="41" t="s">
        <v>25</v>
      </c>
      <c r="F115" s="41" t="s">
        <v>25</v>
      </c>
      <c r="G115" s="41" t="s">
        <v>25</v>
      </c>
      <c r="H115" s="41" t="s">
        <v>34</v>
      </c>
      <c r="I115" s="61">
        <v>44562</v>
      </c>
      <c r="J115" s="62">
        <f>EFEITO!$J$115*EFEITO!$Y$115</f>
        <v>0</v>
      </c>
      <c r="K115" s="62">
        <f ca="1">EFEITO!$L$115*EFEITO!$Z$115</f>
        <v>667.86965281662344</v>
      </c>
      <c r="L115" s="62">
        <f>EFEITO!$N$115*EFEITO!$AA$115</f>
        <v>1585.4703715646756</v>
      </c>
      <c r="M115" s="62">
        <f>$J$115-EFEITO!$K$115*EFEITO!$Y$115</f>
        <v>0</v>
      </c>
      <c r="N115" s="62">
        <f ca="1">$K$115-EFEITO!$M$115*EFEITO!$Z$115</f>
        <v>0</v>
      </c>
      <c r="O115" s="62">
        <f>$L$115-EFEITO!$O$115*EFEITO!$AA$115</f>
        <v>0</v>
      </c>
      <c r="P115" s="45"/>
      <c r="Q115" s="45"/>
      <c r="R115" s="45"/>
      <c r="S115" s="45"/>
      <c r="T115" s="45"/>
      <c r="U115" s="45"/>
      <c r="V115" s="45"/>
      <c r="W115" s="45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41" t="s">
        <v>21</v>
      </c>
      <c r="B116" s="41" t="s">
        <v>38</v>
      </c>
      <c r="C116" s="41" t="s">
        <v>39</v>
      </c>
      <c r="D116" s="41" t="s">
        <v>43</v>
      </c>
      <c r="E116" s="41" t="s">
        <v>25</v>
      </c>
      <c r="F116" s="41" t="s">
        <v>25</v>
      </c>
      <c r="G116" s="41" t="s">
        <v>25</v>
      </c>
      <c r="H116" s="41" t="s">
        <v>34</v>
      </c>
      <c r="I116" s="61">
        <v>44593</v>
      </c>
      <c r="J116" s="62">
        <f>EFEITO!$J$116*EFEITO!$Y$116</f>
        <v>0</v>
      </c>
      <c r="K116" s="62">
        <f ca="1">EFEITO!$L$116*EFEITO!$Z$116</f>
        <v>763.96960036654662</v>
      </c>
      <c r="L116" s="62">
        <f>EFEITO!$N$116*EFEITO!$AA$116</f>
        <v>1813.6041382461763</v>
      </c>
      <c r="M116" s="62">
        <f>$J$116-EFEITO!$K$116*EFEITO!$Y$116</f>
        <v>0</v>
      </c>
      <c r="N116" s="62">
        <f ca="1">$K$116-EFEITO!$M$116*EFEITO!$Z$116</f>
        <v>0</v>
      </c>
      <c r="O116" s="62">
        <f>$L$116-EFEITO!$O$116*EFEITO!$AA$116</f>
        <v>0</v>
      </c>
      <c r="P116" s="45"/>
      <c r="Q116" s="45"/>
      <c r="R116" s="45"/>
      <c r="S116" s="45"/>
      <c r="T116" s="45"/>
      <c r="U116" s="45"/>
      <c r="V116" s="45"/>
      <c r="W116" s="45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41" t="s">
        <v>21</v>
      </c>
      <c r="B117" s="41" t="s">
        <v>38</v>
      </c>
      <c r="C117" s="41" t="s">
        <v>39</v>
      </c>
      <c r="D117" s="41" t="s">
        <v>43</v>
      </c>
      <c r="E117" s="41" t="s">
        <v>25</v>
      </c>
      <c r="F117" s="41" t="s">
        <v>25</v>
      </c>
      <c r="G117" s="41" t="s">
        <v>25</v>
      </c>
      <c r="H117" s="41" t="s">
        <v>34</v>
      </c>
      <c r="I117" s="61">
        <v>44621</v>
      </c>
      <c r="J117" s="62">
        <f>EFEITO!$J$117*EFEITO!$Y$117</f>
        <v>0</v>
      </c>
      <c r="K117" s="62">
        <f ca="1">EFEITO!$L$117*EFEITO!$Z$117</f>
        <v>628.97998600049345</v>
      </c>
      <c r="L117" s="62">
        <f>EFEITO!$N$117*EFEITO!$AA$117</f>
        <v>1493.1493412004982</v>
      </c>
      <c r="M117" s="62">
        <f>$J$117-EFEITO!$K$117*EFEITO!$Y$117</f>
        <v>0</v>
      </c>
      <c r="N117" s="62">
        <f ca="1">$K$117-EFEITO!$M$117*EFEITO!$Z$117</f>
        <v>0</v>
      </c>
      <c r="O117" s="62">
        <f>$L$117-EFEITO!$O$117*EFEITO!$AA$117</f>
        <v>0</v>
      </c>
      <c r="P117" s="45"/>
      <c r="Q117" s="45"/>
      <c r="R117" s="45"/>
      <c r="S117" s="45"/>
      <c r="T117" s="45"/>
      <c r="U117" s="45"/>
      <c r="V117" s="45"/>
      <c r="W117" s="45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41" t="s">
        <v>21</v>
      </c>
      <c r="B118" s="41" t="s">
        <v>38</v>
      </c>
      <c r="C118" s="41" t="s">
        <v>39</v>
      </c>
      <c r="D118" s="41" t="s">
        <v>43</v>
      </c>
      <c r="E118" s="41" t="s">
        <v>25</v>
      </c>
      <c r="F118" s="41" t="s">
        <v>25</v>
      </c>
      <c r="G118" s="41" t="s">
        <v>25</v>
      </c>
      <c r="H118" s="41" t="s">
        <v>34</v>
      </c>
      <c r="I118" s="61">
        <v>44652</v>
      </c>
      <c r="J118" s="62">
        <f>EFEITO!$J$118*EFEITO!$Y$118</f>
        <v>0</v>
      </c>
      <c r="K118" s="62">
        <f ca="1">EFEITO!$L$118*EFEITO!$Z$118</f>
        <v>444.0250609499048</v>
      </c>
      <c r="L118" s="62">
        <f>EFEITO!$N$118*EFEITO!$AA$118</f>
        <v>1054.0808006462407</v>
      </c>
      <c r="M118" s="62">
        <f>$J$118-EFEITO!$K$118*EFEITO!$Y$118</f>
        <v>0</v>
      </c>
      <c r="N118" s="62">
        <f ca="1">$K$118-EFEITO!$M$118*EFEITO!$Z$118</f>
        <v>0</v>
      </c>
      <c r="O118" s="62">
        <f>$L$118-EFEITO!$O$118*EFEITO!$AA$118</f>
        <v>0</v>
      </c>
      <c r="P118" s="45"/>
      <c r="Q118" s="45"/>
      <c r="R118" s="45"/>
      <c r="S118" s="45"/>
      <c r="T118" s="45"/>
      <c r="U118" s="45"/>
      <c r="V118" s="45"/>
      <c r="W118" s="45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41" t="s">
        <v>21</v>
      </c>
      <c r="B119" s="41" t="s">
        <v>38</v>
      </c>
      <c r="C119" s="41" t="s">
        <v>39</v>
      </c>
      <c r="D119" s="41" t="s">
        <v>43</v>
      </c>
      <c r="E119" s="41" t="s">
        <v>25</v>
      </c>
      <c r="F119" s="41" t="s">
        <v>25</v>
      </c>
      <c r="G119" s="41" t="s">
        <v>25</v>
      </c>
      <c r="H119" s="41" t="s">
        <v>34</v>
      </c>
      <c r="I119" s="61">
        <v>44682</v>
      </c>
      <c r="J119" s="62">
        <f>EFEITO!$J$119*EFEITO!$Y$119</f>
        <v>0</v>
      </c>
      <c r="K119" s="62">
        <f ca="1">EFEITO!$L$119*EFEITO!$Z$119</f>
        <v>623.65035286080968</v>
      </c>
      <c r="L119" s="62">
        <f>EFEITO!$N$119*EFEITO!$AA$119</f>
        <v>1480.497208559583</v>
      </c>
      <c r="M119" s="62">
        <f>$J$119-EFEITO!$K$119*EFEITO!$Y$119</f>
        <v>0</v>
      </c>
      <c r="N119" s="62">
        <f ca="1">$K$119-EFEITO!$M$119*EFEITO!$Z$119</f>
        <v>0</v>
      </c>
      <c r="O119" s="62">
        <f>$L$119-EFEITO!$O$119*EFEITO!$AA$119</f>
        <v>0</v>
      </c>
      <c r="P119" s="45"/>
      <c r="Q119" s="45"/>
      <c r="R119" s="45"/>
      <c r="S119" s="45"/>
      <c r="T119" s="45"/>
      <c r="U119" s="45"/>
      <c r="V119" s="45"/>
      <c r="W119" s="45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41" t="s">
        <v>21</v>
      </c>
      <c r="B120" s="41" t="s">
        <v>38</v>
      </c>
      <c r="C120" s="41" t="s">
        <v>39</v>
      </c>
      <c r="D120" s="41" t="s">
        <v>43</v>
      </c>
      <c r="E120" s="41" t="s">
        <v>25</v>
      </c>
      <c r="F120" s="41" t="s">
        <v>25</v>
      </c>
      <c r="G120" s="41" t="s">
        <v>25</v>
      </c>
      <c r="H120" s="41" t="s">
        <v>34</v>
      </c>
      <c r="I120" s="61">
        <v>44713</v>
      </c>
      <c r="J120" s="62">
        <f>EFEITO!$J$120*EFEITO!$Y$120</f>
        <v>0</v>
      </c>
      <c r="K120" s="62">
        <f ca="1">EFEITO!$L$120*EFEITO!$Z$120</f>
        <v>630.47894532102953</v>
      </c>
      <c r="L120" s="62">
        <f>EFEITO!$N$120*EFEITO!$AA$120</f>
        <v>1496.7077535057554</v>
      </c>
      <c r="M120" s="62">
        <f>$J$120-EFEITO!$K$120*EFEITO!$Y$120</f>
        <v>0</v>
      </c>
      <c r="N120" s="62">
        <f ca="1">$K$120-EFEITO!$M$120*EFEITO!$Z$120</f>
        <v>0</v>
      </c>
      <c r="O120" s="62">
        <f>$L$120-EFEITO!$O$120*EFEITO!$AA$120</f>
        <v>0</v>
      </c>
      <c r="P120" s="45"/>
      <c r="Q120" s="45"/>
      <c r="R120" s="45"/>
      <c r="S120" s="45"/>
      <c r="T120" s="45"/>
      <c r="U120" s="45"/>
      <c r="V120" s="45"/>
      <c r="W120" s="45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41" t="s">
        <v>55</v>
      </c>
      <c r="B121" s="41" t="s">
        <v>38</v>
      </c>
      <c r="C121" s="41" t="s">
        <v>39</v>
      </c>
      <c r="D121" s="41" t="s">
        <v>43</v>
      </c>
      <c r="E121" s="41" t="s">
        <v>25</v>
      </c>
      <c r="F121" s="41" t="s">
        <v>25</v>
      </c>
      <c r="G121" s="41" t="s">
        <v>25</v>
      </c>
      <c r="H121" s="41" t="s">
        <v>34</v>
      </c>
      <c r="I121" s="61">
        <v>44743</v>
      </c>
      <c r="J121" s="62">
        <f>EFEITO!$J$121*EFEITO!$Y$121</f>
        <v>0</v>
      </c>
      <c r="K121" s="62">
        <f ca="1">EFEITO!$L$121*EFEITO!$Z$121</f>
        <v>630.47894532102953</v>
      </c>
      <c r="L121" s="62">
        <f>EFEITO!$N$121*EFEITO!$AA$121</f>
        <v>1496.7077535057554</v>
      </c>
      <c r="M121" s="62">
        <f>$J$121-EFEITO!$K$121*EFEITO!$Y$121</f>
        <v>0</v>
      </c>
      <c r="N121" s="62">
        <f ca="1">$K$121-EFEITO!$M$121*EFEITO!$Z$121</f>
        <v>0</v>
      </c>
      <c r="O121" s="62">
        <f>$L$121-EFEITO!$O$121*EFEITO!$AA$121</f>
        <v>0</v>
      </c>
      <c r="P121" s="45"/>
      <c r="Q121" s="45"/>
      <c r="R121" s="45"/>
      <c r="S121" s="45"/>
      <c r="T121" s="45"/>
      <c r="U121" s="45"/>
      <c r="V121" s="45"/>
      <c r="W121" s="45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41" t="s">
        <v>21</v>
      </c>
      <c r="B122" s="41" t="s">
        <v>38</v>
      </c>
      <c r="C122" s="41" t="s">
        <v>39</v>
      </c>
      <c r="D122" s="41" t="s">
        <v>43</v>
      </c>
      <c r="E122" s="41" t="s">
        <v>25</v>
      </c>
      <c r="F122" s="41" t="s">
        <v>25</v>
      </c>
      <c r="G122" s="41" t="s">
        <v>25</v>
      </c>
      <c r="H122" s="41" t="s">
        <v>25</v>
      </c>
      <c r="I122" s="61">
        <v>44409</v>
      </c>
      <c r="J122" s="62">
        <f ca="1">EFEITO!$J$122*EFEITO!$Y$122</f>
        <v>956.23253692873755</v>
      </c>
      <c r="K122" s="62">
        <f>EFEITO!$L$122*EFEITO!$Z$122</f>
        <v>0</v>
      </c>
      <c r="L122" s="62">
        <f>EFEITO!$N$122*EFEITO!$AA$122</f>
        <v>0</v>
      </c>
      <c r="M122" s="62">
        <f ca="1">$J$122-EFEITO!$K$122*EFEITO!$Y$122</f>
        <v>0</v>
      </c>
      <c r="N122" s="62">
        <f>$K$122-EFEITO!$M$122*EFEITO!$Z$122</f>
        <v>0</v>
      </c>
      <c r="O122" s="62">
        <f>$L$122-EFEITO!$O$122*EFEITO!$AA$122</f>
        <v>0</v>
      </c>
      <c r="P122" s="45"/>
      <c r="Q122" s="45"/>
      <c r="R122" s="45"/>
      <c r="S122" s="45"/>
      <c r="T122" s="45"/>
      <c r="U122" s="45"/>
      <c r="V122" s="45"/>
      <c r="W122" s="45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41" t="s">
        <v>21</v>
      </c>
      <c r="B123" s="41" t="s">
        <v>38</v>
      </c>
      <c r="C123" s="41" t="s">
        <v>39</v>
      </c>
      <c r="D123" s="41" t="s">
        <v>43</v>
      </c>
      <c r="E123" s="41" t="s">
        <v>25</v>
      </c>
      <c r="F123" s="41" t="s">
        <v>25</v>
      </c>
      <c r="G123" s="41" t="s">
        <v>25</v>
      </c>
      <c r="H123" s="41" t="s">
        <v>25</v>
      </c>
      <c r="I123" s="61">
        <v>44440</v>
      </c>
      <c r="J123" s="62">
        <f ca="1">EFEITO!$J$123*EFEITO!$Y$123</f>
        <v>956.23253692873755</v>
      </c>
      <c r="K123" s="62">
        <f>EFEITO!$L$123*EFEITO!$Z$123</f>
        <v>0</v>
      </c>
      <c r="L123" s="62">
        <f>EFEITO!$N$123*EFEITO!$AA$123</f>
        <v>0</v>
      </c>
      <c r="M123" s="62">
        <f ca="1">$J$123-EFEITO!$K$123*EFEITO!$Y$123</f>
        <v>0</v>
      </c>
      <c r="N123" s="62">
        <f>$K$123-EFEITO!$M$123*EFEITO!$Z$123</f>
        <v>0</v>
      </c>
      <c r="O123" s="62">
        <f>$L$123-EFEITO!$O$123*EFEITO!$AA$123</f>
        <v>0</v>
      </c>
      <c r="P123" s="45"/>
      <c r="Q123" s="45"/>
      <c r="R123" s="45"/>
      <c r="S123" s="45"/>
      <c r="T123" s="45"/>
      <c r="U123" s="45"/>
      <c r="V123" s="45"/>
      <c r="W123" s="45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41" t="s">
        <v>21</v>
      </c>
      <c r="B124" s="41" t="s">
        <v>38</v>
      </c>
      <c r="C124" s="41" t="s">
        <v>39</v>
      </c>
      <c r="D124" s="41" t="s">
        <v>43</v>
      </c>
      <c r="E124" s="41" t="s">
        <v>25</v>
      </c>
      <c r="F124" s="41" t="s">
        <v>25</v>
      </c>
      <c r="G124" s="41" t="s">
        <v>25</v>
      </c>
      <c r="H124" s="41" t="s">
        <v>25</v>
      </c>
      <c r="I124" s="61">
        <v>44470</v>
      </c>
      <c r="J124" s="62">
        <f ca="1">EFEITO!$J$124*EFEITO!$Y$124</f>
        <v>956.23253692873755</v>
      </c>
      <c r="K124" s="62">
        <f>EFEITO!$L$124*EFEITO!$Z$124</f>
        <v>0</v>
      </c>
      <c r="L124" s="62">
        <f>EFEITO!$N$124*EFEITO!$AA$124</f>
        <v>0</v>
      </c>
      <c r="M124" s="62">
        <f ca="1">$J$124-EFEITO!$K$124*EFEITO!$Y$124</f>
        <v>0</v>
      </c>
      <c r="N124" s="62">
        <f>$K$124-EFEITO!$M$124*EFEITO!$Z$124</f>
        <v>0</v>
      </c>
      <c r="O124" s="62">
        <f>$L$124-EFEITO!$O$124*EFEITO!$AA$124</f>
        <v>0</v>
      </c>
      <c r="P124" s="45"/>
      <c r="Q124" s="45"/>
      <c r="R124" s="45"/>
      <c r="S124" s="45"/>
      <c r="T124" s="45"/>
      <c r="U124" s="45"/>
      <c r="V124" s="45"/>
      <c r="W124" s="4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41" t="s">
        <v>21</v>
      </c>
      <c r="B125" s="41" t="s">
        <v>38</v>
      </c>
      <c r="C125" s="41" t="s">
        <v>39</v>
      </c>
      <c r="D125" s="41" t="s">
        <v>43</v>
      </c>
      <c r="E125" s="41" t="s">
        <v>25</v>
      </c>
      <c r="F125" s="41" t="s">
        <v>25</v>
      </c>
      <c r="G125" s="41" t="s">
        <v>25</v>
      </c>
      <c r="H125" s="41" t="s">
        <v>25</v>
      </c>
      <c r="I125" s="61">
        <v>44501</v>
      </c>
      <c r="J125" s="62">
        <f ca="1">EFEITO!$J$125*EFEITO!$Y$125</f>
        <v>956.23253692873755</v>
      </c>
      <c r="K125" s="62">
        <f>EFEITO!$L$125*EFEITO!$Z$125</f>
        <v>0</v>
      </c>
      <c r="L125" s="62">
        <f>EFEITO!$N$125*EFEITO!$AA$125</f>
        <v>0</v>
      </c>
      <c r="M125" s="62">
        <f ca="1">$J$125-EFEITO!$K$125*EFEITO!$Y$125</f>
        <v>0</v>
      </c>
      <c r="N125" s="62">
        <f>$K$125-EFEITO!$M$125*EFEITO!$Z$125</f>
        <v>0</v>
      </c>
      <c r="O125" s="62">
        <f>$L$125-EFEITO!$O$125*EFEITO!$AA$125</f>
        <v>0</v>
      </c>
      <c r="P125" s="45"/>
      <c r="Q125" s="45"/>
      <c r="R125" s="45"/>
      <c r="S125" s="45"/>
      <c r="T125" s="45"/>
      <c r="U125" s="45"/>
      <c r="V125" s="45"/>
      <c r="W125" s="45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41" t="s">
        <v>21</v>
      </c>
      <c r="B126" s="41" t="s">
        <v>38</v>
      </c>
      <c r="C126" s="41" t="s">
        <v>39</v>
      </c>
      <c r="D126" s="41" t="s">
        <v>43</v>
      </c>
      <c r="E126" s="41" t="s">
        <v>25</v>
      </c>
      <c r="F126" s="41" t="s">
        <v>25</v>
      </c>
      <c r="G126" s="41" t="s">
        <v>25</v>
      </c>
      <c r="H126" s="41" t="s">
        <v>25</v>
      </c>
      <c r="I126" s="61">
        <v>44531</v>
      </c>
      <c r="J126" s="62">
        <f ca="1">EFEITO!$J$126*EFEITO!$Y$126</f>
        <v>956.23253692873755</v>
      </c>
      <c r="K126" s="62">
        <f>EFEITO!$L$126*EFEITO!$Z$126</f>
        <v>0</v>
      </c>
      <c r="L126" s="62">
        <f>EFEITO!$N$126*EFEITO!$AA$126</f>
        <v>0</v>
      </c>
      <c r="M126" s="62">
        <f ca="1">$J$126-EFEITO!$K$126*EFEITO!$Y$126</f>
        <v>0</v>
      </c>
      <c r="N126" s="62">
        <f>$K$126-EFEITO!$M$126*EFEITO!$Z$126</f>
        <v>0</v>
      </c>
      <c r="O126" s="62">
        <f>$L$126-EFEITO!$O$126*EFEITO!$AA$126</f>
        <v>0</v>
      </c>
      <c r="P126" s="45"/>
      <c r="Q126" s="45"/>
      <c r="R126" s="45"/>
      <c r="S126" s="45"/>
      <c r="T126" s="45"/>
      <c r="U126" s="45"/>
      <c r="V126" s="45"/>
      <c r="W126" s="45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41" t="s">
        <v>21</v>
      </c>
      <c r="B127" s="41" t="s">
        <v>38</v>
      </c>
      <c r="C127" s="41" t="s">
        <v>39</v>
      </c>
      <c r="D127" s="41" t="s">
        <v>43</v>
      </c>
      <c r="E127" s="41" t="s">
        <v>25</v>
      </c>
      <c r="F127" s="41" t="s">
        <v>25</v>
      </c>
      <c r="G127" s="41" t="s">
        <v>25</v>
      </c>
      <c r="H127" s="41" t="s">
        <v>25</v>
      </c>
      <c r="I127" s="61">
        <v>44562</v>
      </c>
      <c r="J127" s="62">
        <f ca="1">EFEITO!$J$127*EFEITO!$Y$127</f>
        <v>956.23253692873755</v>
      </c>
      <c r="K127" s="62">
        <f>EFEITO!$L$127*EFEITO!$Z$127</f>
        <v>0</v>
      </c>
      <c r="L127" s="62">
        <f>EFEITO!$N$127*EFEITO!$AA$127</f>
        <v>0</v>
      </c>
      <c r="M127" s="62">
        <f ca="1">$J$127-EFEITO!$K$127*EFEITO!$Y$127</f>
        <v>0</v>
      </c>
      <c r="N127" s="62">
        <f>$K$127-EFEITO!$M$127*EFEITO!$Z$127</f>
        <v>0</v>
      </c>
      <c r="O127" s="62">
        <f>$L$127-EFEITO!$O$127*EFEITO!$AA$127</f>
        <v>0</v>
      </c>
      <c r="P127" s="45"/>
      <c r="Q127" s="45"/>
      <c r="R127" s="45"/>
      <c r="S127" s="45"/>
      <c r="T127" s="45"/>
      <c r="U127" s="45"/>
      <c r="V127" s="45"/>
      <c r="W127" s="45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41" t="s">
        <v>21</v>
      </c>
      <c r="B128" s="41" t="s">
        <v>38</v>
      </c>
      <c r="C128" s="41" t="s">
        <v>39</v>
      </c>
      <c r="D128" s="41" t="s">
        <v>43</v>
      </c>
      <c r="E128" s="41" t="s">
        <v>25</v>
      </c>
      <c r="F128" s="41" t="s">
        <v>25</v>
      </c>
      <c r="G128" s="41" t="s">
        <v>25</v>
      </c>
      <c r="H128" s="41" t="s">
        <v>25</v>
      </c>
      <c r="I128" s="61">
        <v>44593</v>
      </c>
      <c r="J128" s="62">
        <f ca="1">EFEITO!$J$128*EFEITO!$Y$128</f>
        <v>1366.0464813267681</v>
      </c>
      <c r="K128" s="62">
        <f>EFEITO!$L$128*EFEITO!$Z$128</f>
        <v>0</v>
      </c>
      <c r="L128" s="62">
        <f>EFEITO!$N$128*EFEITO!$AA$128</f>
        <v>0</v>
      </c>
      <c r="M128" s="62">
        <f ca="1">$J$128-EFEITO!$K$128*EFEITO!$Y$128</f>
        <v>0</v>
      </c>
      <c r="N128" s="62">
        <f>$K$128-EFEITO!$M$128*EFEITO!$Z$128</f>
        <v>0</v>
      </c>
      <c r="O128" s="62">
        <f>$L$128-EFEITO!$O$128*EFEITO!$AA$128</f>
        <v>0</v>
      </c>
      <c r="P128" s="45"/>
      <c r="Q128" s="45"/>
      <c r="R128" s="45"/>
      <c r="S128" s="45"/>
      <c r="T128" s="45"/>
      <c r="U128" s="45"/>
      <c r="V128" s="45"/>
      <c r="W128" s="45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41" t="s">
        <v>21</v>
      </c>
      <c r="B129" s="41" t="s">
        <v>38</v>
      </c>
      <c r="C129" s="41" t="s">
        <v>39</v>
      </c>
      <c r="D129" s="41" t="s">
        <v>43</v>
      </c>
      <c r="E129" s="41" t="s">
        <v>25</v>
      </c>
      <c r="F129" s="41" t="s">
        <v>25</v>
      </c>
      <c r="G129" s="41" t="s">
        <v>25</v>
      </c>
      <c r="H129" s="41" t="s">
        <v>25</v>
      </c>
      <c r="I129" s="61">
        <v>44621</v>
      </c>
      <c r="J129" s="62">
        <f ca="1">EFEITO!$J$129*EFEITO!$Y$129</f>
        <v>956.23253692873755</v>
      </c>
      <c r="K129" s="62">
        <f>EFEITO!$L$129*EFEITO!$Z$129</f>
        <v>0</v>
      </c>
      <c r="L129" s="62">
        <f>EFEITO!$N$129*EFEITO!$AA$129</f>
        <v>0</v>
      </c>
      <c r="M129" s="62">
        <f ca="1">$J$129-EFEITO!$K$129*EFEITO!$Y$129</f>
        <v>0</v>
      </c>
      <c r="N129" s="62">
        <f>$K$129-EFEITO!$M$129*EFEITO!$Z$129</f>
        <v>0</v>
      </c>
      <c r="O129" s="62">
        <f>$L$129-EFEITO!$O$129*EFEITO!$AA$129</f>
        <v>0</v>
      </c>
      <c r="P129" s="45"/>
      <c r="Q129" s="45"/>
      <c r="R129" s="45"/>
      <c r="S129" s="45"/>
      <c r="T129" s="45"/>
      <c r="U129" s="45"/>
      <c r="V129" s="45"/>
      <c r="W129" s="45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41" t="s">
        <v>21</v>
      </c>
      <c r="B130" s="41" t="s">
        <v>38</v>
      </c>
      <c r="C130" s="41" t="s">
        <v>39</v>
      </c>
      <c r="D130" s="41" t="s">
        <v>43</v>
      </c>
      <c r="E130" s="41" t="s">
        <v>25</v>
      </c>
      <c r="F130" s="41" t="s">
        <v>25</v>
      </c>
      <c r="G130" s="41" t="s">
        <v>25</v>
      </c>
      <c r="H130" s="41" t="s">
        <v>25</v>
      </c>
      <c r="I130" s="61">
        <v>44652</v>
      </c>
      <c r="J130" s="62">
        <f ca="1">EFEITO!$J$130*EFEITO!$Y$130</f>
        <v>956.23253692873755</v>
      </c>
      <c r="K130" s="62">
        <f>EFEITO!$L$130*EFEITO!$Z$130</f>
        <v>0</v>
      </c>
      <c r="L130" s="62">
        <f>EFEITO!$N$130*EFEITO!$AA$130</f>
        <v>0</v>
      </c>
      <c r="M130" s="62">
        <f ca="1">$J$130-EFEITO!$K$130*EFEITO!$Y$130</f>
        <v>0</v>
      </c>
      <c r="N130" s="62">
        <f>$K$130-EFEITO!$M$130*EFEITO!$Z$130</f>
        <v>0</v>
      </c>
      <c r="O130" s="62">
        <f>$L$130-EFEITO!$O$130*EFEITO!$AA$130</f>
        <v>0</v>
      </c>
      <c r="P130" s="45"/>
      <c r="Q130" s="45"/>
      <c r="R130" s="45"/>
      <c r="S130" s="45"/>
      <c r="T130" s="45"/>
      <c r="U130" s="45"/>
      <c r="V130" s="45"/>
      <c r="W130" s="45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41" t="s">
        <v>21</v>
      </c>
      <c r="B131" s="41" t="s">
        <v>38</v>
      </c>
      <c r="C131" s="41" t="s">
        <v>39</v>
      </c>
      <c r="D131" s="41" t="s">
        <v>43</v>
      </c>
      <c r="E131" s="41" t="s">
        <v>25</v>
      </c>
      <c r="F131" s="41" t="s">
        <v>25</v>
      </c>
      <c r="G131" s="41" t="s">
        <v>25</v>
      </c>
      <c r="H131" s="41" t="s">
        <v>25</v>
      </c>
      <c r="I131" s="61">
        <v>44682</v>
      </c>
      <c r="J131" s="62">
        <f ca="1">EFEITO!$J$131*EFEITO!$Y$131</f>
        <v>956.23253692873755</v>
      </c>
      <c r="K131" s="62">
        <f>EFEITO!$L$131*EFEITO!$Z$131</f>
        <v>0</v>
      </c>
      <c r="L131" s="62">
        <f>EFEITO!$N$131*EFEITO!$AA$131</f>
        <v>0</v>
      </c>
      <c r="M131" s="62">
        <f ca="1">$J$131-EFEITO!$K$131*EFEITO!$Y$131</f>
        <v>0</v>
      </c>
      <c r="N131" s="62">
        <f>$K$131-EFEITO!$M$131*EFEITO!$Z$131</f>
        <v>0</v>
      </c>
      <c r="O131" s="62">
        <f>$L$131-EFEITO!$O$131*EFEITO!$AA$131</f>
        <v>0</v>
      </c>
      <c r="P131" s="45"/>
      <c r="Q131" s="45"/>
      <c r="R131" s="45"/>
      <c r="S131" s="45"/>
      <c r="T131" s="45"/>
      <c r="U131" s="45"/>
      <c r="V131" s="45"/>
      <c r="W131" s="45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41" t="s">
        <v>21</v>
      </c>
      <c r="B132" s="41" t="s">
        <v>38</v>
      </c>
      <c r="C132" s="41" t="s">
        <v>39</v>
      </c>
      <c r="D132" s="41" t="s">
        <v>43</v>
      </c>
      <c r="E132" s="41" t="s">
        <v>25</v>
      </c>
      <c r="F132" s="41" t="s">
        <v>25</v>
      </c>
      <c r="G132" s="41" t="s">
        <v>25</v>
      </c>
      <c r="H132" s="41" t="s">
        <v>25</v>
      </c>
      <c r="I132" s="61">
        <v>44713</v>
      </c>
      <c r="J132" s="62">
        <f ca="1">EFEITO!$J$132*EFEITO!$Y$132</f>
        <v>956.23253692873755</v>
      </c>
      <c r="K132" s="62">
        <f>EFEITO!$L$132*EFEITO!$Z$132</f>
        <v>0</v>
      </c>
      <c r="L132" s="62">
        <f>EFEITO!$N$132*EFEITO!$AA$132</f>
        <v>0</v>
      </c>
      <c r="M132" s="62">
        <f ca="1">$J$132-EFEITO!$K$132*EFEITO!$Y$132</f>
        <v>0</v>
      </c>
      <c r="N132" s="62">
        <f>$K$132-EFEITO!$M$132*EFEITO!$Z$132</f>
        <v>0</v>
      </c>
      <c r="O132" s="62">
        <f>$L$132-EFEITO!$O$132*EFEITO!$AA$132</f>
        <v>0</v>
      </c>
      <c r="P132" s="45"/>
      <c r="Q132" s="45"/>
      <c r="R132" s="45"/>
      <c r="S132" s="45"/>
      <c r="T132" s="45"/>
      <c r="U132" s="45"/>
      <c r="V132" s="45"/>
      <c r="W132" s="45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41" t="s">
        <v>55</v>
      </c>
      <c r="B133" s="41" t="s">
        <v>38</v>
      </c>
      <c r="C133" s="41" t="s">
        <v>39</v>
      </c>
      <c r="D133" s="41" t="s">
        <v>43</v>
      </c>
      <c r="E133" s="41" t="s">
        <v>25</v>
      </c>
      <c r="F133" s="41" t="s">
        <v>25</v>
      </c>
      <c r="G133" s="41" t="s">
        <v>25</v>
      </c>
      <c r="H133" s="41" t="s">
        <v>25</v>
      </c>
      <c r="I133" s="61">
        <v>44743</v>
      </c>
      <c r="J133" s="62">
        <f ca="1">EFEITO!$J$133*EFEITO!$Y$133</f>
        <v>956.23253692873755</v>
      </c>
      <c r="K133" s="62">
        <f>EFEITO!$L$133*EFEITO!$Z$133</f>
        <v>0</v>
      </c>
      <c r="L133" s="62">
        <f>EFEITO!$N$133*EFEITO!$AA$133</f>
        <v>0</v>
      </c>
      <c r="M133" s="62">
        <f ca="1">$J$133-EFEITO!$K$133*EFEITO!$Y$133</f>
        <v>0</v>
      </c>
      <c r="N133" s="62">
        <f>$K$133-EFEITO!$M$133*EFEITO!$Z$133</f>
        <v>0</v>
      </c>
      <c r="O133" s="62">
        <f>$L$133-EFEITO!$O$133*EFEITO!$AA$133</f>
        <v>0</v>
      </c>
      <c r="P133" s="45"/>
      <c r="Q133" s="45"/>
      <c r="R133" s="45"/>
      <c r="S133" s="45"/>
      <c r="T133" s="45"/>
      <c r="U133" s="45"/>
      <c r="V133" s="45"/>
      <c r="W133" s="45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41" t="s">
        <v>21</v>
      </c>
      <c r="B134" s="41" t="s">
        <v>38</v>
      </c>
      <c r="C134" s="41" t="s">
        <v>39</v>
      </c>
      <c r="D134" s="41" t="s">
        <v>43</v>
      </c>
      <c r="E134" s="41" t="s">
        <v>25</v>
      </c>
      <c r="F134" s="41" t="s">
        <v>25</v>
      </c>
      <c r="G134" s="41" t="s">
        <v>25</v>
      </c>
      <c r="H134" s="41" t="s">
        <v>33</v>
      </c>
      <c r="I134" s="61">
        <v>44409</v>
      </c>
      <c r="J134" s="62">
        <f>EFEITO!$J$134*EFEITO!$Y$134</f>
        <v>0</v>
      </c>
      <c r="K134" s="62">
        <f ca="1">EFEITO!$L$134*EFEITO!$Z$134</f>
        <v>840.96128489820785</v>
      </c>
      <c r="L134" s="62">
        <f>EFEITO!$N$134*EFEITO!$AA$134</f>
        <v>254.21782478780887</v>
      </c>
      <c r="M134" s="62">
        <f>$J$134-EFEITO!$K$134*EFEITO!$Y$134</f>
        <v>0</v>
      </c>
      <c r="N134" s="62">
        <f ca="1">$K$134-EFEITO!$M$134*EFEITO!$Z$134</f>
        <v>0</v>
      </c>
      <c r="O134" s="62">
        <f>$L$134-EFEITO!$O$134*EFEITO!$AA$134</f>
        <v>0</v>
      </c>
      <c r="P134" s="45"/>
      <c r="Q134" s="45"/>
      <c r="R134" s="45"/>
      <c r="S134" s="45"/>
      <c r="T134" s="45"/>
      <c r="U134" s="45"/>
      <c r="V134" s="45"/>
      <c r="W134" s="45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41" t="s">
        <v>21</v>
      </c>
      <c r="B135" s="41" t="s">
        <v>38</v>
      </c>
      <c r="C135" s="41" t="s">
        <v>39</v>
      </c>
      <c r="D135" s="41" t="s">
        <v>43</v>
      </c>
      <c r="E135" s="41" t="s">
        <v>25</v>
      </c>
      <c r="F135" s="41" t="s">
        <v>25</v>
      </c>
      <c r="G135" s="41" t="s">
        <v>25</v>
      </c>
      <c r="H135" s="41" t="s">
        <v>33</v>
      </c>
      <c r="I135" s="61">
        <v>44440</v>
      </c>
      <c r="J135" s="62">
        <f>EFEITO!$J$135*EFEITO!$Y$135</f>
        <v>0</v>
      </c>
      <c r="K135" s="62">
        <f ca="1">EFEITO!$L$135*EFEITO!$Z$135</f>
        <v>640.68247515312339</v>
      </c>
      <c r="L135" s="62">
        <f>EFEITO!$N$135*EFEITO!$AA$135</f>
        <v>193.67467698921598</v>
      </c>
      <c r="M135" s="62">
        <f>$J$135-EFEITO!$K$135*EFEITO!$Y$135</f>
        <v>0</v>
      </c>
      <c r="N135" s="62">
        <f ca="1">$K$135-EFEITO!$M$135*EFEITO!$Z$135</f>
        <v>0</v>
      </c>
      <c r="O135" s="62">
        <f>$L$135-EFEITO!$O$135*EFEITO!$AA$135</f>
        <v>0</v>
      </c>
      <c r="P135" s="45"/>
      <c r="Q135" s="45"/>
      <c r="R135" s="45"/>
      <c r="S135" s="45"/>
      <c r="T135" s="45"/>
      <c r="U135" s="45"/>
      <c r="V135" s="45"/>
      <c r="W135" s="45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41" t="s">
        <v>21</v>
      </c>
      <c r="B136" s="41" t="s">
        <v>38</v>
      </c>
      <c r="C136" s="41" t="s">
        <v>39</v>
      </c>
      <c r="D136" s="41" t="s">
        <v>43</v>
      </c>
      <c r="E136" s="41" t="s">
        <v>25</v>
      </c>
      <c r="F136" s="41" t="s">
        <v>25</v>
      </c>
      <c r="G136" s="41" t="s">
        <v>25</v>
      </c>
      <c r="H136" s="41" t="s">
        <v>33</v>
      </c>
      <c r="I136" s="61">
        <v>44470</v>
      </c>
      <c r="J136" s="62">
        <f>EFEITO!$J$136*EFEITO!$Y$136</f>
        <v>0</v>
      </c>
      <c r="K136" s="62">
        <f ca="1">EFEITO!$L$136*EFEITO!$Z$136</f>
        <v>622.85661250565511</v>
      </c>
      <c r="L136" s="62">
        <f>EFEITO!$N$136*EFEITO!$AA$136</f>
        <v>188.2860198553098</v>
      </c>
      <c r="M136" s="62">
        <f>$J$136-EFEITO!$K$136*EFEITO!$Y$136</f>
        <v>0</v>
      </c>
      <c r="N136" s="62">
        <f ca="1">$K$136-EFEITO!$M$136*EFEITO!$Z$136</f>
        <v>0</v>
      </c>
      <c r="O136" s="62">
        <f>$L$136-EFEITO!$O$136*EFEITO!$AA$136</f>
        <v>0</v>
      </c>
      <c r="P136" s="45"/>
      <c r="Q136" s="45"/>
      <c r="R136" s="45"/>
      <c r="S136" s="45"/>
      <c r="T136" s="45"/>
      <c r="U136" s="45"/>
      <c r="V136" s="45"/>
      <c r="W136" s="45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41" t="s">
        <v>21</v>
      </c>
      <c r="B137" s="41" t="s">
        <v>38</v>
      </c>
      <c r="C137" s="41" t="s">
        <v>39</v>
      </c>
      <c r="D137" s="41" t="s">
        <v>43</v>
      </c>
      <c r="E137" s="41" t="s">
        <v>25</v>
      </c>
      <c r="F137" s="41" t="s">
        <v>25</v>
      </c>
      <c r="G137" s="41" t="s">
        <v>25</v>
      </c>
      <c r="H137" s="41" t="s">
        <v>33</v>
      </c>
      <c r="I137" s="61">
        <v>44501</v>
      </c>
      <c r="J137" s="62">
        <f>EFEITO!$J$137*EFEITO!$Y$137</f>
        <v>0</v>
      </c>
      <c r="K137" s="62">
        <f ca="1">EFEITO!$L$137*EFEITO!$Z$137</f>
        <v>754.97771212806686</v>
      </c>
      <c r="L137" s="62">
        <f>EFEITO!$N$137*EFEITO!$AA$137</f>
        <v>228.22547861249672</v>
      </c>
      <c r="M137" s="62">
        <f>$J$137-EFEITO!$K$137*EFEITO!$Y$137</f>
        <v>0</v>
      </c>
      <c r="N137" s="62">
        <f ca="1">$K$137-EFEITO!$M$137*EFEITO!$Z$137</f>
        <v>0</v>
      </c>
      <c r="O137" s="62">
        <f>$L$137-EFEITO!$O$137*EFEITO!$AA$137</f>
        <v>0</v>
      </c>
      <c r="P137" s="45"/>
      <c r="Q137" s="45"/>
      <c r="R137" s="45"/>
      <c r="S137" s="45"/>
      <c r="T137" s="45"/>
      <c r="U137" s="45"/>
      <c r="V137" s="45"/>
      <c r="W137" s="45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41" t="s">
        <v>21</v>
      </c>
      <c r="B138" s="41" t="s">
        <v>38</v>
      </c>
      <c r="C138" s="41" t="s">
        <v>39</v>
      </c>
      <c r="D138" s="41" t="s">
        <v>43</v>
      </c>
      <c r="E138" s="41" t="s">
        <v>25</v>
      </c>
      <c r="F138" s="41" t="s">
        <v>25</v>
      </c>
      <c r="G138" s="41" t="s">
        <v>25</v>
      </c>
      <c r="H138" s="41" t="s">
        <v>33</v>
      </c>
      <c r="I138" s="61">
        <v>44531</v>
      </c>
      <c r="J138" s="62">
        <f>EFEITO!$J$138*EFEITO!$Y$138</f>
        <v>0</v>
      </c>
      <c r="K138" s="62">
        <f ca="1">EFEITO!$L$138*EFEITO!$Z$138</f>
        <v>810.55246038193843</v>
      </c>
      <c r="L138" s="62">
        <f>EFEITO!$N$138*EFEITO!$AA$138</f>
        <v>245.02540967702774</v>
      </c>
      <c r="M138" s="62">
        <f>$J$138-EFEITO!$K$138*EFEITO!$Y$138</f>
        <v>0</v>
      </c>
      <c r="N138" s="62">
        <f ca="1">$K$138-EFEITO!$M$138*EFEITO!$Z$138</f>
        <v>0</v>
      </c>
      <c r="O138" s="62">
        <f>$L$138-EFEITO!$O$138*EFEITO!$AA$138</f>
        <v>0</v>
      </c>
      <c r="P138" s="45"/>
      <c r="Q138" s="45"/>
      <c r="R138" s="45"/>
      <c r="S138" s="45"/>
      <c r="T138" s="45"/>
      <c r="U138" s="45"/>
      <c r="V138" s="45"/>
      <c r="W138" s="45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41" t="s">
        <v>21</v>
      </c>
      <c r="B139" s="41" t="s">
        <v>38</v>
      </c>
      <c r="C139" s="41" t="s">
        <v>39</v>
      </c>
      <c r="D139" s="41" t="s">
        <v>43</v>
      </c>
      <c r="E139" s="41" t="s">
        <v>25</v>
      </c>
      <c r="F139" s="41" t="s">
        <v>25</v>
      </c>
      <c r="G139" s="41" t="s">
        <v>25</v>
      </c>
      <c r="H139" s="41" t="s">
        <v>33</v>
      </c>
      <c r="I139" s="61">
        <v>44562</v>
      </c>
      <c r="J139" s="62">
        <f>EFEITO!$J$139*EFEITO!$Y$139</f>
        <v>0</v>
      </c>
      <c r="K139" s="62">
        <f ca="1">EFEITO!$L$139*EFEITO!$Z$139</f>
        <v>776.99789539846881</v>
      </c>
      <c r="L139" s="62">
        <f>EFEITO!$N$139*EFEITO!$AA$139</f>
        <v>234.8820550720279</v>
      </c>
      <c r="M139" s="62">
        <f>$J$139-EFEITO!$K$139*EFEITO!$Y$139</f>
        <v>0</v>
      </c>
      <c r="N139" s="62">
        <f ca="1">$K$139-EFEITO!$M$139*EFEITO!$Z$139</f>
        <v>0</v>
      </c>
      <c r="O139" s="62">
        <f>$L$139-EFEITO!$O$139*EFEITO!$AA$139</f>
        <v>0</v>
      </c>
      <c r="P139" s="45"/>
      <c r="Q139" s="45"/>
      <c r="R139" s="45"/>
      <c r="S139" s="45"/>
      <c r="T139" s="45"/>
      <c r="U139" s="45"/>
      <c r="V139" s="45"/>
      <c r="W139" s="45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41" t="s">
        <v>21</v>
      </c>
      <c r="B140" s="41" t="s">
        <v>38</v>
      </c>
      <c r="C140" s="41" t="s">
        <v>39</v>
      </c>
      <c r="D140" s="41" t="s">
        <v>43</v>
      </c>
      <c r="E140" s="41" t="s">
        <v>25</v>
      </c>
      <c r="F140" s="41" t="s">
        <v>25</v>
      </c>
      <c r="G140" s="41" t="s">
        <v>25</v>
      </c>
      <c r="H140" s="41" t="s">
        <v>33</v>
      </c>
      <c r="I140" s="61">
        <v>44593</v>
      </c>
      <c r="J140" s="62">
        <f>EFEITO!$J$140*EFEITO!$Y$140</f>
        <v>0</v>
      </c>
      <c r="K140" s="62">
        <f ca="1">EFEITO!$L$140*EFEITO!$Z$140</f>
        <v>933.23633860274936</v>
      </c>
      <c r="L140" s="62">
        <f>EFEITO!$N$140*EFEITO!$AA$140</f>
        <v>282.11204995155845</v>
      </c>
      <c r="M140" s="62">
        <f>$J$140-EFEITO!$K$140*EFEITO!$Y$140</f>
        <v>0</v>
      </c>
      <c r="N140" s="62">
        <f ca="1">$K$140-EFEITO!$M$140*EFEITO!$Z$140</f>
        <v>0</v>
      </c>
      <c r="O140" s="62">
        <f>$L$140-EFEITO!$O$140*EFEITO!$AA$140</f>
        <v>0</v>
      </c>
      <c r="P140" s="45"/>
      <c r="Q140" s="45"/>
      <c r="R140" s="45"/>
      <c r="S140" s="45"/>
      <c r="T140" s="45"/>
      <c r="U140" s="45"/>
      <c r="V140" s="45"/>
      <c r="W140" s="45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41" t="s">
        <v>21</v>
      </c>
      <c r="B141" s="41" t="s">
        <v>38</v>
      </c>
      <c r="C141" s="41" t="s">
        <v>39</v>
      </c>
      <c r="D141" s="41" t="s">
        <v>43</v>
      </c>
      <c r="E141" s="41" t="s">
        <v>25</v>
      </c>
      <c r="F141" s="41" t="s">
        <v>25</v>
      </c>
      <c r="G141" s="41" t="s">
        <v>25</v>
      </c>
      <c r="H141" s="41" t="s">
        <v>33</v>
      </c>
      <c r="I141" s="61">
        <v>44621</v>
      </c>
      <c r="J141" s="62">
        <f>EFEITO!$J$141*EFEITO!$Y$141</f>
        <v>0</v>
      </c>
      <c r="K141" s="62">
        <f ca="1">EFEITO!$L$141*EFEITO!$Z$141</f>
        <v>743.44333041499908</v>
      </c>
      <c r="L141" s="62">
        <f>EFEITO!$N$141*EFEITO!$AA$141</f>
        <v>224.73870046702802</v>
      </c>
      <c r="M141" s="62">
        <f>$J$141-EFEITO!$K$141*EFEITO!$Y$141</f>
        <v>0</v>
      </c>
      <c r="N141" s="62">
        <f ca="1">$K$141-EFEITO!$M$141*EFEITO!$Z$141</f>
        <v>0</v>
      </c>
      <c r="O141" s="62">
        <f>$L$141-EFEITO!$O$141*EFEITO!$AA$141</f>
        <v>0</v>
      </c>
      <c r="P141" s="45"/>
      <c r="Q141" s="45"/>
      <c r="R141" s="45"/>
      <c r="S141" s="45"/>
      <c r="T141" s="45"/>
      <c r="U141" s="45"/>
      <c r="V141" s="45"/>
      <c r="W141" s="45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41" t="s">
        <v>21</v>
      </c>
      <c r="B142" s="41" t="s">
        <v>38</v>
      </c>
      <c r="C142" s="41" t="s">
        <v>39</v>
      </c>
      <c r="D142" s="41" t="s">
        <v>43</v>
      </c>
      <c r="E142" s="41" t="s">
        <v>25</v>
      </c>
      <c r="F142" s="41" t="s">
        <v>25</v>
      </c>
      <c r="G142" s="41" t="s">
        <v>25</v>
      </c>
      <c r="H142" s="41" t="s">
        <v>33</v>
      </c>
      <c r="I142" s="61">
        <v>44652</v>
      </c>
      <c r="J142" s="62">
        <f>EFEITO!$J$142*EFEITO!$Y$142</f>
        <v>0</v>
      </c>
      <c r="K142" s="62">
        <f ca="1">EFEITO!$L$142*EFEITO!$Z$142</f>
        <v>514.85285646511227</v>
      </c>
      <c r="L142" s="62">
        <f>EFEITO!$N$142*EFEITO!$AA$142</f>
        <v>155.63709722046653</v>
      </c>
      <c r="M142" s="62">
        <f>$J$142-EFEITO!$K$142*EFEITO!$Y$142</f>
        <v>0</v>
      </c>
      <c r="N142" s="62">
        <f ca="1">$K$142-EFEITO!$M$142*EFEITO!$Z$142</f>
        <v>0</v>
      </c>
      <c r="O142" s="62">
        <f>$L$142-EFEITO!$O$142*EFEITO!$AA$142</f>
        <v>0</v>
      </c>
      <c r="P142" s="45"/>
      <c r="Q142" s="45"/>
      <c r="R142" s="45"/>
      <c r="S142" s="45"/>
      <c r="T142" s="45"/>
      <c r="U142" s="45"/>
      <c r="V142" s="45"/>
      <c r="W142" s="45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41" t="s">
        <v>21</v>
      </c>
      <c r="B143" s="41" t="s">
        <v>38</v>
      </c>
      <c r="C143" s="41" t="s">
        <v>39</v>
      </c>
      <c r="D143" s="41" t="s">
        <v>43</v>
      </c>
      <c r="E143" s="41" t="s">
        <v>25</v>
      </c>
      <c r="F143" s="41" t="s">
        <v>25</v>
      </c>
      <c r="G143" s="41" t="s">
        <v>25</v>
      </c>
      <c r="H143" s="41" t="s">
        <v>33</v>
      </c>
      <c r="I143" s="61">
        <v>44682</v>
      </c>
      <c r="J143" s="62">
        <f>EFEITO!$J$143*EFEITO!$Y$143</f>
        <v>0</v>
      </c>
      <c r="K143" s="62">
        <f ca="1">EFEITO!$L$143*EFEITO!$Z$143</f>
        <v>772.80357477553514</v>
      </c>
      <c r="L143" s="62">
        <f>EFEITO!$N$143*EFEITO!$AA$143</f>
        <v>233.61413574640289</v>
      </c>
      <c r="M143" s="62">
        <f>$J$143-EFEITO!$K$143*EFEITO!$Y$143</f>
        <v>0</v>
      </c>
      <c r="N143" s="62">
        <f ca="1">$K$143-EFEITO!$M$143*EFEITO!$Z$143</f>
        <v>0</v>
      </c>
      <c r="O143" s="62">
        <f>$L$143-EFEITO!$O$143*EFEITO!$AA$143</f>
        <v>0</v>
      </c>
      <c r="P143" s="45"/>
      <c r="Q143" s="45"/>
      <c r="R143" s="45"/>
      <c r="S143" s="45"/>
      <c r="T143" s="45"/>
      <c r="U143" s="45"/>
      <c r="V143" s="45"/>
      <c r="W143" s="45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41" t="s">
        <v>21</v>
      </c>
      <c r="B144" s="41" t="s">
        <v>38</v>
      </c>
      <c r="C144" s="41" t="s">
        <v>39</v>
      </c>
      <c r="D144" s="41" t="s">
        <v>43</v>
      </c>
      <c r="E144" s="41" t="s">
        <v>25</v>
      </c>
      <c r="F144" s="41" t="s">
        <v>25</v>
      </c>
      <c r="G144" s="41" t="s">
        <v>25</v>
      </c>
      <c r="H144" s="41" t="s">
        <v>33</v>
      </c>
      <c r="I144" s="61">
        <v>44713</v>
      </c>
      <c r="J144" s="62">
        <f>EFEITO!$J$144*EFEITO!$Y$144</f>
        <v>0</v>
      </c>
      <c r="K144" s="62">
        <f ca="1">EFEITO!$L$144*EFEITO!$Z$144</f>
        <v>724.56888761179744</v>
      </c>
      <c r="L144" s="62">
        <f>EFEITO!$N$144*EFEITO!$AA$144</f>
        <v>219.03306350171559</v>
      </c>
      <c r="M144" s="62">
        <f>$J$144-EFEITO!$K$144*EFEITO!$Y$144</f>
        <v>0</v>
      </c>
      <c r="N144" s="62">
        <f ca="1">$K$144-EFEITO!$M$144*EFEITO!$Z$144</f>
        <v>0</v>
      </c>
      <c r="O144" s="62">
        <f>$L$144-EFEITO!$O$144*EFEITO!$AA$144</f>
        <v>0</v>
      </c>
      <c r="P144" s="45"/>
      <c r="Q144" s="45"/>
      <c r="R144" s="45"/>
      <c r="S144" s="45"/>
      <c r="T144" s="45"/>
      <c r="U144" s="45"/>
      <c r="V144" s="45"/>
      <c r="W144" s="45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41" t="s">
        <v>55</v>
      </c>
      <c r="B145" s="41" t="s">
        <v>38</v>
      </c>
      <c r="C145" s="41" t="s">
        <v>39</v>
      </c>
      <c r="D145" s="41" t="s">
        <v>43</v>
      </c>
      <c r="E145" s="41" t="s">
        <v>25</v>
      </c>
      <c r="F145" s="41" t="s">
        <v>25</v>
      </c>
      <c r="G145" s="41" t="s">
        <v>25</v>
      </c>
      <c r="H145" s="41" t="s">
        <v>33</v>
      </c>
      <c r="I145" s="61">
        <v>44743</v>
      </c>
      <c r="J145" s="62">
        <f>EFEITO!$J$145*EFEITO!$Y$145</f>
        <v>0</v>
      </c>
      <c r="K145" s="62">
        <f ca="1">EFEITO!$L$145*EFEITO!$Z$145</f>
        <v>724.56888761179744</v>
      </c>
      <c r="L145" s="62">
        <f>EFEITO!$N$145*EFEITO!$AA$145</f>
        <v>219.03306350171559</v>
      </c>
      <c r="M145" s="62">
        <f>$J$145-EFEITO!$K$145*EFEITO!$Y$145</f>
        <v>0</v>
      </c>
      <c r="N145" s="62">
        <f ca="1">$K$145-EFEITO!$M$145*EFEITO!$Z$145</f>
        <v>0</v>
      </c>
      <c r="O145" s="62">
        <f>$L$145-EFEITO!$O$145*EFEITO!$AA$145</f>
        <v>0</v>
      </c>
      <c r="P145" s="45"/>
      <c r="Q145" s="45"/>
      <c r="R145" s="45"/>
      <c r="S145" s="45"/>
      <c r="T145" s="45"/>
      <c r="U145" s="45"/>
      <c r="V145" s="45"/>
      <c r="W145" s="45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41" t="s">
        <v>21</v>
      </c>
      <c r="B146" s="41" t="s">
        <v>38</v>
      </c>
      <c r="C146" s="41" t="s">
        <v>39</v>
      </c>
      <c r="D146" s="41" t="s">
        <v>47</v>
      </c>
      <c r="E146" s="41" t="s">
        <v>48</v>
      </c>
      <c r="F146" s="41" t="s">
        <v>25</v>
      </c>
      <c r="G146" s="41" t="s">
        <v>25</v>
      </c>
      <c r="H146" s="41" t="s">
        <v>34</v>
      </c>
      <c r="I146" s="61">
        <v>44409</v>
      </c>
      <c r="J146" s="62">
        <f>EFEITO!$J$146*EFEITO!$Y$121</f>
        <v>0</v>
      </c>
      <c r="K146" s="62">
        <f ca="1">EFEITO!$L$146*EFEITO!$Z$121</f>
        <v>7652.1040558187924</v>
      </c>
      <c r="L146" s="62">
        <f>EFEITO!$N$146*EFEITO!$AA$121</f>
        <v>18165.497128766394</v>
      </c>
      <c r="M146" s="62">
        <f>$J$146-EFEITO!$K$146*EFEITO!$Y$146</f>
        <v>0</v>
      </c>
      <c r="N146" s="62">
        <f ca="1">$K$146-EFEITO!$M$146*EFEITO!$Z$146</f>
        <v>229.56312167456417</v>
      </c>
      <c r="O146" s="62">
        <f>$L$146-EFEITO!$O$146*EFEITO!$AA$146</f>
        <v>544.96491386299385</v>
      </c>
      <c r="P146" s="45"/>
      <c r="Q146" s="45"/>
      <c r="R146" s="45"/>
      <c r="S146" s="45"/>
      <c r="T146" s="45"/>
      <c r="U146" s="45"/>
      <c r="V146" s="45"/>
      <c r="W146" s="45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41" t="s">
        <v>21</v>
      </c>
      <c r="B147" s="41" t="s">
        <v>38</v>
      </c>
      <c r="C147" s="41" t="s">
        <v>39</v>
      </c>
      <c r="D147" s="41" t="s">
        <v>47</v>
      </c>
      <c r="E147" s="41" t="s">
        <v>48</v>
      </c>
      <c r="F147" s="41" t="s">
        <v>25</v>
      </c>
      <c r="G147" s="41" t="s">
        <v>25</v>
      </c>
      <c r="H147" s="41" t="s">
        <v>34</v>
      </c>
      <c r="I147" s="61">
        <v>44440</v>
      </c>
      <c r="J147" s="62">
        <f>EFEITO!$J$147*EFEITO!$Y$121</f>
        <v>0</v>
      </c>
      <c r="K147" s="62">
        <f ca="1">EFEITO!$L$147*EFEITO!$Z$121</f>
        <v>8772.742698955115</v>
      </c>
      <c r="L147" s="62">
        <f>EFEITO!$N$147*EFEITO!$AA$121</f>
        <v>20825.805706091312</v>
      </c>
      <c r="M147" s="62">
        <f>$J$147-EFEITO!$K$147*EFEITO!$Y$147</f>
        <v>0</v>
      </c>
      <c r="N147" s="62">
        <f ca="1">$K$147-EFEITO!$M$147*EFEITO!$Z$147</f>
        <v>263.1822809686546</v>
      </c>
      <c r="O147" s="62">
        <f>$L$147-EFEITO!$O$147*EFEITO!$AA$147</f>
        <v>624.77417118274025</v>
      </c>
      <c r="P147" s="45"/>
      <c r="Q147" s="45"/>
      <c r="R147" s="45"/>
      <c r="S147" s="45"/>
      <c r="T147" s="45"/>
      <c r="U147" s="45"/>
      <c r="V147" s="45"/>
      <c r="W147" s="45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41" t="s">
        <v>21</v>
      </c>
      <c r="B148" s="41" t="s">
        <v>38</v>
      </c>
      <c r="C148" s="41" t="s">
        <v>39</v>
      </c>
      <c r="D148" s="41" t="s">
        <v>47</v>
      </c>
      <c r="E148" s="41" t="s">
        <v>48</v>
      </c>
      <c r="F148" s="41" t="s">
        <v>25</v>
      </c>
      <c r="G148" s="41" t="s">
        <v>25</v>
      </c>
      <c r="H148" s="41" t="s">
        <v>34</v>
      </c>
      <c r="I148" s="61">
        <v>44470</v>
      </c>
      <c r="J148" s="62">
        <f>EFEITO!$J$148*EFEITO!$Y$121</f>
        <v>0</v>
      </c>
      <c r="K148" s="62">
        <f ca="1">EFEITO!$L$148*EFEITO!$Z$121</f>
        <v>7607.301827238326</v>
      </c>
      <c r="L148" s="62">
        <f>EFEITO!$N$148*EFEITO!$AA$121</f>
        <v>18059.140138753701</v>
      </c>
      <c r="M148" s="62">
        <f>$J$148-EFEITO!$K$148*EFEITO!$Y$148</f>
        <v>0</v>
      </c>
      <c r="N148" s="62">
        <f ca="1">$K$148-EFEITO!$M$148*EFEITO!$Z$148</f>
        <v>228.21905481715021</v>
      </c>
      <c r="O148" s="62">
        <f>$L$148-EFEITO!$O$148*EFEITO!$AA$148</f>
        <v>541.77420416261157</v>
      </c>
      <c r="P148" s="45"/>
      <c r="Q148" s="45"/>
      <c r="R148" s="45"/>
      <c r="S148" s="45"/>
      <c r="T148" s="45"/>
      <c r="U148" s="45"/>
      <c r="V148" s="45"/>
      <c r="W148" s="45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41" t="s">
        <v>21</v>
      </c>
      <c r="B149" s="41" t="s">
        <v>38</v>
      </c>
      <c r="C149" s="41" t="s">
        <v>39</v>
      </c>
      <c r="D149" s="41" t="s">
        <v>47</v>
      </c>
      <c r="E149" s="41" t="s">
        <v>48</v>
      </c>
      <c r="F149" s="41" t="s">
        <v>25</v>
      </c>
      <c r="G149" s="41" t="s">
        <v>25</v>
      </c>
      <c r="H149" s="41" t="s">
        <v>34</v>
      </c>
      <c r="I149" s="61">
        <v>44501</v>
      </c>
      <c r="J149" s="62">
        <f>EFEITO!$J$149*EFEITO!$Y$121</f>
        <v>0</v>
      </c>
      <c r="K149" s="62">
        <f ca="1">EFEITO!$L$149*EFEITO!$Z$121</f>
        <v>8719.5296430760845</v>
      </c>
      <c r="L149" s="62">
        <f>EFEITO!$N$149*EFEITO!$AA$121</f>
        <v>20699.482069254675</v>
      </c>
      <c r="M149" s="62">
        <f>$J$149-EFEITO!$K$149*EFEITO!$Y$149</f>
        <v>0</v>
      </c>
      <c r="N149" s="62">
        <f ca="1">$K$149-EFEITO!$M$149*EFEITO!$Z$149</f>
        <v>261.58588929228426</v>
      </c>
      <c r="O149" s="62">
        <f>$L$149-EFEITO!$O$149*EFEITO!$AA$149</f>
        <v>620.98446207764209</v>
      </c>
      <c r="P149" s="45"/>
      <c r="Q149" s="45"/>
      <c r="R149" s="45"/>
      <c r="S149" s="45"/>
      <c r="T149" s="45"/>
      <c r="U149" s="45"/>
      <c r="V149" s="45"/>
      <c r="W149" s="45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41" t="s">
        <v>21</v>
      </c>
      <c r="B150" s="41" t="s">
        <v>38</v>
      </c>
      <c r="C150" s="41" t="s">
        <v>39</v>
      </c>
      <c r="D150" s="41" t="s">
        <v>47</v>
      </c>
      <c r="E150" s="41" t="s">
        <v>48</v>
      </c>
      <c r="F150" s="41" t="s">
        <v>25</v>
      </c>
      <c r="G150" s="41" t="s">
        <v>25</v>
      </c>
      <c r="H150" s="41" t="s">
        <v>34</v>
      </c>
      <c r="I150" s="61">
        <v>44531</v>
      </c>
      <c r="J150" s="62">
        <f>EFEITO!$J$150*EFEITO!$Y$121</f>
        <v>0</v>
      </c>
      <c r="K150" s="62">
        <f ca="1">EFEITO!$L$150*EFEITO!$Z$121</f>
        <v>10042.860896556005</v>
      </c>
      <c r="L150" s="62">
        <f>EFEITO!$N$150*EFEITO!$AA$121</f>
        <v>23840.967066079396</v>
      </c>
      <c r="M150" s="62">
        <f>$J$150-EFEITO!$K$150*EFEITO!$Y$150</f>
        <v>0</v>
      </c>
      <c r="N150" s="62">
        <f ca="1">$K$150-EFEITO!$M$150*EFEITO!$Z$150</f>
        <v>301.2858268966811</v>
      </c>
      <c r="O150" s="62">
        <f>$L$150-EFEITO!$O$150*EFEITO!$AA$150</f>
        <v>715.22901198238469</v>
      </c>
      <c r="P150" s="45"/>
      <c r="Q150" s="45"/>
      <c r="R150" s="45"/>
      <c r="S150" s="45"/>
      <c r="T150" s="45"/>
      <c r="U150" s="45"/>
      <c r="V150" s="45"/>
      <c r="W150" s="45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41" t="s">
        <v>21</v>
      </c>
      <c r="B151" s="41" t="s">
        <v>38</v>
      </c>
      <c r="C151" s="41" t="s">
        <v>39</v>
      </c>
      <c r="D151" s="41" t="s">
        <v>47</v>
      </c>
      <c r="E151" s="41" t="s">
        <v>48</v>
      </c>
      <c r="F151" s="41" t="s">
        <v>25</v>
      </c>
      <c r="G151" s="41" t="s">
        <v>25</v>
      </c>
      <c r="H151" s="41" t="s">
        <v>34</v>
      </c>
      <c r="I151" s="61">
        <v>44562</v>
      </c>
      <c r="J151" s="62">
        <f>EFEITO!$J$151*EFEITO!$Y$121</f>
        <v>0</v>
      </c>
      <c r="K151" s="62">
        <f ca="1">EFEITO!$L$151*EFEITO!$Z$121</f>
        <v>9319.5297488795477</v>
      </c>
      <c r="L151" s="62">
        <f>EFEITO!$N$151*EFEITO!$AA$121</f>
        <v>22123.835439220198</v>
      </c>
      <c r="M151" s="62">
        <f>$J$151-EFEITO!$K$151*EFEITO!$Y$151</f>
        <v>0</v>
      </c>
      <c r="N151" s="62">
        <f ca="1">$K$151-EFEITO!$M$151*EFEITO!$Z$151</f>
        <v>279.58589246638621</v>
      </c>
      <c r="O151" s="62">
        <f>$L$151-EFEITO!$O$151*EFEITO!$AA$151</f>
        <v>663.71506317660896</v>
      </c>
      <c r="P151" s="45"/>
      <c r="Q151" s="45"/>
      <c r="R151" s="45"/>
      <c r="S151" s="45"/>
      <c r="T151" s="45"/>
      <c r="U151" s="45"/>
      <c r="V151" s="45"/>
      <c r="W151" s="45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41" t="s">
        <v>21</v>
      </c>
      <c r="B152" s="41" t="s">
        <v>38</v>
      </c>
      <c r="C152" s="41" t="s">
        <v>39</v>
      </c>
      <c r="D152" s="41" t="s">
        <v>47</v>
      </c>
      <c r="E152" s="41" t="s">
        <v>48</v>
      </c>
      <c r="F152" s="41" t="s">
        <v>25</v>
      </c>
      <c r="G152" s="41" t="s">
        <v>25</v>
      </c>
      <c r="H152" s="41" t="s">
        <v>34</v>
      </c>
      <c r="I152" s="61">
        <v>44593</v>
      </c>
      <c r="J152" s="62">
        <f>EFEITO!$J$152*EFEITO!$Y$121</f>
        <v>0</v>
      </c>
      <c r="K152" s="62">
        <f ca="1">EFEITO!$L$152*EFEITO!$Z$121</f>
        <v>8457.4615885356961</v>
      </c>
      <c r="L152" s="62">
        <f>EFEITO!$N$152*EFEITO!$AA$121</f>
        <v>20077.352984552177</v>
      </c>
      <c r="M152" s="62">
        <f>$J$152-EFEITO!$K$152*EFEITO!$Y$152</f>
        <v>0</v>
      </c>
      <c r="N152" s="62">
        <f ca="1">$K$152-EFEITO!$M$152*EFEITO!$Z$152</f>
        <v>253.72384765607057</v>
      </c>
      <c r="O152" s="62">
        <f>$L$152-EFEITO!$O$152*EFEITO!$AA$152</f>
        <v>602.32058953656815</v>
      </c>
      <c r="P152" s="45"/>
      <c r="Q152" s="45"/>
      <c r="R152" s="45"/>
      <c r="S152" s="45"/>
      <c r="T152" s="45"/>
      <c r="U152" s="45"/>
      <c r="V152" s="45"/>
      <c r="W152" s="45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41" t="s">
        <v>21</v>
      </c>
      <c r="B153" s="41" t="s">
        <v>38</v>
      </c>
      <c r="C153" s="41" t="s">
        <v>39</v>
      </c>
      <c r="D153" s="41" t="s">
        <v>47</v>
      </c>
      <c r="E153" s="41" t="s">
        <v>48</v>
      </c>
      <c r="F153" s="41" t="s">
        <v>25</v>
      </c>
      <c r="G153" s="41" t="s">
        <v>25</v>
      </c>
      <c r="H153" s="41" t="s">
        <v>34</v>
      </c>
      <c r="I153" s="61">
        <v>44621</v>
      </c>
      <c r="J153" s="62">
        <f>EFEITO!$J$153*EFEITO!$Y$121</f>
        <v>0</v>
      </c>
      <c r="K153" s="62">
        <f ca="1">EFEITO!$L$153*EFEITO!$Z$121</f>
        <v>9730.7442558132734</v>
      </c>
      <c r="L153" s="62">
        <f>EFEITO!$N$153*EFEITO!$AA$121</f>
        <v>23100.026548295802</v>
      </c>
      <c r="M153" s="62">
        <f>$J$153-EFEITO!$K$153*EFEITO!$Y$153</f>
        <v>0</v>
      </c>
      <c r="N153" s="62">
        <f ca="1">$K$153-EFEITO!$M$153*EFEITO!$Z$153</f>
        <v>291.92232767439782</v>
      </c>
      <c r="O153" s="62">
        <f>$L$153-EFEITO!$O$153*EFEITO!$AA$153</f>
        <v>693.00079644887592</v>
      </c>
      <c r="P153" s="45"/>
      <c r="Q153" s="45"/>
      <c r="R153" s="45"/>
      <c r="S153" s="45"/>
      <c r="T153" s="45"/>
      <c r="U153" s="45"/>
      <c r="V153" s="45"/>
      <c r="W153" s="45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41" t="s">
        <v>21</v>
      </c>
      <c r="B154" s="41" t="s">
        <v>38</v>
      </c>
      <c r="C154" s="41" t="s">
        <v>39</v>
      </c>
      <c r="D154" s="41" t="s">
        <v>47</v>
      </c>
      <c r="E154" s="41" t="s">
        <v>48</v>
      </c>
      <c r="F154" s="41" t="s">
        <v>25</v>
      </c>
      <c r="G154" s="41" t="s">
        <v>25</v>
      </c>
      <c r="H154" s="41" t="s">
        <v>34</v>
      </c>
      <c r="I154" s="61">
        <v>44652</v>
      </c>
      <c r="J154" s="62">
        <f>EFEITO!$J$154*EFEITO!$Y$121</f>
        <v>0</v>
      </c>
      <c r="K154" s="62">
        <f ca="1">EFEITO!$L$154*EFEITO!$Z$121</f>
        <v>8813.7975292342417</v>
      </c>
      <c r="L154" s="62">
        <f>EFEITO!$N$154*EFEITO!$AA$121</f>
        <v>20923.26666534086</v>
      </c>
      <c r="M154" s="62">
        <f>$J$154-EFEITO!$K$154*EFEITO!$Y$154</f>
        <v>0</v>
      </c>
      <c r="N154" s="62">
        <f ca="1">$K$154-EFEITO!$M$154*EFEITO!$Z$154</f>
        <v>264.4139258770283</v>
      </c>
      <c r="O154" s="62">
        <f>$L$154-EFEITO!$O$154*EFEITO!$AA$154</f>
        <v>627.6979999602263</v>
      </c>
      <c r="P154" s="45"/>
      <c r="Q154" s="45"/>
      <c r="R154" s="45"/>
      <c r="S154" s="45"/>
      <c r="T154" s="45"/>
      <c r="U154" s="45"/>
      <c r="V154" s="45"/>
      <c r="W154" s="45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41" t="s">
        <v>21</v>
      </c>
      <c r="B155" s="41" t="s">
        <v>38</v>
      </c>
      <c r="C155" s="41" t="s">
        <v>39</v>
      </c>
      <c r="D155" s="41" t="s">
        <v>47</v>
      </c>
      <c r="E155" s="41" t="s">
        <v>48</v>
      </c>
      <c r="F155" s="41" t="s">
        <v>25</v>
      </c>
      <c r="G155" s="41" t="s">
        <v>25</v>
      </c>
      <c r="H155" s="41" t="s">
        <v>34</v>
      </c>
      <c r="I155" s="61">
        <v>44682</v>
      </c>
      <c r="J155" s="62">
        <f>EFEITO!$J$155*EFEITO!$Y$121</f>
        <v>0</v>
      </c>
      <c r="K155" s="62">
        <f ca="1">EFEITO!$L$155*EFEITO!$Z$121</f>
        <v>9239.5019762664833</v>
      </c>
      <c r="L155" s="62">
        <f>EFEITO!$N$155*EFEITO!$AA$121</f>
        <v>21933.855760033955</v>
      </c>
      <c r="M155" s="62">
        <f>$J$155-EFEITO!$K$155*EFEITO!$Y$155</f>
        <v>0</v>
      </c>
      <c r="N155" s="62">
        <f ca="1">$K$155-EFEITO!$M$155*EFEITO!$Z$155</f>
        <v>277.18505928799641</v>
      </c>
      <c r="O155" s="62">
        <f>$L$155-EFEITO!$O$155*EFEITO!$AA$155</f>
        <v>658.01567280102245</v>
      </c>
      <c r="P155" s="45"/>
      <c r="Q155" s="45"/>
      <c r="R155" s="45"/>
      <c r="S155" s="45"/>
      <c r="T155" s="45"/>
      <c r="U155" s="45"/>
      <c r="V155" s="45"/>
      <c r="W155" s="45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41" t="s">
        <v>21</v>
      </c>
      <c r="B156" s="41" t="s">
        <v>38</v>
      </c>
      <c r="C156" s="41" t="s">
        <v>39</v>
      </c>
      <c r="D156" s="41" t="s">
        <v>47</v>
      </c>
      <c r="E156" s="41" t="s">
        <v>48</v>
      </c>
      <c r="F156" s="41" t="s">
        <v>25</v>
      </c>
      <c r="G156" s="41" t="s">
        <v>25</v>
      </c>
      <c r="H156" s="41" t="s">
        <v>34</v>
      </c>
      <c r="I156" s="61">
        <v>44713</v>
      </c>
      <c r="J156" s="62">
        <f>EFEITO!$J$156*EFEITO!$Y$121</f>
        <v>0</v>
      </c>
      <c r="K156" s="62">
        <f ca="1">EFEITO!$L$156*EFEITO!$Z$121</f>
        <v>8870.5081568611895</v>
      </c>
      <c r="L156" s="62">
        <f>EFEITO!$N$156*EFEITO!$AA$121</f>
        <v>21057.893264223098</v>
      </c>
      <c r="M156" s="62">
        <f>$J$156-EFEITO!$K$156*EFEITO!$Y$156</f>
        <v>0</v>
      </c>
      <c r="N156" s="62">
        <f ca="1">$K$156-EFEITO!$M$156*EFEITO!$Z$156</f>
        <v>266.11524470583754</v>
      </c>
      <c r="O156" s="62">
        <f>$L$156-EFEITO!$O$156*EFEITO!$AA$156</f>
        <v>631.73679792669282</v>
      </c>
      <c r="P156" s="45"/>
      <c r="Q156" s="45"/>
      <c r="R156" s="45"/>
      <c r="S156" s="45"/>
      <c r="T156" s="45"/>
      <c r="U156" s="45"/>
      <c r="V156" s="45"/>
      <c r="W156" s="45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41" t="s">
        <v>55</v>
      </c>
      <c r="B157" s="41" t="s">
        <v>38</v>
      </c>
      <c r="C157" s="41" t="s">
        <v>39</v>
      </c>
      <c r="D157" s="41" t="s">
        <v>47</v>
      </c>
      <c r="E157" s="41" t="s">
        <v>48</v>
      </c>
      <c r="F157" s="41" t="s">
        <v>25</v>
      </c>
      <c r="G157" s="41" t="s">
        <v>25</v>
      </c>
      <c r="H157" s="41" t="s">
        <v>34</v>
      </c>
      <c r="I157" s="61">
        <v>44743</v>
      </c>
      <c r="J157" s="62">
        <f>EFEITO!$J$157*EFEITO!$Y$121</f>
        <v>0</v>
      </c>
      <c r="K157" s="62">
        <f ca="1">EFEITO!$L$157*EFEITO!$Z$121</f>
        <v>8870.5081568611895</v>
      </c>
      <c r="L157" s="62">
        <f>EFEITO!$N$157*EFEITO!$AA$121</f>
        <v>21057.893264223098</v>
      </c>
      <c r="M157" s="62">
        <f>$J$157-EFEITO!$K$157*EFEITO!$Y$157</f>
        <v>0</v>
      </c>
      <c r="N157" s="62">
        <f ca="1">$K$157-EFEITO!$M$157*EFEITO!$Z$157</f>
        <v>266.11524470583754</v>
      </c>
      <c r="O157" s="62">
        <f>$L$157-EFEITO!$O$157*EFEITO!$AA$157</f>
        <v>631.73679792669282</v>
      </c>
      <c r="P157" s="45"/>
      <c r="Q157" s="45"/>
      <c r="R157" s="45"/>
      <c r="S157" s="45"/>
      <c r="T157" s="45"/>
      <c r="U157" s="45"/>
      <c r="V157" s="45"/>
      <c r="W157" s="45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41" t="s">
        <v>21</v>
      </c>
      <c r="B158" s="41" t="s">
        <v>38</v>
      </c>
      <c r="C158" s="41" t="s">
        <v>39</v>
      </c>
      <c r="D158" s="41" t="s">
        <v>47</v>
      </c>
      <c r="E158" s="41" t="s">
        <v>48</v>
      </c>
      <c r="F158" s="41" t="s">
        <v>25</v>
      </c>
      <c r="G158" s="41" t="s">
        <v>25</v>
      </c>
      <c r="H158" s="41" t="s">
        <v>25</v>
      </c>
      <c r="I158" s="61">
        <v>44409</v>
      </c>
      <c r="J158" s="62">
        <f ca="1">EFEITO!$J$158*EFEITO!$Y$133</f>
        <v>3333.153414437314</v>
      </c>
      <c r="K158" s="62">
        <f>EFEITO!$L$158*EFEITO!$Z$133</f>
        <v>0</v>
      </c>
      <c r="L158" s="62">
        <f>EFEITO!$N$158*EFEITO!$AA$133</f>
        <v>0</v>
      </c>
      <c r="M158" s="62">
        <f ca="1">$J$158-EFEITO!$K$158*EFEITO!$Y$158</f>
        <v>99.99460243311978</v>
      </c>
      <c r="N158" s="62">
        <f>$K$158-EFEITO!$M$158*EFEITO!$Z$158</f>
        <v>0</v>
      </c>
      <c r="O158" s="62">
        <f>$L$158-EFEITO!$O$158*EFEITO!$AA$158</f>
        <v>0</v>
      </c>
      <c r="P158" s="45"/>
      <c r="Q158" s="45"/>
      <c r="R158" s="45"/>
      <c r="S158" s="45"/>
      <c r="T158" s="45"/>
      <c r="U158" s="45"/>
      <c r="V158" s="45"/>
      <c r="W158" s="45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41" t="s">
        <v>21</v>
      </c>
      <c r="B159" s="41" t="s">
        <v>38</v>
      </c>
      <c r="C159" s="41" t="s">
        <v>39</v>
      </c>
      <c r="D159" s="41" t="s">
        <v>47</v>
      </c>
      <c r="E159" s="41" t="s">
        <v>48</v>
      </c>
      <c r="F159" s="41" t="s">
        <v>25</v>
      </c>
      <c r="G159" s="41" t="s">
        <v>25</v>
      </c>
      <c r="H159" s="41" t="s">
        <v>25</v>
      </c>
      <c r="I159" s="61">
        <v>44440</v>
      </c>
      <c r="J159" s="62">
        <f ca="1">EFEITO!$J$159*EFEITO!$Y$133</f>
        <v>3333.153414437314</v>
      </c>
      <c r="K159" s="62">
        <f>EFEITO!$L$159*EFEITO!$Z$133</f>
        <v>0</v>
      </c>
      <c r="L159" s="62">
        <f>EFEITO!$N$159*EFEITO!$AA$133</f>
        <v>0</v>
      </c>
      <c r="M159" s="62">
        <f ca="1">$J$159-EFEITO!$K$159*EFEITO!$Y$159</f>
        <v>99.99460243311978</v>
      </c>
      <c r="N159" s="62">
        <f>$K$159-EFEITO!$M$159*EFEITO!$Z$159</f>
        <v>0</v>
      </c>
      <c r="O159" s="62">
        <f>$L$159-EFEITO!$O$159*EFEITO!$AA$159</f>
        <v>0</v>
      </c>
      <c r="P159" s="45"/>
      <c r="Q159" s="45"/>
      <c r="R159" s="45"/>
      <c r="S159" s="45"/>
      <c r="T159" s="45"/>
      <c r="U159" s="45"/>
      <c r="V159" s="45"/>
      <c r="W159" s="45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41" t="s">
        <v>21</v>
      </c>
      <c r="B160" s="41" t="s">
        <v>38</v>
      </c>
      <c r="C160" s="41" t="s">
        <v>39</v>
      </c>
      <c r="D160" s="41" t="s">
        <v>47</v>
      </c>
      <c r="E160" s="41" t="s">
        <v>48</v>
      </c>
      <c r="F160" s="41" t="s">
        <v>25</v>
      </c>
      <c r="G160" s="41" t="s">
        <v>25</v>
      </c>
      <c r="H160" s="41" t="s">
        <v>25</v>
      </c>
      <c r="I160" s="61">
        <v>44470</v>
      </c>
      <c r="J160" s="62">
        <f ca="1">EFEITO!$J$160*EFEITO!$Y$133</f>
        <v>3346.8138792505815</v>
      </c>
      <c r="K160" s="62">
        <f>EFEITO!$L$160*EFEITO!$Z$133</f>
        <v>0</v>
      </c>
      <c r="L160" s="62">
        <f>EFEITO!$N$160*EFEITO!$AA$133</f>
        <v>0</v>
      </c>
      <c r="M160" s="62">
        <f ca="1">$J$160-EFEITO!$K$160*EFEITO!$Y$160</f>
        <v>100.40441637751746</v>
      </c>
      <c r="N160" s="62">
        <f>$K$160-EFEITO!$M$160*EFEITO!$Z$160</f>
        <v>0</v>
      </c>
      <c r="O160" s="62">
        <f>$L$160-EFEITO!$O$160*EFEITO!$AA$160</f>
        <v>0</v>
      </c>
      <c r="P160" s="45"/>
      <c r="Q160" s="45"/>
      <c r="R160" s="45"/>
      <c r="S160" s="45"/>
      <c r="T160" s="45"/>
      <c r="U160" s="45"/>
      <c r="V160" s="45"/>
      <c r="W160" s="45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41" t="s">
        <v>21</v>
      </c>
      <c r="B161" s="41" t="s">
        <v>38</v>
      </c>
      <c r="C161" s="41" t="s">
        <v>39</v>
      </c>
      <c r="D161" s="41" t="s">
        <v>47</v>
      </c>
      <c r="E161" s="41" t="s">
        <v>48</v>
      </c>
      <c r="F161" s="41" t="s">
        <v>25</v>
      </c>
      <c r="G161" s="41" t="s">
        <v>25</v>
      </c>
      <c r="H161" s="41" t="s">
        <v>25</v>
      </c>
      <c r="I161" s="61">
        <v>44501</v>
      </c>
      <c r="J161" s="62">
        <f ca="1">EFEITO!$J$161*EFEITO!$Y$133</f>
        <v>3346.8138792505815</v>
      </c>
      <c r="K161" s="62">
        <f>EFEITO!$L$161*EFEITO!$Z$133</f>
        <v>0</v>
      </c>
      <c r="L161" s="62">
        <f>EFEITO!$N$161*EFEITO!$AA$133</f>
        <v>0</v>
      </c>
      <c r="M161" s="62">
        <f ca="1">$J$161-EFEITO!$K$161*EFEITO!$Y$161</f>
        <v>100.40441637751746</v>
      </c>
      <c r="N161" s="62">
        <f>$K$161-EFEITO!$M$161*EFEITO!$Z$161</f>
        <v>0</v>
      </c>
      <c r="O161" s="62">
        <f>$L$161-EFEITO!$O$161*EFEITO!$AA$161</f>
        <v>0</v>
      </c>
      <c r="P161" s="45"/>
      <c r="Q161" s="45"/>
      <c r="R161" s="45"/>
      <c r="S161" s="45"/>
      <c r="T161" s="45"/>
      <c r="U161" s="45"/>
      <c r="V161" s="45"/>
      <c r="W161" s="45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41" t="s">
        <v>21</v>
      </c>
      <c r="B162" s="41" t="s">
        <v>38</v>
      </c>
      <c r="C162" s="41" t="s">
        <v>39</v>
      </c>
      <c r="D162" s="41" t="s">
        <v>47</v>
      </c>
      <c r="E162" s="41" t="s">
        <v>48</v>
      </c>
      <c r="F162" s="41" t="s">
        <v>25</v>
      </c>
      <c r="G162" s="41" t="s">
        <v>25</v>
      </c>
      <c r="H162" s="41" t="s">
        <v>25</v>
      </c>
      <c r="I162" s="61">
        <v>44531</v>
      </c>
      <c r="J162" s="62">
        <f ca="1">EFEITO!$J$162*EFEITO!$Y$133</f>
        <v>3469.7580625699907</v>
      </c>
      <c r="K162" s="62">
        <f>EFEITO!$L$162*EFEITO!$Z$133</f>
        <v>0</v>
      </c>
      <c r="L162" s="62">
        <f>EFEITO!$N$162*EFEITO!$AA$133</f>
        <v>0</v>
      </c>
      <c r="M162" s="62">
        <f ca="1">$J$162-EFEITO!$K$162*EFEITO!$Y$162</f>
        <v>104.0927418770998</v>
      </c>
      <c r="N162" s="62">
        <f>$K$162-EFEITO!$M$162*EFEITO!$Z$162</f>
        <v>0</v>
      </c>
      <c r="O162" s="62">
        <f>$L$162-EFEITO!$O$162*EFEITO!$AA$162</f>
        <v>0</v>
      </c>
      <c r="P162" s="45"/>
      <c r="Q162" s="45"/>
      <c r="R162" s="45"/>
      <c r="S162" s="45"/>
      <c r="T162" s="45"/>
      <c r="U162" s="45"/>
      <c r="V162" s="45"/>
      <c r="W162" s="45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41" t="s">
        <v>21</v>
      </c>
      <c r="B163" s="41" t="s">
        <v>38</v>
      </c>
      <c r="C163" s="41" t="s">
        <v>39</v>
      </c>
      <c r="D163" s="41" t="s">
        <v>47</v>
      </c>
      <c r="E163" s="41" t="s">
        <v>48</v>
      </c>
      <c r="F163" s="41" t="s">
        <v>25</v>
      </c>
      <c r="G163" s="41" t="s">
        <v>25</v>
      </c>
      <c r="H163" s="41" t="s">
        <v>25</v>
      </c>
      <c r="I163" s="61">
        <v>44562</v>
      </c>
      <c r="J163" s="62">
        <f ca="1">EFEITO!$J$163*EFEITO!$Y$133</f>
        <v>3620.0231755159352</v>
      </c>
      <c r="K163" s="62">
        <f>EFEITO!$L$163*EFEITO!$Z$133</f>
        <v>0</v>
      </c>
      <c r="L163" s="62">
        <f>EFEITO!$N$163*EFEITO!$AA$133</f>
        <v>0</v>
      </c>
      <c r="M163" s="62">
        <f ca="1">$J$163-EFEITO!$K$163*EFEITO!$Y$163</f>
        <v>108.60069526547841</v>
      </c>
      <c r="N163" s="62">
        <f>$K$163-EFEITO!$M$163*EFEITO!$Z$163</f>
        <v>0</v>
      </c>
      <c r="O163" s="62">
        <f>$L$163-EFEITO!$O$163*EFEITO!$AA$163</f>
        <v>0</v>
      </c>
      <c r="P163" s="45"/>
      <c r="Q163" s="45"/>
      <c r="R163" s="45"/>
      <c r="S163" s="45"/>
      <c r="T163" s="45"/>
      <c r="U163" s="45"/>
      <c r="V163" s="45"/>
      <c r="W163" s="45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41" t="s">
        <v>21</v>
      </c>
      <c r="B164" s="41" t="s">
        <v>38</v>
      </c>
      <c r="C164" s="41" t="s">
        <v>39</v>
      </c>
      <c r="D164" s="41" t="s">
        <v>47</v>
      </c>
      <c r="E164" s="41" t="s">
        <v>48</v>
      </c>
      <c r="F164" s="41" t="s">
        <v>25</v>
      </c>
      <c r="G164" s="41" t="s">
        <v>25</v>
      </c>
      <c r="H164" s="41" t="s">
        <v>25</v>
      </c>
      <c r="I164" s="61">
        <v>44593</v>
      </c>
      <c r="J164" s="62">
        <f ca="1">EFEITO!$J$164*EFEITO!$Y$133</f>
        <v>3497.0789921965261</v>
      </c>
      <c r="K164" s="62">
        <f>EFEITO!$L$164*EFEITO!$Z$133</f>
        <v>0</v>
      </c>
      <c r="L164" s="62">
        <f>EFEITO!$N$164*EFEITO!$AA$133</f>
        <v>0</v>
      </c>
      <c r="M164" s="62">
        <f ca="1">$J$164-EFEITO!$K$164*EFEITO!$Y$164</f>
        <v>104.91236976589607</v>
      </c>
      <c r="N164" s="62">
        <f>$K$164-EFEITO!$M$164*EFEITO!$Z$164</f>
        <v>0</v>
      </c>
      <c r="O164" s="62">
        <f>$L$164-EFEITO!$O$164*EFEITO!$AA$164</f>
        <v>0</v>
      </c>
      <c r="P164" s="45"/>
      <c r="Q164" s="45"/>
      <c r="R164" s="45"/>
      <c r="S164" s="45"/>
      <c r="T164" s="45"/>
      <c r="U164" s="45"/>
      <c r="V164" s="45"/>
      <c r="W164" s="45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41" t="s">
        <v>21</v>
      </c>
      <c r="B165" s="41" t="s">
        <v>38</v>
      </c>
      <c r="C165" s="41" t="s">
        <v>39</v>
      </c>
      <c r="D165" s="41" t="s">
        <v>47</v>
      </c>
      <c r="E165" s="41" t="s">
        <v>48</v>
      </c>
      <c r="F165" s="41" t="s">
        <v>25</v>
      </c>
      <c r="G165" s="41" t="s">
        <v>25</v>
      </c>
      <c r="H165" s="41" t="s">
        <v>25</v>
      </c>
      <c r="I165" s="61">
        <v>44621</v>
      </c>
      <c r="J165" s="62">
        <f ca="1">EFEITO!$J$165*EFEITO!$Y$133</f>
        <v>3360.4743440638495</v>
      </c>
      <c r="K165" s="62">
        <f>EFEITO!$L$165*EFEITO!$Z$133</f>
        <v>0</v>
      </c>
      <c r="L165" s="62">
        <f>EFEITO!$N$165*EFEITO!$AA$133</f>
        <v>0</v>
      </c>
      <c r="M165" s="62">
        <f ca="1">$J$165-EFEITO!$K$165*EFEITO!$Y$165</f>
        <v>100.81423032191606</v>
      </c>
      <c r="N165" s="62">
        <f>$K$165-EFEITO!$M$165*EFEITO!$Z$165</f>
        <v>0</v>
      </c>
      <c r="O165" s="62">
        <f>$L$165-EFEITO!$O$165*EFEITO!$AA$165</f>
        <v>0</v>
      </c>
      <c r="P165" s="45"/>
      <c r="Q165" s="45"/>
      <c r="R165" s="45"/>
      <c r="S165" s="45"/>
      <c r="T165" s="45"/>
      <c r="U165" s="45"/>
      <c r="V165" s="45"/>
      <c r="W165" s="45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41" t="s">
        <v>21</v>
      </c>
      <c r="B166" s="41" t="s">
        <v>38</v>
      </c>
      <c r="C166" s="41" t="s">
        <v>39</v>
      </c>
      <c r="D166" s="41" t="s">
        <v>47</v>
      </c>
      <c r="E166" s="41" t="s">
        <v>48</v>
      </c>
      <c r="F166" s="41" t="s">
        <v>25</v>
      </c>
      <c r="G166" s="41" t="s">
        <v>25</v>
      </c>
      <c r="H166" s="41" t="s">
        <v>25</v>
      </c>
      <c r="I166" s="61">
        <v>44652</v>
      </c>
      <c r="J166" s="62">
        <f ca="1">EFEITO!$J$166*EFEITO!$Y$133</f>
        <v>3374.1348088771169</v>
      </c>
      <c r="K166" s="62">
        <f>EFEITO!$L$166*EFEITO!$Z$133</f>
        <v>0</v>
      </c>
      <c r="L166" s="62">
        <f>EFEITO!$N$166*EFEITO!$AA$133</f>
        <v>0</v>
      </c>
      <c r="M166" s="62">
        <f ca="1">$J$166-EFEITO!$K$166*EFEITO!$Y$166</f>
        <v>101.22404426631374</v>
      </c>
      <c r="N166" s="62">
        <f>$K$166-EFEITO!$M$166*EFEITO!$Z$166</f>
        <v>0</v>
      </c>
      <c r="O166" s="62">
        <f>$L$166-EFEITO!$O$166*EFEITO!$AA$166</f>
        <v>0</v>
      </c>
      <c r="P166" s="45"/>
      <c r="Q166" s="45"/>
      <c r="R166" s="45"/>
      <c r="S166" s="45"/>
      <c r="T166" s="45"/>
      <c r="U166" s="45"/>
      <c r="V166" s="45"/>
      <c r="W166" s="45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41" t="s">
        <v>21</v>
      </c>
      <c r="B167" s="41" t="s">
        <v>38</v>
      </c>
      <c r="C167" s="41" t="s">
        <v>39</v>
      </c>
      <c r="D167" s="41" t="s">
        <v>47</v>
      </c>
      <c r="E167" s="41" t="s">
        <v>48</v>
      </c>
      <c r="F167" s="41" t="s">
        <v>25</v>
      </c>
      <c r="G167" s="41" t="s">
        <v>25</v>
      </c>
      <c r="H167" s="41" t="s">
        <v>25</v>
      </c>
      <c r="I167" s="61">
        <v>44682</v>
      </c>
      <c r="J167" s="62">
        <f ca="1">EFEITO!$J$167*EFEITO!$Y$133</f>
        <v>3319.4929496240461</v>
      </c>
      <c r="K167" s="62">
        <f>EFEITO!$L$167*EFEITO!$Z$133</f>
        <v>0</v>
      </c>
      <c r="L167" s="62">
        <f>EFEITO!$N$167*EFEITO!$AA$133</f>
        <v>0</v>
      </c>
      <c r="M167" s="62">
        <f ca="1">$J$167-EFEITO!$K$167*EFEITO!$Y$167</f>
        <v>99.584788488721642</v>
      </c>
      <c r="N167" s="62">
        <f>$K$167-EFEITO!$M$167*EFEITO!$Z$167</f>
        <v>0</v>
      </c>
      <c r="O167" s="62">
        <f>$L$167-EFEITO!$O$167*EFEITO!$AA$167</f>
        <v>0</v>
      </c>
      <c r="P167" s="45"/>
      <c r="Q167" s="45"/>
      <c r="R167" s="45"/>
      <c r="S167" s="45"/>
      <c r="T167" s="45"/>
      <c r="U167" s="45"/>
      <c r="V167" s="45"/>
      <c r="W167" s="45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41" t="s">
        <v>21</v>
      </c>
      <c r="B168" s="41" t="s">
        <v>38</v>
      </c>
      <c r="C168" s="41" t="s">
        <v>39</v>
      </c>
      <c r="D168" s="41" t="s">
        <v>47</v>
      </c>
      <c r="E168" s="41" t="s">
        <v>48</v>
      </c>
      <c r="F168" s="41" t="s">
        <v>25</v>
      </c>
      <c r="G168" s="41" t="s">
        <v>25</v>
      </c>
      <c r="H168" s="41" t="s">
        <v>25</v>
      </c>
      <c r="I168" s="61">
        <v>44713</v>
      </c>
      <c r="J168" s="62">
        <f ca="1">EFEITO!$J$168*EFEITO!$Y$133</f>
        <v>3333.153414437314</v>
      </c>
      <c r="K168" s="62">
        <f>EFEITO!$L$168*EFEITO!$Z$133</f>
        <v>0</v>
      </c>
      <c r="L168" s="62">
        <f>EFEITO!$N$168*EFEITO!$AA$133</f>
        <v>0</v>
      </c>
      <c r="M168" s="62">
        <f ca="1">$J$168-EFEITO!$K$168*EFEITO!$Y$168</f>
        <v>99.99460243311978</v>
      </c>
      <c r="N168" s="62">
        <f>$K$168-EFEITO!$M$168*EFEITO!$Z$168</f>
        <v>0</v>
      </c>
      <c r="O168" s="62">
        <f>$L$168-EFEITO!$O$168*EFEITO!$AA$168</f>
        <v>0</v>
      </c>
      <c r="P168" s="45"/>
      <c r="Q168" s="45"/>
      <c r="R168" s="45"/>
      <c r="S168" s="45"/>
      <c r="T168" s="45"/>
      <c r="U168" s="45"/>
      <c r="V168" s="45"/>
      <c r="W168" s="45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41" t="s">
        <v>55</v>
      </c>
      <c r="B169" s="41" t="s">
        <v>38</v>
      </c>
      <c r="C169" s="41" t="s">
        <v>39</v>
      </c>
      <c r="D169" s="41" t="s">
        <v>47</v>
      </c>
      <c r="E169" s="41" t="s">
        <v>48</v>
      </c>
      <c r="F169" s="41" t="s">
        <v>25</v>
      </c>
      <c r="G169" s="41" t="s">
        <v>25</v>
      </c>
      <c r="H169" s="41" t="s">
        <v>25</v>
      </c>
      <c r="I169" s="61">
        <v>44743</v>
      </c>
      <c r="J169" s="62">
        <f ca="1">EFEITO!$J$169*EFEITO!$Y$133</f>
        <v>3333.153414437314</v>
      </c>
      <c r="K169" s="62">
        <f>EFEITO!$L$169*EFEITO!$Z$133</f>
        <v>0</v>
      </c>
      <c r="L169" s="62">
        <f>EFEITO!$N$169*EFEITO!$AA$133</f>
        <v>0</v>
      </c>
      <c r="M169" s="62">
        <f ca="1">$J$169-EFEITO!$K$169*EFEITO!$Y$169</f>
        <v>99.99460243311978</v>
      </c>
      <c r="N169" s="62">
        <f>$K$169-EFEITO!$M$169*EFEITO!$Z$169</f>
        <v>0</v>
      </c>
      <c r="O169" s="62">
        <f>$L$169-EFEITO!$O$169*EFEITO!$AA$169</f>
        <v>0</v>
      </c>
      <c r="P169" s="45"/>
      <c r="Q169" s="45"/>
      <c r="R169" s="45"/>
      <c r="S169" s="45"/>
      <c r="T169" s="45"/>
      <c r="U169" s="45"/>
      <c r="V169" s="45"/>
      <c r="W169" s="45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41" t="s">
        <v>21</v>
      </c>
      <c r="B170" s="41" t="s">
        <v>38</v>
      </c>
      <c r="C170" s="41" t="s">
        <v>39</v>
      </c>
      <c r="D170" s="41" t="s">
        <v>47</v>
      </c>
      <c r="E170" s="41" t="s">
        <v>48</v>
      </c>
      <c r="F170" s="41" t="s">
        <v>25</v>
      </c>
      <c r="G170" s="41" t="s">
        <v>25</v>
      </c>
      <c r="H170" s="41" t="s">
        <v>33</v>
      </c>
      <c r="I170" s="61">
        <v>44409</v>
      </c>
      <c r="J170" s="62">
        <f>EFEITO!$J$170*EFEITO!$Y$145</f>
        <v>0</v>
      </c>
      <c r="K170" s="62">
        <f ca="1">EFEITO!$L$170*EFEITO!$Z$145</f>
        <v>434.11218447363842</v>
      </c>
      <c r="L170" s="62">
        <f>EFEITO!$N$170*EFEITO!$AA$145</f>
        <v>131.22965020218561</v>
      </c>
      <c r="M170" s="62">
        <f>$J$170-EFEITO!$K$170*EFEITO!$Y$170</f>
        <v>0</v>
      </c>
      <c r="N170" s="62">
        <f ca="1">$K$170-EFEITO!$M$170*EFEITO!$Z$170</f>
        <v>13.023365534209177</v>
      </c>
      <c r="O170" s="62">
        <f>$L$170-EFEITO!$O$170*EFEITO!$AA$170</f>
        <v>3.9368895060655689</v>
      </c>
      <c r="P170" s="45"/>
      <c r="Q170" s="45"/>
      <c r="R170" s="45"/>
      <c r="S170" s="45"/>
      <c r="T170" s="45"/>
      <c r="U170" s="45"/>
      <c r="V170" s="45"/>
      <c r="W170" s="45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41" t="s">
        <v>21</v>
      </c>
      <c r="B171" s="41" t="s">
        <v>38</v>
      </c>
      <c r="C171" s="41" t="s">
        <v>39</v>
      </c>
      <c r="D171" s="41" t="s">
        <v>47</v>
      </c>
      <c r="E171" s="41" t="s">
        <v>48</v>
      </c>
      <c r="F171" s="41" t="s">
        <v>25</v>
      </c>
      <c r="G171" s="41" t="s">
        <v>25</v>
      </c>
      <c r="H171" s="41" t="s">
        <v>33</v>
      </c>
      <c r="I171" s="61">
        <v>44440</v>
      </c>
      <c r="J171" s="62">
        <f>EFEITO!$J$171*EFEITO!$Y$145</f>
        <v>0</v>
      </c>
      <c r="K171" s="62">
        <f ca="1">EFEITO!$L$171*EFEITO!$Z$145</f>
        <v>1764.7604020993563</v>
      </c>
      <c r="L171" s="62">
        <f>EFEITO!$N$171*EFEITO!$AA$145</f>
        <v>533.47705625671108</v>
      </c>
      <c r="M171" s="62">
        <f>$J$171-EFEITO!$K$171*EFEITO!$Y$171</f>
        <v>0</v>
      </c>
      <c r="N171" s="62">
        <f ca="1">$K$171-EFEITO!$M$171*EFEITO!$Z$171</f>
        <v>52.942812062980693</v>
      </c>
      <c r="O171" s="62">
        <f>$L$171-EFEITO!$O$171*EFEITO!$AA$171</f>
        <v>16.004311687701261</v>
      </c>
      <c r="P171" s="45"/>
      <c r="Q171" s="45"/>
      <c r="R171" s="45"/>
      <c r="S171" s="45"/>
      <c r="T171" s="45"/>
      <c r="U171" s="45"/>
      <c r="V171" s="45"/>
      <c r="W171" s="45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41" t="s">
        <v>21</v>
      </c>
      <c r="B172" s="41" t="s">
        <v>38</v>
      </c>
      <c r="C172" s="41" t="s">
        <v>39</v>
      </c>
      <c r="D172" s="41" t="s">
        <v>47</v>
      </c>
      <c r="E172" s="41" t="s">
        <v>48</v>
      </c>
      <c r="F172" s="41" t="s">
        <v>25</v>
      </c>
      <c r="G172" s="41" t="s">
        <v>25</v>
      </c>
      <c r="H172" s="41" t="s">
        <v>33</v>
      </c>
      <c r="I172" s="61">
        <v>44470</v>
      </c>
      <c r="J172" s="62">
        <f>EFEITO!$J$172*EFEITO!$Y$145</f>
        <v>0</v>
      </c>
      <c r="K172" s="62">
        <f ca="1">EFEITO!$L$172*EFEITO!$Z$145</f>
        <v>1462.7693172481295</v>
      </c>
      <c r="L172" s="62">
        <f>EFEITO!$N$172*EFEITO!$AA$145</f>
        <v>442.18686481171244</v>
      </c>
      <c r="M172" s="62">
        <f>$J$172-EFEITO!$K$172*EFEITO!$Y$172</f>
        <v>0</v>
      </c>
      <c r="N172" s="62">
        <f ca="1">$K$172-EFEITO!$M$172*EFEITO!$Z$172</f>
        <v>43.883079517443775</v>
      </c>
      <c r="O172" s="62">
        <f>$L$172-EFEITO!$O$172*EFEITO!$AA$172</f>
        <v>13.265605944351421</v>
      </c>
      <c r="P172" s="45"/>
      <c r="Q172" s="45"/>
      <c r="R172" s="45"/>
      <c r="S172" s="45"/>
      <c r="T172" s="45"/>
      <c r="U172" s="45"/>
      <c r="V172" s="45"/>
      <c r="W172" s="45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41" t="s">
        <v>21</v>
      </c>
      <c r="B173" s="41" t="s">
        <v>38</v>
      </c>
      <c r="C173" s="41" t="s">
        <v>39</v>
      </c>
      <c r="D173" s="41" t="s">
        <v>47</v>
      </c>
      <c r="E173" s="41" t="s">
        <v>48</v>
      </c>
      <c r="F173" s="41" t="s">
        <v>25</v>
      </c>
      <c r="G173" s="41" t="s">
        <v>25</v>
      </c>
      <c r="H173" s="41" t="s">
        <v>33</v>
      </c>
      <c r="I173" s="61">
        <v>44501</v>
      </c>
      <c r="J173" s="62">
        <f>EFEITO!$J$173*EFEITO!$Y$145</f>
        <v>0</v>
      </c>
      <c r="K173" s="62">
        <f ca="1">EFEITO!$L$173*EFEITO!$Z$145</f>
        <v>1475.3522791169307</v>
      </c>
      <c r="L173" s="62">
        <f>EFEITO!$N$173*EFEITO!$AA$145</f>
        <v>445.99062278858736</v>
      </c>
      <c r="M173" s="62">
        <f>$J$173-EFEITO!$K$173*EFEITO!$Y$173</f>
        <v>0</v>
      </c>
      <c r="N173" s="62">
        <f ca="1">$K$173-EFEITO!$M$173*EFEITO!$Z$173</f>
        <v>44.260568373508022</v>
      </c>
      <c r="O173" s="62">
        <f>$L$173-EFEITO!$O$173*EFEITO!$AA$173</f>
        <v>13.379718683657643</v>
      </c>
      <c r="P173" s="45"/>
      <c r="Q173" s="45"/>
      <c r="R173" s="45"/>
      <c r="S173" s="45"/>
      <c r="T173" s="45"/>
      <c r="U173" s="45"/>
      <c r="V173" s="45"/>
      <c r="W173" s="45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41" t="s">
        <v>21</v>
      </c>
      <c r="B174" s="41" t="s">
        <v>38</v>
      </c>
      <c r="C174" s="41" t="s">
        <v>39</v>
      </c>
      <c r="D174" s="41" t="s">
        <v>47</v>
      </c>
      <c r="E174" s="41" t="s">
        <v>48</v>
      </c>
      <c r="F174" s="41" t="s">
        <v>25</v>
      </c>
      <c r="G174" s="41" t="s">
        <v>25</v>
      </c>
      <c r="H174" s="41" t="s">
        <v>33</v>
      </c>
      <c r="I174" s="61">
        <v>44531</v>
      </c>
      <c r="J174" s="62">
        <f>EFEITO!$J$174*EFEITO!$Y$145</f>
        <v>0</v>
      </c>
      <c r="K174" s="62">
        <f ca="1">EFEITO!$L$174*EFEITO!$Z$145</f>
        <v>1837.1124328449628</v>
      </c>
      <c r="L174" s="62">
        <f>EFEITO!$N$174*EFEITO!$AA$145</f>
        <v>555.34866462374202</v>
      </c>
      <c r="M174" s="62">
        <f>$J$174-EFEITO!$K$174*EFEITO!$Y$174</f>
        <v>0</v>
      </c>
      <c r="N174" s="62">
        <f ca="1">$K$174-EFEITO!$M$174*EFEITO!$Z$174</f>
        <v>55.11337298534886</v>
      </c>
      <c r="O174" s="62">
        <f>$L$174-EFEITO!$O$174*EFEITO!$AA$174</f>
        <v>16.660459938712279</v>
      </c>
      <c r="P174" s="45"/>
      <c r="Q174" s="45"/>
      <c r="R174" s="45"/>
      <c r="S174" s="45"/>
      <c r="T174" s="45"/>
      <c r="U174" s="45"/>
      <c r="V174" s="45"/>
      <c r="W174" s="45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41" t="s">
        <v>21</v>
      </c>
      <c r="B175" s="41" t="s">
        <v>38</v>
      </c>
      <c r="C175" s="41" t="s">
        <v>39</v>
      </c>
      <c r="D175" s="41" t="s">
        <v>47</v>
      </c>
      <c r="E175" s="41" t="s">
        <v>48</v>
      </c>
      <c r="F175" s="41" t="s">
        <v>25</v>
      </c>
      <c r="G175" s="41" t="s">
        <v>25</v>
      </c>
      <c r="H175" s="41" t="s">
        <v>33</v>
      </c>
      <c r="I175" s="61">
        <v>44562</v>
      </c>
      <c r="J175" s="62">
        <f>EFEITO!$J$175*EFEITO!$Y$145</f>
        <v>0</v>
      </c>
      <c r="K175" s="62">
        <f ca="1">EFEITO!$L$175*EFEITO!$Z$145</f>
        <v>434.11218447363842</v>
      </c>
      <c r="L175" s="62">
        <f>EFEITO!$N$175*EFEITO!$AA$145</f>
        <v>131.22965020218561</v>
      </c>
      <c r="M175" s="62">
        <f>$J$175-EFEITO!$K$175*EFEITO!$Y$175</f>
        <v>0</v>
      </c>
      <c r="N175" s="62">
        <f ca="1">$K$175-EFEITO!$M$175*EFEITO!$Z$175</f>
        <v>13.023365534209177</v>
      </c>
      <c r="O175" s="62">
        <f>$L$175-EFEITO!$O$175*EFEITO!$AA$175</f>
        <v>3.9368895060655689</v>
      </c>
      <c r="P175" s="45"/>
      <c r="Q175" s="45"/>
      <c r="R175" s="45"/>
      <c r="S175" s="45"/>
      <c r="T175" s="45"/>
      <c r="U175" s="45"/>
      <c r="V175" s="45"/>
      <c r="W175" s="45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41" t="s">
        <v>21</v>
      </c>
      <c r="B176" s="41" t="s">
        <v>38</v>
      </c>
      <c r="C176" s="41" t="s">
        <v>39</v>
      </c>
      <c r="D176" s="41" t="s">
        <v>47</v>
      </c>
      <c r="E176" s="41" t="s">
        <v>48</v>
      </c>
      <c r="F176" s="41" t="s">
        <v>25</v>
      </c>
      <c r="G176" s="41" t="s">
        <v>25</v>
      </c>
      <c r="H176" s="41" t="s">
        <v>33</v>
      </c>
      <c r="I176" s="61">
        <v>44593</v>
      </c>
      <c r="J176" s="62">
        <f>EFEITO!$J$176*EFEITO!$Y$145</f>
        <v>0</v>
      </c>
      <c r="K176" s="62">
        <f ca="1">EFEITO!$L$176*EFEITO!$Z$145</f>
        <v>452.98662727684012</v>
      </c>
      <c r="L176" s="62">
        <f>EFEITO!$N$176*EFEITO!$AA$145</f>
        <v>136.93528716749805</v>
      </c>
      <c r="M176" s="62">
        <f>$J$176-EFEITO!$K$176*EFEITO!$Y$176</f>
        <v>0</v>
      </c>
      <c r="N176" s="62">
        <f ca="1">$K$176-EFEITO!$M$176*EFEITO!$Z$176</f>
        <v>13.589598818305205</v>
      </c>
      <c r="O176" s="62">
        <f>$L$176-EFEITO!$O$176*EFEITO!$AA$176</f>
        <v>4.1080586150249587</v>
      </c>
      <c r="P176" s="45"/>
      <c r="Q176" s="45"/>
      <c r="R176" s="45"/>
      <c r="S176" s="45"/>
      <c r="T176" s="45"/>
      <c r="U176" s="45"/>
      <c r="V176" s="45"/>
      <c r="W176" s="45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41" t="s">
        <v>21</v>
      </c>
      <c r="B177" s="41" t="s">
        <v>38</v>
      </c>
      <c r="C177" s="41" t="s">
        <v>39</v>
      </c>
      <c r="D177" s="41" t="s">
        <v>47</v>
      </c>
      <c r="E177" s="41" t="s">
        <v>48</v>
      </c>
      <c r="F177" s="41" t="s">
        <v>25</v>
      </c>
      <c r="G177" s="41" t="s">
        <v>25</v>
      </c>
      <c r="H177" s="41" t="s">
        <v>33</v>
      </c>
      <c r="I177" s="61">
        <v>44621</v>
      </c>
      <c r="J177" s="62">
        <f>EFEITO!$J$177*EFEITO!$Y$145</f>
        <v>0</v>
      </c>
      <c r="K177" s="62">
        <f ca="1">EFEITO!$L$177*EFEITO!$Z$145</f>
        <v>1750.0802799190883</v>
      </c>
      <c r="L177" s="62">
        <f>EFEITO!$N$177*EFEITO!$AA$145</f>
        <v>529.03933861702365</v>
      </c>
      <c r="M177" s="62">
        <f>$J$177-EFEITO!$K$177*EFEITO!$Y$177</f>
        <v>0</v>
      </c>
      <c r="N177" s="62">
        <f ca="1">$K$177-EFEITO!$M$177*EFEITO!$Z$177</f>
        <v>52.502408397572708</v>
      </c>
      <c r="O177" s="62">
        <f>$L$177-EFEITO!$O$177*EFEITO!$AA$177</f>
        <v>15.871180158510697</v>
      </c>
      <c r="P177" s="45"/>
      <c r="Q177" s="45"/>
      <c r="R177" s="45"/>
      <c r="S177" s="45"/>
      <c r="T177" s="45"/>
      <c r="U177" s="45"/>
      <c r="V177" s="45"/>
      <c r="W177" s="45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41" t="s">
        <v>21</v>
      </c>
      <c r="B178" s="41" t="s">
        <v>38</v>
      </c>
      <c r="C178" s="41" t="s">
        <v>39</v>
      </c>
      <c r="D178" s="41" t="s">
        <v>47</v>
      </c>
      <c r="E178" s="41" t="s">
        <v>48</v>
      </c>
      <c r="F178" s="41" t="s">
        <v>25</v>
      </c>
      <c r="G178" s="41" t="s">
        <v>25</v>
      </c>
      <c r="H178" s="41" t="s">
        <v>33</v>
      </c>
      <c r="I178" s="61">
        <v>44652</v>
      </c>
      <c r="J178" s="62">
        <f>EFEITO!$J$178*EFEITO!$Y$145</f>
        <v>0</v>
      </c>
      <c r="K178" s="62">
        <f ca="1">EFEITO!$L$178*EFEITO!$Z$145</f>
        <v>1690.311211042283</v>
      </c>
      <c r="L178" s="62">
        <f>EFEITO!$N$178*EFEITO!$AA$145</f>
        <v>510.97148822686773</v>
      </c>
      <c r="M178" s="62">
        <f>$J$178-EFEITO!$K$178*EFEITO!$Y$178</f>
        <v>0</v>
      </c>
      <c r="N178" s="62">
        <f ca="1">$K$178-EFEITO!$M$178*EFEITO!$Z$178</f>
        <v>50.709336331268332</v>
      </c>
      <c r="O178" s="62">
        <f>$L$178-EFEITO!$O$178*EFEITO!$AA$178</f>
        <v>15.329144646806071</v>
      </c>
      <c r="P178" s="45"/>
      <c r="Q178" s="45"/>
      <c r="R178" s="45"/>
      <c r="S178" s="45"/>
      <c r="T178" s="45"/>
      <c r="U178" s="45"/>
      <c r="V178" s="45"/>
      <c r="W178" s="45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41" t="s">
        <v>21</v>
      </c>
      <c r="B179" s="41" t="s">
        <v>38</v>
      </c>
      <c r="C179" s="41" t="s">
        <v>39</v>
      </c>
      <c r="D179" s="41" t="s">
        <v>47</v>
      </c>
      <c r="E179" s="41" t="s">
        <v>48</v>
      </c>
      <c r="F179" s="41" t="s">
        <v>25</v>
      </c>
      <c r="G179" s="41" t="s">
        <v>25</v>
      </c>
      <c r="H179" s="41" t="s">
        <v>33</v>
      </c>
      <c r="I179" s="61">
        <v>44682</v>
      </c>
      <c r="J179" s="62">
        <f>EFEITO!$J$179*EFEITO!$Y$145</f>
        <v>0</v>
      </c>
      <c r="K179" s="62">
        <f ca="1">EFEITO!$L$179*EFEITO!$Z$145</f>
        <v>1256.1990265686445</v>
      </c>
      <c r="L179" s="62">
        <f>EFEITO!$N$179*EFEITO!$AA$145</f>
        <v>379.74183802468207</v>
      </c>
      <c r="M179" s="62">
        <f>$J$179-EFEITO!$K$179*EFEITO!$Y$179</f>
        <v>0</v>
      </c>
      <c r="N179" s="62">
        <f ca="1">$K$179-EFEITO!$M$179*EFEITO!$Z$179</f>
        <v>37.685970797059326</v>
      </c>
      <c r="O179" s="62">
        <f>$L$179-EFEITO!$O$179*EFEITO!$AA$179</f>
        <v>11.392255140740474</v>
      </c>
      <c r="P179" s="45"/>
      <c r="Q179" s="45"/>
      <c r="R179" s="45"/>
      <c r="S179" s="45"/>
      <c r="T179" s="45"/>
      <c r="U179" s="45"/>
      <c r="V179" s="45"/>
      <c r="W179" s="45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41" t="s">
        <v>21</v>
      </c>
      <c r="B180" s="41" t="s">
        <v>38</v>
      </c>
      <c r="C180" s="41" t="s">
        <v>39</v>
      </c>
      <c r="D180" s="41" t="s">
        <v>47</v>
      </c>
      <c r="E180" s="41" t="s">
        <v>48</v>
      </c>
      <c r="F180" s="41" t="s">
        <v>25</v>
      </c>
      <c r="G180" s="41" t="s">
        <v>25</v>
      </c>
      <c r="H180" s="41" t="s">
        <v>33</v>
      </c>
      <c r="I180" s="61">
        <v>44713</v>
      </c>
      <c r="J180" s="62">
        <f>EFEITO!$J$180*EFEITO!$Y$145</f>
        <v>0</v>
      </c>
      <c r="K180" s="62">
        <f ca="1">EFEITO!$L$180*EFEITO!$Z$145</f>
        <v>1940.9218682625719</v>
      </c>
      <c r="L180" s="62">
        <f>EFEITO!$N$180*EFEITO!$AA$145</f>
        <v>586.7296679329603</v>
      </c>
      <c r="M180" s="62">
        <f>$J$180-EFEITO!$K$180*EFEITO!$Y$180</f>
        <v>0</v>
      </c>
      <c r="N180" s="62">
        <f ca="1">$K$180-EFEITO!$M$180*EFEITO!$Z$180</f>
        <v>58.22765604787719</v>
      </c>
      <c r="O180" s="62">
        <f>$L$180-EFEITO!$O$180*EFEITO!$AA$180</f>
        <v>17.601890037988824</v>
      </c>
      <c r="P180" s="45"/>
      <c r="Q180" s="45"/>
      <c r="R180" s="45"/>
      <c r="S180" s="45"/>
      <c r="T180" s="45"/>
      <c r="U180" s="45"/>
      <c r="V180" s="45"/>
      <c r="W180" s="45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41" t="s">
        <v>55</v>
      </c>
      <c r="B181" s="41" t="s">
        <v>38</v>
      </c>
      <c r="C181" s="41" t="s">
        <v>39</v>
      </c>
      <c r="D181" s="41" t="s">
        <v>47</v>
      </c>
      <c r="E181" s="41" t="s">
        <v>48</v>
      </c>
      <c r="F181" s="41" t="s">
        <v>25</v>
      </c>
      <c r="G181" s="41" t="s">
        <v>25</v>
      </c>
      <c r="H181" s="41" t="s">
        <v>33</v>
      </c>
      <c r="I181" s="61">
        <v>44743</v>
      </c>
      <c r="J181" s="62">
        <f>EFEITO!$J$181*EFEITO!$Y$145</f>
        <v>0</v>
      </c>
      <c r="K181" s="62">
        <f ca="1">EFEITO!$L$181*EFEITO!$Z$145</f>
        <v>1940.9218682625719</v>
      </c>
      <c r="L181" s="62">
        <f>EFEITO!$N$181*EFEITO!$AA$145</f>
        <v>586.7296679329603</v>
      </c>
      <c r="M181" s="62">
        <f>$J$181-EFEITO!$K$181*EFEITO!$Y$181</f>
        <v>0</v>
      </c>
      <c r="N181" s="62">
        <f ca="1">$K$181-EFEITO!$M$181*EFEITO!$Z$181</f>
        <v>58.22765604787719</v>
      </c>
      <c r="O181" s="62">
        <f>$L$181-EFEITO!$O$181*EFEITO!$AA$181</f>
        <v>17.601890037988824</v>
      </c>
      <c r="P181" s="45"/>
      <c r="Q181" s="45"/>
      <c r="R181" s="45"/>
      <c r="S181" s="45"/>
      <c r="T181" s="45"/>
      <c r="U181" s="45"/>
      <c r="V181" s="45"/>
      <c r="W181" s="45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41" t="s">
        <v>21</v>
      </c>
      <c r="B182" s="41" t="s">
        <v>22</v>
      </c>
      <c r="C182" s="41" t="s">
        <v>32</v>
      </c>
      <c r="D182" s="41" t="s">
        <v>24</v>
      </c>
      <c r="E182" s="41" t="s">
        <v>24</v>
      </c>
      <c r="F182" s="41" t="s">
        <v>25</v>
      </c>
      <c r="G182" s="41" t="s">
        <v>25</v>
      </c>
      <c r="H182" s="41" t="s">
        <v>34</v>
      </c>
      <c r="I182" s="61">
        <v>44409</v>
      </c>
      <c r="J182" s="62">
        <f>EFEITO!$J$182*EFEITO!$Y$182</f>
        <v>0</v>
      </c>
      <c r="K182" s="62">
        <f ca="1">EFEITO!$L$182*EFEITO!$Z$182</f>
        <v>51.478890983507299</v>
      </c>
      <c r="L182" s="62">
        <f>EFEITO!$N$182*EFEITO!$AA$182</f>
        <v>41.317120655488431</v>
      </c>
      <c r="M182" s="62">
        <f>$J$182-EFEITO!$K$182*EFEITO!$Y$182</f>
        <v>0</v>
      </c>
      <c r="N182" s="62">
        <f ca="1">$K$182-EFEITO!$M$182*EFEITO!$Z$182</f>
        <v>0</v>
      </c>
      <c r="O182" s="62">
        <f>$L$182-EFEITO!$O$182*EFEITO!$AA$182</f>
        <v>0</v>
      </c>
      <c r="P182" s="45"/>
      <c r="Q182" s="45"/>
      <c r="R182" s="45"/>
      <c r="S182" s="45"/>
      <c r="T182" s="45"/>
      <c r="U182" s="45"/>
      <c r="V182" s="45"/>
      <c r="W182" s="45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41" t="s">
        <v>21</v>
      </c>
      <c r="B183" s="41" t="s">
        <v>22</v>
      </c>
      <c r="C183" s="41" t="s">
        <v>32</v>
      </c>
      <c r="D183" s="41" t="s">
        <v>24</v>
      </c>
      <c r="E183" s="41" t="s">
        <v>24</v>
      </c>
      <c r="F183" s="41" t="s">
        <v>25</v>
      </c>
      <c r="G183" s="41" t="s">
        <v>25</v>
      </c>
      <c r="H183" s="41" t="s">
        <v>34</v>
      </c>
      <c r="I183" s="61">
        <v>44440</v>
      </c>
      <c r="J183" s="62">
        <f>EFEITO!$J$183*EFEITO!$Y$183</f>
        <v>0</v>
      </c>
      <c r="K183" s="62">
        <f ca="1">EFEITO!$L$183*EFEITO!$Z$183</f>
        <v>39.902298274297529</v>
      </c>
      <c r="L183" s="62">
        <f>EFEITO!$N$183*EFEITO!$AA$183</f>
        <v>32.025710747316388</v>
      </c>
      <c r="M183" s="62">
        <f>$J$183-EFEITO!$K$183*EFEITO!$Y$183</f>
        <v>0</v>
      </c>
      <c r="N183" s="62">
        <f ca="1">$K$183-EFEITO!$M$183*EFEITO!$Z$183</f>
        <v>0</v>
      </c>
      <c r="O183" s="62">
        <f>$L$183-EFEITO!$O$183*EFEITO!$AA$183</f>
        <v>0</v>
      </c>
      <c r="P183" s="45"/>
      <c r="Q183" s="45"/>
      <c r="R183" s="45"/>
      <c r="S183" s="45"/>
      <c r="T183" s="45"/>
      <c r="U183" s="45"/>
      <c r="V183" s="45"/>
      <c r="W183" s="45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41" t="s">
        <v>21</v>
      </c>
      <c r="B184" s="41" t="s">
        <v>22</v>
      </c>
      <c r="C184" s="41" t="s">
        <v>32</v>
      </c>
      <c r="D184" s="41" t="s">
        <v>24</v>
      </c>
      <c r="E184" s="41" t="s">
        <v>24</v>
      </c>
      <c r="F184" s="41" t="s">
        <v>25</v>
      </c>
      <c r="G184" s="41" t="s">
        <v>25</v>
      </c>
      <c r="H184" s="41" t="s">
        <v>34</v>
      </c>
      <c r="I184" s="61">
        <v>44470</v>
      </c>
      <c r="J184" s="62">
        <f>EFEITO!$J$184*EFEITO!$Y$184</f>
        <v>0</v>
      </c>
      <c r="K184" s="62">
        <f ca="1">EFEITO!$L$184*EFEITO!$Z$184</f>
        <v>49.754717601284568</v>
      </c>
      <c r="L184" s="62">
        <f>EFEITO!$N$184*EFEITO!$AA$184</f>
        <v>39.933293647888341</v>
      </c>
      <c r="M184" s="62">
        <f>$J$184-EFEITO!$K$184*EFEITO!$Y$184</f>
        <v>0</v>
      </c>
      <c r="N184" s="62">
        <f ca="1">$K$184-EFEITO!$M$184*EFEITO!$Z$184</f>
        <v>0</v>
      </c>
      <c r="O184" s="62">
        <f>$L$184-EFEITO!$O$184*EFEITO!$AA$184</f>
        <v>0</v>
      </c>
      <c r="P184" s="45"/>
      <c r="Q184" s="45"/>
      <c r="R184" s="45"/>
      <c r="S184" s="45"/>
      <c r="T184" s="45"/>
      <c r="U184" s="45"/>
      <c r="V184" s="45"/>
      <c r="W184" s="45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41" t="s">
        <v>21</v>
      </c>
      <c r="B185" s="41" t="s">
        <v>22</v>
      </c>
      <c r="C185" s="41" t="s">
        <v>32</v>
      </c>
      <c r="D185" s="41" t="s">
        <v>24</v>
      </c>
      <c r="E185" s="41" t="s">
        <v>24</v>
      </c>
      <c r="F185" s="41" t="s">
        <v>25</v>
      </c>
      <c r="G185" s="41" t="s">
        <v>25</v>
      </c>
      <c r="H185" s="41" t="s">
        <v>34</v>
      </c>
      <c r="I185" s="61">
        <v>44501</v>
      </c>
      <c r="J185" s="62">
        <f>EFEITO!$J$185*EFEITO!$Y$185</f>
        <v>0</v>
      </c>
      <c r="K185" s="62">
        <f ca="1">EFEITO!$L$185*EFEITO!$Z$185</f>
        <v>44.828507937791045</v>
      </c>
      <c r="L185" s="62">
        <f>EFEITO!$N$185*EFEITO!$AA$185</f>
        <v>35.979502197602365</v>
      </c>
      <c r="M185" s="62">
        <f>$J$185-EFEITO!$K$185*EFEITO!$Y$185</f>
        <v>0</v>
      </c>
      <c r="N185" s="62">
        <f ca="1">$K$185-EFEITO!$M$185*EFEITO!$Z$185</f>
        <v>0</v>
      </c>
      <c r="O185" s="62">
        <f>$L$185-EFEITO!$O$185*EFEITO!$AA$185</f>
        <v>0</v>
      </c>
      <c r="P185" s="45"/>
      <c r="Q185" s="45"/>
      <c r="R185" s="45"/>
      <c r="S185" s="45"/>
      <c r="T185" s="45"/>
      <c r="U185" s="45"/>
      <c r="V185" s="45"/>
      <c r="W185" s="45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41" t="s">
        <v>21</v>
      </c>
      <c r="B186" s="41" t="s">
        <v>22</v>
      </c>
      <c r="C186" s="41" t="s">
        <v>32</v>
      </c>
      <c r="D186" s="41" t="s">
        <v>24</v>
      </c>
      <c r="E186" s="41" t="s">
        <v>24</v>
      </c>
      <c r="F186" s="41" t="s">
        <v>25</v>
      </c>
      <c r="G186" s="41" t="s">
        <v>25</v>
      </c>
      <c r="H186" s="41" t="s">
        <v>34</v>
      </c>
      <c r="I186" s="61">
        <v>44531</v>
      </c>
      <c r="J186" s="62">
        <f>EFEITO!$J$186*EFEITO!$Y$186</f>
        <v>0</v>
      </c>
      <c r="K186" s="62">
        <f ca="1">EFEITO!$L$186*EFEITO!$Z$186</f>
        <v>70.444798187957346</v>
      </c>
      <c r="L186" s="62">
        <f>EFEITO!$N$186*EFEITO!$AA$186</f>
        <v>56.539217739089423</v>
      </c>
      <c r="M186" s="62">
        <f>$J$186-EFEITO!$K$186*EFEITO!$Y$186</f>
        <v>0</v>
      </c>
      <c r="N186" s="62">
        <f ca="1">$K$186-EFEITO!$M$186*EFEITO!$Z$186</f>
        <v>0</v>
      </c>
      <c r="O186" s="62">
        <f>$L$186-EFEITO!$O$186*EFEITO!$AA$186</f>
        <v>0</v>
      </c>
      <c r="P186" s="45"/>
      <c r="Q186" s="45"/>
      <c r="R186" s="45"/>
      <c r="S186" s="45"/>
      <c r="T186" s="45"/>
      <c r="U186" s="45"/>
      <c r="V186" s="45"/>
      <c r="W186" s="45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41" t="s">
        <v>21</v>
      </c>
      <c r="B187" s="41" t="s">
        <v>22</v>
      </c>
      <c r="C187" s="41" t="s">
        <v>32</v>
      </c>
      <c r="D187" s="41" t="s">
        <v>24</v>
      </c>
      <c r="E187" s="41" t="s">
        <v>24</v>
      </c>
      <c r="F187" s="41" t="s">
        <v>25</v>
      </c>
      <c r="G187" s="41" t="s">
        <v>25</v>
      </c>
      <c r="H187" s="41" t="s">
        <v>34</v>
      </c>
      <c r="I187" s="61">
        <v>44562</v>
      </c>
      <c r="J187" s="62">
        <f>EFEITO!$J$187*EFEITO!$Y$187</f>
        <v>0</v>
      </c>
      <c r="K187" s="62">
        <f ca="1">EFEITO!$L$187*EFEITO!$Z$187</f>
        <v>116.01223757527242</v>
      </c>
      <c r="L187" s="62">
        <f>EFEITO!$N$187*EFEITO!$AA$187</f>
        <v>93.111788654234687</v>
      </c>
      <c r="M187" s="62">
        <f>$J$187-EFEITO!$K$187*EFEITO!$Y$187</f>
        <v>0</v>
      </c>
      <c r="N187" s="62">
        <f ca="1">$K$187-EFEITO!$M$187*EFEITO!$Z$187</f>
        <v>0</v>
      </c>
      <c r="O187" s="62">
        <f>$L$187-EFEITO!$O$187*EFEITO!$AA$187</f>
        <v>0</v>
      </c>
      <c r="P187" s="45"/>
      <c r="Q187" s="45"/>
      <c r="R187" s="45"/>
      <c r="S187" s="45"/>
      <c r="T187" s="45"/>
      <c r="U187" s="45"/>
      <c r="V187" s="45"/>
      <c r="W187" s="45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41" t="s">
        <v>21</v>
      </c>
      <c r="B188" s="41" t="s">
        <v>22</v>
      </c>
      <c r="C188" s="41" t="s">
        <v>32</v>
      </c>
      <c r="D188" s="41" t="s">
        <v>24</v>
      </c>
      <c r="E188" s="41" t="s">
        <v>24</v>
      </c>
      <c r="F188" s="41" t="s">
        <v>25</v>
      </c>
      <c r="G188" s="41" t="s">
        <v>25</v>
      </c>
      <c r="H188" s="41" t="s">
        <v>34</v>
      </c>
      <c r="I188" s="61">
        <v>44593</v>
      </c>
      <c r="J188" s="62">
        <f>EFEITO!$J$188*EFEITO!$Y$188</f>
        <v>0</v>
      </c>
      <c r="K188" s="62">
        <f ca="1">EFEITO!$L$188*EFEITO!$Z$188</f>
        <v>51.232580500332624</v>
      </c>
      <c r="L188" s="62">
        <f>EFEITO!$N$188*EFEITO!$AA$188</f>
        <v>41.119431082974131</v>
      </c>
      <c r="M188" s="62">
        <f>$J$188-EFEITO!$K$188*EFEITO!$Y$188</f>
        <v>0</v>
      </c>
      <c r="N188" s="62">
        <f ca="1">$K$188-EFEITO!$M$188*EFEITO!$Z$188</f>
        <v>0</v>
      </c>
      <c r="O188" s="62">
        <f>$L$188-EFEITO!$O$188*EFEITO!$AA$188</f>
        <v>0</v>
      </c>
      <c r="P188" s="45"/>
      <c r="Q188" s="45"/>
      <c r="R188" s="45"/>
      <c r="S188" s="45"/>
      <c r="T188" s="45"/>
      <c r="U188" s="45"/>
      <c r="V188" s="45"/>
      <c r="W188" s="45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41" t="s">
        <v>21</v>
      </c>
      <c r="B189" s="41" t="s">
        <v>22</v>
      </c>
      <c r="C189" s="41" t="s">
        <v>32</v>
      </c>
      <c r="D189" s="41" t="s">
        <v>24</v>
      </c>
      <c r="E189" s="41" t="s">
        <v>24</v>
      </c>
      <c r="F189" s="41" t="s">
        <v>25</v>
      </c>
      <c r="G189" s="41" t="s">
        <v>25</v>
      </c>
      <c r="H189" s="41" t="s">
        <v>34</v>
      </c>
      <c r="I189" s="61">
        <v>44621</v>
      </c>
      <c r="J189" s="62">
        <f>EFEITO!$J$189*EFEITO!$Y$189</f>
        <v>0</v>
      </c>
      <c r="K189" s="62">
        <f ca="1">EFEITO!$L$189*EFEITO!$Z$189</f>
        <v>88.918084426058059</v>
      </c>
      <c r="L189" s="62">
        <f>EFEITO!$N$189*EFEITO!$AA$189</f>
        <v>71.365935677661824</v>
      </c>
      <c r="M189" s="62">
        <f>$J$189-EFEITO!$K$189*EFEITO!$Y$189</f>
        <v>0</v>
      </c>
      <c r="N189" s="62">
        <f ca="1">$K$189-EFEITO!$M$189*EFEITO!$Z$189</f>
        <v>0</v>
      </c>
      <c r="O189" s="62">
        <f>$L$189-EFEITO!$O$189*EFEITO!$AA$189</f>
        <v>0</v>
      </c>
      <c r="P189" s="45"/>
      <c r="Q189" s="45"/>
      <c r="R189" s="45"/>
      <c r="S189" s="45"/>
      <c r="T189" s="45"/>
      <c r="U189" s="45"/>
      <c r="V189" s="45"/>
      <c r="W189" s="45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41" t="s">
        <v>21</v>
      </c>
      <c r="B190" s="41" t="s">
        <v>22</v>
      </c>
      <c r="C190" s="41" t="s">
        <v>32</v>
      </c>
      <c r="D190" s="41" t="s">
        <v>24</v>
      </c>
      <c r="E190" s="41" t="s">
        <v>24</v>
      </c>
      <c r="F190" s="41" t="s">
        <v>25</v>
      </c>
      <c r="G190" s="41" t="s">
        <v>25</v>
      </c>
      <c r="H190" s="41" t="s">
        <v>34</v>
      </c>
      <c r="I190" s="61">
        <v>44652</v>
      </c>
      <c r="J190" s="62">
        <f>EFEITO!$J$190*EFEITO!$Y$190</f>
        <v>0</v>
      </c>
      <c r="K190" s="62">
        <f ca="1">EFEITO!$L$190*EFEITO!$Z$190</f>
        <v>29.557257980961129</v>
      </c>
      <c r="L190" s="62">
        <f>EFEITO!$N$190*EFEITO!$AA$190</f>
        <v>23.722748701715844</v>
      </c>
      <c r="M190" s="62">
        <f>$J$190-EFEITO!$K$190*EFEITO!$Y$190</f>
        <v>0</v>
      </c>
      <c r="N190" s="62">
        <f ca="1">$K$190-EFEITO!$M$190*EFEITO!$Z$190</f>
        <v>0</v>
      </c>
      <c r="O190" s="62">
        <f>$L$190-EFEITO!$O$190*EFEITO!$AA$190</f>
        <v>0</v>
      </c>
      <c r="P190" s="45"/>
      <c r="Q190" s="45"/>
      <c r="R190" s="45"/>
      <c r="S190" s="45"/>
      <c r="T190" s="45"/>
      <c r="U190" s="45"/>
      <c r="V190" s="45"/>
      <c r="W190" s="45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41" t="s">
        <v>21</v>
      </c>
      <c r="B191" s="41" t="s">
        <v>22</v>
      </c>
      <c r="C191" s="41" t="s">
        <v>32</v>
      </c>
      <c r="D191" s="41" t="s">
        <v>24</v>
      </c>
      <c r="E191" s="41" t="s">
        <v>24</v>
      </c>
      <c r="F191" s="41" t="s">
        <v>25</v>
      </c>
      <c r="G191" s="41" t="s">
        <v>25</v>
      </c>
      <c r="H191" s="41" t="s">
        <v>34</v>
      </c>
      <c r="I191" s="61">
        <v>44682</v>
      </c>
      <c r="J191" s="62">
        <f>EFEITO!$J$191*EFEITO!$Y$191</f>
        <v>0</v>
      </c>
      <c r="K191" s="62">
        <f ca="1">EFEITO!$L$191*EFEITO!$Z$191</f>
        <v>17.980665271751352</v>
      </c>
      <c r="L191" s="62">
        <f>EFEITO!$N$191*EFEITO!$AA$191</f>
        <v>14.431338793543805</v>
      </c>
      <c r="M191" s="62">
        <f>$J$191-EFEITO!$K$191*EFEITO!$Y$191</f>
        <v>0</v>
      </c>
      <c r="N191" s="62">
        <f ca="1">$K$191-EFEITO!$M$191*EFEITO!$Z$191</f>
        <v>0</v>
      </c>
      <c r="O191" s="62">
        <f>$L$191-EFEITO!$O$191*EFEITO!$AA$191</f>
        <v>0</v>
      </c>
      <c r="P191" s="45"/>
      <c r="Q191" s="45"/>
      <c r="R191" s="45"/>
      <c r="S191" s="45"/>
      <c r="T191" s="45"/>
      <c r="U191" s="45"/>
      <c r="V191" s="45"/>
      <c r="W191" s="45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41" t="s">
        <v>21</v>
      </c>
      <c r="B192" s="41" t="s">
        <v>22</v>
      </c>
      <c r="C192" s="41" t="s">
        <v>32</v>
      </c>
      <c r="D192" s="41" t="s">
        <v>24</v>
      </c>
      <c r="E192" s="41" t="s">
        <v>24</v>
      </c>
      <c r="F192" s="41" t="s">
        <v>25</v>
      </c>
      <c r="G192" s="41" t="s">
        <v>25</v>
      </c>
      <c r="H192" s="41" t="s">
        <v>34</v>
      </c>
      <c r="I192" s="61">
        <v>44713</v>
      </c>
      <c r="J192" s="62">
        <f>EFEITO!$J$192*EFEITO!$Y$192</f>
        <v>0</v>
      </c>
      <c r="K192" s="62">
        <f ca="1">EFEITO!$L$192*EFEITO!$Z$192</f>
        <v>22.167943485720848</v>
      </c>
      <c r="L192" s="62">
        <f>EFEITO!$N$192*EFEITO!$AA$192</f>
        <v>17.792061526286883</v>
      </c>
      <c r="M192" s="62">
        <f>$J$192-EFEITO!$K$192*EFEITO!$Y$192</f>
        <v>0</v>
      </c>
      <c r="N192" s="62">
        <f ca="1">$K$192-EFEITO!$M$192*EFEITO!$Z$192</f>
        <v>0</v>
      </c>
      <c r="O192" s="62">
        <f>$L$192-EFEITO!$O$192*EFEITO!$AA$192</f>
        <v>0</v>
      </c>
      <c r="P192" s="45"/>
      <c r="Q192" s="45"/>
      <c r="R192" s="45"/>
      <c r="S192" s="45"/>
      <c r="T192" s="45"/>
      <c r="U192" s="45"/>
      <c r="V192" s="45"/>
      <c r="W192" s="45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41" t="s">
        <v>55</v>
      </c>
      <c r="B193" s="41" t="s">
        <v>22</v>
      </c>
      <c r="C193" s="41" t="s">
        <v>32</v>
      </c>
      <c r="D193" s="41" t="s">
        <v>24</v>
      </c>
      <c r="E193" s="41" t="s">
        <v>24</v>
      </c>
      <c r="F193" s="41" t="s">
        <v>25</v>
      </c>
      <c r="G193" s="41" t="s">
        <v>25</v>
      </c>
      <c r="H193" s="41" t="s">
        <v>34</v>
      </c>
      <c r="I193" s="61">
        <v>44743</v>
      </c>
      <c r="J193" s="62">
        <f>EFEITO!$J$193*EFEITO!$Y$193</f>
        <v>0</v>
      </c>
      <c r="K193" s="62">
        <f ca="1">EFEITO!$L$193*EFEITO!$Z$193</f>
        <v>22.167943485720848</v>
      </c>
      <c r="L193" s="62">
        <f>EFEITO!$N$193*EFEITO!$AA$193</f>
        <v>17.792061526286883</v>
      </c>
      <c r="M193" s="62">
        <f>$J$193-EFEITO!$K$193*EFEITO!$Y$193</f>
        <v>0</v>
      </c>
      <c r="N193" s="62">
        <f ca="1">$K$193-EFEITO!$M$193*EFEITO!$Z$193</f>
        <v>0</v>
      </c>
      <c r="O193" s="62">
        <f>$L$193-EFEITO!$O$193*EFEITO!$AA$193</f>
        <v>0</v>
      </c>
      <c r="P193" s="45"/>
      <c r="Q193" s="45"/>
      <c r="R193" s="45"/>
      <c r="S193" s="45"/>
      <c r="T193" s="45"/>
      <c r="U193" s="45"/>
      <c r="V193" s="45"/>
      <c r="W193" s="45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41" t="s">
        <v>21</v>
      </c>
      <c r="B194" s="41" t="s">
        <v>22</v>
      </c>
      <c r="C194" s="41" t="s">
        <v>32</v>
      </c>
      <c r="D194" s="41" t="s">
        <v>24</v>
      </c>
      <c r="E194" s="41" t="s">
        <v>24</v>
      </c>
      <c r="F194" s="41" t="s">
        <v>25</v>
      </c>
      <c r="G194" s="41" t="s">
        <v>25</v>
      </c>
      <c r="H194" s="41" t="s">
        <v>35</v>
      </c>
      <c r="I194" s="61">
        <v>44409</v>
      </c>
      <c r="J194" s="62">
        <f>EFEITO!$J$194*EFEITO!$Y$194</f>
        <v>0</v>
      </c>
      <c r="K194" s="62">
        <f ca="1">EFEITO!$L$194*EFEITO!$Z$194</f>
        <v>5.6242351610219243</v>
      </c>
      <c r="L194" s="62">
        <f>EFEITO!$N$194*EFEITO!$AA$194</f>
        <v>2.1745852976572855</v>
      </c>
      <c r="M194" s="62">
        <f>$J$194-EFEITO!$K$194*EFEITO!$Y$194</f>
        <v>0</v>
      </c>
      <c r="N194" s="62">
        <f ca="1">$K$194-EFEITO!$M$194*EFEITO!$Z$194</f>
        <v>0</v>
      </c>
      <c r="O194" s="62">
        <f>$L$194-EFEITO!$O$194*EFEITO!$AA$194</f>
        <v>0</v>
      </c>
      <c r="P194" s="45"/>
      <c r="Q194" s="45"/>
      <c r="R194" s="45"/>
      <c r="S194" s="45"/>
      <c r="T194" s="45"/>
      <c r="U194" s="45"/>
      <c r="V194" s="45"/>
      <c r="W194" s="45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41" t="s">
        <v>21</v>
      </c>
      <c r="B195" s="41" t="s">
        <v>22</v>
      </c>
      <c r="C195" s="41" t="s">
        <v>32</v>
      </c>
      <c r="D195" s="41" t="s">
        <v>24</v>
      </c>
      <c r="E195" s="41" t="s">
        <v>24</v>
      </c>
      <c r="F195" s="41" t="s">
        <v>25</v>
      </c>
      <c r="G195" s="41" t="s">
        <v>25</v>
      </c>
      <c r="H195" s="41" t="s">
        <v>35</v>
      </c>
      <c r="I195" s="61">
        <v>44440</v>
      </c>
      <c r="J195" s="62">
        <f>EFEITO!$J$195*EFEITO!$Y$195</f>
        <v>0</v>
      </c>
      <c r="K195" s="62">
        <f ca="1">EFEITO!$L$195*EFEITO!$Z$195</f>
        <v>4.6016469499270283</v>
      </c>
      <c r="L195" s="62">
        <f>EFEITO!$N$195*EFEITO!$AA$195</f>
        <v>1.7792061526286882</v>
      </c>
      <c r="M195" s="62">
        <f>$J$195-EFEITO!$K$195*EFEITO!$Y$195</f>
        <v>0</v>
      </c>
      <c r="N195" s="62">
        <f ca="1">$K$195-EFEITO!$M$195*EFEITO!$Z$195</f>
        <v>0</v>
      </c>
      <c r="O195" s="62">
        <f>$L$195-EFEITO!$O$195*EFEITO!$AA$195</f>
        <v>0</v>
      </c>
      <c r="P195" s="45"/>
      <c r="Q195" s="45"/>
      <c r="R195" s="45"/>
      <c r="S195" s="45"/>
      <c r="T195" s="45"/>
      <c r="U195" s="45"/>
      <c r="V195" s="45"/>
      <c r="W195" s="45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41" t="s">
        <v>21</v>
      </c>
      <c r="B196" s="41" t="s">
        <v>22</v>
      </c>
      <c r="C196" s="41" t="s">
        <v>32</v>
      </c>
      <c r="D196" s="41" t="s">
        <v>24</v>
      </c>
      <c r="E196" s="41" t="s">
        <v>24</v>
      </c>
      <c r="F196" s="41" t="s">
        <v>25</v>
      </c>
      <c r="G196" s="41" t="s">
        <v>25</v>
      </c>
      <c r="H196" s="41" t="s">
        <v>35</v>
      </c>
      <c r="I196" s="61">
        <v>44470</v>
      </c>
      <c r="J196" s="62">
        <f>EFEITO!$J$196*EFEITO!$Y$196</f>
        <v>0</v>
      </c>
      <c r="K196" s="62">
        <f ca="1">EFEITO!$L$196*EFEITO!$Z$196</f>
        <v>8.1807056887591632</v>
      </c>
      <c r="L196" s="62">
        <f>EFEITO!$N$196*EFEITO!$AA$196</f>
        <v>3.1630331602287791</v>
      </c>
      <c r="M196" s="62">
        <f>$J$196-EFEITO!$K$196*EFEITO!$Y$196</f>
        <v>0</v>
      </c>
      <c r="N196" s="62">
        <f ca="1">$K$196-EFEITO!$M$196*EFEITO!$Z$196</f>
        <v>0</v>
      </c>
      <c r="O196" s="62">
        <f>$L$196-EFEITO!$O$196*EFEITO!$AA$196</f>
        <v>0</v>
      </c>
      <c r="P196" s="45"/>
      <c r="Q196" s="45"/>
      <c r="R196" s="45"/>
      <c r="S196" s="45"/>
      <c r="T196" s="45"/>
      <c r="U196" s="45"/>
      <c r="V196" s="45"/>
      <c r="W196" s="45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41" t="s">
        <v>21</v>
      </c>
      <c r="B197" s="41" t="s">
        <v>22</v>
      </c>
      <c r="C197" s="41" t="s">
        <v>32</v>
      </c>
      <c r="D197" s="41" t="s">
        <v>24</v>
      </c>
      <c r="E197" s="41" t="s">
        <v>24</v>
      </c>
      <c r="F197" s="41" t="s">
        <v>25</v>
      </c>
      <c r="G197" s="41" t="s">
        <v>25</v>
      </c>
      <c r="H197" s="41" t="s">
        <v>35</v>
      </c>
      <c r="I197" s="61">
        <v>44501</v>
      </c>
      <c r="J197" s="62">
        <f>EFEITO!$J$197*EFEITO!$Y$197</f>
        <v>0</v>
      </c>
      <c r="K197" s="62">
        <f ca="1">EFEITO!$L$197*EFEITO!$Z$197</f>
        <v>4.6016469499270283</v>
      </c>
      <c r="L197" s="62">
        <f>EFEITO!$N$197*EFEITO!$AA$197</f>
        <v>1.7792061526286882</v>
      </c>
      <c r="M197" s="62">
        <f>$J$197-EFEITO!$K$197*EFEITO!$Y$197</f>
        <v>0</v>
      </c>
      <c r="N197" s="62">
        <f ca="1">$K$197-EFEITO!$M$197*EFEITO!$Z$197</f>
        <v>0</v>
      </c>
      <c r="O197" s="62">
        <f>$L$197-EFEITO!$O$197*EFEITO!$AA$197</f>
        <v>0</v>
      </c>
      <c r="P197" s="45"/>
      <c r="Q197" s="45"/>
      <c r="R197" s="45"/>
      <c r="S197" s="45"/>
      <c r="T197" s="45"/>
      <c r="U197" s="45"/>
      <c r="V197" s="45"/>
      <c r="W197" s="45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41" t="s">
        <v>21</v>
      </c>
      <c r="B198" s="41" t="s">
        <v>22</v>
      </c>
      <c r="C198" s="41" t="s">
        <v>32</v>
      </c>
      <c r="D198" s="41" t="s">
        <v>24</v>
      </c>
      <c r="E198" s="41" t="s">
        <v>24</v>
      </c>
      <c r="F198" s="41" t="s">
        <v>25</v>
      </c>
      <c r="G198" s="41" t="s">
        <v>25</v>
      </c>
      <c r="H198" s="41" t="s">
        <v>35</v>
      </c>
      <c r="I198" s="61">
        <v>44531</v>
      </c>
      <c r="J198" s="62">
        <f>EFEITO!$J$198*EFEITO!$Y$198</f>
        <v>0</v>
      </c>
      <c r="K198" s="62">
        <f ca="1">EFEITO!$L$198*EFEITO!$Z$198</f>
        <v>8.1807056887591632</v>
      </c>
      <c r="L198" s="62">
        <f>EFEITO!$N$198*EFEITO!$AA$198</f>
        <v>3.1630331602287791</v>
      </c>
      <c r="M198" s="62">
        <f>$J$198-EFEITO!$K$198*EFEITO!$Y$198</f>
        <v>0</v>
      </c>
      <c r="N198" s="62">
        <f ca="1">$K$198-EFEITO!$M$198*EFEITO!$Z$198</f>
        <v>0</v>
      </c>
      <c r="O198" s="62">
        <f>$L$198-EFEITO!$O$198*EFEITO!$AA$198</f>
        <v>0</v>
      </c>
      <c r="P198" s="45"/>
      <c r="Q198" s="45"/>
      <c r="R198" s="45"/>
      <c r="S198" s="45"/>
      <c r="T198" s="45"/>
      <c r="U198" s="45"/>
      <c r="V198" s="45"/>
      <c r="W198" s="45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41" t="s">
        <v>21</v>
      </c>
      <c r="B199" s="41" t="s">
        <v>22</v>
      </c>
      <c r="C199" s="41" t="s">
        <v>32</v>
      </c>
      <c r="D199" s="41" t="s">
        <v>24</v>
      </c>
      <c r="E199" s="41" t="s">
        <v>24</v>
      </c>
      <c r="F199" s="41" t="s">
        <v>25</v>
      </c>
      <c r="G199" s="41" t="s">
        <v>25</v>
      </c>
      <c r="H199" s="41" t="s">
        <v>35</v>
      </c>
      <c r="I199" s="61">
        <v>44562</v>
      </c>
      <c r="J199" s="62">
        <f>EFEITO!$J$199*EFEITO!$Y$199</f>
        <v>0</v>
      </c>
      <c r="K199" s="62">
        <f ca="1">EFEITO!$L$199*EFEITO!$Z$199</f>
        <v>10.225882110948953</v>
      </c>
      <c r="L199" s="62">
        <f>EFEITO!$N$199*EFEITO!$AA$199</f>
        <v>3.9537914502859741</v>
      </c>
      <c r="M199" s="62">
        <f>$J$199-EFEITO!$K$199*EFEITO!$Y$199</f>
        <v>0</v>
      </c>
      <c r="N199" s="62">
        <f ca="1">$K$199-EFEITO!$M$199*EFEITO!$Z$199</f>
        <v>0</v>
      </c>
      <c r="O199" s="62">
        <f>$L$199-EFEITO!$O$199*EFEITO!$AA$199</f>
        <v>0</v>
      </c>
      <c r="P199" s="45"/>
      <c r="Q199" s="45"/>
      <c r="R199" s="45"/>
      <c r="S199" s="45"/>
      <c r="T199" s="45"/>
      <c r="U199" s="45"/>
      <c r="V199" s="45"/>
      <c r="W199" s="45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41" t="s">
        <v>21</v>
      </c>
      <c r="B200" s="41" t="s">
        <v>22</v>
      </c>
      <c r="C200" s="41" t="s">
        <v>32</v>
      </c>
      <c r="D200" s="41" t="s">
        <v>24</v>
      </c>
      <c r="E200" s="41" t="s">
        <v>24</v>
      </c>
      <c r="F200" s="41" t="s">
        <v>25</v>
      </c>
      <c r="G200" s="41" t="s">
        <v>25</v>
      </c>
      <c r="H200" s="41" t="s">
        <v>35</v>
      </c>
      <c r="I200" s="61">
        <v>44593</v>
      </c>
      <c r="J200" s="62">
        <f>EFEITO!$J$200*EFEITO!$Y$200</f>
        <v>0</v>
      </c>
      <c r="K200" s="62">
        <f ca="1">EFEITO!$L$200*EFEITO!$Z$200</f>
        <v>3.5790587388321335</v>
      </c>
      <c r="L200" s="62">
        <f>EFEITO!$N$200*EFEITO!$AA$200</f>
        <v>1.3838270076000909</v>
      </c>
      <c r="M200" s="62">
        <f>$J$200-EFEITO!$K$200*EFEITO!$Y$200</f>
        <v>0</v>
      </c>
      <c r="N200" s="62">
        <f ca="1">$K$200-EFEITO!$M$200*EFEITO!$Z$200</f>
        <v>0</v>
      </c>
      <c r="O200" s="62">
        <f>$L$200-EFEITO!$O$200*EFEITO!$AA$200</f>
        <v>0</v>
      </c>
      <c r="P200" s="45"/>
      <c r="Q200" s="45"/>
      <c r="R200" s="45"/>
      <c r="S200" s="45"/>
      <c r="T200" s="45"/>
      <c r="U200" s="45"/>
      <c r="V200" s="45"/>
      <c r="W200" s="45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41" t="s">
        <v>21</v>
      </c>
      <c r="B201" s="41" t="s">
        <v>22</v>
      </c>
      <c r="C201" s="41" t="s">
        <v>32</v>
      </c>
      <c r="D201" s="41" t="s">
        <v>24</v>
      </c>
      <c r="E201" s="41" t="s">
        <v>24</v>
      </c>
      <c r="F201" s="41" t="s">
        <v>25</v>
      </c>
      <c r="G201" s="41" t="s">
        <v>25</v>
      </c>
      <c r="H201" s="41" t="s">
        <v>35</v>
      </c>
      <c r="I201" s="61">
        <v>44621</v>
      </c>
      <c r="J201" s="62">
        <f>EFEITO!$J$201*EFEITO!$Y$201</f>
        <v>0</v>
      </c>
      <c r="K201" s="62">
        <f ca="1">EFEITO!$L$201*EFEITO!$Z$201</f>
        <v>6.6468233721168195</v>
      </c>
      <c r="L201" s="62">
        <f>EFEITO!$N$201*EFEITO!$AA$201</f>
        <v>2.5699644426858832</v>
      </c>
      <c r="M201" s="62">
        <f>$J$201-EFEITO!$K$201*EFEITO!$Y$201</f>
        <v>0</v>
      </c>
      <c r="N201" s="62">
        <f ca="1">$K$201-EFEITO!$M$201*EFEITO!$Z$201</f>
        <v>0</v>
      </c>
      <c r="O201" s="62">
        <f>$L$201-EFEITO!$O$201*EFEITO!$AA$201</f>
        <v>0</v>
      </c>
      <c r="P201" s="45"/>
      <c r="Q201" s="45"/>
      <c r="R201" s="45"/>
      <c r="S201" s="45"/>
      <c r="T201" s="45"/>
      <c r="U201" s="45"/>
      <c r="V201" s="45"/>
      <c r="W201" s="45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41" t="s">
        <v>21</v>
      </c>
      <c r="B202" s="41" t="s">
        <v>22</v>
      </c>
      <c r="C202" s="41" t="s">
        <v>32</v>
      </c>
      <c r="D202" s="41" t="s">
        <v>24</v>
      </c>
      <c r="E202" s="41" t="s">
        <v>24</v>
      </c>
      <c r="F202" s="41" t="s">
        <v>25</v>
      </c>
      <c r="G202" s="41" t="s">
        <v>25</v>
      </c>
      <c r="H202" s="41" t="s">
        <v>35</v>
      </c>
      <c r="I202" s="61">
        <v>44652</v>
      </c>
      <c r="J202" s="62">
        <f>EFEITO!$J$202*EFEITO!$Y$202</f>
        <v>0</v>
      </c>
      <c r="K202" s="62">
        <f ca="1">EFEITO!$L$202*EFEITO!$Z$202</f>
        <v>4.0903528443795816</v>
      </c>
      <c r="L202" s="62">
        <f>EFEITO!$N$202*EFEITO!$AA$202</f>
        <v>1.5815165801143896</v>
      </c>
      <c r="M202" s="62">
        <f>$J$202-EFEITO!$K$202*EFEITO!$Y$202</f>
        <v>0</v>
      </c>
      <c r="N202" s="62">
        <f ca="1">$K$202-EFEITO!$M$202*EFEITO!$Z$202</f>
        <v>0</v>
      </c>
      <c r="O202" s="62">
        <f>$L$202-EFEITO!$O$202*EFEITO!$AA$202</f>
        <v>0</v>
      </c>
      <c r="P202" s="45"/>
      <c r="Q202" s="45"/>
      <c r="R202" s="45"/>
      <c r="S202" s="45"/>
      <c r="T202" s="45"/>
      <c r="U202" s="45"/>
      <c r="V202" s="45"/>
      <c r="W202" s="45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41" t="s">
        <v>21</v>
      </c>
      <c r="B203" s="41" t="s">
        <v>22</v>
      </c>
      <c r="C203" s="41" t="s">
        <v>32</v>
      </c>
      <c r="D203" s="41" t="s">
        <v>24</v>
      </c>
      <c r="E203" s="41" t="s">
        <v>24</v>
      </c>
      <c r="F203" s="41" t="s">
        <v>25</v>
      </c>
      <c r="G203" s="41" t="s">
        <v>25</v>
      </c>
      <c r="H203" s="41" t="s">
        <v>35</v>
      </c>
      <c r="I203" s="61">
        <v>44682</v>
      </c>
      <c r="J203" s="62">
        <f>EFEITO!$J$203*EFEITO!$Y$203</f>
        <v>0</v>
      </c>
      <c r="K203" s="62">
        <f ca="1">EFEITO!$L$203*EFEITO!$Z$203</f>
        <v>2.5564705277372384</v>
      </c>
      <c r="L203" s="62">
        <f>EFEITO!$N$203*EFEITO!$AA$203</f>
        <v>0.98844786257149353</v>
      </c>
      <c r="M203" s="62">
        <f>$J$203-EFEITO!$K$203*EFEITO!$Y$203</f>
        <v>0</v>
      </c>
      <c r="N203" s="62">
        <f ca="1">$K$203-EFEITO!$M$203*EFEITO!$Z$203</f>
        <v>0</v>
      </c>
      <c r="O203" s="62">
        <f>$L$203-EFEITO!$O$203*EFEITO!$AA$203</f>
        <v>0</v>
      </c>
      <c r="P203" s="45"/>
      <c r="Q203" s="45"/>
      <c r="R203" s="45"/>
      <c r="S203" s="45"/>
      <c r="T203" s="45"/>
      <c r="U203" s="45"/>
      <c r="V203" s="45"/>
      <c r="W203" s="45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41" t="s">
        <v>21</v>
      </c>
      <c r="B204" s="41" t="s">
        <v>22</v>
      </c>
      <c r="C204" s="41" t="s">
        <v>32</v>
      </c>
      <c r="D204" s="41" t="s">
        <v>24</v>
      </c>
      <c r="E204" s="41" t="s">
        <v>24</v>
      </c>
      <c r="F204" s="41" t="s">
        <v>25</v>
      </c>
      <c r="G204" s="41" t="s">
        <v>25</v>
      </c>
      <c r="H204" s="41" t="s">
        <v>35</v>
      </c>
      <c r="I204" s="61">
        <v>44713</v>
      </c>
      <c r="J204" s="62">
        <f>EFEITO!$J$204*EFEITO!$Y$204</f>
        <v>0</v>
      </c>
      <c r="K204" s="62">
        <f ca="1">EFEITO!$L$204*EFEITO!$Z$204</f>
        <v>4.0903528443795816</v>
      </c>
      <c r="L204" s="62">
        <f>EFEITO!$N$204*EFEITO!$AA$204</f>
        <v>1.5815165801143896</v>
      </c>
      <c r="M204" s="62">
        <f>$J$204-EFEITO!$K$204*EFEITO!$Y$204</f>
        <v>0</v>
      </c>
      <c r="N204" s="62">
        <f ca="1">$K$204-EFEITO!$M$204*EFEITO!$Z$204</f>
        <v>0</v>
      </c>
      <c r="O204" s="62">
        <f>$L$204-EFEITO!$O$204*EFEITO!$AA$204</f>
        <v>0</v>
      </c>
      <c r="P204" s="45"/>
      <c r="Q204" s="45"/>
      <c r="R204" s="45"/>
      <c r="S204" s="45"/>
      <c r="T204" s="45"/>
      <c r="U204" s="45"/>
      <c r="V204" s="45"/>
      <c r="W204" s="45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41" t="s">
        <v>55</v>
      </c>
      <c r="B205" s="41" t="s">
        <v>22</v>
      </c>
      <c r="C205" s="41" t="s">
        <v>32</v>
      </c>
      <c r="D205" s="41" t="s">
        <v>24</v>
      </c>
      <c r="E205" s="41" t="s">
        <v>24</v>
      </c>
      <c r="F205" s="41" t="s">
        <v>25</v>
      </c>
      <c r="G205" s="41" t="s">
        <v>25</v>
      </c>
      <c r="H205" s="41" t="s">
        <v>35</v>
      </c>
      <c r="I205" s="61">
        <v>44743</v>
      </c>
      <c r="J205" s="62">
        <f>EFEITO!$J$205*EFEITO!$Y$205</f>
        <v>0</v>
      </c>
      <c r="K205" s="62">
        <f ca="1">EFEITO!$L$205*EFEITO!$Z$205</f>
        <v>4.0903528443795816</v>
      </c>
      <c r="L205" s="62">
        <f>EFEITO!$N$205*EFEITO!$AA$205</f>
        <v>1.5815165801143896</v>
      </c>
      <c r="M205" s="62">
        <f>$J$205-EFEITO!$K$205*EFEITO!$Y$205</f>
        <v>0</v>
      </c>
      <c r="N205" s="62">
        <f ca="1">$K$205-EFEITO!$M$205*EFEITO!$Z$205</f>
        <v>0</v>
      </c>
      <c r="O205" s="62">
        <f>$L$205-EFEITO!$O$205*EFEITO!$AA$205</f>
        <v>0</v>
      </c>
      <c r="P205" s="45"/>
      <c r="Q205" s="45"/>
      <c r="R205" s="45"/>
      <c r="S205" s="45"/>
      <c r="T205" s="45"/>
      <c r="U205" s="45"/>
      <c r="V205" s="45"/>
      <c r="W205" s="45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41" t="s">
        <v>21</v>
      </c>
      <c r="B206" s="41" t="s">
        <v>22</v>
      </c>
      <c r="C206" s="41" t="s">
        <v>32</v>
      </c>
      <c r="D206" s="41" t="s">
        <v>24</v>
      </c>
      <c r="E206" s="41" t="s">
        <v>24</v>
      </c>
      <c r="F206" s="41" t="s">
        <v>25</v>
      </c>
      <c r="G206" s="41" t="s">
        <v>25</v>
      </c>
      <c r="H206" s="41" t="s">
        <v>33</v>
      </c>
      <c r="I206" s="61">
        <v>44409</v>
      </c>
      <c r="J206" s="62">
        <f>EFEITO!$J$206*EFEITO!$Y$206</f>
        <v>0</v>
      </c>
      <c r="K206" s="62">
        <f ca="1">EFEITO!$L$206*EFEITO!$Z$206</f>
        <v>13.973000734942882</v>
      </c>
      <c r="L206" s="62">
        <f>EFEITO!$N$206*EFEITO!$AA$206</f>
        <v>5.7056369653124177</v>
      </c>
      <c r="M206" s="62">
        <f>$J$206-EFEITO!$K$206*EFEITO!$Y$206</f>
        <v>0</v>
      </c>
      <c r="N206" s="62">
        <f ca="1">$K$206-EFEITO!$M$206*EFEITO!$Z$206</f>
        <v>0</v>
      </c>
      <c r="O206" s="62">
        <f>$L$206-EFEITO!$O$206*EFEITO!$AA$206</f>
        <v>0</v>
      </c>
      <c r="P206" s="45"/>
      <c r="Q206" s="45"/>
      <c r="R206" s="45"/>
      <c r="S206" s="45"/>
      <c r="T206" s="45"/>
      <c r="U206" s="45"/>
      <c r="V206" s="45"/>
      <c r="W206" s="45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41" t="s">
        <v>21</v>
      </c>
      <c r="B207" s="41" t="s">
        <v>22</v>
      </c>
      <c r="C207" s="41" t="s">
        <v>32</v>
      </c>
      <c r="D207" s="41" t="s">
        <v>24</v>
      </c>
      <c r="E207" s="41" t="s">
        <v>24</v>
      </c>
      <c r="F207" s="41" t="s">
        <v>25</v>
      </c>
      <c r="G207" s="41" t="s">
        <v>25</v>
      </c>
      <c r="H207" s="41" t="s">
        <v>33</v>
      </c>
      <c r="I207" s="61">
        <v>44440</v>
      </c>
      <c r="J207" s="62">
        <f>EFEITO!$J$207*EFEITO!$Y$207</f>
        <v>0</v>
      </c>
      <c r="K207" s="62">
        <f ca="1">EFEITO!$L$207*EFEITO!$Z$207</f>
        <v>12.420445097727008</v>
      </c>
      <c r="L207" s="62">
        <f>EFEITO!$N$207*EFEITO!$AA$207</f>
        <v>5.0716773024999275</v>
      </c>
      <c r="M207" s="62">
        <f>$J$207-EFEITO!$K$207*EFEITO!$Y$207</f>
        <v>0</v>
      </c>
      <c r="N207" s="62">
        <f ca="1">$K$207-EFEITO!$M$207*EFEITO!$Z$207</f>
        <v>0</v>
      </c>
      <c r="O207" s="62">
        <f>$L$207-EFEITO!$O$207*EFEITO!$AA$207</f>
        <v>0</v>
      </c>
      <c r="P207" s="45"/>
      <c r="Q207" s="45"/>
      <c r="R207" s="45"/>
      <c r="S207" s="45"/>
      <c r="T207" s="45"/>
      <c r="U207" s="45"/>
      <c r="V207" s="45"/>
      <c r="W207" s="45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41" t="s">
        <v>21</v>
      </c>
      <c r="B208" s="41" t="s">
        <v>22</v>
      </c>
      <c r="C208" s="41" t="s">
        <v>32</v>
      </c>
      <c r="D208" s="41" t="s">
        <v>24</v>
      </c>
      <c r="E208" s="41" t="s">
        <v>24</v>
      </c>
      <c r="F208" s="41" t="s">
        <v>25</v>
      </c>
      <c r="G208" s="41" t="s">
        <v>25</v>
      </c>
      <c r="H208" s="41" t="s">
        <v>33</v>
      </c>
      <c r="I208" s="61">
        <v>44470</v>
      </c>
      <c r="J208" s="62">
        <f>EFEITO!$J$208*EFEITO!$Y$208</f>
        <v>0</v>
      </c>
      <c r="K208" s="62">
        <f ca="1">EFEITO!$L$208*EFEITO!$Z$208</f>
        <v>13.973000734942882</v>
      </c>
      <c r="L208" s="62">
        <f>EFEITO!$N$208*EFEITO!$AA$208</f>
        <v>5.7056369653124177</v>
      </c>
      <c r="M208" s="62">
        <f>$J$208-EFEITO!$K$208*EFEITO!$Y$208</f>
        <v>0</v>
      </c>
      <c r="N208" s="62">
        <f ca="1">$K$208-EFEITO!$M$208*EFEITO!$Z$208</f>
        <v>0</v>
      </c>
      <c r="O208" s="62">
        <f>$L$208-EFEITO!$O$208*EFEITO!$AA$208</f>
        <v>0</v>
      </c>
      <c r="P208" s="45"/>
      <c r="Q208" s="45"/>
      <c r="R208" s="45"/>
      <c r="S208" s="45"/>
      <c r="T208" s="45"/>
      <c r="U208" s="45"/>
      <c r="V208" s="45"/>
      <c r="W208" s="45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41" t="s">
        <v>21</v>
      </c>
      <c r="B209" s="41" t="s">
        <v>22</v>
      </c>
      <c r="C209" s="41" t="s">
        <v>32</v>
      </c>
      <c r="D209" s="41" t="s">
        <v>24</v>
      </c>
      <c r="E209" s="41" t="s">
        <v>24</v>
      </c>
      <c r="F209" s="41" t="s">
        <v>25</v>
      </c>
      <c r="G209" s="41" t="s">
        <v>25</v>
      </c>
      <c r="H209" s="41" t="s">
        <v>33</v>
      </c>
      <c r="I209" s="61">
        <v>44501</v>
      </c>
      <c r="J209" s="62">
        <f>EFEITO!$J$209*EFEITO!$Y$209</f>
        <v>0</v>
      </c>
      <c r="K209" s="62">
        <f ca="1">EFEITO!$L$209*EFEITO!$Z$209</f>
        <v>10.867889460511133</v>
      </c>
      <c r="L209" s="62">
        <f>EFEITO!$N$209*EFEITO!$AA$209</f>
        <v>4.4377176396874365</v>
      </c>
      <c r="M209" s="62">
        <f>$J$209-EFEITO!$K$209*EFEITO!$Y$209</f>
        <v>0</v>
      </c>
      <c r="N209" s="62">
        <f ca="1">$K$209-EFEITO!$M$209*EFEITO!$Z$209</f>
        <v>0</v>
      </c>
      <c r="O209" s="62">
        <f>$L$209-EFEITO!$O$209*EFEITO!$AA$209</f>
        <v>0</v>
      </c>
      <c r="P209" s="45"/>
      <c r="Q209" s="45"/>
      <c r="R209" s="45"/>
      <c r="S209" s="45"/>
      <c r="T209" s="45"/>
      <c r="U209" s="45"/>
      <c r="V209" s="45"/>
      <c r="W209" s="45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41" t="s">
        <v>21</v>
      </c>
      <c r="B210" s="41" t="s">
        <v>22</v>
      </c>
      <c r="C210" s="41" t="s">
        <v>32</v>
      </c>
      <c r="D210" s="41" t="s">
        <v>24</v>
      </c>
      <c r="E210" s="41" t="s">
        <v>24</v>
      </c>
      <c r="F210" s="41" t="s">
        <v>25</v>
      </c>
      <c r="G210" s="41" t="s">
        <v>25</v>
      </c>
      <c r="H210" s="41" t="s">
        <v>33</v>
      </c>
      <c r="I210" s="61">
        <v>44531</v>
      </c>
      <c r="J210" s="62">
        <f>EFEITO!$J$210*EFEITO!$Y$210</f>
        <v>0</v>
      </c>
      <c r="K210" s="62">
        <f ca="1">EFEITO!$L$210*EFEITO!$Z$210</f>
        <v>13.196722916334947</v>
      </c>
      <c r="L210" s="62">
        <f>EFEITO!$N$210*EFEITO!$AA$210</f>
        <v>5.3886571339061735</v>
      </c>
      <c r="M210" s="62">
        <f>$J$210-EFEITO!$K$210*EFEITO!$Y$210</f>
        <v>0</v>
      </c>
      <c r="N210" s="62">
        <f ca="1">$K$210-EFEITO!$M$210*EFEITO!$Z$210</f>
        <v>0</v>
      </c>
      <c r="O210" s="62">
        <f>$L$210-EFEITO!$O$210*EFEITO!$AA$210</f>
        <v>0</v>
      </c>
      <c r="P210" s="45"/>
      <c r="Q210" s="45"/>
      <c r="R210" s="45"/>
      <c r="S210" s="45"/>
      <c r="T210" s="45"/>
      <c r="U210" s="45"/>
      <c r="V210" s="45"/>
      <c r="W210" s="45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41" t="s">
        <v>21</v>
      </c>
      <c r="B211" s="41" t="s">
        <v>22</v>
      </c>
      <c r="C211" s="41" t="s">
        <v>32</v>
      </c>
      <c r="D211" s="41" t="s">
        <v>24</v>
      </c>
      <c r="E211" s="41" t="s">
        <v>24</v>
      </c>
      <c r="F211" s="41" t="s">
        <v>25</v>
      </c>
      <c r="G211" s="41" t="s">
        <v>25</v>
      </c>
      <c r="H211" s="41" t="s">
        <v>33</v>
      </c>
      <c r="I211" s="61">
        <v>44562</v>
      </c>
      <c r="J211" s="62">
        <f>EFEITO!$J$211*EFEITO!$Y$211</f>
        <v>0</v>
      </c>
      <c r="K211" s="62">
        <f ca="1">EFEITO!$L$211*EFEITO!$Z$211</f>
        <v>20.183223283806388</v>
      </c>
      <c r="L211" s="62">
        <f>EFEITO!$N$211*EFEITO!$AA$211</f>
        <v>8.241475616562381</v>
      </c>
      <c r="M211" s="62">
        <f>$J$211-EFEITO!$K$211*EFEITO!$Y$211</f>
        <v>0</v>
      </c>
      <c r="N211" s="62">
        <f ca="1">$K$211-EFEITO!$M$211*EFEITO!$Z$211</f>
        <v>0</v>
      </c>
      <c r="O211" s="62">
        <f>$L$211-EFEITO!$O$211*EFEITO!$AA$211</f>
        <v>0</v>
      </c>
      <c r="P211" s="45"/>
      <c r="Q211" s="45"/>
      <c r="R211" s="45"/>
      <c r="S211" s="45"/>
      <c r="T211" s="45"/>
      <c r="U211" s="45"/>
      <c r="V211" s="45"/>
      <c r="W211" s="45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41" t="s">
        <v>21</v>
      </c>
      <c r="B212" s="41" t="s">
        <v>22</v>
      </c>
      <c r="C212" s="41" t="s">
        <v>32</v>
      </c>
      <c r="D212" s="41" t="s">
        <v>24</v>
      </c>
      <c r="E212" s="41" t="s">
        <v>24</v>
      </c>
      <c r="F212" s="41" t="s">
        <v>25</v>
      </c>
      <c r="G212" s="41" t="s">
        <v>25</v>
      </c>
      <c r="H212" s="41" t="s">
        <v>33</v>
      </c>
      <c r="I212" s="61">
        <v>44593</v>
      </c>
      <c r="J212" s="62">
        <f>EFEITO!$J$212*EFEITO!$Y$212</f>
        <v>0</v>
      </c>
      <c r="K212" s="62">
        <f ca="1">EFEITO!$L$212*EFEITO!$Z$212</f>
        <v>7.7627781860793803</v>
      </c>
      <c r="L212" s="62">
        <f>EFEITO!$N$212*EFEITO!$AA$212</f>
        <v>3.1697983140624548</v>
      </c>
      <c r="M212" s="62">
        <f>$J$212-EFEITO!$K$212*EFEITO!$Y$212</f>
        <v>0</v>
      </c>
      <c r="N212" s="62">
        <f ca="1">$K$212-EFEITO!$M$212*EFEITO!$Z$212</f>
        <v>0</v>
      </c>
      <c r="O212" s="62">
        <f>$L$212-EFEITO!$O$212*EFEITO!$AA$212</f>
        <v>0</v>
      </c>
      <c r="P212" s="45"/>
      <c r="Q212" s="45"/>
      <c r="R212" s="45"/>
      <c r="S212" s="45"/>
      <c r="T212" s="45"/>
      <c r="U212" s="45"/>
      <c r="V212" s="45"/>
      <c r="W212" s="45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41" t="s">
        <v>21</v>
      </c>
      <c r="B213" s="41" t="s">
        <v>22</v>
      </c>
      <c r="C213" s="41" t="s">
        <v>32</v>
      </c>
      <c r="D213" s="41" t="s">
        <v>24</v>
      </c>
      <c r="E213" s="41" t="s">
        <v>24</v>
      </c>
      <c r="F213" s="41" t="s">
        <v>25</v>
      </c>
      <c r="G213" s="41" t="s">
        <v>25</v>
      </c>
      <c r="H213" s="41" t="s">
        <v>33</v>
      </c>
      <c r="I213" s="61">
        <v>44621</v>
      </c>
      <c r="J213" s="62">
        <f>EFEITO!$J$213*EFEITO!$Y$213</f>
        <v>0</v>
      </c>
      <c r="K213" s="62">
        <f ca="1">EFEITO!$L$213*EFEITO!$Z$213</f>
        <v>7.7627781860793803</v>
      </c>
      <c r="L213" s="62">
        <f>EFEITO!$N$213*EFEITO!$AA$213</f>
        <v>3.1697983140624548</v>
      </c>
      <c r="M213" s="62">
        <f>$J$213-EFEITO!$K$213*EFEITO!$Y$213</f>
        <v>0</v>
      </c>
      <c r="N213" s="62">
        <f ca="1">$K$213-EFEITO!$M$213*EFEITO!$Z$213</f>
        <v>0</v>
      </c>
      <c r="O213" s="62">
        <f>$L$213-EFEITO!$O$213*EFEITO!$AA$213</f>
        <v>0</v>
      </c>
      <c r="P213" s="45"/>
      <c r="Q213" s="45"/>
      <c r="R213" s="45"/>
      <c r="S213" s="45"/>
      <c r="T213" s="45"/>
      <c r="U213" s="45"/>
      <c r="V213" s="45"/>
      <c r="W213" s="45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41" t="s">
        <v>21</v>
      </c>
      <c r="B214" s="41" t="s">
        <v>22</v>
      </c>
      <c r="C214" s="41" t="s">
        <v>32</v>
      </c>
      <c r="D214" s="41" t="s">
        <v>24</v>
      </c>
      <c r="E214" s="41" t="s">
        <v>24</v>
      </c>
      <c r="F214" s="41" t="s">
        <v>25</v>
      </c>
      <c r="G214" s="41" t="s">
        <v>25</v>
      </c>
      <c r="H214" s="41" t="s">
        <v>33</v>
      </c>
      <c r="I214" s="61">
        <v>44652</v>
      </c>
      <c r="J214" s="62">
        <f>EFEITO!$J$214*EFEITO!$Y$214</f>
        <v>0</v>
      </c>
      <c r="K214" s="62">
        <f ca="1">EFEITO!$L$214*EFEITO!$Z$214</f>
        <v>7.7627781860793803</v>
      </c>
      <c r="L214" s="62">
        <f>EFEITO!$N$214*EFEITO!$AA$214</f>
        <v>3.1697983140624548</v>
      </c>
      <c r="M214" s="62">
        <f>$J$214-EFEITO!$K$214*EFEITO!$Y$214</f>
        <v>0</v>
      </c>
      <c r="N214" s="62">
        <f ca="1">$K$214-EFEITO!$M$214*EFEITO!$Z$214</f>
        <v>0</v>
      </c>
      <c r="O214" s="62">
        <f>$L$214-EFEITO!$O$214*EFEITO!$AA$214</f>
        <v>0</v>
      </c>
      <c r="P214" s="45"/>
      <c r="Q214" s="45"/>
      <c r="R214" s="45"/>
      <c r="S214" s="45"/>
      <c r="T214" s="45"/>
      <c r="U214" s="45"/>
      <c r="V214" s="45"/>
      <c r="W214" s="45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41" t="s">
        <v>21</v>
      </c>
      <c r="B215" s="41" t="s">
        <v>22</v>
      </c>
      <c r="C215" s="41" t="s">
        <v>32</v>
      </c>
      <c r="D215" s="41" t="s">
        <v>24</v>
      </c>
      <c r="E215" s="41" t="s">
        <v>24</v>
      </c>
      <c r="F215" s="41" t="s">
        <v>25</v>
      </c>
      <c r="G215" s="41" t="s">
        <v>25</v>
      </c>
      <c r="H215" s="41" t="s">
        <v>33</v>
      </c>
      <c r="I215" s="61">
        <v>44682</v>
      </c>
      <c r="J215" s="62">
        <f>EFEITO!$J$215*EFEITO!$Y$215</f>
        <v>0</v>
      </c>
      <c r="K215" s="62">
        <f ca="1">EFEITO!$L$215*EFEITO!$Z$215</f>
        <v>6.9865003674714412</v>
      </c>
      <c r="L215" s="62">
        <f>EFEITO!$N$215*EFEITO!$AA$215</f>
        <v>2.8528184826562089</v>
      </c>
      <c r="M215" s="62">
        <f>$J$215-EFEITO!$K$215*EFEITO!$Y$215</f>
        <v>0</v>
      </c>
      <c r="N215" s="62">
        <f ca="1">$K$215-EFEITO!$M$215*EFEITO!$Z$215</f>
        <v>0</v>
      </c>
      <c r="O215" s="62">
        <f>$L$215-EFEITO!$O$215*EFEITO!$AA$215</f>
        <v>0</v>
      </c>
      <c r="P215" s="45"/>
      <c r="Q215" s="45"/>
      <c r="R215" s="45"/>
      <c r="S215" s="45"/>
      <c r="T215" s="45"/>
      <c r="U215" s="45"/>
      <c r="V215" s="45"/>
      <c r="W215" s="45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41" t="s">
        <v>21</v>
      </c>
      <c r="B216" s="41" t="s">
        <v>22</v>
      </c>
      <c r="C216" s="41" t="s">
        <v>32</v>
      </c>
      <c r="D216" s="41" t="s">
        <v>24</v>
      </c>
      <c r="E216" s="41" t="s">
        <v>24</v>
      </c>
      <c r="F216" s="41" t="s">
        <v>25</v>
      </c>
      <c r="G216" s="41" t="s">
        <v>25</v>
      </c>
      <c r="H216" s="41" t="s">
        <v>33</v>
      </c>
      <c r="I216" s="61">
        <v>44713</v>
      </c>
      <c r="J216" s="62">
        <f>EFEITO!$J$216*EFEITO!$Y$216</f>
        <v>0</v>
      </c>
      <c r="K216" s="62">
        <f ca="1">EFEITO!$L$216*EFEITO!$Z$216</f>
        <v>8.5390560046873176</v>
      </c>
      <c r="L216" s="62">
        <f>EFEITO!$N$216*EFEITO!$AA$216</f>
        <v>3.4867781454686999</v>
      </c>
      <c r="M216" s="62">
        <f>$J$216-EFEITO!$K$216*EFEITO!$Y$216</f>
        <v>0</v>
      </c>
      <c r="N216" s="62">
        <f ca="1">$K$216-EFEITO!$M$216*EFEITO!$Z$216</f>
        <v>0</v>
      </c>
      <c r="O216" s="62">
        <f>$L$216-EFEITO!$O$216*EFEITO!$AA$216</f>
        <v>0</v>
      </c>
      <c r="P216" s="45"/>
      <c r="Q216" s="45"/>
      <c r="R216" s="45"/>
      <c r="S216" s="45"/>
      <c r="T216" s="45"/>
      <c r="U216" s="45"/>
      <c r="V216" s="45"/>
      <c r="W216" s="45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41" t="s">
        <v>55</v>
      </c>
      <c r="B217" s="41" t="s">
        <v>22</v>
      </c>
      <c r="C217" s="41" t="s">
        <v>32</v>
      </c>
      <c r="D217" s="41" t="s">
        <v>24</v>
      </c>
      <c r="E217" s="41" t="s">
        <v>24</v>
      </c>
      <c r="F217" s="41" t="s">
        <v>25</v>
      </c>
      <c r="G217" s="41" t="s">
        <v>25</v>
      </c>
      <c r="H217" s="41" t="s">
        <v>33</v>
      </c>
      <c r="I217" s="61">
        <v>44743</v>
      </c>
      <c r="J217" s="62">
        <f>EFEITO!$J$217*EFEITO!$Y$217</f>
        <v>0</v>
      </c>
      <c r="K217" s="62">
        <f ca="1">EFEITO!$L$217*EFEITO!$Z$217</f>
        <v>8.5390560046873176</v>
      </c>
      <c r="L217" s="62">
        <f>EFEITO!$N$217*EFEITO!$AA$217</f>
        <v>3.4867781454686999</v>
      </c>
      <c r="M217" s="62">
        <f>$J$217-EFEITO!$K$217*EFEITO!$Y$217</f>
        <v>0</v>
      </c>
      <c r="N217" s="62">
        <f ca="1">$K$217-EFEITO!$M$217*EFEITO!$Z$217</f>
        <v>0</v>
      </c>
      <c r="O217" s="62">
        <f>$L$217-EFEITO!$O$217*EFEITO!$AA$217</f>
        <v>0</v>
      </c>
      <c r="P217" s="45"/>
      <c r="Q217" s="45"/>
      <c r="R217" s="45"/>
      <c r="S217" s="45"/>
      <c r="T217" s="45"/>
      <c r="U217" s="45"/>
      <c r="V217" s="45"/>
      <c r="W217" s="45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41" t="s">
        <v>21</v>
      </c>
      <c r="B218" s="41" t="s">
        <v>22</v>
      </c>
      <c r="C218" s="41" t="s">
        <v>23</v>
      </c>
      <c r="D218" s="41" t="s">
        <v>24</v>
      </c>
      <c r="E218" s="41" t="s">
        <v>24</v>
      </c>
      <c r="F218" s="41" t="s">
        <v>25</v>
      </c>
      <c r="G218" s="41" t="s">
        <v>25</v>
      </c>
      <c r="H218" s="41" t="s">
        <v>25</v>
      </c>
      <c r="I218" s="61">
        <v>44409</v>
      </c>
      <c r="J218" s="62">
        <f>EFEITO!$J$218*EFEITO!$Y$218</f>
        <v>0</v>
      </c>
      <c r="K218" s="62">
        <f ca="1">EFEITO!$L$218*EFEITO!$Z$218</f>
        <v>296595.07190216787</v>
      </c>
      <c r="L218" s="62">
        <f>EFEITO!$N$218*EFEITO!$AA$218</f>
        <v>175742.54637849616</v>
      </c>
      <c r="M218" s="62">
        <f>$J$218-EFEITO!$K$218*EFEITO!$Y$218</f>
        <v>0</v>
      </c>
      <c r="N218" s="62">
        <f ca="1">$K$218-EFEITO!$M$218*EFEITO!$Z$218</f>
        <v>0</v>
      </c>
      <c r="O218" s="62">
        <f>$L$218-EFEITO!$O$218*EFEITO!$AA$218</f>
        <v>0</v>
      </c>
      <c r="P218" s="45"/>
      <c r="Q218" s="45"/>
      <c r="R218" s="45"/>
      <c r="S218" s="45"/>
      <c r="T218" s="45"/>
      <c r="U218" s="45"/>
      <c r="V218" s="45"/>
      <c r="W218" s="45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41" t="s">
        <v>27</v>
      </c>
      <c r="B219" s="41" t="s">
        <v>22</v>
      </c>
      <c r="C219" s="41" t="s">
        <v>23</v>
      </c>
      <c r="D219" s="41" t="s">
        <v>24</v>
      </c>
      <c r="E219" s="41" t="s">
        <v>24</v>
      </c>
      <c r="F219" s="41" t="s">
        <v>25</v>
      </c>
      <c r="G219" s="41" t="s">
        <v>25</v>
      </c>
      <c r="H219" s="41" t="s">
        <v>25</v>
      </c>
      <c r="I219" s="61">
        <v>44409</v>
      </c>
      <c r="J219" s="62">
        <f>EFEITO!$J$219*EFEITO!$Y$219</f>
        <v>0</v>
      </c>
      <c r="K219" s="62">
        <f ca="1">EFEITO!$L$219*EFEITO!$Z$219</f>
        <v>6014.1079122148658</v>
      </c>
      <c r="L219" s="62">
        <f>EFEITO!$N$219*EFEITO!$AA$219</f>
        <v>3563.5610258431152</v>
      </c>
      <c r="M219" s="62">
        <f>$J$219-EFEITO!$K$219*EFEITO!$Y$219</f>
        <v>0</v>
      </c>
      <c r="N219" s="62">
        <f ca="1">$K$219-EFEITO!$M$219*EFEITO!$Z$219</f>
        <v>0</v>
      </c>
      <c r="O219" s="62">
        <f>$L$219-EFEITO!$O$219*EFEITO!$AA$219</f>
        <v>0</v>
      </c>
      <c r="P219" s="45"/>
      <c r="Q219" s="45"/>
      <c r="R219" s="45"/>
      <c r="S219" s="45"/>
      <c r="T219" s="45"/>
      <c r="U219" s="45"/>
      <c r="V219" s="45"/>
      <c r="W219" s="45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41" t="s">
        <v>21</v>
      </c>
      <c r="B220" s="41" t="s">
        <v>22</v>
      </c>
      <c r="C220" s="41" t="s">
        <v>23</v>
      </c>
      <c r="D220" s="41" t="s">
        <v>24</v>
      </c>
      <c r="E220" s="41" t="s">
        <v>24</v>
      </c>
      <c r="F220" s="41" t="s">
        <v>25</v>
      </c>
      <c r="G220" s="41" t="s">
        <v>25</v>
      </c>
      <c r="H220" s="41" t="s">
        <v>25</v>
      </c>
      <c r="I220" s="61">
        <v>44440</v>
      </c>
      <c r="J220" s="62">
        <f>EFEITO!$J$220*EFEITO!$Y$220</f>
        <v>0</v>
      </c>
      <c r="K220" s="62">
        <f ca="1">EFEITO!$L$220*EFEITO!$Z$220</f>
        <v>314992.01180190523</v>
      </c>
      <c r="L220" s="62">
        <f>EFEITO!$N$220*EFEITO!$AA$220</f>
        <v>186643.35144857655</v>
      </c>
      <c r="M220" s="62">
        <f>$J$220-EFEITO!$K$220*EFEITO!$Y$220</f>
        <v>0</v>
      </c>
      <c r="N220" s="62">
        <f ca="1">$K$220-EFEITO!$M$220*EFEITO!$Z$220</f>
        <v>0</v>
      </c>
      <c r="O220" s="62">
        <f>$L$220-EFEITO!$O$220*EFEITO!$AA$220</f>
        <v>0</v>
      </c>
      <c r="P220" s="45"/>
      <c r="Q220" s="45"/>
      <c r="R220" s="45"/>
      <c r="S220" s="45"/>
      <c r="T220" s="45"/>
      <c r="U220" s="45"/>
      <c r="V220" s="45"/>
      <c r="W220" s="45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41" t="s">
        <v>27</v>
      </c>
      <c r="B221" s="41" t="s">
        <v>22</v>
      </c>
      <c r="C221" s="41" t="s">
        <v>23</v>
      </c>
      <c r="D221" s="41" t="s">
        <v>24</v>
      </c>
      <c r="E221" s="41" t="s">
        <v>24</v>
      </c>
      <c r="F221" s="41" t="s">
        <v>25</v>
      </c>
      <c r="G221" s="41" t="s">
        <v>25</v>
      </c>
      <c r="H221" s="41" t="s">
        <v>25</v>
      </c>
      <c r="I221" s="61">
        <v>44440</v>
      </c>
      <c r="J221" s="62">
        <f>EFEITO!$J$221*EFEITO!$Y$221</f>
        <v>0</v>
      </c>
      <c r="K221" s="62">
        <f ca="1">EFEITO!$L$221*EFEITO!$Z$221</f>
        <v>4850.0418116276851</v>
      </c>
      <c r="L221" s="62">
        <f>EFEITO!$N$221*EFEITO!$AA$221</f>
        <v>2873.8127459473608</v>
      </c>
      <c r="M221" s="62">
        <f>$J$221-EFEITO!$K$221*EFEITO!$Y$221</f>
        <v>0</v>
      </c>
      <c r="N221" s="62">
        <f ca="1">$K$221-EFEITO!$M$221*EFEITO!$Z$221</f>
        <v>0</v>
      </c>
      <c r="O221" s="62">
        <f>$L$221-EFEITO!$O$221*EFEITO!$AA$221</f>
        <v>0</v>
      </c>
      <c r="P221" s="45"/>
      <c r="Q221" s="45"/>
      <c r="R221" s="45"/>
      <c r="S221" s="45"/>
      <c r="T221" s="45"/>
      <c r="U221" s="45"/>
      <c r="V221" s="45"/>
      <c r="W221" s="45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41" t="s">
        <v>21</v>
      </c>
      <c r="B222" s="41" t="s">
        <v>22</v>
      </c>
      <c r="C222" s="41" t="s">
        <v>23</v>
      </c>
      <c r="D222" s="41" t="s">
        <v>24</v>
      </c>
      <c r="E222" s="41" t="s">
        <v>24</v>
      </c>
      <c r="F222" s="41" t="s">
        <v>25</v>
      </c>
      <c r="G222" s="41" t="s">
        <v>25</v>
      </c>
      <c r="H222" s="41" t="s">
        <v>25</v>
      </c>
      <c r="I222" s="61">
        <v>44470</v>
      </c>
      <c r="J222" s="62">
        <f>EFEITO!$J$222*EFEITO!$Y$222</f>
        <v>0</v>
      </c>
      <c r="K222" s="62">
        <f ca="1">EFEITO!$L$222*EFEITO!$Z$222</f>
        <v>278891.59582334018</v>
      </c>
      <c r="L222" s="62">
        <f>EFEITO!$N$222*EFEITO!$AA$222</f>
        <v>165252.64192428385</v>
      </c>
      <c r="M222" s="62">
        <f>$J$222-EFEITO!$K$222*EFEITO!$Y$222</f>
        <v>0</v>
      </c>
      <c r="N222" s="62">
        <f ca="1">$K$222-EFEITO!$M$222*EFEITO!$Z$222</f>
        <v>0</v>
      </c>
      <c r="O222" s="62">
        <f>$L$222-EFEITO!$O$222*EFEITO!$AA$222</f>
        <v>0</v>
      </c>
      <c r="P222" s="45"/>
      <c r="Q222" s="45"/>
      <c r="R222" s="45"/>
      <c r="S222" s="45"/>
      <c r="T222" s="45"/>
      <c r="U222" s="45"/>
      <c r="V222" s="45"/>
      <c r="W222" s="45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41" t="s">
        <v>27</v>
      </c>
      <c r="B223" s="41" t="s">
        <v>22</v>
      </c>
      <c r="C223" s="41" t="s">
        <v>23</v>
      </c>
      <c r="D223" s="41" t="s">
        <v>24</v>
      </c>
      <c r="E223" s="41" t="s">
        <v>24</v>
      </c>
      <c r="F223" s="41" t="s">
        <v>25</v>
      </c>
      <c r="G223" s="41" t="s">
        <v>25</v>
      </c>
      <c r="H223" s="41" t="s">
        <v>25</v>
      </c>
      <c r="I223" s="61">
        <v>44470</v>
      </c>
      <c r="J223" s="62">
        <f>EFEITO!$J$223*EFEITO!$Y$223</f>
        <v>0</v>
      </c>
      <c r="K223" s="62">
        <f ca="1">EFEITO!$L$223*EFEITO!$Z$223</f>
        <v>6345.5969342363815</v>
      </c>
      <c r="L223" s="62">
        <f>EFEITO!$N$223*EFEITO!$AA$223</f>
        <v>3759.9794101842908</v>
      </c>
      <c r="M223" s="62">
        <f>$J$223-EFEITO!$K$223*EFEITO!$Y$223</f>
        <v>0</v>
      </c>
      <c r="N223" s="62">
        <f ca="1">$K$223-EFEITO!$M$223*EFEITO!$Z$223</f>
        <v>0</v>
      </c>
      <c r="O223" s="62">
        <f>$L$223-EFEITO!$O$223*EFEITO!$AA$223</f>
        <v>0</v>
      </c>
      <c r="P223" s="45"/>
      <c r="Q223" s="45"/>
      <c r="R223" s="45"/>
      <c r="S223" s="45"/>
      <c r="T223" s="45"/>
      <c r="U223" s="45"/>
      <c r="V223" s="45"/>
      <c r="W223" s="45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41" t="s">
        <v>21</v>
      </c>
      <c r="B224" s="41" t="s">
        <v>22</v>
      </c>
      <c r="C224" s="41" t="s">
        <v>23</v>
      </c>
      <c r="D224" s="41" t="s">
        <v>24</v>
      </c>
      <c r="E224" s="41" t="s">
        <v>24</v>
      </c>
      <c r="F224" s="41" t="s">
        <v>25</v>
      </c>
      <c r="G224" s="41" t="s">
        <v>25</v>
      </c>
      <c r="H224" s="41" t="s">
        <v>25</v>
      </c>
      <c r="I224" s="61">
        <v>44501</v>
      </c>
      <c r="J224" s="62">
        <f>EFEITO!$J$224*EFEITO!$Y$224</f>
        <v>0</v>
      </c>
      <c r="K224" s="62">
        <f ca="1">EFEITO!$L$224*EFEITO!$Z$224</f>
        <v>305207.4790726169</v>
      </c>
      <c r="L224" s="62">
        <f>EFEITO!$N$224*EFEITO!$AA$224</f>
        <v>180845.68702367312</v>
      </c>
      <c r="M224" s="62">
        <f>$J$224-EFEITO!$K$224*EFEITO!$Y$224</f>
        <v>0</v>
      </c>
      <c r="N224" s="62">
        <f ca="1">$K$224-EFEITO!$M$224*EFEITO!$Z$224</f>
        <v>0</v>
      </c>
      <c r="O224" s="62">
        <f>$L$224-EFEITO!$O$224*EFEITO!$AA$224</f>
        <v>0</v>
      </c>
      <c r="P224" s="45"/>
      <c r="Q224" s="45"/>
      <c r="R224" s="45"/>
      <c r="S224" s="45"/>
      <c r="T224" s="45"/>
      <c r="U224" s="45"/>
      <c r="V224" s="45"/>
      <c r="W224" s="45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41" t="s">
        <v>27</v>
      </c>
      <c r="B225" s="41" t="s">
        <v>22</v>
      </c>
      <c r="C225" s="41" t="s">
        <v>23</v>
      </c>
      <c r="D225" s="41" t="s">
        <v>24</v>
      </c>
      <c r="E225" s="41" t="s">
        <v>24</v>
      </c>
      <c r="F225" s="41" t="s">
        <v>25</v>
      </c>
      <c r="G225" s="41" t="s">
        <v>25</v>
      </c>
      <c r="H225" s="41" t="s">
        <v>25</v>
      </c>
      <c r="I225" s="61">
        <v>44501</v>
      </c>
      <c r="J225" s="62">
        <f>EFEITO!$J$225*EFEITO!$Y$225</f>
        <v>0</v>
      </c>
      <c r="K225" s="62">
        <f ca="1">EFEITO!$L$225*EFEITO!$Z$225</f>
        <v>5629.3563834837632</v>
      </c>
      <c r="L225" s="62">
        <f>EFEITO!$N$225*EFEITO!$AA$225</f>
        <v>3335.5828165338025</v>
      </c>
      <c r="M225" s="62">
        <f>$J$225-EFEITO!$K$225*EFEITO!$Y$225</f>
        <v>0</v>
      </c>
      <c r="N225" s="62">
        <f ca="1">$K$225-EFEITO!$M$225*EFEITO!$Z$225</f>
        <v>0</v>
      </c>
      <c r="O225" s="62">
        <f>$L$225-EFEITO!$O$225*EFEITO!$AA$225</f>
        <v>0</v>
      </c>
      <c r="P225" s="45"/>
      <c r="Q225" s="45"/>
      <c r="R225" s="45"/>
      <c r="S225" s="45"/>
      <c r="T225" s="45"/>
      <c r="U225" s="45"/>
      <c r="V225" s="45"/>
      <c r="W225" s="45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41" t="s">
        <v>21</v>
      </c>
      <c r="B226" s="41" t="s">
        <v>22</v>
      </c>
      <c r="C226" s="41" t="s">
        <v>23</v>
      </c>
      <c r="D226" s="41" t="s">
        <v>24</v>
      </c>
      <c r="E226" s="41" t="s">
        <v>24</v>
      </c>
      <c r="F226" s="41" t="s">
        <v>25</v>
      </c>
      <c r="G226" s="41" t="s">
        <v>25</v>
      </c>
      <c r="H226" s="41" t="s">
        <v>25</v>
      </c>
      <c r="I226" s="61">
        <v>44531</v>
      </c>
      <c r="J226" s="62">
        <f>EFEITO!$J$226*EFEITO!$Y$226</f>
        <v>0</v>
      </c>
      <c r="K226" s="62">
        <f ca="1">EFEITO!$L$226*EFEITO!$Z$226</f>
        <v>343713.81854505057</v>
      </c>
      <c r="L226" s="62">
        <f>EFEITO!$N$226*EFEITO!$AA$226</f>
        <v>203661.98706264497</v>
      </c>
      <c r="M226" s="62">
        <f>$J$226-EFEITO!$K$226*EFEITO!$Y$226</f>
        <v>0</v>
      </c>
      <c r="N226" s="62">
        <f ca="1">$K$226-EFEITO!$M$226*EFEITO!$Z$226</f>
        <v>0</v>
      </c>
      <c r="O226" s="62">
        <f>$L$226-EFEITO!$O$226*EFEITO!$AA$226</f>
        <v>0</v>
      </c>
      <c r="P226" s="45"/>
      <c r="Q226" s="45"/>
      <c r="R226" s="45"/>
      <c r="S226" s="45"/>
      <c r="T226" s="45"/>
      <c r="U226" s="45"/>
      <c r="V226" s="45"/>
      <c r="W226" s="45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41" t="s">
        <v>27</v>
      </c>
      <c r="B227" s="41" t="s">
        <v>22</v>
      </c>
      <c r="C227" s="41" t="s">
        <v>23</v>
      </c>
      <c r="D227" s="41" t="s">
        <v>24</v>
      </c>
      <c r="E227" s="41" t="s">
        <v>24</v>
      </c>
      <c r="F227" s="41" t="s">
        <v>25</v>
      </c>
      <c r="G227" s="41" t="s">
        <v>25</v>
      </c>
      <c r="H227" s="41" t="s">
        <v>25</v>
      </c>
      <c r="I227" s="61">
        <v>44531</v>
      </c>
      <c r="J227" s="62">
        <f>EFEITO!$J$227*EFEITO!$Y$227</f>
        <v>0</v>
      </c>
      <c r="K227" s="62">
        <f ca="1">EFEITO!$L$227*EFEITO!$Z$227</f>
        <v>6715.6311913766767</v>
      </c>
      <c r="L227" s="62">
        <f>EFEITO!$N$227*EFEITO!$AA$227</f>
        <v>3979.2371415418806</v>
      </c>
      <c r="M227" s="62">
        <f>$J$227-EFEITO!$K$227*EFEITO!$Y$227</f>
        <v>0</v>
      </c>
      <c r="N227" s="62">
        <f ca="1">$K$227-EFEITO!$M$227*EFEITO!$Z$227</f>
        <v>0</v>
      </c>
      <c r="O227" s="62">
        <f>$L$227-EFEITO!$O$227*EFEITO!$AA$227</f>
        <v>0</v>
      </c>
      <c r="P227" s="45"/>
      <c r="Q227" s="45"/>
      <c r="R227" s="45"/>
      <c r="S227" s="45"/>
      <c r="T227" s="45"/>
      <c r="U227" s="45"/>
      <c r="V227" s="45"/>
      <c r="W227" s="45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41" t="s">
        <v>21</v>
      </c>
      <c r="B228" s="41" t="s">
        <v>22</v>
      </c>
      <c r="C228" s="41" t="s">
        <v>23</v>
      </c>
      <c r="D228" s="41" t="s">
        <v>24</v>
      </c>
      <c r="E228" s="41" t="s">
        <v>24</v>
      </c>
      <c r="F228" s="41" t="s">
        <v>25</v>
      </c>
      <c r="G228" s="41" t="s">
        <v>25</v>
      </c>
      <c r="H228" s="41" t="s">
        <v>25</v>
      </c>
      <c r="I228" s="61">
        <v>44562</v>
      </c>
      <c r="J228" s="62">
        <f>EFEITO!$J$228*EFEITO!$Y$228</f>
        <v>0</v>
      </c>
      <c r="K228" s="62">
        <f ca="1">EFEITO!$L$228*EFEITO!$Z$228</f>
        <v>333601.6513172526</v>
      </c>
      <c r="L228" s="62">
        <f>EFEITO!$N$228*EFEITO!$AA$228</f>
        <v>197670.18818810204</v>
      </c>
      <c r="M228" s="62">
        <f>$J$228-EFEITO!$K$228*EFEITO!$Y$228</f>
        <v>0</v>
      </c>
      <c r="N228" s="62">
        <f ca="1">$K$228-EFEITO!$M$228*EFEITO!$Z$228</f>
        <v>0</v>
      </c>
      <c r="O228" s="62">
        <f>$L$228-EFEITO!$O$228*EFEITO!$AA$228</f>
        <v>0</v>
      </c>
      <c r="P228" s="45"/>
      <c r="Q228" s="45"/>
      <c r="R228" s="45"/>
      <c r="S228" s="45"/>
      <c r="T228" s="45"/>
      <c r="U228" s="45"/>
      <c r="V228" s="45"/>
      <c r="W228" s="45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41" t="s">
        <v>27</v>
      </c>
      <c r="B229" s="41" t="s">
        <v>22</v>
      </c>
      <c r="C229" s="41" t="s">
        <v>23</v>
      </c>
      <c r="D229" s="41" t="s">
        <v>24</v>
      </c>
      <c r="E229" s="41" t="s">
        <v>24</v>
      </c>
      <c r="F229" s="41" t="s">
        <v>25</v>
      </c>
      <c r="G229" s="41" t="s">
        <v>25</v>
      </c>
      <c r="H229" s="41" t="s">
        <v>25</v>
      </c>
      <c r="I229" s="61">
        <v>44562</v>
      </c>
      <c r="J229" s="62">
        <f>EFEITO!$J$229*EFEITO!$Y$229</f>
        <v>0</v>
      </c>
      <c r="K229" s="62">
        <f ca="1">EFEITO!$L$229*EFEITO!$Z$229</f>
        <v>7185.8830598258037</v>
      </c>
      <c r="L229" s="62">
        <f>EFEITO!$N$229*EFEITO!$AA$229</f>
        <v>4257.8771751421527</v>
      </c>
      <c r="M229" s="62">
        <f>$J$229-EFEITO!$K$229*EFEITO!$Y$229</f>
        <v>0</v>
      </c>
      <c r="N229" s="62">
        <f ca="1">$K$229-EFEITO!$M$229*EFEITO!$Z$229</f>
        <v>0</v>
      </c>
      <c r="O229" s="62">
        <f>$L$229-EFEITO!$O$229*EFEITO!$AA$229</f>
        <v>0</v>
      </c>
      <c r="P229" s="45"/>
      <c r="Q229" s="45"/>
      <c r="R229" s="45"/>
      <c r="S229" s="45"/>
      <c r="T229" s="45"/>
      <c r="U229" s="45"/>
      <c r="V229" s="45"/>
      <c r="W229" s="45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41" t="s">
        <v>21</v>
      </c>
      <c r="B230" s="41" t="s">
        <v>22</v>
      </c>
      <c r="C230" s="41" t="s">
        <v>23</v>
      </c>
      <c r="D230" s="41" t="s">
        <v>24</v>
      </c>
      <c r="E230" s="41" t="s">
        <v>24</v>
      </c>
      <c r="F230" s="41" t="s">
        <v>25</v>
      </c>
      <c r="G230" s="41" t="s">
        <v>25</v>
      </c>
      <c r="H230" s="41" t="s">
        <v>25</v>
      </c>
      <c r="I230" s="61">
        <v>44593</v>
      </c>
      <c r="J230" s="62">
        <f>EFEITO!$J$230*EFEITO!$Y$230</f>
        <v>0</v>
      </c>
      <c r="K230" s="62">
        <f ca="1">EFEITO!$L$230*EFEITO!$Z$230</f>
        <v>294482.7930176587</v>
      </c>
      <c r="L230" s="62">
        <f>EFEITO!$N$230*EFEITO!$AA$230</f>
        <v>174490.95016199659</v>
      </c>
      <c r="M230" s="62">
        <f>$J$230-EFEITO!$K$230*EFEITO!$Y$230</f>
        <v>0</v>
      </c>
      <c r="N230" s="62">
        <f ca="1">$K$230-EFEITO!$M$230*EFEITO!$Z$230</f>
        <v>0</v>
      </c>
      <c r="O230" s="62">
        <f>$L$230-EFEITO!$O$230*EFEITO!$AA$230</f>
        <v>0</v>
      </c>
      <c r="P230" s="45"/>
      <c r="Q230" s="45"/>
      <c r="R230" s="45"/>
      <c r="S230" s="45"/>
      <c r="T230" s="45"/>
      <c r="U230" s="45"/>
      <c r="V230" s="45"/>
      <c r="W230" s="45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41" t="s">
        <v>27</v>
      </c>
      <c r="B231" s="41" t="s">
        <v>22</v>
      </c>
      <c r="C231" s="41" t="s">
        <v>23</v>
      </c>
      <c r="D231" s="41" t="s">
        <v>24</v>
      </c>
      <c r="E231" s="41" t="s">
        <v>24</v>
      </c>
      <c r="F231" s="41" t="s">
        <v>25</v>
      </c>
      <c r="G231" s="41" t="s">
        <v>25</v>
      </c>
      <c r="H231" s="41" t="s">
        <v>25</v>
      </c>
      <c r="I231" s="61">
        <v>44593</v>
      </c>
      <c r="J231" s="62">
        <f>EFEITO!$J$231*EFEITO!$Y$231</f>
        <v>0</v>
      </c>
      <c r="K231" s="62">
        <f ca="1">EFEITO!$L$231*EFEITO!$Z$231</f>
        <v>7138.2271327698554</v>
      </c>
      <c r="L231" s="62">
        <f>EFEITO!$N$231*EFEITO!$AA$231</f>
        <v>4229.6394370127655</v>
      </c>
      <c r="M231" s="62">
        <f>$J$231-EFEITO!$K$231*EFEITO!$Y$231</f>
        <v>0</v>
      </c>
      <c r="N231" s="62">
        <f ca="1">$K$231-EFEITO!$M$231*EFEITO!$Z$231</f>
        <v>0</v>
      </c>
      <c r="O231" s="62">
        <f>$L$231-EFEITO!$O$231*EFEITO!$AA$231</f>
        <v>0</v>
      </c>
      <c r="P231" s="45"/>
      <c r="Q231" s="45"/>
      <c r="R231" s="45"/>
      <c r="S231" s="45"/>
      <c r="T231" s="45"/>
      <c r="U231" s="45"/>
      <c r="V231" s="45"/>
      <c r="W231" s="45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41" t="s">
        <v>21</v>
      </c>
      <c r="B232" s="41" t="s">
        <v>22</v>
      </c>
      <c r="C232" s="41" t="s">
        <v>23</v>
      </c>
      <c r="D232" s="41" t="s">
        <v>24</v>
      </c>
      <c r="E232" s="41" t="s">
        <v>24</v>
      </c>
      <c r="F232" s="41" t="s">
        <v>25</v>
      </c>
      <c r="G232" s="41" t="s">
        <v>25</v>
      </c>
      <c r="H232" s="41" t="s">
        <v>25</v>
      </c>
      <c r="I232" s="61">
        <v>44621</v>
      </c>
      <c r="J232" s="62">
        <f>EFEITO!$J$232*EFEITO!$Y$232</f>
        <v>0</v>
      </c>
      <c r="K232" s="62">
        <f ca="1">EFEITO!$L$232*EFEITO!$Z$232</f>
        <v>320930.7813000243</v>
      </c>
      <c r="L232" s="62">
        <f>EFEITO!$N$232*EFEITO!$AA$232</f>
        <v>190162.27193252393</v>
      </c>
      <c r="M232" s="62">
        <f>$J$232-EFEITO!$K$232*EFEITO!$Y$232</f>
        <v>0</v>
      </c>
      <c r="N232" s="62">
        <f ca="1">$K$232-EFEITO!$M$232*EFEITO!$Z$232</f>
        <v>0</v>
      </c>
      <c r="O232" s="62">
        <f>$L$232-EFEITO!$O$232*EFEITO!$AA$232</f>
        <v>0</v>
      </c>
      <c r="P232" s="45"/>
      <c r="Q232" s="45"/>
      <c r="R232" s="45"/>
      <c r="S232" s="45"/>
      <c r="T232" s="45"/>
      <c r="U232" s="45"/>
      <c r="V232" s="45"/>
      <c r="W232" s="45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41" t="s">
        <v>27</v>
      </c>
      <c r="B233" s="41" t="s">
        <v>22</v>
      </c>
      <c r="C233" s="41" t="s">
        <v>23</v>
      </c>
      <c r="D233" s="41" t="s">
        <v>24</v>
      </c>
      <c r="E233" s="41" t="s">
        <v>24</v>
      </c>
      <c r="F233" s="41" t="s">
        <v>25</v>
      </c>
      <c r="G233" s="41" t="s">
        <v>25</v>
      </c>
      <c r="H233" s="41" t="s">
        <v>25</v>
      </c>
      <c r="I233" s="61">
        <v>44621</v>
      </c>
      <c r="J233" s="62">
        <f>EFEITO!$J$233*EFEITO!$Y$233</f>
        <v>0</v>
      </c>
      <c r="K233" s="62">
        <f ca="1">EFEITO!$L$233*EFEITO!$Z$233</f>
        <v>9036.7551679839889</v>
      </c>
      <c r="L233" s="62">
        <f>EFEITO!$N$233*EFEITO!$AA$233</f>
        <v>5354.5810927849507</v>
      </c>
      <c r="M233" s="62">
        <f>$J$233-EFEITO!$K$233*EFEITO!$Y$233</f>
        <v>0</v>
      </c>
      <c r="N233" s="62">
        <f ca="1">$K$233-EFEITO!$M$233*EFEITO!$Z$233</f>
        <v>0</v>
      </c>
      <c r="O233" s="62">
        <f>$L$233-EFEITO!$O$233*EFEITO!$AA$233</f>
        <v>0</v>
      </c>
      <c r="P233" s="45"/>
      <c r="Q233" s="45"/>
      <c r="R233" s="45"/>
      <c r="S233" s="45"/>
      <c r="T233" s="45"/>
      <c r="U233" s="45"/>
      <c r="V233" s="45"/>
      <c r="W233" s="45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41" t="s">
        <v>21</v>
      </c>
      <c r="B234" s="41" t="s">
        <v>22</v>
      </c>
      <c r="C234" s="41" t="s">
        <v>23</v>
      </c>
      <c r="D234" s="41" t="s">
        <v>24</v>
      </c>
      <c r="E234" s="41" t="s">
        <v>24</v>
      </c>
      <c r="F234" s="41" t="s">
        <v>25</v>
      </c>
      <c r="G234" s="41" t="s">
        <v>25</v>
      </c>
      <c r="H234" s="41" t="s">
        <v>25</v>
      </c>
      <c r="I234" s="61">
        <v>44652</v>
      </c>
      <c r="J234" s="62">
        <f>EFEITO!$J$234*EFEITO!$Y$234</f>
        <v>0</v>
      </c>
      <c r="K234" s="62">
        <f ca="1">EFEITO!$L$234*EFEITO!$Z$234</f>
        <v>282512.39504590712</v>
      </c>
      <c r="L234" s="62">
        <f>EFEITO!$N$234*EFEITO!$AA$234</f>
        <v>167398.08713083496</v>
      </c>
      <c r="M234" s="62">
        <f>$J$234-EFEITO!$K$234*EFEITO!$Y$234</f>
        <v>0</v>
      </c>
      <c r="N234" s="62">
        <f ca="1">$K$234-EFEITO!$M$234*EFEITO!$Z$234</f>
        <v>0</v>
      </c>
      <c r="O234" s="62">
        <f>$L$234-EFEITO!$O$234*EFEITO!$AA$234</f>
        <v>0</v>
      </c>
      <c r="P234" s="45"/>
      <c r="Q234" s="45"/>
      <c r="R234" s="45"/>
      <c r="S234" s="45"/>
      <c r="T234" s="45"/>
      <c r="U234" s="45"/>
      <c r="V234" s="45"/>
      <c r="W234" s="45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41" t="s">
        <v>27</v>
      </c>
      <c r="B235" s="41" t="s">
        <v>22</v>
      </c>
      <c r="C235" s="41" t="s">
        <v>23</v>
      </c>
      <c r="D235" s="41" t="s">
        <v>24</v>
      </c>
      <c r="E235" s="41" t="s">
        <v>24</v>
      </c>
      <c r="F235" s="41" t="s">
        <v>25</v>
      </c>
      <c r="G235" s="41" t="s">
        <v>25</v>
      </c>
      <c r="H235" s="41" t="s">
        <v>25</v>
      </c>
      <c r="I235" s="61">
        <v>44652</v>
      </c>
      <c r="J235" s="62">
        <f>EFEITO!$J$235*EFEITO!$Y$235</f>
        <v>0</v>
      </c>
      <c r="K235" s="62">
        <f ca="1">EFEITO!$L$235*EFEITO!$Z$235</f>
        <v>8156.8725735907265</v>
      </c>
      <c r="L235" s="62">
        <f>EFEITO!$N$235*EFEITO!$AA$235</f>
        <v>4833.2210895284061</v>
      </c>
      <c r="M235" s="62">
        <f>$J$235-EFEITO!$K$235*EFEITO!$Y$235</f>
        <v>0</v>
      </c>
      <c r="N235" s="62">
        <f ca="1">$K$235-EFEITO!$M$235*EFEITO!$Z$235</f>
        <v>0</v>
      </c>
      <c r="O235" s="62">
        <f>$L$235-EFEITO!$O$235*EFEITO!$AA$235</f>
        <v>0</v>
      </c>
      <c r="P235" s="45"/>
      <c r="Q235" s="45"/>
      <c r="R235" s="45"/>
      <c r="S235" s="45"/>
      <c r="T235" s="45"/>
      <c r="U235" s="45"/>
      <c r="V235" s="45"/>
      <c r="W235" s="45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41" t="s">
        <v>21</v>
      </c>
      <c r="B236" s="41" t="s">
        <v>22</v>
      </c>
      <c r="C236" s="41" t="s">
        <v>23</v>
      </c>
      <c r="D236" s="41" t="s">
        <v>24</v>
      </c>
      <c r="E236" s="41" t="s">
        <v>24</v>
      </c>
      <c r="F236" s="41" t="s">
        <v>25</v>
      </c>
      <c r="G236" s="41" t="s">
        <v>25</v>
      </c>
      <c r="H236" s="41" t="s">
        <v>25</v>
      </c>
      <c r="I236" s="61">
        <v>44682</v>
      </c>
      <c r="J236" s="62">
        <f>EFEITO!$J$236*EFEITO!$Y$236</f>
        <v>0</v>
      </c>
      <c r="K236" s="62">
        <f ca="1">EFEITO!$L$236*EFEITO!$Z$236</f>
        <v>272759.74973839888</v>
      </c>
      <c r="L236" s="62">
        <f>EFEITO!$N$236*EFEITO!$AA$236</f>
        <v>161619.31707482695</v>
      </c>
      <c r="M236" s="62">
        <f>$J$236-EFEITO!$K$236*EFEITO!$Y$236</f>
        <v>0</v>
      </c>
      <c r="N236" s="62">
        <f ca="1">$K$236-EFEITO!$M$236*EFEITO!$Z$236</f>
        <v>0</v>
      </c>
      <c r="O236" s="62">
        <f>$L$236-EFEITO!$O$236*EFEITO!$AA$236</f>
        <v>0</v>
      </c>
      <c r="P236" s="45"/>
      <c r="Q236" s="45"/>
      <c r="R236" s="45"/>
      <c r="S236" s="45"/>
      <c r="T236" s="45"/>
      <c r="U236" s="45"/>
      <c r="V236" s="45"/>
      <c r="W236" s="45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41" t="s">
        <v>54</v>
      </c>
      <c r="B237" s="41" t="s">
        <v>22</v>
      </c>
      <c r="C237" s="41" t="s">
        <v>23</v>
      </c>
      <c r="D237" s="41" t="s">
        <v>24</v>
      </c>
      <c r="E237" s="41" t="s">
        <v>24</v>
      </c>
      <c r="F237" s="41" t="s">
        <v>25</v>
      </c>
      <c r="G237" s="41" t="s">
        <v>25</v>
      </c>
      <c r="H237" s="41" t="s">
        <v>25</v>
      </c>
      <c r="I237" s="61">
        <v>44682</v>
      </c>
      <c r="J237" s="62">
        <f>EFEITO!$J$237*EFEITO!$Y$237</f>
        <v>0</v>
      </c>
      <c r="K237" s="62">
        <f ca="1">EFEITO!$L$237*EFEITO!$Z$237</f>
        <v>-124.39598606515629</v>
      </c>
      <c r="L237" s="62">
        <f>EFEITO!$N$237*EFEITO!$AA$237</f>
        <v>-73.708801734796126</v>
      </c>
      <c r="M237" s="62">
        <f>$J$237-EFEITO!$K$237*EFEITO!$Y$237</f>
        <v>0</v>
      </c>
      <c r="N237" s="62">
        <f ca="1">$K$237-EFEITO!$M$237*EFEITO!$Z$237</f>
        <v>0</v>
      </c>
      <c r="O237" s="62">
        <f>$L$237-EFEITO!$O$237*EFEITO!$AA$237</f>
        <v>0</v>
      </c>
      <c r="P237" s="45"/>
      <c r="Q237" s="45"/>
      <c r="R237" s="45"/>
      <c r="S237" s="45"/>
      <c r="T237" s="45"/>
      <c r="U237" s="45"/>
      <c r="V237" s="45"/>
      <c r="W237" s="45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41" t="s">
        <v>27</v>
      </c>
      <c r="B238" s="41" t="s">
        <v>22</v>
      </c>
      <c r="C238" s="41" t="s">
        <v>23</v>
      </c>
      <c r="D238" s="41" t="s">
        <v>24</v>
      </c>
      <c r="E238" s="41" t="s">
        <v>24</v>
      </c>
      <c r="F238" s="41" t="s">
        <v>25</v>
      </c>
      <c r="G238" s="41" t="s">
        <v>25</v>
      </c>
      <c r="H238" s="41" t="s">
        <v>25</v>
      </c>
      <c r="I238" s="61">
        <v>44682</v>
      </c>
      <c r="J238" s="62">
        <f>EFEITO!$J$238*EFEITO!$Y$238</f>
        <v>0</v>
      </c>
      <c r="K238" s="62">
        <f ca="1">EFEITO!$L$238*EFEITO!$Z$238</f>
        <v>9204.6021463648613</v>
      </c>
      <c r="L238" s="62">
        <f>EFEITO!$N$238*EFEITO!$AA$238</f>
        <v>5454.0360675200691</v>
      </c>
      <c r="M238" s="62">
        <f>$J$238-EFEITO!$K$238*EFEITO!$Y$238</f>
        <v>0</v>
      </c>
      <c r="N238" s="62">
        <f ca="1">$K$238-EFEITO!$M$238*EFEITO!$Z$238</f>
        <v>0</v>
      </c>
      <c r="O238" s="62">
        <f>$L$238-EFEITO!$O$238*EFEITO!$AA$238</f>
        <v>0</v>
      </c>
      <c r="P238" s="45"/>
      <c r="Q238" s="45"/>
      <c r="R238" s="45"/>
      <c r="S238" s="45"/>
      <c r="T238" s="45"/>
      <c r="U238" s="45"/>
      <c r="V238" s="45"/>
      <c r="W238" s="45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41" t="s">
        <v>21</v>
      </c>
      <c r="B239" s="41" t="s">
        <v>22</v>
      </c>
      <c r="C239" s="41" t="s">
        <v>23</v>
      </c>
      <c r="D239" s="41" t="s">
        <v>24</v>
      </c>
      <c r="E239" s="41" t="s">
        <v>24</v>
      </c>
      <c r="F239" s="41" t="s">
        <v>25</v>
      </c>
      <c r="G239" s="41" t="s">
        <v>25</v>
      </c>
      <c r="H239" s="41" t="s">
        <v>25</v>
      </c>
      <c r="I239" s="61">
        <v>44713</v>
      </c>
      <c r="J239" s="62">
        <f>EFEITO!$J$239*EFEITO!$Y$239</f>
        <v>0</v>
      </c>
      <c r="K239" s="62">
        <f ca="1">EFEITO!$L$239*EFEITO!$Z$239</f>
        <v>283618.9937050445</v>
      </c>
      <c r="L239" s="62">
        <f>EFEITO!$N$239*EFEITO!$AA$239</f>
        <v>168053.78402063352</v>
      </c>
      <c r="M239" s="62">
        <f>$J$239-EFEITO!$K$239*EFEITO!$Y$239</f>
        <v>0</v>
      </c>
      <c r="N239" s="62">
        <f ca="1">$K$239-EFEITO!$M$239*EFEITO!$Z$239</f>
        <v>0</v>
      </c>
      <c r="O239" s="62">
        <f>$L$239-EFEITO!$O$239*EFEITO!$AA$239</f>
        <v>0</v>
      </c>
      <c r="P239" s="45"/>
      <c r="Q239" s="45"/>
      <c r="R239" s="45"/>
      <c r="S239" s="45"/>
      <c r="T239" s="45"/>
      <c r="U239" s="45"/>
      <c r="V239" s="45"/>
      <c r="W239" s="45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41" t="s">
        <v>27</v>
      </c>
      <c r="B240" s="41" t="s">
        <v>22</v>
      </c>
      <c r="C240" s="41" t="s">
        <v>23</v>
      </c>
      <c r="D240" s="41" t="s">
        <v>24</v>
      </c>
      <c r="E240" s="41" t="s">
        <v>24</v>
      </c>
      <c r="F240" s="41" t="s">
        <v>25</v>
      </c>
      <c r="G240" s="41" t="s">
        <v>25</v>
      </c>
      <c r="H240" s="41" t="s">
        <v>25</v>
      </c>
      <c r="I240" s="61">
        <v>44713</v>
      </c>
      <c r="J240" s="62">
        <f>EFEITO!$J$240*EFEITO!$Y$240</f>
        <v>0</v>
      </c>
      <c r="K240" s="62">
        <f ca="1">EFEITO!$L$240*EFEITO!$Z$240</f>
        <v>12257.034356543949</v>
      </c>
      <c r="L240" s="62">
        <f>EFEITO!$N$240*EFEITO!$AA$240</f>
        <v>7262.7047207927708</v>
      </c>
      <c r="M240" s="62">
        <f>$J$240-EFEITO!$K$240*EFEITO!$Y$240</f>
        <v>0</v>
      </c>
      <c r="N240" s="62">
        <f ca="1">$K$240-EFEITO!$M$240*EFEITO!$Z$240</f>
        <v>0</v>
      </c>
      <c r="O240" s="62">
        <f>$L$240-EFEITO!$O$240*EFEITO!$AA$240</f>
        <v>0</v>
      </c>
      <c r="P240" s="45"/>
      <c r="Q240" s="45"/>
      <c r="R240" s="45"/>
      <c r="S240" s="45"/>
      <c r="T240" s="45"/>
      <c r="U240" s="45"/>
      <c r="V240" s="45"/>
      <c r="W240" s="45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41" t="s">
        <v>55</v>
      </c>
      <c r="B241" s="41" t="s">
        <v>22</v>
      </c>
      <c r="C241" s="41" t="s">
        <v>23</v>
      </c>
      <c r="D241" s="41" t="s">
        <v>24</v>
      </c>
      <c r="E241" s="41" t="s">
        <v>24</v>
      </c>
      <c r="F241" s="41" t="s">
        <v>25</v>
      </c>
      <c r="G241" s="41" t="s">
        <v>25</v>
      </c>
      <c r="H241" s="41" t="s">
        <v>25</v>
      </c>
      <c r="I241" s="61">
        <v>44743</v>
      </c>
      <c r="J241" s="62">
        <f>EFEITO!$J$241*EFEITO!$Y$241</f>
        <v>0</v>
      </c>
      <c r="K241" s="62">
        <f ca="1">EFEITO!$L$241*EFEITO!$Z$241</f>
        <v>283618.9937050445</v>
      </c>
      <c r="L241" s="62">
        <f>EFEITO!$N$241*EFEITO!$AA$241</f>
        <v>168053.78402063352</v>
      </c>
      <c r="M241" s="62">
        <f>$J$241-EFEITO!$K$241*EFEITO!$Y$241</f>
        <v>0</v>
      </c>
      <c r="N241" s="62">
        <f ca="1">$K$241-EFEITO!$M$241*EFEITO!$Z$241</f>
        <v>0</v>
      </c>
      <c r="O241" s="62">
        <f>$L$241-EFEITO!$O$241*EFEITO!$AA$241</f>
        <v>0</v>
      </c>
      <c r="P241" s="45"/>
      <c r="Q241" s="45"/>
      <c r="R241" s="45"/>
      <c r="S241" s="45"/>
      <c r="T241" s="45"/>
      <c r="U241" s="45"/>
      <c r="V241" s="45"/>
      <c r="W241" s="45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41" t="s">
        <v>55</v>
      </c>
      <c r="B242" s="41" t="s">
        <v>22</v>
      </c>
      <c r="C242" s="41" t="s">
        <v>23</v>
      </c>
      <c r="D242" s="41" t="s">
        <v>24</v>
      </c>
      <c r="E242" s="41" t="s">
        <v>24</v>
      </c>
      <c r="F242" s="41" t="s">
        <v>25</v>
      </c>
      <c r="G242" s="41" t="s">
        <v>25</v>
      </c>
      <c r="H242" s="41" t="s">
        <v>25</v>
      </c>
      <c r="I242" s="61">
        <v>44743</v>
      </c>
      <c r="J242" s="62">
        <f>EFEITO!$J$242*EFEITO!$Y$242</f>
        <v>0</v>
      </c>
      <c r="K242" s="62">
        <f ca="1">EFEITO!$L$242*EFEITO!$Z$242</f>
        <v>12257.034356543949</v>
      </c>
      <c r="L242" s="62">
        <f>EFEITO!$N$242*EFEITO!$AA$242</f>
        <v>7262.7047207927708</v>
      </c>
      <c r="M242" s="62">
        <f>$J$242-EFEITO!$K$242*EFEITO!$Y$242</f>
        <v>0</v>
      </c>
      <c r="N242" s="62">
        <f ca="1">$K$242-EFEITO!$M$242*EFEITO!$Z$242</f>
        <v>0</v>
      </c>
      <c r="O242" s="62">
        <f>$L$242-EFEITO!$O$242*EFEITO!$AA$242</f>
        <v>0</v>
      </c>
      <c r="P242" s="45"/>
      <c r="Q242" s="45"/>
      <c r="R242" s="45"/>
      <c r="S242" s="45"/>
      <c r="T242" s="45"/>
      <c r="U242" s="45"/>
      <c r="V242" s="45"/>
      <c r="W242" s="45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41" t="s">
        <v>21</v>
      </c>
      <c r="B243" s="41" t="s">
        <v>22</v>
      </c>
      <c r="C243" s="41" t="s">
        <v>23</v>
      </c>
      <c r="D243" s="41" t="s">
        <v>24</v>
      </c>
      <c r="E243" s="41" t="s">
        <v>28</v>
      </c>
      <c r="F243" s="41" t="s">
        <v>25</v>
      </c>
      <c r="G243" s="41" t="s">
        <v>25</v>
      </c>
      <c r="H243" s="41" t="s">
        <v>25</v>
      </c>
      <c r="I243" s="61">
        <v>44409</v>
      </c>
      <c r="J243" s="62">
        <f>EFEITO!$J$243*EFEITO!$Y$218</f>
        <v>0</v>
      </c>
      <c r="K243" s="62">
        <f ca="1">EFEITO!$L$243*EFEITO!$Z$279</f>
        <v>4477.5514411210415</v>
      </c>
      <c r="L243" s="62">
        <f>EFEITO!$N$243*EFEITO!$AA$279</f>
        <v>3594.0826986741431</v>
      </c>
      <c r="M243" s="62">
        <f>$J$243-EFEITO!$K$243*EFEITO!$Y$243</f>
        <v>0</v>
      </c>
      <c r="N243" s="62">
        <f ca="1">$K$243-EFEITO!$M$243*EFEITO!$Z$243</f>
        <v>2910.4084367286769</v>
      </c>
      <c r="O243" s="62">
        <f>$L$243-EFEITO!$O$243*EFEITO!$AA$243</f>
        <v>2336.1537541381931</v>
      </c>
      <c r="P243" s="45"/>
      <c r="Q243" s="45"/>
      <c r="R243" s="45"/>
      <c r="S243" s="45"/>
      <c r="T243" s="45"/>
      <c r="U243" s="45"/>
      <c r="V243" s="45"/>
      <c r="W243" s="45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41" t="s">
        <v>21</v>
      </c>
      <c r="B244" s="41" t="s">
        <v>22</v>
      </c>
      <c r="C244" s="41" t="s">
        <v>23</v>
      </c>
      <c r="D244" s="41" t="s">
        <v>24</v>
      </c>
      <c r="E244" s="41" t="s">
        <v>28</v>
      </c>
      <c r="F244" s="41" t="s">
        <v>25</v>
      </c>
      <c r="G244" s="41" t="s">
        <v>25</v>
      </c>
      <c r="H244" s="41" t="s">
        <v>25</v>
      </c>
      <c r="I244" s="61">
        <v>44440</v>
      </c>
      <c r="J244" s="62">
        <f>EFEITO!$J$244*EFEITO!$Y$218</f>
        <v>0</v>
      </c>
      <c r="K244" s="62">
        <f ca="1">EFEITO!$L$244*EFEITO!$Z$279</f>
        <v>4190.4294249659661</v>
      </c>
      <c r="L244" s="62">
        <f>EFEITO!$N$244*EFEITO!$AA$279</f>
        <v>3363.6129242357665</v>
      </c>
      <c r="M244" s="62">
        <f>$J$244-EFEITO!$K$244*EFEITO!$Y$244</f>
        <v>0</v>
      </c>
      <c r="N244" s="62">
        <f ca="1">$K$244-EFEITO!$M$244*EFEITO!$Z$244</f>
        <v>2723.7791262278779</v>
      </c>
      <c r="O244" s="62">
        <f>$L$244-EFEITO!$O$244*EFEITO!$AA$244</f>
        <v>2186.3484007532479</v>
      </c>
      <c r="P244" s="45"/>
      <c r="Q244" s="45"/>
      <c r="R244" s="45"/>
      <c r="S244" s="45"/>
      <c r="T244" s="45"/>
      <c r="U244" s="45"/>
      <c r="V244" s="45"/>
      <c r="W244" s="45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41" t="s">
        <v>21</v>
      </c>
      <c r="B245" s="41" t="s">
        <v>22</v>
      </c>
      <c r="C245" s="41" t="s">
        <v>23</v>
      </c>
      <c r="D245" s="41" t="s">
        <v>24</v>
      </c>
      <c r="E245" s="41" t="s">
        <v>28</v>
      </c>
      <c r="F245" s="41" t="s">
        <v>25</v>
      </c>
      <c r="G245" s="41" t="s">
        <v>25</v>
      </c>
      <c r="H245" s="41" t="s">
        <v>25</v>
      </c>
      <c r="I245" s="61">
        <v>44470</v>
      </c>
      <c r="J245" s="62">
        <f>EFEITO!$J$245*EFEITO!$Y$218</f>
        <v>0</v>
      </c>
      <c r="K245" s="62">
        <f ca="1">EFEITO!$L$245*EFEITO!$Z$279</f>
        <v>4120.5889345498672</v>
      </c>
      <c r="L245" s="62">
        <f>EFEITO!$N$245*EFEITO!$AA$279</f>
        <v>3307.5527088318372</v>
      </c>
      <c r="M245" s="62">
        <f>$J$245-EFEITO!$K$245*EFEITO!$Y$245</f>
        <v>0</v>
      </c>
      <c r="N245" s="62">
        <f ca="1">$K$245-EFEITO!$M$245*EFEITO!$Z$245</f>
        <v>2678.3828074574139</v>
      </c>
      <c r="O245" s="62">
        <f>$L$245-EFEITO!$O$245*EFEITO!$AA$245</f>
        <v>2149.9092607406942</v>
      </c>
      <c r="P245" s="45"/>
      <c r="Q245" s="45"/>
      <c r="R245" s="45"/>
      <c r="S245" s="45"/>
      <c r="T245" s="45"/>
      <c r="U245" s="45"/>
      <c r="V245" s="45"/>
      <c r="W245" s="45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41" t="s">
        <v>21</v>
      </c>
      <c r="B246" s="41" t="s">
        <v>22</v>
      </c>
      <c r="C246" s="41" t="s">
        <v>23</v>
      </c>
      <c r="D246" s="41" t="s">
        <v>24</v>
      </c>
      <c r="E246" s="41" t="s">
        <v>28</v>
      </c>
      <c r="F246" s="41" t="s">
        <v>25</v>
      </c>
      <c r="G246" s="41" t="s">
        <v>25</v>
      </c>
      <c r="H246" s="41" t="s">
        <v>25</v>
      </c>
      <c r="I246" s="61">
        <v>44501</v>
      </c>
      <c r="J246" s="62">
        <f>EFEITO!$J$246*EFEITO!$Y$218</f>
        <v>0</v>
      </c>
      <c r="K246" s="62">
        <f ca="1">EFEITO!$L$246*EFEITO!$Z$279</f>
        <v>4205.9495339473224</v>
      </c>
      <c r="L246" s="62">
        <f>EFEITO!$N$246*EFEITO!$AA$279</f>
        <v>3376.0707498810848</v>
      </c>
      <c r="M246" s="62">
        <f>$J$246-EFEITO!$K$246*EFEITO!$Y$246</f>
        <v>0</v>
      </c>
      <c r="N246" s="62">
        <f ca="1">$K$246-EFEITO!$M$246*EFEITO!$Z$246</f>
        <v>2733.8671970657597</v>
      </c>
      <c r="O246" s="62">
        <f>$L$246-EFEITO!$O$246*EFEITO!$AA$246</f>
        <v>2194.445987422705</v>
      </c>
      <c r="P246" s="45"/>
      <c r="Q246" s="45"/>
      <c r="R246" s="45"/>
      <c r="S246" s="45"/>
      <c r="T246" s="45"/>
      <c r="U246" s="45"/>
      <c r="V246" s="45"/>
      <c r="W246" s="45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41" t="s">
        <v>21</v>
      </c>
      <c r="B247" s="41" t="s">
        <v>22</v>
      </c>
      <c r="C247" s="41" t="s">
        <v>23</v>
      </c>
      <c r="D247" s="41" t="s">
        <v>24</v>
      </c>
      <c r="E247" s="41" t="s">
        <v>28</v>
      </c>
      <c r="F247" s="41" t="s">
        <v>25</v>
      </c>
      <c r="G247" s="41" t="s">
        <v>25</v>
      </c>
      <c r="H247" s="41" t="s">
        <v>25</v>
      </c>
      <c r="I247" s="61">
        <v>44531</v>
      </c>
      <c r="J247" s="62">
        <f>EFEITO!$J$247*EFEITO!$Y$218</f>
        <v>0</v>
      </c>
      <c r="K247" s="62">
        <f ca="1">EFEITO!$L$247*EFEITO!$Z$279</f>
        <v>4299.0701878354548</v>
      </c>
      <c r="L247" s="62">
        <f>EFEITO!$N$247*EFEITO!$AA$279</f>
        <v>3450.8177037529908</v>
      </c>
      <c r="M247" s="62">
        <f>$J$247-EFEITO!$K$247*EFEITO!$Y$247</f>
        <v>0</v>
      </c>
      <c r="N247" s="62">
        <f ca="1">$K$247-EFEITO!$M$247*EFEITO!$Z$247</f>
        <v>2794.3956220930459</v>
      </c>
      <c r="O247" s="62">
        <f>$L$247-EFEITO!$O$247*EFEITO!$AA$247</f>
        <v>2243.0315074394439</v>
      </c>
      <c r="P247" s="45"/>
      <c r="Q247" s="45"/>
      <c r="R247" s="45"/>
      <c r="S247" s="45"/>
      <c r="T247" s="45"/>
      <c r="U247" s="45"/>
      <c r="V247" s="45"/>
      <c r="W247" s="45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41" t="s">
        <v>21</v>
      </c>
      <c r="B248" s="41" t="s">
        <v>22</v>
      </c>
      <c r="C248" s="41" t="s">
        <v>23</v>
      </c>
      <c r="D248" s="41" t="s">
        <v>24</v>
      </c>
      <c r="E248" s="41" t="s">
        <v>28</v>
      </c>
      <c r="F248" s="41" t="s">
        <v>25</v>
      </c>
      <c r="G248" s="41" t="s">
        <v>25</v>
      </c>
      <c r="H248" s="41" t="s">
        <v>25</v>
      </c>
      <c r="I248" s="61">
        <v>44562</v>
      </c>
      <c r="J248" s="62">
        <f>EFEITO!$J$248*EFEITO!$Y$218</f>
        <v>0</v>
      </c>
      <c r="K248" s="62">
        <f ca="1">EFEITO!$L$248*EFEITO!$Z$279</f>
        <v>4330.1104057981647</v>
      </c>
      <c r="L248" s="62">
        <f>EFEITO!$N$248*EFEITO!$AA$279</f>
        <v>3475.7333550436256</v>
      </c>
      <c r="M248" s="62">
        <f>$J$248-EFEITO!$K$248*EFEITO!$Y$248</f>
        <v>0</v>
      </c>
      <c r="N248" s="62">
        <f ca="1">$K$248-EFEITO!$M$248*EFEITO!$Z$248</f>
        <v>2814.5717637688072</v>
      </c>
      <c r="O248" s="62">
        <f>$L$248-EFEITO!$O$248*EFEITO!$AA$248</f>
        <v>2259.2266807783567</v>
      </c>
      <c r="P248" s="45"/>
      <c r="Q248" s="45"/>
      <c r="R248" s="45"/>
      <c r="S248" s="45"/>
      <c r="T248" s="45"/>
      <c r="U248" s="45"/>
      <c r="V248" s="45"/>
      <c r="W248" s="45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41" t="s">
        <v>21</v>
      </c>
      <c r="B249" s="41" t="s">
        <v>22</v>
      </c>
      <c r="C249" s="41" t="s">
        <v>23</v>
      </c>
      <c r="D249" s="41" t="s">
        <v>24</v>
      </c>
      <c r="E249" s="41" t="s">
        <v>28</v>
      </c>
      <c r="F249" s="41" t="s">
        <v>25</v>
      </c>
      <c r="G249" s="41" t="s">
        <v>25</v>
      </c>
      <c r="H249" s="41" t="s">
        <v>25</v>
      </c>
      <c r="I249" s="61">
        <v>44593</v>
      </c>
      <c r="J249" s="62">
        <f>EFEITO!$J$249*EFEITO!$Y$218</f>
        <v>0</v>
      </c>
      <c r="K249" s="62">
        <f ca="1">EFEITO!$L$249*EFEITO!$Z$279</f>
        <v>4381.8441024026833</v>
      </c>
      <c r="L249" s="62">
        <f>EFEITO!$N$249*EFEITO!$AA$279</f>
        <v>3517.2594405280183</v>
      </c>
      <c r="M249" s="62">
        <f>$J$249-EFEITO!$K$249*EFEITO!$Y$249</f>
        <v>0</v>
      </c>
      <c r="N249" s="62">
        <f ca="1">$K$249-EFEITO!$M$249*EFEITO!$Z$249</f>
        <v>2848.1986665617442</v>
      </c>
      <c r="O249" s="62">
        <f>$L$249-EFEITO!$O$249*EFEITO!$AA$249</f>
        <v>2286.218636343212</v>
      </c>
      <c r="P249" s="45"/>
      <c r="Q249" s="45"/>
      <c r="R249" s="45"/>
      <c r="S249" s="45"/>
      <c r="T249" s="45"/>
      <c r="U249" s="45"/>
      <c r="V249" s="45"/>
      <c r="W249" s="45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41" t="s">
        <v>21</v>
      </c>
      <c r="B250" s="41" t="s">
        <v>22</v>
      </c>
      <c r="C250" s="41" t="s">
        <v>23</v>
      </c>
      <c r="D250" s="41" t="s">
        <v>24</v>
      </c>
      <c r="E250" s="41" t="s">
        <v>28</v>
      </c>
      <c r="F250" s="41" t="s">
        <v>25</v>
      </c>
      <c r="G250" s="41" t="s">
        <v>25</v>
      </c>
      <c r="H250" s="41" t="s">
        <v>25</v>
      </c>
      <c r="I250" s="61">
        <v>44621</v>
      </c>
      <c r="J250" s="62">
        <f>EFEITO!$J$250*EFEITO!$Y$218</f>
        <v>0</v>
      </c>
      <c r="K250" s="62">
        <f ca="1">EFEITO!$L$250*EFEITO!$Z$279</f>
        <v>4454.2712776490089</v>
      </c>
      <c r="L250" s="62">
        <f>EFEITO!$N$250*EFEITO!$AA$279</f>
        <v>3575.3959602061668</v>
      </c>
      <c r="M250" s="62">
        <f>$J$250-EFEITO!$K$250*EFEITO!$Y$250</f>
        <v>0</v>
      </c>
      <c r="N250" s="62">
        <f ca="1">$K$250-EFEITO!$M$250*EFEITO!$Z$250</f>
        <v>2895.276330471856</v>
      </c>
      <c r="O250" s="62">
        <f>$L$250-EFEITO!$O$250*EFEITO!$AA$250</f>
        <v>2324.0073741340084</v>
      </c>
      <c r="P250" s="45"/>
      <c r="Q250" s="45"/>
      <c r="R250" s="45"/>
      <c r="S250" s="45"/>
      <c r="T250" s="45"/>
      <c r="U250" s="45"/>
      <c r="V250" s="45"/>
      <c r="W250" s="45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41" t="s">
        <v>21</v>
      </c>
      <c r="B251" s="41" t="s">
        <v>22</v>
      </c>
      <c r="C251" s="41" t="s">
        <v>23</v>
      </c>
      <c r="D251" s="41" t="s">
        <v>24</v>
      </c>
      <c r="E251" s="41" t="s">
        <v>28</v>
      </c>
      <c r="F251" s="41" t="s">
        <v>25</v>
      </c>
      <c r="G251" s="41" t="s">
        <v>25</v>
      </c>
      <c r="H251" s="41" t="s">
        <v>25</v>
      </c>
      <c r="I251" s="61">
        <v>44652</v>
      </c>
      <c r="J251" s="62">
        <f>EFEITO!$J$251*EFEITO!$Y$218</f>
        <v>0</v>
      </c>
      <c r="K251" s="62">
        <f ca="1">EFEITO!$L$251*EFEITO!$Z$279</f>
        <v>4500.8316045930751</v>
      </c>
      <c r="L251" s="62">
        <f>EFEITO!$N$251*EFEITO!$AA$279</f>
        <v>3612.7694371421198</v>
      </c>
      <c r="M251" s="62">
        <f>$J$251-EFEITO!$K$251*EFEITO!$Y$251</f>
        <v>0</v>
      </c>
      <c r="N251" s="62">
        <f ca="1">$K$251-EFEITO!$M$251*EFEITO!$Z$251</f>
        <v>2925.5405429854991</v>
      </c>
      <c r="O251" s="62">
        <f>$L$251-EFEITO!$O$251*EFEITO!$AA$251</f>
        <v>2348.3001341423778</v>
      </c>
      <c r="P251" s="45"/>
      <c r="Q251" s="45"/>
      <c r="R251" s="45"/>
      <c r="S251" s="45"/>
      <c r="T251" s="45"/>
      <c r="U251" s="45"/>
      <c r="V251" s="45"/>
      <c r="W251" s="45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41" t="s">
        <v>21</v>
      </c>
      <c r="B252" s="41" t="s">
        <v>22</v>
      </c>
      <c r="C252" s="41" t="s">
        <v>23</v>
      </c>
      <c r="D252" s="41" t="s">
        <v>24</v>
      </c>
      <c r="E252" s="41" t="s">
        <v>28</v>
      </c>
      <c r="F252" s="41" t="s">
        <v>25</v>
      </c>
      <c r="G252" s="41" t="s">
        <v>25</v>
      </c>
      <c r="H252" s="41" t="s">
        <v>25</v>
      </c>
      <c r="I252" s="61">
        <v>44682</v>
      </c>
      <c r="J252" s="62">
        <f>EFEITO!$J$252*EFEITO!$Y$218</f>
        <v>0</v>
      </c>
      <c r="K252" s="62">
        <f ca="1">EFEITO!$L$252*EFEITO!$Z$279</f>
        <v>4578.4321494998521</v>
      </c>
      <c r="L252" s="62">
        <f>EFEITO!$N$252*EFEITO!$AA$279</f>
        <v>3675.0585653687081</v>
      </c>
      <c r="M252" s="62">
        <f>$J$252-EFEITO!$K$252*EFEITO!$Y$252</f>
        <v>0</v>
      </c>
      <c r="N252" s="62">
        <f ca="1">$K$252-EFEITO!$M$252*EFEITO!$Z$252</f>
        <v>2975.9808971749044</v>
      </c>
      <c r="O252" s="62">
        <f>$L$252-EFEITO!$O$252*EFEITO!$AA$252</f>
        <v>2388.7880674896605</v>
      </c>
      <c r="P252" s="45"/>
      <c r="Q252" s="45"/>
      <c r="R252" s="45"/>
      <c r="S252" s="45"/>
      <c r="T252" s="45"/>
      <c r="U252" s="45"/>
      <c r="V252" s="45"/>
      <c r="W252" s="45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41" t="s">
        <v>21</v>
      </c>
      <c r="B253" s="41" t="s">
        <v>22</v>
      </c>
      <c r="C253" s="41" t="s">
        <v>23</v>
      </c>
      <c r="D253" s="41" t="s">
        <v>24</v>
      </c>
      <c r="E253" s="41" t="s">
        <v>28</v>
      </c>
      <c r="F253" s="41" t="s">
        <v>25</v>
      </c>
      <c r="G253" s="41" t="s">
        <v>25</v>
      </c>
      <c r="H253" s="41" t="s">
        <v>25</v>
      </c>
      <c r="I253" s="61">
        <v>44713</v>
      </c>
      <c r="J253" s="62">
        <f>EFEITO!$J$253*EFEITO!$Y$218</f>
        <v>0</v>
      </c>
      <c r="K253" s="62">
        <f ca="1">EFEITO!$L$253*EFEITO!$Z$279</f>
        <v>4694.8329668600172</v>
      </c>
      <c r="L253" s="62">
        <f>EFEITO!$N$253*EFEITO!$AA$279</f>
        <v>3768.4922577085904</v>
      </c>
      <c r="M253" s="62">
        <f>$J$253-EFEITO!$K$253*EFEITO!$Y$253</f>
        <v>0</v>
      </c>
      <c r="N253" s="62">
        <f ca="1">$K$253-EFEITO!$M$253*EFEITO!$Z$253</f>
        <v>3051.641428459011</v>
      </c>
      <c r="O253" s="62">
        <f>$L$253-EFEITO!$O$253*EFEITO!$AA$253</f>
        <v>2449.5199675105837</v>
      </c>
      <c r="P253" s="45"/>
      <c r="Q253" s="45"/>
      <c r="R253" s="45"/>
      <c r="S253" s="45"/>
      <c r="T253" s="45"/>
      <c r="U253" s="45"/>
      <c r="V253" s="45"/>
      <c r="W253" s="45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41" t="s">
        <v>55</v>
      </c>
      <c r="B254" s="41" t="s">
        <v>22</v>
      </c>
      <c r="C254" s="41" t="s">
        <v>23</v>
      </c>
      <c r="D254" s="41" t="s">
        <v>24</v>
      </c>
      <c r="E254" s="41" t="s">
        <v>28</v>
      </c>
      <c r="F254" s="41" t="s">
        <v>25</v>
      </c>
      <c r="G254" s="41" t="s">
        <v>25</v>
      </c>
      <c r="H254" s="41" t="s">
        <v>25</v>
      </c>
      <c r="I254" s="61">
        <v>44743</v>
      </c>
      <c r="J254" s="62">
        <f>EFEITO!$J$254*EFEITO!$Y$218</f>
        <v>0</v>
      </c>
      <c r="K254" s="62">
        <f ca="1">EFEITO!$L$254*EFEITO!$Z$279</f>
        <v>4694.8329668600172</v>
      </c>
      <c r="L254" s="62">
        <f>EFEITO!$N$254*EFEITO!$AA$279</f>
        <v>3768.4922577085904</v>
      </c>
      <c r="M254" s="62">
        <f>$J$254-EFEITO!$K$254*EFEITO!$Y$254</f>
        <v>0</v>
      </c>
      <c r="N254" s="62">
        <f ca="1">$K$254-EFEITO!$M$254*EFEITO!$Z$254</f>
        <v>3051.641428459011</v>
      </c>
      <c r="O254" s="62">
        <f>$L$254-EFEITO!$O$254*EFEITO!$AA$254</f>
        <v>2449.5199675105837</v>
      </c>
      <c r="P254" s="45"/>
      <c r="Q254" s="45"/>
      <c r="R254" s="45"/>
      <c r="S254" s="45"/>
      <c r="T254" s="45"/>
      <c r="U254" s="45"/>
      <c r="V254" s="45"/>
      <c r="W254" s="45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41" t="s">
        <v>21</v>
      </c>
      <c r="B255" s="41" t="s">
        <v>22</v>
      </c>
      <c r="C255" s="41" t="s">
        <v>23</v>
      </c>
      <c r="D255" s="41" t="s">
        <v>24</v>
      </c>
      <c r="E255" s="41" t="s">
        <v>29</v>
      </c>
      <c r="F255" s="41" t="s">
        <v>25</v>
      </c>
      <c r="G255" s="41" t="s">
        <v>25</v>
      </c>
      <c r="H255" s="41" t="s">
        <v>25</v>
      </c>
      <c r="I255" s="61">
        <v>44409</v>
      </c>
      <c r="J255" s="62">
        <f>EFEITO!$J$255*EFEITO!$Y$218</f>
        <v>0</v>
      </c>
      <c r="K255" s="62">
        <f ca="1">EFEITO!$L$255*EFEITO!$Z$279</f>
        <v>7910.8582162798857</v>
      </c>
      <c r="L255" s="62">
        <f>EFEITO!$N$255*EFEITO!$AA$279</f>
        <v>6349.9613618458307</v>
      </c>
      <c r="M255" s="62">
        <f>$J$255-EFEITO!$K$255*EFEITO!$Y$255</f>
        <v>0</v>
      </c>
      <c r="N255" s="62">
        <f ca="1">$K$255-EFEITO!$M$255*EFEITO!$Z$255</f>
        <v>3164.3432865119539</v>
      </c>
      <c r="O255" s="62">
        <f>$L$255-EFEITO!$O$255*EFEITO!$AA$255</f>
        <v>2539.9845447383323</v>
      </c>
      <c r="P255" s="45"/>
      <c r="Q255" s="45"/>
      <c r="R255" s="45"/>
      <c r="S255" s="45"/>
      <c r="T255" s="45"/>
      <c r="U255" s="45"/>
      <c r="V255" s="45"/>
      <c r="W255" s="45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41" t="s">
        <v>21</v>
      </c>
      <c r="B256" s="41" t="s">
        <v>22</v>
      </c>
      <c r="C256" s="41" t="s">
        <v>23</v>
      </c>
      <c r="D256" s="41" t="s">
        <v>24</v>
      </c>
      <c r="E256" s="41" t="s">
        <v>29</v>
      </c>
      <c r="F256" s="41" t="s">
        <v>25</v>
      </c>
      <c r="G256" s="41" t="s">
        <v>25</v>
      </c>
      <c r="H256" s="41" t="s">
        <v>25</v>
      </c>
      <c r="I256" s="61">
        <v>44440</v>
      </c>
      <c r="J256" s="62">
        <f>EFEITO!$J$256*EFEITO!$Y$218</f>
        <v>0</v>
      </c>
      <c r="K256" s="62">
        <f ca="1">EFEITO!$L$256*EFEITO!$Z$279</f>
        <v>8001.3921853377924</v>
      </c>
      <c r="L256" s="62">
        <f>EFEITO!$N$256*EFEITO!$AA$279</f>
        <v>6422.6320114435166</v>
      </c>
      <c r="M256" s="62">
        <f>$J$256-EFEITO!$K$256*EFEITO!$Y$256</f>
        <v>0</v>
      </c>
      <c r="N256" s="62">
        <f ca="1">$K$256-EFEITO!$M$256*EFEITO!$Z$256</f>
        <v>3200.5568741351162</v>
      </c>
      <c r="O256" s="62">
        <f>$L$256-EFEITO!$O$256*EFEITO!$AA$256</f>
        <v>2569.0528045774063</v>
      </c>
      <c r="P256" s="45"/>
      <c r="Q256" s="45"/>
      <c r="R256" s="45"/>
      <c r="S256" s="45"/>
      <c r="T256" s="45"/>
      <c r="U256" s="45"/>
      <c r="V256" s="45"/>
      <c r="W256" s="45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41" t="s">
        <v>21</v>
      </c>
      <c r="B257" s="41" t="s">
        <v>22</v>
      </c>
      <c r="C257" s="41" t="s">
        <v>23</v>
      </c>
      <c r="D257" s="41" t="s">
        <v>24</v>
      </c>
      <c r="E257" s="41" t="s">
        <v>29</v>
      </c>
      <c r="F257" s="41" t="s">
        <v>25</v>
      </c>
      <c r="G257" s="41" t="s">
        <v>25</v>
      </c>
      <c r="H257" s="41" t="s">
        <v>25</v>
      </c>
      <c r="I257" s="61">
        <v>44470</v>
      </c>
      <c r="J257" s="62">
        <f>EFEITO!$J$257*EFEITO!$Y$218</f>
        <v>0</v>
      </c>
      <c r="K257" s="62">
        <f ca="1">EFEITO!$L$257*EFEITO!$Z$279</f>
        <v>7314.8860313958376</v>
      </c>
      <c r="L257" s="62">
        <f>EFEITO!$N$257*EFEITO!$AA$279</f>
        <v>5871.5808570656327</v>
      </c>
      <c r="M257" s="62">
        <f>$J$257-EFEITO!$K$257*EFEITO!$Y$257</f>
        <v>0</v>
      </c>
      <c r="N257" s="62">
        <f ca="1">$K$257-EFEITO!$M$257*EFEITO!$Z$257</f>
        <v>2925.9544125583352</v>
      </c>
      <c r="O257" s="62">
        <f>$L$257-EFEITO!$O$257*EFEITO!$AA$257</f>
        <v>2348.6323428262531</v>
      </c>
      <c r="P257" s="45"/>
      <c r="Q257" s="45"/>
      <c r="R257" s="45"/>
      <c r="S257" s="45"/>
      <c r="T257" s="45"/>
      <c r="U257" s="45"/>
      <c r="V257" s="45"/>
      <c r="W257" s="45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41" t="s">
        <v>21</v>
      </c>
      <c r="B258" s="41" t="s">
        <v>22</v>
      </c>
      <c r="C258" s="41" t="s">
        <v>23</v>
      </c>
      <c r="D258" s="41" t="s">
        <v>24</v>
      </c>
      <c r="E258" s="41" t="s">
        <v>29</v>
      </c>
      <c r="F258" s="41" t="s">
        <v>25</v>
      </c>
      <c r="G258" s="41" t="s">
        <v>25</v>
      </c>
      <c r="H258" s="41" t="s">
        <v>25</v>
      </c>
      <c r="I258" s="61">
        <v>44501</v>
      </c>
      <c r="J258" s="62">
        <f>EFEITO!$J$258*EFEITO!$Y$218</f>
        <v>0</v>
      </c>
      <c r="K258" s="62">
        <f ca="1">EFEITO!$L$258*EFEITO!$Z$279</f>
        <v>8084.4247683880449</v>
      </c>
      <c r="L258" s="62">
        <f>EFEITO!$N$258*EFEITO!$AA$279</f>
        <v>6489.2813786459665</v>
      </c>
      <c r="M258" s="62">
        <f>$J$258-EFEITO!$K$258*EFEITO!$Y$258</f>
        <v>0</v>
      </c>
      <c r="N258" s="62">
        <f ca="1">$K$258-EFEITO!$M$258*EFEITO!$Z$258</f>
        <v>3233.7699073552176</v>
      </c>
      <c r="O258" s="62">
        <f>$L$258-EFEITO!$O$258*EFEITO!$AA$258</f>
        <v>2595.7125514583863</v>
      </c>
      <c r="P258" s="45"/>
      <c r="Q258" s="45"/>
      <c r="R258" s="45"/>
      <c r="S258" s="45"/>
      <c r="T258" s="45"/>
      <c r="U258" s="45"/>
      <c r="V258" s="45"/>
      <c r="W258" s="45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41" t="s">
        <v>21</v>
      </c>
      <c r="B259" s="41" t="s">
        <v>22</v>
      </c>
      <c r="C259" s="41" t="s">
        <v>23</v>
      </c>
      <c r="D259" s="41" t="s">
        <v>24</v>
      </c>
      <c r="E259" s="41" t="s">
        <v>29</v>
      </c>
      <c r="F259" s="41" t="s">
        <v>25</v>
      </c>
      <c r="G259" s="41" t="s">
        <v>25</v>
      </c>
      <c r="H259" s="41" t="s">
        <v>25</v>
      </c>
      <c r="I259" s="61">
        <v>44531</v>
      </c>
      <c r="J259" s="62">
        <f>EFEITO!$J$259*EFEITO!$Y$218</f>
        <v>0</v>
      </c>
      <c r="K259" s="62">
        <f ca="1">EFEITO!$L$259*EFEITO!$Z$279</f>
        <v>8501.9156999865063</v>
      </c>
      <c r="L259" s="62">
        <f>EFEITO!$N$259*EFEITO!$AA$279</f>
        <v>6824.3968885050117</v>
      </c>
      <c r="M259" s="62">
        <f>$J$259-EFEITO!$K$259*EFEITO!$Y$259</f>
        <v>0</v>
      </c>
      <c r="N259" s="62">
        <f ca="1">$K$259-EFEITO!$M$259*EFEITO!$Z$259</f>
        <v>3400.7662799946029</v>
      </c>
      <c r="O259" s="62">
        <f>$L$259-EFEITO!$O$259*EFEITO!$AA$259</f>
        <v>2729.7587554020047</v>
      </c>
      <c r="P259" s="45"/>
      <c r="Q259" s="45"/>
      <c r="R259" s="45"/>
      <c r="S259" s="45"/>
      <c r="T259" s="45"/>
      <c r="U259" s="45"/>
      <c r="V259" s="45"/>
      <c r="W259" s="45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41" t="s">
        <v>21</v>
      </c>
      <c r="B260" s="41" t="s">
        <v>22</v>
      </c>
      <c r="C260" s="41" t="s">
        <v>23</v>
      </c>
      <c r="D260" s="41" t="s">
        <v>24</v>
      </c>
      <c r="E260" s="41" t="s">
        <v>29</v>
      </c>
      <c r="F260" s="41" t="s">
        <v>25</v>
      </c>
      <c r="G260" s="41" t="s">
        <v>25</v>
      </c>
      <c r="H260" s="41" t="s">
        <v>25</v>
      </c>
      <c r="I260" s="61">
        <v>44562</v>
      </c>
      <c r="J260" s="62">
        <f>EFEITO!$J$260*EFEITO!$Y$218</f>
        <v>0</v>
      </c>
      <c r="K260" s="62">
        <f ca="1">EFEITO!$L$260*EFEITO!$Z$279</f>
        <v>8430.5231986722702</v>
      </c>
      <c r="L260" s="62">
        <f>EFEITO!$N$260*EFEITO!$AA$279</f>
        <v>6767.0908905365495</v>
      </c>
      <c r="M260" s="62">
        <f>$J$260-EFEITO!$K$260*EFEITO!$Y$260</f>
        <v>0</v>
      </c>
      <c r="N260" s="62">
        <f ca="1">$K$260-EFEITO!$M$260*EFEITO!$Z$260</f>
        <v>3372.2092794689079</v>
      </c>
      <c r="O260" s="62">
        <f>$L$260-EFEITO!$O$260*EFEITO!$AA$260</f>
        <v>2706.8363562146196</v>
      </c>
      <c r="P260" s="45"/>
      <c r="Q260" s="45"/>
      <c r="R260" s="45"/>
      <c r="S260" s="45"/>
      <c r="T260" s="45"/>
      <c r="U260" s="45"/>
      <c r="V260" s="45"/>
      <c r="W260" s="45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41" t="s">
        <v>21</v>
      </c>
      <c r="B261" s="41" t="s">
        <v>22</v>
      </c>
      <c r="C261" s="41" t="s">
        <v>23</v>
      </c>
      <c r="D261" s="41" t="s">
        <v>24</v>
      </c>
      <c r="E261" s="41" t="s">
        <v>29</v>
      </c>
      <c r="F261" s="41" t="s">
        <v>25</v>
      </c>
      <c r="G261" s="41" t="s">
        <v>25</v>
      </c>
      <c r="H261" s="41" t="s">
        <v>25</v>
      </c>
      <c r="I261" s="61">
        <v>44593</v>
      </c>
      <c r="J261" s="62">
        <f>EFEITO!$J$261*EFEITO!$Y$218</f>
        <v>0</v>
      </c>
      <c r="K261" s="62">
        <f ca="1">EFEITO!$L$261*EFEITO!$Z$279</f>
        <v>8217.1217001786335</v>
      </c>
      <c r="L261" s="62">
        <f>EFEITO!$N$261*EFEITO!$AA$279</f>
        <v>6595.7957879134319</v>
      </c>
      <c r="M261" s="62">
        <f>$J$261-EFEITO!$K$261*EFEITO!$Y$261</f>
        <v>0</v>
      </c>
      <c r="N261" s="62">
        <f ca="1">$K$261-EFEITO!$M$261*EFEITO!$Z$261</f>
        <v>3286.8486800714536</v>
      </c>
      <c r="O261" s="62">
        <f>$L$261-EFEITO!$O$261*EFEITO!$AA$261</f>
        <v>2638.3183151653725</v>
      </c>
      <c r="P261" s="45"/>
      <c r="Q261" s="45"/>
      <c r="R261" s="45"/>
      <c r="S261" s="45"/>
      <c r="T261" s="45"/>
      <c r="U261" s="45"/>
      <c r="V261" s="45"/>
      <c r="W261" s="45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41" t="s">
        <v>21</v>
      </c>
      <c r="B262" s="41" t="s">
        <v>22</v>
      </c>
      <c r="C262" s="41" t="s">
        <v>23</v>
      </c>
      <c r="D262" s="41" t="s">
        <v>24</v>
      </c>
      <c r="E262" s="41" t="s">
        <v>29</v>
      </c>
      <c r="F262" s="41" t="s">
        <v>25</v>
      </c>
      <c r="G262" s="41" t="s">
        <v>25</v>
      </c>
      <c r="H262" s="41" t="s">
        <v>25</v>
      </c>
      <c r="I262" s="61">
        <v>44621</v>
      </c>
      <c r="J262" s="62">
        <f>EFEITO!$J$262*EFEITO!$Y$218</f>
        <v>0</v>
      </c>
      <c r="K262" s="62">
        <f ca="1">EFEITO!$L$262*EFEITO!$Z$279</f>
        <v>8701.6077688799451</v>
      </c>
      <c r="L262" s="62">
        <f>EFEITO!$N$262*EFEITO!$AA$279</f>
        <v>6984.6875784747654</v>
      </c>
      <c r="M262" s="62">
        <f>$J$262-EFEITO!$K$262*EFEITO!$Y$262</f>
        <v>0</v>
      </c>
      <c r="N262" s="62">
        <f ca="1">$K$262-EFEITO!$M$262*EFEITO!$Z$262</f>
        <v>3480.6431075519777</v>
      </c>
      <c r="O262" s="62">
        <f>$L$262-EFEITO!$O$262*EFEITO!$AA$262</f>
        <v>2793.8750313899063</v>
      </c>
      <c r="P262" s="45"/>
      <c r="Q262" s="45"/>
      <c r="R262" s="45"/>
      <c r="S262" s="45"/>
      <c r="T262" s="45"/>
      <c r="U262" s="45"/>
      <c r="V262" s="45"/>
      <c r="W262" s="45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41" t="s">
        <v>21</v>
      </c>
      <c r="B263" s="41" t="s">
        <v>22</v>
      </c>
      <c r="C263" s="41" t="s">
        <v>23</v>
      </c>
      <c r="D263" s="41" t="s">
        <v>24</v>
      </c>
      <c r="E263" s="41" t="s">
        <v>29</v>
      </c>
      <c r="F263" s="41" t="s">
        <v>25</v>
      </c>
      <c r="G263" s="41" t="s">
        <v>25</v>
      </c>
      <c r="H263" s="41" t="s">
        <v>25</v>
      </c>
      <c r="I263" s="61">
        <v>44652</v>
      </c>
      <c r="J263" s="62">
        <f>EFEITO!$J$263*EFEITO!$Y$218</f>
        <v>0</v>
      </c>
      <c r="K263" s="62">
        <f ca="1">EFEITO!$L$263*EFEITO!$Z$279</f>
        <v>8141.8491716190592</v>
      </c>
      <c r="L263" s="62">
        <f>EFEITO!$N$263*EFEITO!$AA$279</f>
        <v>6535.3753335336414</v>
      </c>
      <c r="M263" s="62">
        <f>$J$263-EFEITO!$K$263*EFEITO!$Y$263</f>
        <v>0</v>
      </c>
      <c r="N263" s="62">
        <f ca="1">$K$263-EFEITO!$M$263*EFEITO!$Z$263</f>
        <v>3256.7396686476241</v>
      </c>
      <c r="O263" s="62">
        <f>$L$263-EFEITO!$O$263*EFEITO!$AA$263</f>
        <v>2614.1501334134564</v>
      </c>
      <c r="P263" s="45"/>
      <c r="Q263" s="45"/>
      <c r="R263" s="45"/>
      <c r="S263" s="45"/>
      <c r="T263" s="45"/>
      <c r="U263" s="45"/>
      <c r="V263" s="45"/>
      <c r="W263" s="45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41" t="s">
        <v>21</v>
      </c>
      <c r="B264" s="41" t="s">
        <v>22</v>
      </c>
      <c r="C264" s="41" t="s">
        <v>23</v>
      </c>
      <c r="D264" s="41" t="s">
        <v>24</v>
      </c>
      <c r="E264" s="41" t="s">
        <v>29</v>
      </c>
      <c r="F264" s="41" t="s">
        <v>25</v>
      </c>
      <c r="G264" s="41" t="s">
        <v>25</v>
      </c>
      <c r="H264" s="41" t="s">
        <v>25</v>
      </c>
      <c r="I264" s="61">
        <v>44682</v>
      </c>
      <c r="J264" s="62">
        <f>EFEITO!$J$264*EFEITO!$Y$218</f>
        <v>0</v>
      </c>
      <c r="K264" s="62">
        <f ca="1">EFEITO!$L$264*EFEITO!$Z$279</f>
        <v>7875.1619656227685</v>
      </c>
      <c r="L264" s="62">
        <f>EFEITO!$N$264*EFEITO!$AA$279</f>
        <v>6321.3083628616005</v>
      </c>
      <c r="M264" s="62">
        <f>$J$264-EFEITO!$K$264*EFEITO!$Y$264</f>
        <v>0</v>
      </c>
      <c r="N264" s="62">
        <f ca="1">$K$264-EFEITO!$M$264*EFEITO!$Z$264</f>
        <v>3150.0647862491069</v>
      </c>
      <c r="O264" s="62">
        <f>$L$264-EFEITO!$O$264*EFEITO!$AA$264</f>
        <v>2528.5233451446402</v>
      </c>
      <c r="P264" s="45"/>
      <c r="Q264" s="45"/>
      <c r="R264" s="45"/>
      <c r="S264" s="45"/>
      <c r="T264" s="45"/>
      <c r="U264" s="45"/>
      <c r="V264" s="45"/>
      <c r="W264" s="45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41" t="s">
        <v>21</v>
      </c>
      <c r="B265" s="41" t="s">
        <v>22</v>
      </c>
      <c r="C265" s="41" t="s">
        <v>23</v>
      </c>
      <c r="D265" s="41" t="s">
        <v>24</v>
      </c>
      <c r="E265" s="41" t="s">
        <v>29</v>
      </c>
      <c r="F265" s="41" t="s">
        <v>25</v>
      </c>
      <c r="G265" s="41" t="s">
        <v>25</v>
      </c>
      <c r="H265" s="41" t="s">
        <v>25</v>
      </c>
      <c r="I265" s="61">
        <v>44713</v>
      </c>
      <c r="J265" s="62">
        <f>EFEITO!$J$265*EFEITO!$Y$218</f>
        <v>0</v>
      </c>
      <c r="K265" s="62">
        <f ca="1">EFEITO!$L$265*EFEITO!$Z$279</f>
        <v>8111.3262906223936</v>
      </c>
      <c r="L265" s="62">
        <f>EFEITO!$N$265*EFEITO!$AA$279</f>
        <v>6510.8749430978505</v>
      </c>
      <c r="M265" s="62">
        <f>$J$265-EFEITO!$K$265*EFEITO!$Y$265</f>
        <v>0</v>
      </c>
      <c r="N265" s="62">
        <f ca="1">$K$265-EFEITO!$M$265*EFEITO!$Z$265</f>
        <v>3244.5305162489576</v>
      </c>
      <c r="O265" s="62">
        <f>$L$265-EFEITO!$O$265*EFEITO!$AA$265</f>
        <v>2604.3499772391401</v>
      </c>
      <c r="P265" s="45"/>
      <c r="Q265" s="45"/>
      <c r="R265" s="45"/>
      <c r="S265" s="45"/>
      <c r="T265" s="45"/>
      <c r="U265" s="45"/>
      <c r="V265" s="45"/>
      <c r="W265" s="45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41" t="s">
        <v>55</v>
      </c>
      <c r="B266" s="41" t="s">
        <v>22</v>
      </c>
      <c r="C266" s="41" t="s">
        <v>23</v>
      </c>
      <c r="D266" s="41" t="s">
        <v>24</v>
      </c>
      <c r="E266" s="41" t="s">
        <v>29</v>
      </c>
      <c r="F266" s="41" t="s">
        <v>25</v>
      </c>
      <c r="G266" s="41" t="s">
        <v>25</v>
      </c>
      <c r="H266" s="41" t="s">
        <v>25</v>
      </c>
      <c r="I266" s="61">
        <v>44743</v>
      </c>
      <c r="J266" s="62">
        <f>EFEITO!$J$266*EFEITO!$Y$218</f>
        <v>0</v>
      </c>
      <c r="K266" s="62">
        <f ca="1">EFEITO!$L$266*EFEITO!$Z$279</f>
        <v>8111.3262906223936</v>
      </c>
      <c r="L266" s="62">
        <f>EFEITO!$N$266*EFEITO!$AA$279</f>
        <v>6510.8749430978505</v>
      </c>
      <c r="M266" s="62">
        <f>$J$266-EFEITO!$K$266*EFEITO!$Y$266</f>
        <v>0</v>
      </c>
      <c r="N266" s="62">
        <f ca="1">$K$266-EFEITO!$M$266*EFEITO!$Z$266</f>
        <v>3244.5305162489576</v>
      </c>
      <c r="O266" s="62">
        <f>$L$266-EFEITO!$O$266*EFEITO!$AA$266</f>
        <v>2604.3499772391401</v>
      </c>
      <c r="P266" s="45"/>
      <c r="Q266" s="45"/>
      <c r="R266" s="45"/>
      <c r="S266" s="45"/>
      <c r="T266" s="45"/>
      <c r="U266" s="45"/>
      <c r="V266" s="45"/>
      <c r="W266" s="45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41" t="s">
        <v>21</v>
      </c>
      <c r="B267" s="41" t="s">
        <v>22</v>
      </c>
      <c r="C267" s="41" t="s">
        <v>23</v>
      </c>
      <c r="D267" s="41" t="s">
        <v>24</v>
      </c>
      <c r="E267" s="41" t="s">
        <v>30</v>
      </c>
      <c r="F267" s="41" t="s">
        <v>25</v>
      </c>
      <c r="G267" s="41" t="s">
        <v>25</v>
      </c>
      <c r="H267" s="41" t="s">
        <v>25</v>
      </c>
      <c r="I267" s="61">
        <v>44409</v>
      </c>
      <c r="J267" s="62">
        <f>EFEITO!$J$267*EFEITO!$Y$218</f>
        <v>0</v>
      </c>
      <c r="K267" s="62">
        <f ca="1">EFEITO!$L$267*EFEITO!$Z$279</f>
        <v>3378.4690567580546</v>
      </c>
      <c r="L267" s="62">
        <f>EFEITO!$N$267*EFEITO!$AA$279</f>
        <v>2711.8610125582313</v>
      </c>
      <c r="M267" s="62">
        <f>$J$267-EFEITO!$K$267*EFEITO!$Y$267</f>
        <v>0</v>
      </c>
      <c r="N267" s="62">
        <f ca="1">$K$267-EFEITO!$M$267*EFEITO!$Z$267</f>
        <v>337.84690567580537</v>
      </c>
      <c r="O267" s="62">
        <f>$L$267-EFEITO!$O$267*EFEITO!$AA$267</f>
        <v>271.1861012558229</v>
      </c>
      <c r="P267" s="45"/>
      <c r="Q267" s="45"/>
      <c r="R267" s="45"/>
      <c r="S267" s="45"/>
      <c r="T267" s="45"/>
      <c r="U267" s="45"/>
      <c r="V267" s="45"/>
      <c r="W267" s="45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41" t="s">
        <v>21</v>
      </c>
      <c r="B268" s="41" t="s">
        <v>22</v>
      </c>
      <c r="C268" s="41" t="s">
        <v>23</v>
      </c>
      <c r="D268" s="41" t="s">
        <v>24</v>
      </c>
      <c r="E268" s="41" t="s">
        <v>30</v>
      </c>
      <c r="F268" s="41" t="s">
        <v>25</v>
      </c>
      <c r="G268" s="41" t="s">
        <v>25</v>
      </c>
      <c r="H268" s="41" t="s">
        <v>25</v>
      </c>
      <c r="I268" s="61">
        <v>44440</v>
      </c>
      <c r="J268" s="62">
        <f>EFEITO!$J$268*EFEITO!$Y$218</f>
        <v>0</v>
      </c>
      <c r="K268" s="62">
        <f ca="1">EFEITO!$L$268*EFEITO!$Z$279</f>
        <v>3971.5958883288545</v>
      </c>
      <c r="L268" s="62">
        <f>EFEITO!$N$268*EFEITO!$AA$279</f>
        <v>3187.9575826367877</v>
      </c>
      <c r="M268" s="62">
        <f>$J$268-EFEITO!$K$268*EFEITO!$Y$268</f>
        <v>0</v>
      </c>
      <c r="N268" s="62">
        <f ca="1">$K$268-EFEITO!$M$268*EFEITO!$Z$268</f>
        <v>397.15958883288522</v>
      </c>
      <c r="O268" s="62">
        <f>$L$268-EFEITO!$O$268*EFEITO!$AA$268</f>
        <v>318.79575826367864</v>
      </c>
      <c r="P268" s="45"/>
      <c r="Q268" s="45"/>
      <c r="R268" s="45"/>
      <c r="S268" s="45"/>
      <c r="T268" s="45"/>
      <c r="U268" s="45"/>
      <c r="V268" s="45"/>
      <c r="W268" s="45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41" t="s">
        <v>21</v>
      </c>
      <c r="B269" s="41" t="s">
        <v>22</v>
      </c>
      <c r="C269" s="41" t="s">
        <v>23</v>
      </c>
      <c r="D269" s="41" t="s">
        <v>24</v>
      </c>
      <c r="E269" s="41" t="s">
        <v>30</v>
      </c>
      <c r="F269" s="41" t="s">
        <v>25</v>
      </c>
      <c r="G269" s="41" t="s">
        <v>25</v>
      </c>
      <c r="H269" s="41" t="s">
        <v>25</v>
      </c>
      <c r="I269" s="61">
        <v>44470</v>
      </c>
      <c r="J269" s="62">
        <f>EFEITO!$J$269*EFEITO!$Y$218</f>
        <v>0</v>
      </c>
      <c r="K269" s="62">
        <f ca="1">EFEITO!$L$269*EFEITO!$Z$279</f>
        <v>2679.2881471479927</v>
      </c>
      <c r="L269" s="62">
        <f>EFEITO!$N$269*EFEITO!$AA$279</f>
        <v>2150.6359672366711</v>
      </c>
      <c r="M269" s="62">
        <f>$J$269-EFEITO!$K$269*EFEITO!$Y$269</f>
        <v>0</v>
      </c>
      <c r="N269" s="62">
        <f ca="1">$K$269-EFEITO!$M$269*EFEITO!$Z$269</f>
        <v>267.9288147147995</v>
      </c>
      <c r="O269" s="62">
        <f>$L$269-EFEITO!$O$269*EFEITO!$AA$269</f>
        <v>215.06359672366693</v>
      </c>
      <c r="P269" s="45"/>
      <c r="Q269" s="45"/>
      <c r="R269" s="45"/>
      <c r="S269" s="45"/>
      <c r="T269" s="45"/>
      <c r="U269" s="45"/>
      <c r="V269" s="45"/>
      <c r="W269" s="45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41" t="s">
        <v>21</v>
      </c>
      <c r="B270" s="41" t="s">
        <v>22</v>
      </c>
      <c r="C270" s="41" t="s">
        <v>23</v>
      </c>
      <c r="D270" s="41" t="s">
        <v>24</v>
      </c>
      <c r="E270" s="41" t="s">
        <v>30</v>
      </c>
      <c r="F270" s="41" t="s">
        <v>25</v>
      </c>
      <c r="G270" s="41" t="s">
        <v>25</v>
      </c>
      <c r="H270" s="41" t="s">
        <v>25</v>
      </c>
      <c r="I270" s="61">
        <v>44501</v>
      </c>
      <c r="J270" s="62">
        <f>EFEITO!$J$270*EFEITO!$Y$218</f>
        <v>0</v>
      </c>
      <c r="K270" s="62">
        <f ca="1">EFEITO!$L$270*EFEITO!$Z$279</f>
        <v>3728.4475142876199</v>
      </c>
      <c r="L270" s="62">
        <f>EFEITO!$N$270*EFEITO!$AA$279</f>
        <v>2992.7849808601445</v>
      </c>
      <c r="M270" s="62">
        <f>$J$270-EFEITO!$K$270*EFEITO!$Y$270</f>
        <v>0</v>
      </c>
      <c r="N270" s="62">
        <f ca="1">$K$270-EFEITO!$M$270*EFEITO!$Z$270</f>
        <v>372.84475142876227</v>
      </c>
      <c r="O270" s="62">
        <f>$L$270-EFEITO!$O$270*EFEITO!$AA$270</f>
        <v>299.27849808601422</v>
      </c>
      <c r="P270" s="45"/>
      <c r="Q270" s="45"/>
      <c r="R270" s="45"/>
      <c r="S270" s="45"/>
      <c r="T270" s="45"/>
      <c r="U270" s="45"/>
      <c r="V270" s="45"/>
      <c r="W270" s="45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41" t="s">
        <v>21</v>
      </c>
      <c r="B271" s="41" t="s">
        <v>22</v>
      </c>
      <c r="C271" s="41" t="s">
        <v>23</v>
      </c>
      <c r="D271" s="41" t="s">
        <v>24</v>
      </c>
      <c r="E271" s="41" t="s">
        <v>30</v>
      </c>
      <c r="F271" s="41" t="s">
        <v>25</v>
      </c>
      <c r="G271" s="41" t="s">
        <v>25</v>
      </c>
      <c r="H271" s="41" t="s">
        <v>25</v>
      </c>
      <c r="I271" s="61">
        <v>44531</v>
      </c>
      <c r="J271" s="62">
        <f>EFEITO!$J$271*EFEITO!$Y$218</f>
        <v>0</v>
      </c>
      <c r="K271" s="62">
        <f ca="1">EFEITO!$L$271*EFEITO!$Z$279</f>
        <v>4686.0382384372497</v>
      </c>
      <c r="L271" s="62">
        <f>EFEITO!$N$271*EFEITO!$AA$279</f>
        <v>3761.4328231762438</v>
      </c>
      <c r="M271" s="62">
        <f>$J$271-EFEITO!$K$271*EFEITO!$Y$271</f>
        <v>0</v>
      </c>
      <c r="N271" s="62">
        <f ca="1">$K$271-EFEITO!$M$271*EFEITO!$Z$271</f>
        <v>468.60382384372497</v>
      </c>
      <c r="O271" s="62">
        <f>$L$271-EFEITO!$O$271*EFEITO!$AA$271</f>
        <v>376.1432823176242</v>
      </c>
      <c r="P271" s="45"/>
      <c r="Q271" s="45"/>
      <c r="R271" s="45"/>
      <c r="S271" s="45"/>
      <c r="T271" s="45"/>
      <c r="U271" s="45"/>
      <c r="V271" s="45"/>
      <c r="W271" s="45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41" t="s">
        <v>21</v>
      </c>
      <c r="B272" s="41" t="s">
        <v>22</v>
      </c>
      <c r="C272" s="41" t="s">
        <v>23</v>
      </c>
      <c r="D272" s="41" t="s">
        <v>24</v>
      </c>
      <c r="E272" s="41" t="s">
        <v>30</v>
      </c>
      <c r="F272" s="41" t="s">
        <v>25</v>
      </c>
      <c r="G272" s="41" t="s">
        <v>25</v>
      </c>
      <c r="H272" s="41" t="s">
        <v>25</v>
      </c>
      <c r="I272" s="61">
        <v>44562</v>
      </c>
      <c r="J272" s="62">
        <f>EFEITO!$J$272*EFEITO!$Y$218</f>
        <v>0</v>
      </c>
      <c r="K272" s="62">
        <f ca="1">EFEITO!$L$272*EFEITO!$Z$279</f>
        <v>4177.4960008148364</v>
      </c>
      <c r="L272" s="62">
        <f>EFEITO!$N$272*EFEITO!$AA$279</f>
        <v>3353.2314028646683</v>
      </c>
      <c r="M272" s="62">
        <f>$J$272-EFEITO!$K$272*EFEITO!$Y$272</f>
        <v>0</v>
      </c>
      <c r="N272" s="62">
        <f ca="1">$K$272-EFEITO!$M$272*EFEITO!$Z$272</f>
        <v>417.74960008148355</v>
      </c>
      <c r="O272" s="62">
        <f>$L$272-EFEITO!$O$272*EFEITO!$AA$272</f>
        <v>335.3231402864667</v>
      </c>
      <c r="P272" s="45"/>
      <c r="Q272" s="45"/>
      <c r="R272" s="45"/>
      <c r="S272" s="45"/>
      <c r="T272" s="45"/>
      <c r="U272" s="45"/>
      <c r="V272" s="45"/>
      <c r="W272" s="45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41" t="s">
        <v>21</v>
      </c>
      <c r="B273" s="41" t="s">
        <v>22</v>
      </c>
      <c r="C273" s="41" t="s">
        <v>23</v>
      </c>
      <c r="D273" s="41" t="s">
        <v>24</v>
      </c>
      <c r="E273" s="41" t="s">
        <v>30</v>
      </c>
      <c r="F273" s="41" t="s">
        <v>25</v>
      </c>
      <c r="G273" s="41" t="s">
        <v>25</v>
      </c>
      <c r="H273" s="41" t="s">
        <v>25</v>
      </c>
      <c r="I273" s="61">
        <v>44593</v>
      </c>
      <c r="J273" s="62">
        <f>EFEITO!$J$273*EFEITO!$Y$218</f>
        <v>0</v>
      </c>
      <c r="K273" s="62">
        <f ca="1">EFEITO!$L$273*EFEITO!$Z$279</f>
        <v>3464.6056616045776</v>
      </c>
      <c r="L273" s="62">
        <f>EFEITO!$N$273*EFEITO!$AA$279</f>
        <v>2781.0019448897447</v>
      </c>
      <c r="M273" s="62">
        <f>$J$273-EFEITO!$K$273*EFEITO!$Y$273</f>
        <v>0</v>
      </c>
      <c r="N273" s="62">
        <f ca="1">$K$273-EFEITO!$M$273*EFEITO!$Z$273</f>
        <v>346.4605661604578</v>
      </c>
      <c r="O273" s="62">
        <f>$L$273-EFEITO!$O$273*EFEITO!$AA$273</f>
        <v>278.10019448897447</v>
      </c>
      <c r="P273" s="45"/>
      <c r="Q273" s="45"/>
      <c r="R273" s="45"/>
      <c r="S273" s="45"/>
      <c r="T273" s="45"/>
      <c r="U273" s="45"/>
      <c r="V273" s="45"/>
      <c r="W273" s="45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41" t="s">
        <v>21</v>
      </c>
      <c r="B274" s="41" t="s">
        <v>22</v>
      </c>
      <c r="C274" s="41" t="s">
        <v>23</v>
      </c>
      <c r="D274" s="41" t="s">
        <v>24</v>
      </c>
      <c r="E274" s="41" t="s">
        <v>30</v>
      </c>
      <c r="F274" s="41" t="s">
        <v>25</v>
      </c>
      <c r="G274" s="41" t="s">
        <v>25</v>
      </c>
      <c r="H274" s="41" t="s">
        <v>25</v>
      </c>
      <c r="I274" s="61">
        <v>44621</v>
      </c>
      <c r="J274" s="62">
        <f>EFEITO!$J$274*EFEITO!$Y$218</f>
        <v>0</v>
      </c>
      <c r="K274" s="62">
        <f ca="1">EFEITO!$L$274*EFEITO!$Z$279</f>
        <v>4187.5840716527182</v>
      </c>
      <c r="L274" s="62">
        <f>EFEITO!$N$274*EFEITO!$AA$279</f>
        <v>3361.3289895341254</v>
      </c>
      <c r="M274" s="62">
        <f>$J$274-EFEITO!$K$274*EFEITO!$Y$274</f>
        <v>0</v>
      </c>
      <c r="N274" s="62">
        <f ca="1">$K$274-EFEITO!$M$274*EFEITO!$Z$274</f>
        <v>418.75840716527227</v>
      </c>
      <c r="O274" s="62">
        <f>$L$274-EFEITO!$O$274*EFEITO!$AA$274</f>
        <v>336.13289895341268</v>
      </c>
      <c r="P274" s="45"/>
      <c r="Q274" s="45"/>
      <c r="R274" s="45"/>
      <c r="S274" s="45"/>
      <c r="T274" s="45"/>
      <c r="U274" s="45"/>
      <c r="V274" s="45"/>
      <c r="W274" s="45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41" t="s">
        <v>21</v>
      </c>
      <c r="B275" s="41" t="s">
        <v>22</v>
      </c>
      <c r="C275" s="41" t="s">
        <v>23</v>
      </c>
      <c r="D275" s="41" t="s">
        <v>24</v>
      </c>
      <c r="E275" s="41" t="s">
        <v>30</v>
      </c>
      <c r="F275" s="41" t="s">
        <v>25</v>
      </c>
      <c r="G275" s="41" t="s">
        <v>25</v>
      </c>
      <c r="H275" s="41" t="s">
        <v>25</v>
      </c>
      <c r="I275" s="61">
        <v>44652</v>
      </c>
      <c r="J275" s="62">
        <f>EFEITO!$J$275*EFEITO!$Y$218</f>
        <v>0</v>
      </c>
      <c r="K275" s="62">
        <f ca="1">EFEITO!$L$275*EFEITO!$Z$279</f>
        <v>3211.3692167254612</v>
      </c>
      <c r="L275" s="62">
        <f>EFEITO!$N$275*EFEITO!$AA$279</f>
        <v>2577.7317564436448</v>
      </c>
      <c r="M275" s="62">
        <f>$J$275-EFEITO!$K$275*EFEITO!$Y$275</f>
        <v>0</v>
      </c>
      <c r="N275" s="62">
        <f ca="1">$K$275-EFEITO!$M$275*EFEITO!$Z$275</f>
        <v>321.13692167254612</v>
      </c>
      <c r="O275" s="62">
        <f>$L$275-EFEITO!$O$275*EFEITO!$AA$275</f>
        <v>257.77317564436453</v>
      </c>
      <c r="P275" s="45"/>
      <c r="Q275" s="45"/>
      <c r="R275" s="45"/>
      <c r="S275" s="45"/>
      <c r="T275" s="45"/>
      <c r="U275" s="45"/>
      <c r="V275" s="45"/>
      <c r="W275" s="45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41" t="s">
        <v>21</v>
      </c>
      <c r="B276" s="41" t="s">
        <v>22</v>
      </c>
      <c r="C276" s="41" t="s">
        <v>23</v>
      </c>
      <c r="D276" s="41" t="s">
        <v>24</v>
      </c>
      <c r="E276" s="41" t="s">
        <v>30</v>
      </c>
      <c r="F276" s="41" t="s">
        <v>25</v>
      </c>
      <c r="G276" s="41" t="s">
        <v>25</v>
      </c>
      <c r="H276" s="41" t="s">
        <v>25</v>
      </c>
      <c r="I276" s="61">
        <v>44682</v>
      </c>
      <c r="J276" s="62">
        <f>EFEITO!$J$276*EFEITO!$Y$218</f>
        <v>0</v>
      </c>
      <c r="K276" s="62">
        <f ca="1">EFEITO!$L$276*EFEITO!$Z$279</f>
        <v>2809.6570625913782</v>
      </c>
      <c r="L276" s="62">
        <f>EFEITO!$N$276*EFEITO!$AA$279</f>
        <v>2255.2817026573393</v>
      </c>
      <c r="M276" s="62">
        <f>$J$276-EFEITO!$K$276*EFEITO!$Y$276</f>
        <v>0</v>
      </c>
      <c r="N276" s="62">
        <f ca="1">$K$276-EFEITO!$M$276*EFEITO!$Z$276</f>
        <v>280.96570625913773</v>
      </c>
      <c r="O276" s="62">
        <f>$L$276-EFEITO!$O$276*EFEITO!$AA$276</f>
        <v>225.52817026573371</v>
      </c>
      <c r="P276" s="45"/>
      <c r="Q276" s="45"/>
      <c r="R276" s="45"/>
      <c r="S276" s="45"/>
      <c r="T276" s="45"/>
      <c r="U276" s="45"/>
      <c r="V276" s="45"/>
      <c r="W276" s="45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41" t="s">
        <v>21</v>
      </c>
      <c r="B277" s="41" t="s">
        <v>22</v>
      </c>
      <c r="C277" s="41" t="s">
        <v>23</v>
      </c>
      <c r="D277" s="41" t="s">
        <v>24</v>
      </c>
      <c r="E277" s="41" t="s">
        <v>30</v>
      </c>
      <c r="F277" s="41" t="s">
        <v>25</v>
      </c>
      <c r="G277" s="41" t="s">
        <v>25</v>
      </c>
      <c r="H277" s="41" t="s">
        <v>25</v>
      </c>
      <c r="I277" s="61">
        <v>44713</v>
      </c>
      <c r="J277" s="62">
        <f>EFEITO!$J$277*EFEITO!$Y$218</f>
        <v>0</v>
      </c>
      <c r="K277" s="62">
        <f ca="1">EFEITO!$L$277*EFEITO!$Z$279</f>
        <v>3360.6209314294961</v>
      </c>
      <c r="L277" s="62">
        <f>EFEITO!$N$277*EFEITO!$AA$279</f>
        <v>2697.5345130661162</v>
      </c>
      <c r="M277" s="62">
        <f>$J$277-EFEITO!$K$277*EFEITO!$Y$277</f>
        <v>0</v>
      </c>
      <c r="N277" s="62">
        <f ca="1">$K$277-EFEITO!$M$277*EFEITO!$Z$277</f>
        <v>336.06209314294938</v>
      </c>
      <c r="O277" s="62">
        <f>$L$277-EFEITO!$O$277*EFEITO!$AA$277</f>
        <v>269.75345130661162</v>
      </c>
      <c r="P277" s="45"/>
      <c r="Q277" s="45"/>
      <c r="R277" s="45"/>
      <c r="S277" s="45"/>
      <c r="T277" s="45"/>
      <c r="U277" s="45"/>
      <c r="V277" s="45"/>
      <c r="W277" s="45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41" t="s">
        <v>55</v>
      </c>
      <c r="B278" s="41" t="s">
        <v>22</v>
      </c>
      <c r="C278" s="41" t="s">
        <v>23</v>
      </c>
      <c r="D278" s="41" t="s">
        <v>24</v>
      </c>
      <c r="E278" s="41" t="s">
        <v>30</v>
      </c>
      <c r="F278" s="41" t="s">
        <v>25</v>
      </c>
      <c r="G278" s="41" t="s">
        <v>25</v>
      </c>
      <c r="H278" s="41" t="s">
        <v>25</v>
      </c>
      <c r="I278" s="61">
        <v>44743</v>
      </c>
      <c r="J278" s="62">
        <f>EFEITO!$J$278*EFEITO!$Y$218</f>
        <v>0</v>
      </c>
      <c r="K278" s="62">
        <f ca="1">EFEITO!$L$278*EFEITO!$Z$279</f>
        <v>3360.6209314294961</v>
      </c>
      <c r="L278" s="62">
        <f>EFEITO!$N$278*EFEITO!$AA$279</f>
        <v>2697.5345130661162</v>
      </c>
      <c r="M278" s="62">
        <f>$J$278-EFEITO!$K$278*EFEITO!$Y$278</f>
        <v>0</v>
      </c>
      <c r="N278" s="62">
        <f ca="1">$K$278-EFEITO!$M$278*EFEITO!$Z$278</f>
        <v>336.06209314294938</v>
      </c>
      <c r="O278" s="62">
        <f>$L$278-EFEITO!$O$278*EFEITO!$AA$278</f>
        <v>269.75345130661162</v>
      </c>
      <c r="P278" s="45"/>
      <c r="Q278" s="45"/>
      <c r="R278" s="45"/>
      <c r="S278" s="45"/>
      <c r="T278" s="45"/>
      <c r="U278" s="45"/>
      <c r="V278" s="45"/>
      <c r="W278" s="45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41" t="s">
        <v>21</v>
      </c>
      <c r="B279" s="41" t="s">
        <v>22</v>
      </c>
      <c r="C279" s="41" t="s">
        <v>23</v>
      </c>
      <c r="D279" s="41" t="s">
        <v>24</v>
      </c>
      <c r="E279" s="41" t="s">
        <v>31</v>
      </c>
      <c r="F279" s="41" t="s">
        <v>25</v>
      </c>
      <c r="G279" s="41" t="s">
        <v>25</v>
      </c>
      <c r="H279" s="41" t="s">
        <v>25</v>
      </c>
      <c r="I279" s="61">
        <v>44409</v>
      </c>
      <c r="J279" s="62">
        <f>EFEITO!$J$279*EFEITO!$Y$218</f>
        <v>0</v>
      </c>
      <c r="K279" s="62">
        <f ca="1">EFEITO!$L$279*EFEITO!$Z$279</f>
        <v>226.07625416174412</v>
      </c>
      <c r="L279" s="62">
        <f>EFEITO!$N$279*EFEITO!$AA$279</f>
        <v>181.46899356679384</v>
      </c>
      <c r="M279" s="62">
        <f>$J$279-EFEITO!$K$279*EFEITO!$Y$279</f>
        <v>0</v>
      </c>
      <c r="N279" s="62">
        <f ca="1">$K$279-EFEITO!$M$279*EFEITO!$Z$279</f>
        <v>0</v>
      </c>
      <c r="O279" s="62">
        <f>$L$279-EFEITO!$O$279*EFEITO!$AA$279</f>
        <v>0</v>
      </c>
      <c r="P279" s="45"/>
      <c r="Q279" s="45"/>
      <c r="R279" s="45"/>
      <c r="S279" s="45"/>
      <c r="T279" s="45"/>
      <c r="U279" s="45"/>
      <c r="V279" s="45"/>
      <c r="W279" s="45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41" t="s">
        <v>21</v>
      </c>
      <c r="B280" s="41" t="s">
        <v>22</v>
      </c>
      <c r="C280" s="41" t="s">
        <v>23</v>
      </c>
      <c r="D280" s="41" t="s">
        <v>24</v>
      </c>
      <c r="E280" s="41" t="s">
        <v>31</v>
      </c>
      <c r="F280" s="41" t="s">
        <v>25</v>
      </c>
      <c r="G280" s="41" t="s">
        <v>25</v>
      </c>
      <c r="H280" s="41" t="s">
        <v>25</v>
      </c>
      <c r="I280" s="61">
        <v>44440</v>
      </c>
      <c r="J280" s="62">
        <f>EFEITO!$J$280*EFEITO!$Y$218</f>
        <v>0</v>
      </c>
      <c r="K280" s="62">
        <f ca="1">EFEITO!$L$280*EFEITO!$Z$279</f>
        <v>412.31756193800931</v>
      </c>
      <c r="L280" s="62">
        <f>EFEITO!$N$280*EFEITO!$AA$279</f>
        <v>330.96290131060573</v>
      </c>
      <c r="M280" s="62">
        <f>$J$280-EFEITO!$K$280*EFEITO!$Y$280</f>
        <v>0</v>
      </c>
      <c r="N280" s="62">
        <f ca="1">$K$280-EFEITO!$M$280*EFEITO!$Z$280</f>
        <v>0</v>
      </c>
      <c r="O280" s="62">
        <f>$L$280-EFEITO!$O$280*EFEITO!$AA$280</f>
        <v>0</v>
      </c>
      <c r="P280" s="45"/>
      <c r="Q280" s="45"/>
      <c r="R280" s="45"/>
      <c r="S280" s="45"/>
      <c r="T280" s="45"/>
      <c r="U280" s="45"/>
      <c r="V280" s="45"/>
      <c r="W280" s="45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41" t="s">
        <v>21</v>
      </c>
      <c r="B281" s="41" t="s">
        <v>22</v>
      </c>
      <c r="C281" s="41" t="s">
        <v>23</v>
      </c>
      <c r="D281" s="41" t="s">
        <v>24</v>
      </c>
      <c r="E281" s="41" t="s">
        <v>31</v>
      </c>
      <c r="F281" s="41" t="s">
        <v>25</v>
      </c>
      <c r="G281" s="41" t="s">
        <v>25</v>
      </c>
      <c r="H281" s="41" t="s">
        <v>25</v>
      </c>
      <c r="I281" s="61">
        <v>44470</v>
      </c>
      <c r="J281" s="62">
        <f>EFEITO!$J$281*EFEITO!$Y$218</f>
        <v>0</v>
      </c>
      <c r="K281" s="62">
        <f ca="1">EFEITO!$L$281*EFEITO!$Z$279</f>
        <v>158.56378009284799</v>
      </c>
      <c r="L281" s="62">
        <f>EFEITO!$N$281*EFEITO!$AA$279</f>
        <v>127.27745200966204</v>
      </c>
      <c r="M281" s="62">
        <f>$J$281-EFEITO!$K$281*EFEITO!$Y$281</f>
        <v>0</v>
      </c>
      <c r="N281" s="62">
        <f ca="1">$K$281-EFEITO!$M$281*EFEITO!$Z$281</f>
        <v>0</v>
      </c>
      <c r="O281" s="62">
        <f>$L$281-EFEITO!$O$281*EFEITO!$AA$281</f>
        <v>0</v>
      </c>
      <c r="P281" s="45"/>
      <c r="Q281" s="45"/>
      <c r="R281" s="45"/>
      <c r="S281" s="45"/>
      <c r="T281" s="45"/>
      <c r="U281" s="45"/>
      <c r="V281" s="45"/>
      <c r="W281" s="45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41" t="s">
        <v>21</v>
      </c>
      <c r="B282" s="41" t="s">
        <v>22</v>
      </c>
      <c r="C282" s="41" t="s">
        <v>23</v>
      </c>
      <c r="D282" s="41" t="s">
        <v>24</v>
      </c>
      <c r="E282" s="41" t="s">
        <v>31</v>
      </c>
      <c r="F282" s="41" t="s">
        <v>25</v>
      </c>
      <c r="G282" s="41" t="s">
        <v>25</v>
      </c>
      <c r="H282" s="41" t="s">
        <v>25</v>
      </c>
      <c r="I282" s="61">
        <v>44501</v>
      </c>
      <c r="J282" s="62">
        <f>EFEITO!$J$282*EFEITO!$Y$218</f>
        <v>0</v>
      </c>
      <c r="K282" s="62">
        <f ca="1">EFEITO!$L$282*EFEITO!$Z$279</f>
        <v>405.59218137942196</v>
      </c>
      <c r="L282" s="62">
        <f>EFEITO!$N$282*EFEITO!$AA$279</f>
        <v>325.56451019763472</v>
      </c>
      <c r="M282" s="62">
        <f>$J$282-EFEITO!$K$282*EFEITO!$Y$282</f>
        <v>0</v>
      </c>
      <c r="N282" s="62">
        <f ca="1">$K$282-EFEITO!$M$282*EFEITO!$Z$282</f>
        <v>0</v>
      </c>
      <c r="O282" s="62">
        <f>$L$282-EFEITO!$O$282*EFEITO!$AA$282</f>
        <v>0</v>
      </c>
      <c r="P282" s="45"/>
      <c r="Q282" s="45"/>
      <c r="R282" s="45"/>
      <c r="S282" s="45"/>
      <c r="T282" s="45"/>
      <c r="U282" s="45"/>
      <c r="V282" s="45"/>
      <c r="W282" s="45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41" t="s">
        <v>21</v>
      </c>
      <c r="B283" s="41" t="s">
        <v>22</v>
      </c>
      <c r="C283" s="41" t="s">
        <v>23</v>
      </c>
      <c r="D283" s="41" t="s">
        <v>24</v>
      </c>
      <c r="E283" s="41" t="s">
        <v>31</v>
      </c>
      <c r="F283" s="41" t="s">
        <v>25</v>
      </c>
      <c r="G283" s="41" t="s">
        <v>25</v>
      </c>
      <c r="H283" s="41" t="s">
        <v>25</v>
      </c>
      <c r="I283" s="61">
        <v>44531</v>
      </c>
      <c r="J283" s="62">
        <f>EFEITO!$J$283*EFEITO!$Y$218</f>
        <v>0</v>
      </c>
      <c r="K283" s="62">
        <f ca="1">EFEITO!$L$283*EFEITO!$Z$279</f>
        <v>597.78286426520663</v>
      </c>
      <c r="L283" s="62">
        <f>EFEITO!$N$283*EFEITO!$AA$279</f>
        <v>479.83391777215166</v>
      </c>
      <c r="M283" s="62">
        <f>$J$283-EFEITO!$K$283*EFEITO!$Y$283</f>
        <v>0</v>
      </c>
      <c r="N283" s="62">
        <f ca="1">$K$283-EFEITO!$M$283*EFEITO!$Z$283</f>
        <v>0</v>
      </c>
      <c r="O283" s="62">
        <f>$L$283-EFEITO!$O$283*EFEITO!$AA$283</f>
        <v>0</v>
      </c>
      <c r="P283" s="45"/>
      <c r="Q283" s="45"/>
      <c r="R283" s="45"/>
      <c r="S283" s="45"/>
      <c r="T283" s="45"/>
      <c r="U283" s="45"/>
      <c r="V283" s="45"/>
      <c r="W283" s="45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41" t="s">
        <v>21</v>
      </c>
      <c r="B284" s="41" t="s">
        <v>22</v>
      </c>
      <c r="C284" s="41" t="s">
        <v>23</v>
      </c>
      <c r="D284" s="41" t="s">
        <v>24</v>
      </c>
      <c r="E284" s="41" t="s">
        <v>31</v>
      </c>
      <c r="F284" s="41" t="s">
        <v>25</v>
      </c>
      <c r="G284" s="41" t="s">
        <v>25</v>
      </c>
      <c r="H284" s="41" t="s">
        <v>25</v>
      </c>
      <c r="I284" s="61">
        <v>44562</v>
      </c>
      <c r="J284" s="62">
        <f>EFEITO!$J$284*EFEITO!$Y$218</f>
        <v>0</v>
      </c>
      <c r="K284" s="62">
        <f ca="1">EFEITO!$L$284*EFEITO!$Z$279</f>
        <v>497.93682981848679</v>
      </c>
      <c r="L284" s="62">
        <f>EFEITO!$N$284*EFEITO!$AA$279</f>
        <v>399.68857278727478</v>
      </c>
      <c r="M284" s="62">
        <f>$J$284-EFEITO!$K$284*EFEITO!$Y$284</f>
        <v>0</v>
      </c>
      <c r="N284" s="62">
        <f ca="1">$K$284-EFEITO!$M$284*EFEITO!$Z$284</f>
        <v>0</v>
      </c>
      <c r="O284" s="62">
        <f>$L$284-EFEITO!$O$284*EFEITO!$AA$284</f>
        <v>0</v>
      </c>
      <c r="P284" s="45"/>
      <c r="Q284" s="45"/>
      <c r="R284" s="45"/>
      <c r="S284" s="45"/>
      <c r="T284" s="45"/>
      <c r="U284" s="45"/>
      <c r="V284" s="45"/>
      <c r="W284" s="45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41" t="s">
        <v>21</v>
      </c>
      <c r="B285" s="41" t="s">
        <v>22</v>
      </c>
      <c r="C285" s="41" t="s">
        <v>23</v>
      </c>
      <c r="D285" s="41" t="s">
        <v>24</v>
      </c>
      <c r="E285" s="41" t="s">
        <v>31</v>
      </c>
      <c r="F285" s="41" t="s">
        <v>25</v>
      </c>
      <c r="G285" s="41" t="s">
        <v>25</v>
      </c>
      <c r="H285" s="41" t="s">
        <v>25</v>
      </c>
      <c r="I285" s="61">
        <v>44593</v>
      </c>
      <c r="J285" s="62">
        <f>EFEITO!$J$285*EFEITO!$Y$218</f>
        <v>0</v>
      </c>
      <c r="K285" s="62">
        <f ca="1">EFEITO!$L$285*EFEITO!$Z$279</f>
        <v>422.14696429286772</v>
      </c>
      <c r="L285" s="62">
        <f>EFEITO!$N$285*EFEITO!$AA$279</f>
        <v>338.85285755264022</v>
      </c>
      <c r="M285" s="62">
        <f>$J$285-EFEITO!$K$285*EFEITO!$Y$285</f>
        <v>0</v>
      </c>
      <c r="N285" s="62">
        <f ca="1">$K$285-EFEITO!$M$285*EFEITO!$Z$285</f>
        <v>0</v>
      </c>
      <c r="O285" s="62">
        <f>$L$285-EFEITO!$O$285*EFEITO!$AA$285</f>
        <v>0</v>
      </c>
      <c r="P285" s="45"/>
      <c r="Q285" s="45"/>
      <c r="R285" s="45"/>
      <c r="S285" s="45"/>
      <c r="T285" s="45"/>
      <c r="U285" s="45"/>
      <c r="V285" s="45"/>
      <c r="W285" s="45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41" t="s">
        <v>21</v>
      </c>
      <c r="B286" s="41" t="s">
        <v>22</v>
      </c>
      <c r="C286" s="41" t="s">
        <v>23</v>
      </c>
      <c r="D286" s="41" t="s">
        <v>24</v>
      </c>
      <c r="E286" s="41" t="s">
        <v>31</v>
      </c>
      <c r="F286" s="41" t="s">
        <v>25</v>
      </c>
      <c r="G286" s="41" t="s">
        <v>25</v>
      </c>
      <c r="H286" s="41" t="s">
        <v>25</v>
      </c>
      <c r="I286" s="61">
        <v>44621</v>
      </c>
      <c r="J286" s="62">
        <f>EFEITO!$J$286*EFEITO!$Y$218</f>
        <v>0</v>
      </c>
      <c r="K286" s="62">
        <f ca="1">EFEITO!$L$286*EFEITO!$Z$279</f>
        <v>526.13169446794905</v>
      </c>
      <c r="L286" s="62">
        <f>EFEITO!$N$286*EFEITO!$AA$279</f>
        <v>422.32028937626848</v>
      </c>
      <c r="M286" s="62">
        <f>$J$286-EFEITO!$K$286*EFEITO!$Y$286</f>
        <v>0</v>
      </c>
      <c r="N286" s="62">
        <f ca="1">$K$286-EFEITO!$M$286*EFEITO!$Z$286</f>
        <v>0</v>
      </c>
      <c r="O286" s="62">
        <f>$L$286-EFEITO!$O$286*EFEITO!$AA$286</f>
        <v>0</v>
      </c>
      <c r="P286" s="45"/>
      <c r="Q286" s="45"/>
      <c r="R286" s="45"/>
      <c r="S286" s="45"/>
      <c r="T286" s="45"/>
      <c r="U286" s="45"/>
      <c r="V286" s="45"/>
      <c r="W286" s="45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41" t="s">
        <v>21</v>
      </c>
      <c r="B287" s="41" t="s">
        <v>22</v>
      </c>
      <c r="C287" s="41" t="s">
        <v>23</v>
      </c>
      <c r="D287" s="41" t="s">
        <v>24</v>
      </c>
      <c r="E287" s="41" t="s">
        <v>31</v>
      </c>
      <c r="F287" s="41" t="s">
        <v>25</v>
      </c>
      <c r="G287" s="41" t="s">
        <v>25</v>
      </c>
      <c r="H287" s="41" t="s">
        <v>25</v>
      </c>
      <c r="I287" s="61">
        <v>44652</v>
      </c>
      <c r="J287" s="62">
        <f>EFEITO!$J$287*EFEITO!$Y$218</f>
        <v>0</v>
      </c>
      <c r="K287" s="62">
        <f ca="1">EFEITO!$L$287*EFEITO!$Z$279</f>
        <v>249.87375459982243</v>
      </c>
      <c r="L287" s="62">
        <f>EFEITO!$N$287*EFEITO!$AA$279</f>
        <v>200.57099288961425</v>
      </c>
      <c r="M287" s="62">
        <f>$J$287-EFEITO!$K$287*EFEITO!$Y$287</f>
        <v>0</v>
      </c>
      <c r="N287" s="62">
        <f ca="1">$K$287-EFEITO!$M$287*EFEITO!$Z$287</f>
        <v>0</v>
      </c>
      <c r="O287" s="62">
        <f>$L$287-EFEITO!$O$287*EFEITO!$AA$287</f>
        <v>0</v>
      </c>
      <c r="P287" s="45"/>
      <c r="Q287" s="45"/>
      <c r="R287" s="45"/>
      <c r="S287" s="45"/>
      <c r="T287" s="45"/>
      <c r="U287" s="45"/>
      <c r="V287" s="45"/>
      <c r="W287" s="45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41" t="s">
        <v>21</v>
      </c>
      <c r="B288" s="41" t="s">
        <v>22</v>
      </c>
      <c r="C288" s="41" t="s">
        <v>23</v>
      </c>
      <c r="D288" s="41" t="s">
        <v>24</v>
      </c>
      <c r="E288" s="41" t="s">
        <v>31</v>
      </c>
      <c r="F288" s="41" t="s">
        <v>25</v>
      </c>
      <c r="G288" s="41" t="s">
        <v>25</v>
      </c>
      <c r="H288" s="41" t="s">
        <v>25</v>
      </c>
      <c r="I288" s="61">
        <v>44682</v>
      </c>
      <c r="J288" s="62">
        <f>EFEITO!$J$288*EFEITO!$Y$218</f>
        <v>0</v>
      </c>
      <c r="K288" s="62">
        <f ca="1">EFEITO!$L$288*EFEITO!$Z$279</f>
        <v>295.91674457784353</v>
      </c>
      <c r="L288" s="62">
        <f>EFEITO!$N$288*EFEITO!$AA$279</f>
        <v>237.52920897072326</v>
      </c>
      <c r="M288" s="62">
        <f>$J$288-EFEITO!$K$288*EFEITO!$Y$288</f>
        <v>0</v>
      </c>
      <c r="N288" s="62">
        <f ca="1">$K$288-EFEITO!$M$288*EFEITO!$Z$288</f>
        <v>0</v>
      </c>
      <c r="O288" s="62">
        <f>$L$288-EFEITO!$O$288*EFEITO!$AA$288</f>
        <v>0</v>
      </c>
      <c r="P288" s="45"/>
      <c r="Q288" s="45"/>
      <c r="R288" s="45"/>
      <c r="S288" s="45"/>
      <c r="T288" s="45"/>
      <c r="U288" s="45"/>
      <c r="V288" s="45"/>
      <c r="W288" s="45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41" t="s">
        <v>21</v>
      </c>
      <c r="B289" s="41" t="s">
        <v>22</v>
      </c>
      <c r="C289" s="41" t="s">
        <v>23</v>
      </c>
      <c r="D289" s="41" t="s">
        <v>24</v>
      </c>
      <c r="E289" s="41" t="s">
        <v>31</v>
      </c>
      <c r="F289" s="41" t="s">
        <v>25</v>
      </c>
      <c r="G289" s="41" t="s">
        <v>25</v>
      </c>
      <c r="H289" s="41" t="s">
        <v>25</v>
      </c>
      <c r="I289" s="61">
        <v>44713</v>
      </c>
      <c r="J289" s="62">
        <f>EFEITO!$J$289*EFEITO!$Y$218</f>
        <v>0</v>
      </c>
      <c r="K289" s="62">
        <f ca="1">EFEITO!$L$289*EFEITO!$Z$279</f>
        <v>406.88552379453489</v>
      </c>
      <c r="L289" s="62">
        <f>EFEITO!$N$289*EFEITO!$AA$279</f>
        <v>326.60266233474454</v>
      </c>
      <c r="M289" s="62">
        <f>$J$289-EFEITO!$K$289*EFEITO!$Y$289</f>
        <v>0</v>
      </c>
      <c r="N289" s="62">
        <f ca="1">$K$289-EFEITO!$M$289*EFEITO!$Z$289</f>
        <v>0</v>
      </c>
      <c r="O289" s="62">
        <f>$L$289-EFEITO!$O$289*EFEITO!$AA$289</f>
        <v>0</v>
      </c>
      <c r="P289" s="45"/>
      <c r="Q289" s="45"/>
      <c r="R289" s="45"/>
      <c r="S289" s="45"/>
      <c r="T289" s="45"/>
      <c r="U289" s="45"/>
      <c r="V289" s="45"/>
      <c r="W289" s="45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41" t="s">
        <v>55</v>
      </c>
      <c r="B290" s="41" t="s">
        <v>22</v>
      </c>
      <c r="C290" s="41" t="s">
        <v>23</v>
      </c>
      <c r="D290" s="41" t="s">
        <v>24</v>
      </c>
      <c r="E290" s="41" t="s">
        <v>31</v>
      </c>
      <c r="F290" s="41" t="s">
        <v>25</v>
      </c>
      <c r="G290" s="41" t="s">
        <v>25</v>
      </c>
      <c r="H290" s="41" t="s">
        <v>25</v>
      </c>
      <c r="I290" s="61">
        <v>44743</v>
      </c>
      <c r="J290" s="62">
        <f>EFEITO!$J$290*EFEITO!$Y$218</f>
        <v>0</v>
      </c>
      <c r="K290" s="62">
        <f ca="1">EFEITO!$L$290*EFEITO!$Z$279</f>
        <v>406.88552379453489</v>
      </c>
      <c r="L290" s="62">
        <f>EFEITO!$N$290*EFEITO!$AA$279</f>
        <v>326.60266233474454</v>
      </c>
      <c r="M290" s="62">
        <f>$J$290-EFEITO!$K$290*EFEITO!$Y$290</f>
        <v>0</v>
      </c>
      <c r="N290" s="62">
        <f ca="1">$K$290-EFEITO!$M$290*EFEITO!$Z$290</f>
        <v>0</v>
      </c>
      <c r="O290" s="62">
        <f>$L$290-EFEITO!$O$290*EFEITO!$AA$290</f>
        <v>0</v>
      </c>
      <c r="P290" s="45"/>
      <c r="Q290" s="45"/>
      <c r="R290" s="45"/>
      <c r="S290" s="45"/>
      <c r="T290" s="45"/>
      <c r="U290" s="45"/>
      <c r="V290" s="45"/>
      <c r="W290" s="45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41" t="s">
        <v>21</v>
      </c>
      <c r="B291" s="41" t="s">
        <v>41</v>
      </c>
      <c r="C291" s="41" t="s">
        <v>23</v>
      </c>
      <c r="D291" s="41" t="s">
        <v>42</v>
      </c>
      <c r="E291" s="41" t="s">
        <v>50</v>
      </c>
      <c r="F291" s="41" t="s">
        <v>51</v>
      </c>
      <c r="G291" s="41" t="s">
        <v>25</v>
      </c>
      <c r="H291" s="41" t="s">
        <v>25</v>
      </c>
      <c r="I291" s="61">
        <v>44409</v>
      </c>
      <c r="J291" s="62">
        <f>EFEITO!$J$291*EFEITO!$Y$218</f>
        <v>0</v>
      </c>
      <c r="K291" s="62">
        <f ca="1">EFEITO!$L$291*EFEITO!$Z$218</f>
        <v>90.406096914958667</v>
      </c>
      <c r="L291" s="62">
        <f>EFEITO!$N$291*EFEITO!$AA$218</f>
        <v>53.568650274865917</v>
      </c>
      <c r="M291" s="62">
        <f>$J$291-EFEITO!$K$291*EFEITO!$Y$291</f>
        <v>0</v>
      </c>
      <c r="N291" s="62">
        <f ca="1">$K$291-EFEITO!$M$291*EFEITO!$Z$291</f>
        <v>5.4243658148975271</v>
      </c>
      <c r="O291" s="62">
        <f>$L$291-EFEITO!$O$291*EFEITO!$AA$291</f>
        <v>3.2141190164919564</v>
      </c>
      <c r="P291" s="45"/>
      <c r="Q291" s="45"/>
      <c r="R291" s="45"/>
      <c r="S291" s="45"/>
      <c r="T291" s="45"/>
      <c r="U291" s="45"/>
      <c r="V291" s="45"/>
      <c r="W291" s="45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41" t="s">
        <v>21</v>
      </c>
      <c r="B292" s="41" t="s">
        <v>41</v>
      </c>
      <c r="C292" s="41" t="s">
        <v>23</v>
      </c>
      <c r="D292" s="41" t="s">
        <v>42</v>
      </c>
      <c r="E292" s="41" t="s">
        <v>50</v>
      </c>
      <c r="F292" s="41" t="s">
        <v>51</v>
      </c>
      <c r="G292" s="41" t="s">
        <v>25</v>
      </c>
      <c r="H292" s="41" t="s">
        <v>25</v>
      </c>
      <c r="I292" s="61">
        <v>44440</v>
      </c>
      <c r="J292" s="62">
        <f>EFEITO!$J$292*EFEITO!$Y$218</f>
        <v>0</v>
      </c>
      <c r="K292" s="62">
        <f ca="1">EFEITO!$L$292*EFEITO!$Z$218</f>
        <v>89.004452001548444</v>
      </c>
      <c r="L292" s="62">
        <f>EFEITO!$N$292*EFEITO!$AA$218</f>
        <v>52.738128565178073</v>
      </c>
      <c r="M292" s="62">
        <f>$J$292-EFEITO!$K$292*EFEITO!$Y$292</f>
        <v>0</v>
      </c>
      <c r="N292" s="62">
        <f ca="1">$K$292-EFEITO!$M$292*EFEITO!$Z$292</f>
        <v>5.3402671200929035</v>
      </c>
      <c r="O292" s="62">
        <f>$L$292-EFEITO!$O$292*EFEITO!$AA$292</f>
        <v>3.1642877139106815</v>
      </c>
      <c r="P292" s="45"/>
      <c r="Q292" s="45"/>
      <c r="R292" s="45"/>
      <c r="S292" s="45"/>
      <c r="T292" s="45"/>
      <c r="U292" s="45"/>
      <c r="V292" s="45"/>
      <c r="W292" s="45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41" t="s">
        <v>21</v>
      </c>
      <c r="B293" s="41" t="s">
        <v>41</v>
      </c>
      <c r="C293" s="41" t="s">
        <v>23</v>
      </c>
      <c r="D293" s="41" t="s">
        <v>42</v>
      </c>
      <c r="E293" s="41" t="s">
        <v>50</v>
      </c>
      <c r="F293" s="41" t="s">
        <v>51</v>
      </c>
      <c r="G293" s="41" t="s">
        <v>25</v>
      </c>
      <c r="H293" s="41" t="s">
        <v>25</v>
      </c>
      <c r="I293" s="61">
        <v>44470</v>
      </c>
      <c r="J293" s="62">
        <f>EFEITO!$J$293*EFEITO!$Y$218</f>
        <v>0</v>
      </c>
      <c r="K293" s="62">
        <f ca="1">EFEITO!$L$293*EFEITO!$Z$218</f>
        <v>78.492115150971856</v>
      </c>
      <c r="L293" s="62">
        <f>EFEITO!$N$293*EFEITO!$AA$218</f>
        <v>46.509215742519245</v>
      </c>
      <c r="M293" s="62">
        <f>$J$293-EFEITO!$K$293*EFEITO!$Y$293</f>
        <v>0</v>
      </c>
      <c r="N293" s="62">
        <f ca="1">$K$293-EFEITO!$M$293*EFEITO!$Z$293</f>
        <v>4.7095269090583116</v>
      </c>
      <c r="O293" s="62">
        <f>$L$293-EFEITO!$O$293*EFEITO!$AA$293</f>
        <v>2.7905529445511519</v>
      </c>
      <c r="P293" s="45"/>
      <c r="Q293" s="45"/>
      <c r="R293" s="45"/>
      <c r="S293" s="45"/>
      <c r="T293" s="45"/>
      <c r="U293" s="45"/>
      <c r="V293" s="45"/>
      <c r="W293" s="45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41" t="s">
        <v>21</v>
      </c>
      <c r="B294" s="41" t="s">
        <v>41</v>
      </c>
      <c r="C294" s="41" t="s">
        <v>23</v>
      </c>
      <c r="D294" s="41" t="s">
        <v>42</v>
      </c>
      <c r="E294" s="41" t="s">
        <v>50</v>
      </c>
      <c r="F294" s="41" t="s">
        <v>51</v>
      </c>
      <c r="G294" s="41" t="s">
        <v>25</v>
      </c>
      <c r="H294" s="41" t="s">
        <v>25</v>
      </c>
      <c r="I294" s="61">
        <v>44501</v>
      </c>
      <c r="J294" s="62">
        <f>EFEITO!$J$294*EFEITO!$Y$218</f>
        <v>0</v>
      </c>
      <c r="K294" s="62">
        <f ca="1">EFEITO!$L$294*EFEITO!$Z$218</f>
        <v>90.406096914958667</v>
      </c>
      <c r="L294" s="62">
        <f>EFEITO!$N$294*EFEITO!$AA$218</f>
        <v>53.568650274865917</v>
      </c>
      <c r="M294" s="62">
        <f>$J$294-EFEITO!$K$294*EFEITO!$Y$294</f>
        <v>0</v>
      </c>
      <c r="N294" s="62">
        <f ca="1">$K$294-EFEITO!$M$294*EFEITO!$Z$294</f>
        <v>5.4243658148975271</v>
      </c>
      <c r="O294" s="62">
        <f>$L$294-EFEITO!$O$294*EFEITO!$AA$294</f>
        <v>3.2141190164919564</v>
      </c>
      <c r="P294" s="45"/>
      <c r="Q294" s="45"/>
      <c r="R294" s="45"/>
      <c r="S294" s="45"/>
      <c r="T294" s="45"/>
      <c r="U294" s="45"/>
      <c r="V294" s="45"/>
      <c r="W294" s="45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41" t="s">
        <v>21</v>
      </c>
      <c r="B295" s="41" t="s">
        <v>41</v>
      </c>
      <c r="C295" s="41" t="s">
        <v>23</v>
      </c>
      <c r="D295" s="41" t="s">
        <v>42</v>
      </c>
      <c r="E295" s="41" t="s">
        <v>50</v>
      </c>
      <c r="F295" s="41" t="s">
        <v>51</v>
      </c>
      <c r="G295" s="41" t="s">
        <v>25</v>
      </c>
      <c r="H295" s="41" t="s">
        <v>25</v>
      </c>
      <c r="I295" s="61">
        <v>44531</v>
      </c>
      <c r="J295" s="62">
        <f>EFEITO!$J$295*EFEITO!$Y$218</f>
        <v>0</v>
      </c>
      <c r="K295" s="62">
        <f ca="1">EFEITO!$L$295*EFEITO!$Z$218</f>
        <v>132.10503308891245</v>
      </c>
      <c r="L295" s="62">
        <f>EFEITO!$N$295*EFEITO!$AA$218</f>
        <v>78.276671138079266</v>
      </c>
      <c r="M295" s="62">
        <f>$J$295-EFEITO!$K$295*EFEITO!$Y$295</f>
        <v>0</v>
      </c>
      <c r="N295" s="62">
        <f ca="1">$K$295-EFEITO!$M$295*EFEITO!$Z$295</f>
        <v>7.9263019853347316</v>
      </c>
      <c r="O295" s="62">
        <f>$L$295-EFEITO!$O$295*EFEITO!$AA$295</f>
        <v>4.6966002682847545</v>
      </c>
      <c r="P295" s="45"/>
      <c r="Q295" s="45"/>
      <c r="R295" s="45"/>
      <c r="S295" s="45"/>
      <c r="T295" s="45"/>
      <c r="U295" s="45"/>
      <c r="V295" s="45"/>
      <c r="W295" s="45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41" t="s">
        <v>21</v>
      </c>
      <c r="B296" s="41" t="s">
        <v>41</v>
      </c>
      <c r="C296" s="41" t="s">
        <v>23</v>
      </c>
      <c r="D296" s="41" t="s">
        <v>42</v>
      </c>
      <c r="E296" s="41" t="s">
        <v>50</v>
      </c>
      <c r="F296" s="41" t="s">
        <v>51</v>
      </c>
      <c r="G296" s="41" t="s">
        <v>25</v>
      </c>
      <c r="H296" s="41" t="s">
        <v>25</v>
      </c>
      <c r="I296" s="61">
        <v>44562</v>
      </c>
      <c r="J296" s="62">
        <f>EFEITO!$J$296*EFEITO!$Y$218</f>
        <v>0</v>
      </c>
      <c r="K296" s="62">
        <f ca="1">EFEITO!$L$296*EFEITO!$Z$218</f>
        <v>110.72994815940673</v>
      </c>
      <c r="L296" s="62">
        <f>EFEITO!$N$296*EFEITO!$AA$218</f>
        <v>65.61121506533965</v>
      </c>
      <c r="M296" s="62">
        <f>$J$296-EFEITO!$K$296*EFEITO!$Y$296</f>
        <v>0</v>
      </c>
      <c r="N296" s="62">
        <f ca="1">$K$296-EFEITO!$M$296*EFEITO!$Z$296</f>
        <v>6.6437968895643991</v>
      </c>
      <c r="O296" s="62">
        <f>$L$296-EFEITO!$O$296*EFEITO!$AA$296</f>
        <v>3.9366729039203818</v>
      </c>
      <c r="P296" s="45"/>
      <c r="Q296" s="45"/>
      <c r="R296" s="45"/>
      <c r="S296" s="45"/>
      <c r="T296" s="45"/>
      <c r="U296" s="45"/>
      <c r="V296" s="45"/>
      <c r="W296" s="45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41" t="s">
        <v>21</v>
      </c>
      <c r="B297" s="41" t="s">
        <v>41</v>
      </c>
      <c r="C297" s="41" t="s">
        <v>23</v>
      </c>
      <c r="D297" s="41" t="s">
        <v>42</v>
      </c>
      <c r="E297" s="41" t="s">
        <v>50</v>
      </c>
      <c r="F297" s="41" t="s">
        <v>51</v>
      </c>
      <c r="G297" s="41" t="s">
        <v>25</v>
      </c>
      <c r="H297" s="41" t="s">
        <v>25</v>
      </c>
      <c r="I297" s="61">
        <v>44593</v>
      </c>
      <c r="J297" s="62">
        <f>EFEITO!$J$297*EFEITO!$Y$218</f>
        <v>0</v>
      </c>
      <c r="K297" s="62">
        <f ca="1">EFEITO!$L$297*EFEITO!$Z$218</f>
        <v>213.75084929505729</v>
      </c>
      <c r="L297" s="62">
        <f>EFEITO!$N$297*EFEITO!$AA$218</f>
        <v>126.65456072739616</v>
      </c>
      <c r="M297" s="62">
        <f>$J$297-EFEITO!$K$297*EFEITO!$Y$297</f>
        <v>0</v>
      </c>
      <c r="N297" s="62">
        <f ca="1">$K$297-EFEITO!$M$297*EFEITO!$Z$297</f>
        <v>12.825050957703439</v>
      </c>
      <c r="O297" s="62">
        <f>$L$297-EFEITO!$O$297*EFEITO!$AA$297</f>
        <v>7.5992736436437696</v>
      </c>
      <c r="P297" s="45"/>
      <c r="Q297" s="45"/>
      <c r="R297" s="45"/>
      <c r="S297" s="45"/>
      <c r="T297" s="45"/>
      <c r="U297" s="45"/>
      <c r="V297" s="45"/>
      <c r="W297" s="45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41" t="s">
        <v>21</v>
      </c>
      <c r="B298" s="41" t="s">
        <v>41</v>
      </c>
      <c r="C298" s="41" t="s">
        <v>23</v>
      </c>
      <c r="D298" s="41" t="s">
        <v>42</v>
      </c>
      <c r="E298" s="41" t="s">
        <v>50</v>
      </c>
      <c r="F298" s="41" t="s">
        <v>51</v>
      </c>
      <c r="G298" s="41" t="s">
        <v>25</v>
      </c>
      <c r="H298" s="41" t="s">
        <v>25</v>
      </c>
      <c r="I298" s="61">
        <v>44621</v>
      </c>
      <c r="J298" s="62">
        <f>EFEITO!$J$298*EFEITO!$Y$218</f>
        <v>0</v>
      </c>
      <c r="K298" s="62">
        <f ca="1">EFEITO!$L$298*EFEITO!$Z$218</f>
        <v>80.24417129273462</v>
      </c>
      <c r="L298" s="62">
        <f>EFEITO!$N$298*EFEITO!$AA$218</f>
        <v>47.54736787962905</v>
      </c>
      <c r="M298" s="62">
        <f>$J$298-EFEITO!$K$298*EFEITO!$Y$298</f>
        <v>0</v>
      </c>
      <c r="N298" s="62">
        <f ca="1">$K$298-EFEITO!$M$298*EFEITO!$Z$298</f>
        <v>4.8146502775640698</v>
      </c>
      <c r="O298" s="62">
        <f>$L$298-EFEITO!$O$298*EFEITO!$AA$298</f>
        <v>2.8528420727777402</v>
      </c>
      <c r="P298" s="45"/>
      <c r="Q298" s="45"/>
      <c r="R298" s="45"/>
      <c r="S298" s="45"/>
      <c r="T298" s="45"/>
      <c r="U298" s="45"/>
      <c r="V298" s="45"/>
      <c r="W298" s="45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41" t="s">
        <v>21</v>
      </c>
      <c r="B299" s="41" t="s">
        <v>41</v>
      </c>
      <c r="C299" s="41" t="s">
        <v>23</v>
      </c>
      <c r="D299" s="41" t="s">
        <v>42</v>
      </c>
      <c r="E299" s="41" t="s">
        <v>50</v>
      </c>
      <c r="F299" s="41" t="s">
        <v>51</v>
      </c>
      <c r="G299" s="41" t="s">
        <v>25</v>
      </c>
      <c r="H299" s="41" t="s">
        <v>25</v>
      </c>
      <c r="I299" s="61">
        <v>44652</v>
      </c>
      <c r="J299" s="62">
        <f>EFEITO!$J$299*EFEITO!$Y$218</f>
        <v>0</v>
      </c>
      <c r="K299" s="62">
        <f ca="1">EFEITO!$L$299*EFEITO!$Z$218</f>
        <v>104.77295727741333</v>
      </c>
      <c r="L299" s="62">
        <f>EFEITO!$N$299*EFEITO!$AA$218</f>
        <v>62.081497799166314</v>
      </c>
      <c r="M299" s="62">
        <f>$J$299-EFEITO!$K$299*EFEITO!$Y$299</f>
        <v>0</v>
      </c>
      <c r="N299" s="62">
        <f ca="1">$K$299-EFEITO!$M$299*EFEITO!$Z$299</f>
        <v>6.2863774366447984</v>
      </c>
      <c r="O299" s="62">
        <f>$L$299-EFEITO!$O$299*EFEITO!$AA$299</f>
        <v>3.7248898679499831</v>
      </c>
      <c r="P299" s="45"/>
      <c r="Q299" s="45"/>
      <c r="R299" s="45"/>
      <c r="S299" s="45"/>
      <c r="T299" s="45"/>
      <c r="U299" s="45"/>
      <c r="V299" s="45"/>
      <c r="W299" s="45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41" t="s">
        <v>21</v>
      </c>
      <c r="B300" s="41" t="s">
        <v>41</v>
      </c>
      <c r="C300" s="41" t="s">
        <v>23</v>
      </c>
      <c r="D300" s="41" t="s">
        <v>42</v>
      </c>
      <c r="E300" s="41" t="s">
        <v>50</v>
      </c>
      <c r="F300" s="41" t="s">
        <v>51</v>
      </c>
      <c r="G300" s="41" t="s">
        <v>25</v>
      </c>
      <c r="H300" s="41" t="s">
        <v>25</v>
      </c>
      <c r="I300" s="61">
        <v>44682</v>
      </c>
      <c r="J300" s="62">
        <f>EFEITO!$J$300*EFEITO!$Y$218</f>
        <v>0</v>
      </c>
      <c r="K300" s="62">
        <f ca="1">EFEITO!$L$300*EFEITO!$Z$218</f>
        <v>70.082245670510588</v>
      </c>
      <c r="L300" s="62">
        <f>EFEITO!$N$300*EFEITO!$AA$218</f>
        <v>41.526085484392183</v>
      </c>
      <c r="M300" s="62">
        <f>$J$300-EFEITO!$K$300*EFEITO!$Y$300</f>
        <v>0</v>
      </c>
      <c r="N300" s="62">
        <f ca="1">$K$300-EFEITO!$M$300*EFEITO!$Z$300</f>
        <v>4.2049347402306267</v>
      </c>
      <c r="O300" s="62">
        <f>$L$300-EFEITO!$O$300*EFEITO!$AA$300</f>
        <v>2.491565129063531</v>
      </c>
      <c r="P300" s="45"/>
      <c r="Q300" s="45"/>
      <c r="R300" s="45"/>
      <c r="S300" s="45"/>
      <c r="T300" s="45"/>
      <c r="U300" s="45"/>
      <c r="V300" s="45"/>
      <c r="W300" s="45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41" t="s">
        <v>21</v>
      </c>
      <c r="B301" s="41" t="s">
        <v>41</v>
      </c>
      <c r="C301" s="41" t="s">
        <v>23</v>
      </c>
      <c r="D301" s="41" t="s">
        <v>42</v>
      </c>
      <c r="E301" s="41" t="s">
        <v>50</v>
      </c>
      <c r="F301" s="41" t="s">
        <v>51</v>
      </c>
      <c r="G301" s="41" t="s">
        <v>25</v>
      </c>
      <c r="H301" s="41" t="s">
        <v>25</v>
      </c>
      <c r="I301" s="61">
        <v>44713</v>
      </c>
      <c r="J301" s="62">
        <f>EFEITO!$J$301*EFEITO!$Y$218</f>
        <v>0</v>
      </c>
      <c r="K301" s="62">
        <f ca="1">EFEITO!$L$301*EFEITO!$Z$218</f>
        <v>181.86342751497497</v>
      </c>
      <c r="L301" s="62">
        <f>EFEITO!$N$301*EFEITO!$AA$218</f>
        <v>107.76019183199772</v>
      </c>
      <c r="M301" s="62">
        <f>$J$301-EFEITO!$K$301*EFEITO!$Y$301</f>
        <v>0</v>
      </c>
      <c r="N301" s="62">
        <f ca="1">$K$301-EFEITO!$M$301*EFEITO!$Z$301</f>
        <v>10.911805650898486</v>
      </c>
      <c r="O301" s="62">
        <f>$L$301-EFEITO!$O$301*EFEITO!$AA$301</f>
        <v>6.465611509919853</v>
      </c>
      <c r="P301" s="45"/>
      <c r="Q301" s="45"/>
      <c r="R301" s="45"/>
      <c r="S301" s="45"/>
      <c r="T301" s="45"/>
      <c r="U301" s="45"/>
      <c r="V301" s="45"/>
      <c r="W301" s="45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41" t="s">
        <v>55</v>
      </c>
      <c r="B302" s="41" t="s">
        <v>41</v>
      </c>
      <c r="C302" s="41" t="s">
        <v>23</v>
      </c>
      <c r="D302" s="41" t="s">
        <v>42</v>
      </c>
      <c r="E302" s="41" t="s">
        <v>50</v>
      </c>
      <c r="F302" s="41" t="s">
        <v>51</v>
      </c>
      <c r="G302" s="41" t="s">
        <v>25</v>
      </c>
      <c r="H302" s="41" t="s">
        <v>25</v>
      </c>
      <c r="I302" s="61">
        <v>44743</v>
      </c>
      <c r="J302" s="62">
        <f>EFEITO!$J$302*EFEITO!$Y$218</f>
        <v>0</v>
      </c>
      <c r="K302" s="62">
        <f ca="1">EFEITO!$L$302*EFEITO!$Z$218</f>
        <v>181.86342751497497</v>
      </c>
      <c r="L302" s="62">
        <f>EFEITO!$N$302*EFEITO!$AA$218</f>
        <v>107.76019183199772</v>
      </c>
      <c r="M302" s="62">
        <f>$J$302-EFEITO!$K$302*EFEITO!$Y$302</f>
        <v>0</v>
      </c>
      <c r="N302" s="62">
        <f ca="1">$K$302-EFEITO!$M$302*EFEITO!$Z$302</f>
        <v>10.911805650898486</v>
      </c>
      <c r="O302" s="62">
        <f>$L$302-EFEITO!$O$302*EFEITO!$AA$302</f>
        <v>6.465611509919853</v>
      </c>
      <c r="P302" s="45"/>
      <c r="Q302" s="45"/>
      <c r="R302" s="45"/>
      <c r="S302" s="45"/>
      <c r="T302" s="45"/>
      <c r="U302" s="45"/>
      <c r="V302" s="45"/>
      <c r="W302" s="45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41" t="s">
        <v>21</v>
      </c>
      <c r="B303" s="41" t="s">
        <v>41</v>
      </c>
      <c r="C303" s="41" t="s">
        <v>23</v>
      </c>
      <c r="D303" s="41" t="s">
        <v>42</v>
      </c>
      <c r="E303" s="41" t="s">
        <v>50</v>
      </c>
      <c r="F303" s="41" t="s">
        <v>52</v>
      </c>
      <c r="G303" s="41" t="s">
        <v>25</v>
      </c>
      <c r="H303" s="41" t="s">
        <v>25</v>
      </c>
      <c r="I303" s="61">
        <v>44409</v>
      </c>
      <c r="J303" s="62">
        <f>EFEITO!$J$303*EFEITO!$Y$218</f>
        <v>0</v>
      </c>
      <c r="K303" s="62">
        <f ca="1">EFEITO!$L$303*EFEITO!$Z$218</f>
        <v>131.05379940385481</v>
      </c>
      <c r="L303" s="62">
        <f>EFEITO!$N$303*EFEITO!$AA$218</f>
        <v>77.653779855813383</v>
      </c>
      <c r="M303" s="62">
        <f>$J$303-EFEITO!$K$303*EFEITO!$Y$303</f>
        <v>0</v>
      </c>
      <c r="N303" s="62">
        <f ca="1">$K$303-EFEITO!$M$303*EFEITO!$Z$303</f>
        <v>81.777570828005395</v>
      </c>
      <c r="O303" s="62">
        <f>$L$303-EFEITO!$O$303*EFEITO!$AA$303</f>
        <v>48.455958630027553</v>
      </c>
      <c r="P303" s="45"/>
      <c r="Q303" s="45"/>
      <c r="R303" s="45"/>
      <c r="S303" s="45"/>
      <c r="T303" s="45"/>
      <c r="U303" s="45"/>
      <c r="V303" s="45"/>
      <c r="W303" s="45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41" t="s">
        <v>21</v>
      </c>
      <c r="B304" s="41" t="s">
        <v>41</v>
      </c>
      <c r="C304" s="41" t="s">
        <v>23</v>
      </c>
      <c r="D304" s="41" t="s">
        <v>42</v>
      </c>
      <c r="E304" s="41" t="s">
        <v>50</v>
      </c>
      <c r="F304" s="41" t="s">
        <v>52</v>
      </c>
      <c r="G304" s="41" t="s">
        <v>25</v>
      </c>
      <c r="H304" s="41" t="s">
        <v>25</v>
      </c>
      <c r="I304" s="61">
        <v>44440</v>
      </c>
      <c r="J304" s="62">
        <f>EFEITO!$J$304*EFEITO!$Y$218</f>
        <v>0</v>
      </c>
      <c r="K304" s="62">
        <f ca="1">EFEITO!$L$304*EFEITO!$Z$218</f>
        <v>167.14615592416774</v>
      </c>
      <c r="L304" s="62">
        <f>EFEITO!$N$304*EFEITO!$AA$218</f>
        <v>99.039713880275357</v>
      </c>
      <c r="M304" s="62">
        <f>$J$304-EFEITO!$K$304*EFEITO!$Y$304</f>
        <v>0</v>
      </c>
      <c r="N304" s="62">
        <f ca="1">$K$304-EFEITO!$M$304*EFEITO!$Z$304</f>
        <v>104.29920129668068</v>
      </c>
      <c r="O304" s="62">
        <f>$L$304-EFEITO!$O$304*EFEITO!$AA$304</f>
        <v>61.800781461291827</v>
      </c>
      <c r="P304" s="45"/>
      <c r="Q304" s="45"/>
      <c r="R304" s="45"/>
      <c r="S304" s="45"/>
      <c r="T304" s="45"/>
      <c r="U304" s="45"/>
      <c r="V304" s="45"/>
      <c r="W304" s="45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41" t="s">
        <v>21</v>
      </c>
      <c r="B305" s="41" t="s">
        <v>41</v>
      </c>
      <c r="C305" s="41" t="s">
        <v>23</v>
      </c>
      <c r="D305" s="41" t="s">
        <v>42</v>
      </c>
      <c r="E305" s="41" t="s">
        <v>50</v>
      </c>
      <c r="F305" s="41" t="s">
        <v>52</v>
      </c>
      <c r="G305" s="41" t="s">
        <v>25</v>
      </c>
      <c r="H305" s="41" t="s">
        <v>25</v>
      </c>
      <c r="I305" s="61">
        <v>44470</v>
      </c>
      <c r="J305" s="62">
        <f>EFEITO!$J$305*EFEITO!$Y$218</f>
        <v>0</v>
      </c>
      <c r="K305" s="62">
        <f ca="1">EFEITO!$L$305*EFEITO!$Z$218</f>
        <v>146.47189345136712</v>
      </c>
      <c r="L305" s="62">
        <f>EFEITO!$N$305*EFEITO!$AA$218</f>
        <v>86.789518662379663</v>
      </c>
      <c r="M305" s="62">
        <f>$J$305-EFEITO!$K$305*EFEITO!$Y$305</f>
        <v>0</v>
      </c>
      <c r="N305" s="62">
        <f ca="1">$K$305-EFEITO!$M$305*EFEITO!$Z$305</f>
        <v>91.398461513653089</v>
      </c>
      <c r="O305" s="62">
        <f>$L$305-EFEITO!$O$305*EFEITO!$AA$305</f>
        <v>54.156659645324915</v>
      </c>
      <c r="P305" s="45"/>
      <c r="Q305" s="45"/>
      <c r="R305" s="45"/>
      <c r="S305" s="45"/>
      <c r="T305" s="45"/>
      <c r="U305" s="45"/>
      <c r="V305" s="45"/>
      <c r="W305" s="45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41" t="s">
        <v>21</v>
      </c>
      <c r="B306" s="41" t="s">
        <v>41</v>
      </c>
      <c r="C306" s="41" t="s">
        <v>23</v>
      </c>
      <c r="D306" s="41" t="s">
        <v>42</v>
      </c>
      <c r="E306" s="41" t="s">
        <v>50</v>
      </c>
      <c r="F306" s="41" t="s">
        <v>52</v>
      </c>
      <c r="G306" s="41" t="s">
        <v>25</v>
      </c>
      <c r="H306" s="41" t="s">
        <v>25</v>
      </c>
      <c r="I306" s="61">
        <v>44501</v>
      </c>
      <c r="J306" s="62">
        <f>EFEITO!$J$306*EFEITO!$Y$218</f>
        <v>0</v>
      </c>
      <c r="K306" s="62">
        <f ca="1">EFEITO!$L$306*EFEITO!$Z$218</f>
        <v>351.11205080925805</v>
      </c>
      <c r="L306" s="62">
        <f>EFEITO!$N$306*EFEITO!$AA$218</f>
        <v>208.04568827680484</v>
      </c>
      <c r="M306" s="62">
        <f>$J$306-EFEITO!$K$306*EFEITO!$Y$306</f>
        <v>0</v>
      </c>
      <c r="N306" s="62">
        <f ca="1">$K$306-EFEITO!$M$306*EFEITO!$Z$306</f>
        <v>219.09391970497703</v>
      </c>
      <c r="O306" s="62">
        <f>$L$306-EFEITO!$O$306*EFEITO!$AA$306</f>
        <v>129.82050948472622</v>
      </c>
      <c r="P306" s="45"/>
      <c r="Q306" s="45"/>
      <c r="R306" s="45"/>
      <c r="S306" s="45"/>
      <c r="T306" s="45"/>
      <c r="U306" s="45"/>
      <c r="V306" s="45"/>
      <c r="W306" s="45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41" t="s">
        <v>21</v>
      </c>
      <c r="B307" s="41" t="s">
        <v>41</v>
      </c>
      <c r="C307" s="41" t="s">
        <v>23</v>
      </c>
      <c r="D307" s="41" t="s">
        <v>42</v>
      </c>
      <c r="E307" s="41" t="s">
        <v>50</v>
      </c>
      <c r="F307" s="41" t="s">
        <v>52</v>
      </c>
      <c r="G307" s="41" t="s">
        <v>25</v>
      </c>
      <c r="H307" s="41" t="s">
        <v>25</v>
      </c>
      <c r="I307" s="61">
        <v>44531</v>
      </c>
      <c r="J307" s="62">
        <f>EFEITO!$J$307*EFEITO!$Y$218</f>
        <v>0</v>
      </c>
      <c r="K307" s="62">
        <f ca="1">EFEITO!$L$307*EFEITO!$Z$218</f>
        <v>1161.6132219887129</v>
      </c>
      <c r="L307" s="62">
        <f>EFEITO!$N$307*EFEITO!$AA$218</f>
        <v>688.29486690380043</v>
      </c>
      <c r="M307" s="62">
        <f>$J$307-EFEITO!$K$307*EFEITO!$Y$307</f>
        <v>0</v>
      </c>
      <c r="N307" s="62">
        <f ca="1">$K$307-EFEITO!$M$307*EFEITO!$Z$307</f>
        <v>724.84665052095681</v>
      </c>
      <c r="O307" s="62">
        <f>$L$307-EFEITO!$O$307*EFEITO!$AA$307</f>
        <v>429.49599694797143</v>
      </c>
      <c r="P307" s="45"/>
      <c r="Q307" s="45"/>
      <c r="R307" s="45"/>
      <c r="S307" s="45"/>
      <c r="T307" s="45"/>
      <c r="U307" s="45"/>
      <c r="V307" s="45"/>
      <c r="W307" s="45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41" t="s">
        <v>21</v>
      </c>
      <c r="B308" s="41" t="s">
        <v>41</v>
      </c>
      <c r="C308" s="41" t="s">
        <v>23</v>
      </c>
      <c r="D308" s="41" t="s">
        <v>42</v>
      </c>
      <c r="E308" s="41" t="s">
        <v>50</v>
      </c>
      <c r="F308" s="41" t="s">
        <v>52</v>
      </c>
      <c r="G308" s="41" t="s">
        <v>25</v>
      </c>
      <c r="H308" s="41" t="s">
        <v>25</v>
      </c>
      <c r="I308" s="61">
        <v>44562</v>
      </c>
      <c r="J308" s="62">
        <f>EFEITO!$J$308*EFEITO!$Y$218</f>
        <v>0</v>
      </c>
      <c r="K308" s="62">
        <f ca="1">EFEITO!$L$308*EFEITO!$Z$218</f>
        <v>656.32023070433161</v>
      </c>
      <c r="L308" s="62">
        <f>EFEITO!$N$308*EFEITO!$AA$218</f>
        <v>388.89179056133281</v>
      </c>
      <c r="M308" s="62">
        <f>$J$308-EFEITO!$K$308*EFEITO!$Y$308</f>
        <v>0</v>
      </c>
      <c r="N308" s="62">
        <f ca="1">$K$308-EFEITO!$M$308*EFEITO!$Z$308</f>
        <v>409.5438239595029</v>
      </c>
      <c r="O308" s="62">
        <f>$L$308-EFEITO!$O$308*EFEITO!$AA$308</f>
        <v>242.6684773102717</v>
      </c>
      <c r="P308" s="45"/>
      <c r="Q308" s="45"/>
      <c r="R308" s="45"/>
      <c r="S308" s="45"/>
      <c r="T308" s="45"/>
      <c r="U308" s="45"/>
      <c r="V308" s="45"/>
      <c r="W308" s="45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41" t="s">
        <v>21</v>
      </c>
      <c r="B309" s="41" t="s">
        <v>41</v>
      </c>
      <c r="C309" s="41" t="s">
        <v>23</v>
      </c>
      <c r="D309" s="41" t="s">
        <v>42</v>
      </c>
      <c r="E309" s="41" t="s">
        <v>50</v>
      </c>
      <c r="F309" s="41" t="s">
        <v>52</v>
      </c>
      <c r="G309" s="41" t="s">
        <v>25</v>
      </c>
      <c r="H309" s="41" t="s">
        <v>25</v>
      </c>
      <c r="I309" s="61">
        <v>44593</v>
      </c>
      <c r="J309" s="62">
        <f>EFEITO!$J$309*EFEITO!$Y$218</f>
        <v>0</v>
      </c>
      <c r="K309" s="62">
        <f ca="1">EFEITO!$L$309*EFEITO!$Z$218</f>
        <v>304.5073574383685</v>
      </c>
      <c r="L309" s="62">
        <f>EFEITO!$N$309*EFEITO!$AA$218</f>
        <v>180.43084142968402</v>
      </c>
      <c r="M309" s="62">
        <f>$J$309-EFEITO!$K$309*EFEITO!$Y$309</f>
        <v>0</v>
      </c>
      <c r="N309" s="62">
        <f ca="1">$K$309-EFEITO!$M$309*EFEITO!$Z$309</f>
        <v>190.01259104154195</v>
      </c>
      <c r="O309" s="62">
        <f>$L$309-EFEITO!$O$309*EFEITO!$AA$309</f>
        <v>112.58884505212282</v>
      </c>
      <c r="P309" s="45"/>
      <c r="Q309" s="45"/>
      <c r="R309" s="45"/>
      <c r="S309" s="45"/>
      <c r="T309" s="45"/>
      <c r="U309" s="45"/>
      <c r="V309" s="45"/>
      <c r="W309" s="45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41" t="s">
        <v>21</v>
      </c>
      <c r="B310" s="41" t="s">
        <v>41</v>
      </c>
      <c r="C310" s="41" t="s">
        <v>23</v>
      </c>
      <c r="D310" s="41" t="s">
        <v>42</v>
      </c>
      <c r="E310" s="41" t="s">
        <v>50</v>
      </c>
      <c r="F310" s="41" t="s">
        <v>52</v>
      </c>
      <c r="G310" s="41" t="s">
        <v>25</v>
      </c>
      <c r="H310" s="41" t="s">
        <v>25</v>
      </c>
      <c r="I310" s="61">
        <v>44621</v>
      </c>
      <c r="J310" s="62">
        <f>EFEITO!$J$310*EFEITO!$Y$218</f>
        <v>0</v>
      </c>
      <c r="K310" s="62">
        <f ca="1">EFEITO!$L$310*EFEITO!$Z$218</f>
        <v>187.47000716861584</v>
      </c>
      <c r="L310" s="62">
        <f>EFEITO!$N$310*EFEITO!$AA$218</f>
        <v>111.08227867074909</v>
      </c>
      <c r="M310" s="62">
        <f>$J$310-EFEITO!$K$310*EFEITO!$Y$310</f>
        <v>0</v>
      </c>
      <c r="N310" s="62">
        <f ca="1">$K$310-EFEITO!$M$310*EFEITO!$Z$310</f>
        <v>116.98128447321629</v>
      </c>
      <c r="O310" s="62">
        <f>$L$310-EFEITO!$O$310*EFEITO!$AA$310</f>
        <v>69.315341890547444</v>
      </c>
      <c r="P310" s="45"/>
      <c r="Q310" s="45"/>
      <c r="R310" s="45"/>
      <c r="S310" s="45"/>
      <c r="T310" s="45"/>
      <c r="U310" s="45"/>
      <c r="V310" s="45"/>
      <c r="W310" s="45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41" t="s">
        <v>21</v>
      </c>
      <c r="B311" s="41" t="s">
        <v>41</v>
      </c>
      <c r="C311" s="41" t="s">
        <v>23</v>
      </c>
      <c r="D311" s="41" t="s">
        <v>42</v>
      </c>
      <c r="E311" s="41" t="s">
        <v>50</v>
      </c>
      <c r="F311" s="41" t="s">
        <v>52</v>
      </c>
      <c r="G311" s="41" t="s">
        <v>25</v>
      </c>
      <c r="H311" s="41" t="s">
        <v>25</v>
      </c>
      <c r="I311" s="61">
        <v>44652</v>
      </c>
      <c r="J311" s="62">
        <f>EFEITO!$J$311*EFEITO!$Y$218</f>
        <v>0</v>
      </c>
      <c r="K311" s="62">
        <f ca="1">EFEITO!$L$311*EFEITO!$Z$218</f>
        <v>105.47377973411844</v>
      </c>
      <c r="L311" s="62">
        <f>EFEITO!$N$311*EFEITO!$AA$218</f>
        <v>62.496758654010236</v>
      </c>
      <c r="M311" s="62">
        <f>$J$311-EFEITO!$K$311*EFEITO!$Y$311</f>
        <v>0</v>
      </c>
      <c r="N311" s="62">
        <f ca="1">$K$311-EFEITO!$M$311*EFEITO!$Z$311</f>
        <v>65.815638554089901</v>
      </c>
      <c r="O311" s="62">
        <f>$L$311-EFEITO!$O$311*EFEITO!$AA$311</f>
        <v>38.997977400102386</v>
      </c>
      <c r="P311" s="45"/>
      <c r="Q311" s="45"/>
      <c r="R311" s="45"/>
      <c r="S311" s="45"/>
      <c r="T311" s="45"/>
      <c r="U311" s="45"/>
      <c r="V311" s="45"/>
      <c r="W311" s="45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41" t="s">
        <v>21</v>
      </c>
      <c r="B312" s="41" t="s">
        <v>41</v>
      </c>
      <c r="C312" s="41" t="s">
        <v>23</v>
      </c>
      <c r="D312" s="41" t="s">
        <v>42</v>
      </c>
      <c r="E312" s="41" t="s">
        <v>50</v>
      </c>
      <c r="F312" s="41" t="s">
        <v>52</v>
      </c>
      <c r="G312" s="41" t="s">
        <v>25</v>
      </c>
      <c r="H312" s="41" t="s">
        <v>25</v>
      </c>
      <c r="I312" s="61">
        <v>44682</v>
      </c>
      <c r="J312" s="62">
        <f>EFEITO!$J$312*EFEITO!$Y$218</f>
        <v>0</v>
      </c>
      <c r="K312" s="62">
        <f ca="1">EFEITO!$L$312*EFEITO!$Z$218</f>
        <v>70.082245670510588</v>
      </c>
      <c r="L312" s="62">
        <f>EFEITO!$N$312*EFEITO!$AA$218</f>
        <v>41.526085484392183</v>
      </c>
      <c r="M312" s="62">
        <f>$J$312-EFEITO!$K$312*EFEITO!$Y$312</f>
        <v>0</v>
      </c>
      <c r="N312" s="62">
        <f ca="1">$K$312-EFEITO!$M$312*EFEITO!$Z$312</f>
        <v>43.731321298398605</v>
      </c>
      <c r="O312" s="62">
        <f>$L$312-EFEITO!$O$312*EFEITO!$AA$312</f>
        <v>25.912277342260722</v>
      </c>
      <c r="P312" s="45"/>
      <c r="Q312" s="45"/>
      <c r="R312" s="45"/>
      <c r="S312" s="45"/>
      <c r="T312" s="45"/>
      <c r="U312" s="45"/>
      <c r="V312" s="45"/>
      <c r="W312" s="45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41" t="s">
        <v>21</v>
      </c>
      <c r="B313" s="41" t="s">
        <v>41</v>
      </c>
      <c r="C313" s="41" t="s">
        <v>23</v>
      </c>
      <c r="D313" s="41" t="s">
        <v>42</v>
      </c>
      <c r="E313" s="41" t="s">
        <v>50</v>
      </c>
      <c r="F313" s="41" t="s">
        <v>52</v>
      </c>
      <c r="G313" s="41" t="s">
        <v>25</v>
      </c>
      <c r="H313" s="41" t="s">
        <v>25</v>
      </c>
      <c r="I313" s="61">
        <v>44713</v>
      </c>
      <c r="J313" s="62">
        <f>EFEITO!$J$313*EFEITO!$Y$218</f>
        <v>0</v>
      </c>
      <c r="K313" s="62">
        <f ca="1">EFEITO!$L$313*EFEITO!$Z$218</f>
        <v>189.22206331037859</v>
      </c>
      <c r="L313" s="62">
        <f>EFEITO!$N$313*EFEITO!$AA$218</f>
        <v>112.12043080785891</v>
      </c>
      <c r="M313" s="62">
        <f>$J$313-EFEITO!$K$313*EFEITO!$Y$313</f>
        <v>0</v>
      </c>
      <c r="N313" s="62">
        <f ca="1">$K$313-EFEITO!$M$313*EFEITO!$Z$313</f>
        <v>118.07456750567624</v>
      </c>
      <c r="O313" s="62">
        <f>$L$313-EFEITO!$O$313*EFEITO!$AA$313</f>
        <v>69.963148824103968</v>
      </c>
      <c r="P313" s="45"/>
      <c r="Q313" s="45"/>
      <c r="R313" s="45"/>
      <c r="S313" s="45"/>
      <c r="T313" s="45"/>
      <c r="U313" s="45"/>
      <c r="V313" s="45"/>
      <c r="W313" s="45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41" t="s">
        <v>55</v>
      </c>
      <c r="B314" s="41" t="s">
        <v>41</v>
      </c>
      <c r="C314" s="41" t="s">
        <v>23</v>
      </c>
      <c r="D314" s="41" t="s">
        <v>42</v>
      </c>
      <c r="E314" s="41" t="s">
        <v>50</v>
      </c>
      <c r="F314" s="41" t="s">
        <v>52</v>
      </c>
      <c r="G314" s="41" t="s">
        <v>25</v>
      </c>
      <c r="H314" s="41" t="s">
        <v>25</v>
      </c>
      <c r="I314" s="61">
        <v>44743</v>
      </c>
      <c r="J314" s="62">
        <f>EFEITO!$J$314*EFEITO!$Y$218</f>
        <v>0</v>
      </c>
      <c r="K314" s="62">
        <f ca="1">EFEITO!$L$314*EFEITO!$Z$218</f>
        <v>189.22206331037859</v>
      </c>
      <c r="L314" s="62">
        <f>EFEITO!$N$314*EFEITO!$AA$218</f>
        <v>112.12043080785891</v>
      </c>
      <c r="M314" s="62">
        <f>$J$314-EFEITO!$K$314*EFEITO!$Y$314</f>
        <v>0</v>
      </c>
      <c r="N314" s="62">
        <f ca="1">$K$314-EFEITO!$M$314*EFEITO!$Z$314</f>
        <v>118.07456750567624</v>
      </c>
      <c r="O314" s="62">
        <f>$L$314-EFEITO!$O$314*EFEITO!$AA$314</f>
        <v>69.963148824103968</v>
      </c>
      <c r="P314" s="45"/>
      <c r="Q314" s="45"/>
      <c r="R314" s="45"/>
      <c r="S314" s="45"/>
      <c r="T314" s="45"/>
      <c r="U314" s="45"/>
      <c r="V314" s="45"/>
      <c r="W314" s="45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41" t="s">
        <v>21</v>
      </c>
      <c r="B315" s="41" t="s">
        <v>41</v>
      </c>
      <c r="C315" s="41" t="s">
        <v>23</v>
      </c>
      <c r="D315" s="41" t="s">
        <v>42</v>
      </c>
      <c r="E315" s="41" t="s">
        <v>53</v>
      </c>
      <c r="F315" s="41" t="s">
        <v>51</v>
      </c>
      <c r="G315" s="41" t="s">
        <v>25</v>
      </c>
      <c r="H315" s="41" t="s">
        <v>25</v>
      </c>
      <c r="I315" s="61">
        <v>44409</v>
      </c>
      <c r="J315" s="62">
        <f>EFEITO!$J$315*EFEITO!$Y$218</f>
        <v>0</v>
      </c>
      <c r="K315" s="62">
        <f ca="1">EFEITO!$L$315*EFEITO!$Z$218</f>
        <v>173.80396926286625</v>
      </c>
      <c r="L315" s="62">
        <f>EFEITO!$N$315*EFEITO!$AA$218</f>
        <v>102.98469200129261</v>
      </c>
      <c r="M315" s="62">
        <f>$J$315-EFEITO!$K$315*EFEITO!$Y$315</f>
        <v>0</v>
      </c>
      <c r="N315" s="62">
        <f ca="1">$K$315-EFEITO!$M$315*EFEITO!$Z$315</f>
        <v>10.428238155771965</v>
      </c>
      <c r="O315" s="62">
        <f>$L$315-EFEITO!$O$315*EFEITO!$AA$315</f>
        <v>6.1790815200775597</v>
      </c>
      <c r="P315" s="45"/>
      <c r="Q315" s="45"/>
      <c r="R315" s="45"/>
      <c r="S315" s="45"/>
      <c r="T315" s="45"/>
      <c r="U315" s="45"/>
      <c r="V315" s="45"/>
      <c r="W315" s="45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41" t="s">
        <v>21</v>
      </c>
      <c r="B316" s="41" t="s">
        <v>41</v>
      </c>
      <c r="C316" s="41" t="s">
        <v>23</v>
      </c>
      <c r="D316" s="41" t="s">
        <v>42</v>
      </c>
      <c r="E316" s="41" t="s">
        <v>53</v>
      </c>
      <c r="F316" s="41" t="s">
        <v>51</v>
      </c>
      <c r="G316" s="41" t="s">
        <v>25</v>
      </c>
      <c r="H316" s="41" t="s">
        <v>25</v>
      </c>
      <c r="I316" s="61">
        <v>44440</v>
      </c>
      <c r="J316" s="62">
        <f>EFEITO!$J$316*EFEITO!$Y$218</f>
        <v>0</v>
      </c>
      <c r="K316" s="62">
        <f ca="1">EFEITO!$L$316*EFEITO!$Z$218</f>
        <v>32.588244236787425</v>
      </c>
      <c r="L316" s="62">
        <f>EFEITO!$N$316*EFEITO!$AA$218</f>
        <v>19.309629750242365</v>
      </c>
      <c r="M316" s="62">
        <f>$J$316-EFEITO!$K$316*EFEITO!$Y$316</f>
        <v>0</v>
      </c>
      <c r="N316" s="62">
        <f ca="1">$K$316-EFEITO!$M$316*EFEITO!$Z$316</f>
        <v>1.9552946542072469</v>
      </c>
      <c r="O316" s="62">
        <f>$L$316-EFEITO!$O$316*EFEITO!$AA$316</f>
        <v>1.1585777850145433</v>
      </c>
      <c r="P316" s="45"/>
      <c r="Q316" s="45"/>
      <c r="R316" s="45"/>
      <c r="S316" s="45"/>
      <c r="T316" s="45"/>
      <c r="U316" s="45"/>
      <c r="V316" s="45"/>
      <c r="W316" s="45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41" t="s">
        <v>21</v>
      </c>
      <c r="B317" s="41" t="s">
        <v>41</v>
      </c>
      <c r="C317" s="41" t="s">
        <v>23</v>
      </c>
      <c r="D317" s="41" t="s">
        <v>42</v>
      </c>
      <c r="E317" s="41" t="s">
        <v>53</v>
      </c>
      <c r="F317" s="41" t="s">
        <v>52</v>
      </c>
      <c r="G317" s="41" t="s">
        <v>25</v>
      </c>
      <c r="H317" s="41" t="s">
        <v>25</v>
      </c>
      <c r="I317" s="61">
        <v>44409</v>
      </c>
      <c r="J317" s="62">
        <f>EFEITO!$J$317*EFEITO!$Y$218</f>
        <v>0</v>
      </c>
      <c r="K317" s="62">
        <f ca="1">EFEITO!$L$317*EFEITO!$Z$218</f>
        <v>491.27654215027917</v>
      </c>
      <c r="L317" s="62">
        <f>EFEITO!$N$317*EFEITO!$AA$218</f>
        <v>291.09785924558918</v>
      </c>
      <c r="M317" s="62">
        <f>$J$317-EFEITO!$K$317*EFEITO!$Y$317</f>
        <v>0</v>
      </c>
      <c r="N317" s="62">
        <f ca="1">$K$317-EFEITO!$M$317*EFEITO!$Z$317</f>
        <v>306.55656230177419</v>
      </c>
      <c r="O317" s="62">
        <f>$L$317-EFEITO!$O$317*EFEITO!$AA$317</f>
        <v>181.64506416924763</v>
      </c>
      <c r="P317" s="45"/>
      <c r="Q317" s="45"/>
      <c r="R317" s="45"/>
      <c r="S317" s="45"/>
      <c r="T317" s="45"/>
      <c r="U317" s="45"/>
      <c r="V317" s="45"/>
      <c r="W317" s="45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41" t="s">
        <v>21</v>
      </c>
      <c r="B318" s="41" t="s">
        <v>41</v>
      </c>
      <c r="C318" s="41" t="s">
        <v>23</v>
      </c>
      <c r="D318" s="41" t="s">
        <v>42</v>
      </c>
      <c r="E318" s="41" t="s">
        <v>53</v>
      </c>
      <c r="F318" s="41" t="s">
        <v>52</v>
      </c>
      <c r="G318" s="41" t="s">
        <v>25</v>
      </c>
      <c r="H318" s="41" t="s">
        <v>25</v>
      </c>
      <c r="I318" s="61">
        <v>44440</v>
      </c>
      <c r="J318" s="62">
        <f>EFEITO!$J$318*EFEITO!$Y$218</f>
        <v>0</v>
      </c>
      <c r="K318" s="62">
        <f ca="1">EFEITO!$L$318*EFEITO!$Z$218</f>
        <v>2.4528785984678705</v>
      </c>
      <c r="L318" s="62">
        <f>EFEITO!$N$318*EFEITO!$AA$218</f>
        <v>1.4534129919537264</v>
      </c>
      <c r="M318" s="62">
        <f>$J$318-EFEITO!$K$318*EFEITO!$Y$318</f>
        <v>0</v>
      </c>
      <c r="N318" s="62">
        <f ca="1">$K$318-EFEITO!$M$318*EFEITO!$Z$318</f>
        <v>1.530596245443951</v>
      </c>
      <c r="O318" s="62">
        <f>$L$318-EFEITO!$O$318*EFEITO!$AA$318</f>
        <v>0.90692970697912534</v>
      </c>
      <c r="P318" s="45"/>
      <c r="Q318" s="45"/>
      <c r="R318" s="45"/>
      <c r="S318" s="45"/>
      <c r="T318" s="45"/>
      <c r="U318" s="45"/>
      <c r="V318" s="45"/>
      <c r="W318" s="45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41" t="s">
        <v>21</v>
      </c>
      <c r="B319" s="41" t="s">
        <v>41</v>
      </c>
      <c r="C319" s="41" t="s">
        <v>23</v>
      </c>
      <c r="D319" s="41" t="s">
        <v>42</v>
      </c>
      <c r="E319" s="41" t="s">
        <v>25</v>
      </c>
      <c r="F319" s="41" t="s">
        <v>25</v>
      </c>
      <c r="G319" s="41" t="s">
        <v>25</v>
      </c>
      <c r="H319" s="41" t="s">
        <v>25</v>
      </c>
      <c r="I319" s="61">
        <v>44409</v>
      </c>
      <c r="J319" s="62">
        <f>EFEITO!$J$319*EFEITO!$Y$218</f>
        <v>0</v>
      </c>
      <c r="K319" s="62">
        <f ca="1">EFEITO!$L$319*EFEITO!$Z$218</f>
        <v>96079.955524443198</v>
      </c>
      <c r="L319" s="62">
        <f>EFEITO!$N$319*EFEITO!$AA$218</f>
        <v>56930.602155682311</v>
      </c>
      <c r="M319" s="62">
        <f>$J$319-EFEITO!$K$319*EFEITO!$Y$319</f>
        <v>0</v>
      </c>
      <c r="N319" s="62">
        <f ca="1">$K$319-EFEITO!$M$319*EFEITO!$Z$319</f>
        <v>5764.7973314665869</v>
      </c>
      <c r="O319" s="62">
        <f>$L$319-EFEITO!$O$319*EFEITO!$AA$319</f>
        <v>3415.8361293409398</v>
      </c>
      <c r="P319" s="45"/>
      <c r="Q319" s="45"/>
      <c r="R319" s="45"/>
      <c r="S319" s="45"/>
      <c r="T319" s="45"/>
      <c r="U319" s="45"/>
      <c r="V319" s="45"/>
      <c r="W319" s="45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41" t="s">
        <v>27</v>
      </c>
      <c r="B320" s="41" t="s">
        <v>41</v>
      </c>
      <c r="C320" s="41" t="s">
        <v>23</v>
      </c>
      <c r="D320" s="41" t="s">
        <v>42</v>
      </c>
      <c r="E320" s="41" t="s">
        <v>25</v>
      </c>
      <c r="F320" s="41" t="s">
        <v>25</v>
      </c>
      <c r="G320" s="41" t="s">
        <v>25</v>
      </c>
      <c r="H320" s="41" t="s">
        <v>25</v>
      </c>
      <c r="I320" s="61">
        <v>44409</v>
      </c>
      <c r="J320" s="62">
        <f>EFEITO!$J$320*EFEITO!$Y$218</f>
        <v>0</v>
      </c>
      <c r="K320" s="62">
        <f ca="1">EFEITO!$L$320*EFEITO!$Z$218</f>
        <v>942.60620426836738</v>
      </c>
      <c r="L320" s="62">
        <f>EFEITO!$N$320*EFEITO!$AA$218</f>
        <v>558.5258497650749</v>
      </c>
      <c r="M320" s="62">
        <f>$J$320-EFEITO!$K$320*EFEITO!$Y$320</f>
        <v>0</v>
      </c>
      <c r="N320" s="62">
        <f ca="1">$K$320-EFEITO!$M$320*EFEITO!$Z$320</f>
        <v>56.556372256102009</v>
      </c>
      <c r="O320" s="62">
        <f>$L$320-EFEITO!$O$320*EFEITO!$AA$320</f>
        <v>33.511550985904478</v>
      </c>
      <c r="P320" s="45"/>
      <c r="Q320" s="45"/>
      <c r="R320" s="45"/>
      <c r="S320" s="45"/>
      <c r="T320" s="45"/>
      <c r="U320" s="45"/>
      <c r="V320" s="45"/>
      <c r="W320" s="45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41" t="s">
        <v>21</v>
      </c>
      <c r="B321" s="41" t="s">
        <v>41</v>
      </c>
      <c r="C321" s="41" t="s">
        <v>23</v>
      </c>
      <c r="D321" s="41" t="s">
        <v>42</v>
      </c>
      <c r="E321" s="41" t="s">
        <v>25</v>
      </c>
      <c r="F321" s="41" t="s">
        <v>25</v>
      </c>
      <c r="G321" s="41" t="s">
        <v>25</v>
      </c>
      <c r="H321" s="41" t="s">
        <v>25</v>
      </c>
      <c r="I321" s="61">
        <v>44440</v>
      </c>
      <c r="J321" s="62">
        <f>EFEITO!$J$321*EFEITO!$Y$218</f>
        <v>0</v>
      </c>
      <c r="K321" s="62">
        <f ca="1">EFEITO!$L$321*EFEITO!$Z$218</f>
        <v>94806.561120610015</v>
      </c>
      <c r="L321" s="62">
        <f>EFEITO!$N$321*EFEITO!$AA$218</f>
        <v>56176.073182430897</v>
      </c>
      <c r="M321" s="62">
        <f>$J$321-EFEITO!$K$321*EFEITO!$Y$321</f>
        <v>0</v>
      </c>
      <c r="N321" s="62">
        <f ca="1">$K$321-EFEITO!$M$321*EFEITO!$Z$321</f>
        <v>5688.3936672365962</v>
      </c>
      <c r="O321" s="62">
        <f>$L$321-EFEITO!$O$321*EFEITO!$AA$321</f>
        <v>3370.5643909458522</v>
      </c>
      <c r="P321" s="45"/>
      <c r="Q321" s="45"/>
      <c r="R321" s="45"/>
      <c r="S321" s="45"/>
      <c r="T321" s="45"/>
      <c r="U321" s="45"/>
      <c r="V321" s="45"/>
      <c r="W321" s="45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41" t="s">
        <v>27</v>
      </c>
      <c r="B322" s="41" t="s">
        <v>41</v>
      </c>
      <c r="C322" s="41" t="s">
        <v>23</v>
      </c>
      <c r="D322" s="41" t="s">
        <v>42</v>
      </c>
      <c r="E322" s="41" t="s">
        <v>25</v>
      </c>
      <c r="F322" s="41" t="s">
        <v>25</v>
      </c>
      <c r="G322" s="41" t="s">
        <v>25</v>
      </c>
      <c r="H322" s="41" t="s">
        <v>25</v>
      </c>
      <c r="I322" s="61">
        <v>44440</v>
      </c>
      <c r="J322" s="62">
        <f>EFEITO!$J$322*EFEITO!$Y$218</f>
        <v>0</v>
      </c>
      <c r="K322" s="62">
        <f ca="1">EFEITO!$L$322*EFEITO!$Z$218</f>
        <v>2173.2504382425332</v>
      </c>
      <c r="L322" s="62">
        <f>EFEITO!$N$322*EFEITO!$AA$218</f>
        <v>1287.7239108710016</v>
      </c>
      <c r="M322" s="62">
        <f>$J$322-EFEITO!$K$322*EFEITO!$Y$322</f>
        <v>0</v>
      </c>
      <c r="N322" s="62">
        <f ca="1">$K$322-EFEITO!$M$322*EFEITO!$Z$322</f>
        <v>130.39502629455183</v>
      </c>
      <c r="O322" s="62">
        <f>$L$322-EFEITO!$O$322*EFEITO!$AA$322</f>
        <v>77.26343465226023</v>
      </c>
      <c r="P322" s="45"/>
      <c r="Q322" s="45"/>
      <c r="R322" s="45"/>
      <c r="S322" s="45"/>
      <c r="T322" s="45"/>
      <c r="U322" s="45"/>
      <c r="V322" s="45"/>
      <c r="W322" s="45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41" t="s">
        <v>21</v>
      </c>
      <c r="B323" s="41" t="s">
        <v>41</v>
      </c>
      <c r="C323" s="41" t="s">
        <v>23</v>
      </c>
      <c r="D323" s="41" t="s">
        <v>42</v>
      </c>
      <c r="E323" s="41" t="s">
        <v>25</v>
      </c>
      <c r="F323" s="41" t="s">
        <v>25</v>
      </c>
      <c r="G323" s="41" t="s">
        <v>25</v>
      </c>
      <c r="H323" s="41" t="s">
        <v>25</v>
      </c>
      <c r="I323" s="61">
        <v>44470</v>
      </c>
      <c r="J323" s="62">
        <f>EFEITO!$J$323*EFEITO!$Y$218</f>
        <v>0</v>
      </c>
      <c r="K323" s="62">
        <f ca="1">EFEITO!$L$323*EFEITO!$Z$218</f>
        <v>93244.778275842691</v>
      </c>
      <c r="L323" s="62">
        <f>EFEITO!$N$323*EFEITO!$AA$218</f>
        <v>55250.66436741122</v>
      </c>
      <c r="M323" s="62">
        <f>$J$323-EFEITO!$K$323*EFEITO!$Y$323</f>
        <v>0</v>
      </c>
      <c r="N323" s="62">
        <f ca="1">$K$323-EFEITO!$M$323*EFEITO!$Z$323</f>
        <v>5594.6866965505615</v>
      </c>
      <c r="O323" s="62">
        <f>$L$323-EFEITO!$O$323*EFEITO!$AA$323</f>
        <v>3315.0398620446722</v>
      </c>
      <c r="P323" s="45"/>
      <c r="Q323" s="45"/>
      <c r="R323" s="45"/>
      <c r="S323" s="45"/>
      <c r="T323" s="45"/>
      <c r="U323" s="45"/>
      <c r="V323" s="45"/>
      <c r="W323" s="45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41" t="s">
        <v>27</v>
      </c>
      <c r="B324" s="41" t="s">
        <v>41</v>
      </c>
      <c r="C324" s="41" t="s">
        <v>23</v>
      </c>
      <c r="D324" s="41" t="s">
        <v>42</v>
      </c>
      <c r="E324" s="41" t="s">
        <v>25</v>
      </c>
      <c r="F324" s="41" t="s">
        <v>25</v>
      </c>
      <c r="G324" s="41" t="s">
        <v>25</v>
      </c>
      <c r="H324" s="41" t="s">
        <v>25</v>
      </c>
      <c r="I324" s="61">
        <v>44470</v>
      </c>
      <c r="J324" s="62">
        <f>EFEITO!$J$324*EFEITO!$Y$218</f>
        <v>0</v>
      </c>
      <c r="K324" s="62">
        <f ca="1">EFEITO!$L$324*EFEITO!$Z$218</f>
        <v>1467.8726355688443</v>
      </c>
      <c r="L324" s="62">
        <f>EFEITO!$N$324*EFEITO!$AA$218</f>
        <v>869.7638604705943</v>
      </c>
      <c r="M324" s="62">
        <f>$J$324-EFEITO!$K$324*EFEITO!$Y$324</f>
        <v>0</v>
      </c>
      <c r="N324" s="62">
        <f ca="1">$K$324-EFEITO!$M$324*EFEITO!$Z$324</f>
        <v>88.072358134130582</v>
      </c>
      <c r="O324" s="62">
        <f>$L$324-EFEITO!$O$324*EFEITO!$AA$324</f>
        <v>52.185831628235633</v>
      </c>
      <c r="P324" s="45"/>
      <c r="Q324" s="45"/>
      <c r="R324" s="45"/>
      <c r="S324" s="45"/>
      <c r="T324" s="45"/>
      <c r="U324" s="45"/>
      <c r="V324" s="45"/>
      <c r="W324" s="45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41" t="s">
        <v>21</v>
      </c>
      <c r="B325" s="41" t="s">
        <v>41</v>
      </c>
      <c r="C325" s="41" t="s">
        <v>23</v>
      </c>
      <c r="D325" s="41" t="s">
        <v>42</v>
      </c>
      <c r="E325" s="41" t="s">
        <v>25</v>
      </c>
      <c r="F325" s="41" t="s">
        <v>25</v>
      </c>
      <c r="G325" s="41" t="s">
        <v>25</v>
      </c>
      <c r="H325" s="41" t="s">
        <v>25</v>
      </c>
      <c r="I325" s="61">
        <v>44501</v>
      </c>
      <c r="J325" s="62">
        <f>EFEITO!$J$325*EFEITO!$Y$218</f>
        <v>0</v>
      </c>
      <c r="K325" s="62">
        <f ca="1">EFEITO!$L$325*EFEITO!$Z$218</f>
        <v>96772.017700439479</v>
      </c>
      <c r="L325" s="62">
        <f>EFEITO!$N$325*EFEITO!$AA$218</f>
        <v>57340.672249840674</v>
      </c>
      <c r="M325" s="62">
        <f>$J$325-EFEITO!$K$325*EFEITO!$Y$325</f>
        <v>0</v>
      </c>
      <c r="N325" s="62">
        <f ca="1">$K$325-EFEITO!$M$325*EFEITO!$Z$325</f>
        <v>5806.3210620263708</v>
      </c>
      <c r="O325" s="62">
        <f>$L$325-EFEITO!$O$325*EFEITO!$AA$325</f>
        <v>3440.4403349904387</v>
      </c>
      <c r="P325" s="45"/>
      <c r="Q325" s="45"/>
      <c r="R325" s="45"/>
      <c r="S325" s="45"/>
      <c r="T325" s="45"/>
      <c r="U325" s="45"/>
      <c r="V325" s="45"/>
      <c r="W325" s="45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41" t="s">
        <v>27</v>
      </c>
      <c r="B326" s="41" t="s">
        <v>41</v>
      </c>
      <c r="C326" s="41" t="s">
        <v>23</v>
      </c>
      <c r="D326" s="41" t="s">
        <v>42</v>
      </c>
      <c r="E326" s="41" t="s">
        <v>25</v>
      </c>
      <c r="F326" s="41" t="s">
        <v>25</v>
      </c>
      <c r="G326" s="41" t="s">
        <v>25</v>
      </c>
      <c r="H326" s="41" t="s">
        <v>25</v>
      </c>
      <c r="I326" s="61">
        <v>44501</v>
      </c>
      <c r="J326" s="62">
        <f>EFEITO!$J$326*EFEITO!$Y$218</f>
        <v>0</v>
      </c>
      <c r="K326" s="62">
        <f ca="1">EFEITO!$L$326*EFEITO!$Z$218</f>
        <v>2968.3335153744761</v>
      </c>
      <c r="L326" s="62">
        <f>EFEITO!$N$326*EFEITO!$AA$218</f>
        <v>1758.8373506914309</v>
      </c>
      <c r="M326" s="62">
        <f>$J$326-EFEITO!$K$326*EFEITO!$Y$326</f>
        <v>0</v>
      </c>
      <c r="N326" s="62">
        <f ca="1">$K$326-EFEITO!$M$326*EFEITO!$Z$326</f>
        <v>178.10001092246875</v>
      </c>
      <c r="O326" s="62">
        <f>$L$326-EFEITO!$O$326*EFEITO!$AA$326</f>
        <v>105.53024104148585</v>
      </c>
      <c r="P326" s="45"/>
      <c r="Q326" s="45"/>
      <c r="R326" s="45"/>
      <c r="S326" s="45"/>
      <c r="T326" s="45"/>
      <c r="U326" s="45"/>
      <c r="V326" s="45"/>
      <c r="W326" s="45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41" t="s">
        <v>21</v>
      </c>
      <c r="B327" s="41" t="s">
        <v>41</v>
      </c>
      <c r="C327" s="41" t="s">
        <v>23</v>
      </c>
      <c r="D327" s="41" t="s">
        <v>42</v>
      </c>
      <c r="E327" s="41" t="s">
        <v>25</v>
      </c>
      <c r="F327" s="41" t="s">
        <v>25</v>
      </c>
      <c r="G327" s="41" t="s">
        <v>25</v>
      </c>
      <c r="H327" s="41" t="s">
        <v>25</v>
      </c>
      <c r="I327" s="61">
        <v>44531</v>
      </c>
      <c r="J327" s="62">
        <f>EFEITO!$J$327*EFEITO!$Y$218</f>
        <v>0</v>
      </c>
      <c r="K327" s="62">
        <f ca="1">EFEITO!$L$327*EFEITO!$Z$218</f>
        <v>97917.16159469563</v>
      </c>
      <c r="L327" s="62">
        <f>EFEITO!$N$327*EFEITO!$AA$218</f>
        <v>58019.208486655647</v>
      </c>
      <c r="M327" s="62">
        <f>$J$327-EFEITO!$K$327*EFEITO!$Y$327</f>
        <v>0</v>
      </c>
      <c r="N327" s="62">
        <f ca="1">$K$327-EFEITO!$M$327*EFEITO!$Z$327</f>
        <v>5875.0296956817328</v>
      </c>
      <c r="O327" s="62">
        <f>$L$327-EFEITO!$O$327*EFEITO!$AA$327</f>
        <v>3481.152509199339</v>
      </c>
      <c r="P327" s="45"/>
      <c r="Q327" s="45"/>
      <c r="R327" s="45"/>
      <c r="S327" s="45"/>
      <c r="T327" s="45"/>
      <c r="U327" s="45"/>
      <c r="V327" s="45"/>
      <c r="W327" s="45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41" t="s">
        <v>27</v>
      </c>
      <c r="B328" s="41" t="s">
        <v>41</v>
      </c>
      <c r="C328" s="41" t="s">
        <v>23</v>
      </c>
      <c r="D328" s="41" t="s">
        <v>42</v>
      </c>
      <c r="E328" s="41" t="s">
        <v>25</v>
      </c>
      <c r="F328" s="41" t="s">
        <v>25</v>
      </c>
      <c r="G328" s="41" t="s">
        <v>25</v>
      </c>
      <c r="H328" s="41" t="s">
        <v>25</v>
      </c>
      <c r="I328" s="61">
        <v>44531</v>
      </c>
      <c r="J328" s="62">
        <f>EFEITO!$J$328*EFEITO!$Y$218</f>
        <v>0</v>
      </c>
      <c r="K328" s="62">
        <f ca="1">EFEITO!$L$328*EFEITO!$Z$218</f>
        <v>3246.560030686403</v>
      </c>
      <c r="L328" s="62">
        <f>EFEITO!$N$328*EFEITO!$AA$218</f>
        <v>1923.6959100644681</v>
      </c>
      <c r="M328" s="62">
        <f>$J$328-EFEITO!$K$328*EFEITO!$Y$328</f>
        <v>0</v>
      </c>
      <c r="N328" s="62">
        <f ca="1">$K$328-EFEITO!$M$328*EFEITO!$Z$328</f>
        <v>194.79360184118423</v>
      </c>
      <c r="O328" s="62">
        <f>$L$328-EFEITO!$O$328*EFEITO!$AA$328</f>
        <v>115.42175460386807</v>
      </c>
      <c r="P328" s="45"/>
      <c r="Q328" s="45"/>
      <c r="R328" s="45"/>
      <c r="S328" s="45"/>
      <c r="T328" s="45"/>
      <c r="U328" s="45"/>
      <c r="V328" s="45"/>
      <c r="W328" s="45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41" t="s">
        <v>21</v>
      </c>
      <c r="B329" s="41" t="s">
        <v>41</v>
      </c>
      <c r="C329" s="41" t="s">
        <v>23</v>
      </c>
      <c r="D329" s="41" t="s">
        <v>42</v>
      </c>
      <c r="E329" s="41" t="s">
        <v>25</v>
      </c>
      <c r="F329" s="41" t="s">
        <v>25</v>
      </c>
      <c r="G329" s="41" t="s">
        <v>25</v>
      </c>
      <c r="H329" s="41" t="s">
        <v>25</v>
      </c>
      <c r="I329" s="61">
        <v>44562</v>
      </c>
      <c r="J329" s="62">
        <f>EFEITO!$J$329*EFEITO!$Y$218</f>
        <v>0</v>
      </c>
      <c r="K329" s="62">
        <f ca="1">EFEITO!$L$329*EFEITO!$Z$218</f>
        <v>97091.943151925356</v>
      </c>
      <c r="L329" s="62">
        <f>EFEITO!$N$329*EFEITO!$AA$218</f>
        <v>57530.238830076931</v>
      </c>
      <c r="M329" s="62">
        <f>$J$329-EFEITO!$K$329*EFEITO!$Y$329</f>
        <v>0</v>
      </c>
      <c r="N329" s="62">
        <f ca="1">$K$329-EFEITO!$M$329*EFEITO!$Z$329</f>
        <v>5825.5165891155193</v>
      </c>
      <c r="O329" s="62">
        <f>$L$329-EFEITO!$O$329*EFEITO!$AA$329</f>
        <v>3451.8143298046198</v>
      </c>
      <c r="P329" s="45"/>
      <c r="Q329" s="45"/>
      <c r="R329" s="45"/>
      <c r="S329" s="45"/>
      <c r="T329" s="45"/>
      <c r="U329" s="45"/>
      <c r="V329" s="45"/>
      <c r="W329" s="45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41" t="s">
        <v>27</v>
      </c>
      <c r="B330" s="41" t="s">
        <v>41</v>
      </c>
      <c r="C330" s="41" t="s">
        <v>23</v>
      </c>
      <c r="D330" s="41" t="s">
        <v>42</v>
      </c>
      <c r="E330" s="41" t="s">
        <v>25</v>
      </c>
      <c r="F330" s="41" t="s">
        <v>25</v>
      </c>
      <c r="G330" s="41" t="s">
        <v>25</v>
      </c>
      <c r="H330" s="41" t="s">
        <v>25</v>
      </c>
      <c r="I330" s="61">
        <v>44562</v>
      </c>
      <c r="J330" s="62">
        <f>EFEITO!$J$330*EFEITO!$Y$218</f>
        <v>0</v>
      </c>
      <c r="K330" s="62">
        <f ca="1">EFEITO!$L$330*EFEITO!$Z$218</f>
        <v>3876.2490080359403</v>
      </c>
      <c r="L330" s="62">
        <f>EFEITO!$N$330*EFEITO!$AA$218</f>
        <v>2296.8077881417316</v>
      </c>
      <c r="M330" s="62">
        <f>$J$330-EFEITO!$K$330*EFEITO!$Y$330</f>
        <v>0</v>
      </c>
      <c r="N330" s="62">
        <f ca="1">$K$330-EFEITO!$M$330*EFEITO!$Z$330</f>
        <v>232.57494048215631</v>
      </c>
      <c r="O330" s="62">
        <f>$L$330-EFEITO!$O$330*EFEITO!$AA$330</f>
        <v>137.80846728850383</v>
      </c>
      <c r="P330" s="45"/>
      <c r="Q330" s="45"/>
      <c r="R330" s="45"/>
      <c r="S330" s="45"/>
      <c r="T330" s="45"/>
      <c r="U330" s="45"/>
      <c r="V330" s="45"/>
      <c r="W330" s="45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41" t="s">
        <v>21</v>
      </c>
      <c r="B331" s="41" t="s">
        <v>41</v>
      </c>
      <c r="C331" s="41" t="s">
        <v>23</v>
      </c>
      <c r="D331" s="41" t="s">
        <v>42</v>
      </c>
      <c r="E331" s="41" t="s">
        <v>25</v>
      </c>
      <c r="F331" s="41" t="s">
        <v>25</v>
      </c>
      <c r="G331" s="41" t="s">
        <v>25</v>
      </c>
      <c r="H331" s="41" t="s">
        <v>25</v>
      </c>
      <c r="I331" s="61">
        <v>44593</v>
      </c>
      <c r="J331" s="62">
        <f>EFEITO!$J$331*EFEITO!$Y$218</f>
        <v>0</v>
      </c>
      <c r="K331" s="62">
        <f ca="1">EFEITO!$L$331*EFEITO!$Z$218</f>
        <v>92744.39104175524</v>
      </c>
      <c r="L331" s="62">
        <f>EFEITO!$N$331*EFEITO!$AA$218</f>
        <v>54954.168117052664</v>
      </c>
      <c r="M331" s="62">
        <f>$J$331-EFEITO!$K$331*EFEITO!$Y$331</f>
        <v>0</v>
      </c>
      <c r="N331" s="62">
        <f ca="1">$K$331-EFEITO!$M$331*EFEITO!$Z$331</f>
        <v>5564.6634625053121</v>
      </c>
      <c r="O331" s="62">
        <f>$L$331-EFEITO!$O$331*EFEITO!$AA$331</f>
        <v>3297.2500870231597</v>
      </c>
      <c r="P331" s="45"/>
      <c r="Q331" s="45"/>
      <c r="R331" s="45"/>
      <c r="S331" s="45"/>
      <c r="T331" s="45"/>
      <c r="U331" s="45"/>
      <c r="V331" s="45"/>
      <c r="W331" s="45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41" t="s">
        <v>27</v>
      </c>
      <c r="B332" s="41" t="s">
        <v>41</v>
      </c>
      <c r="C332" s="41" t="s">
        <v>23</v>
      </c>
      <c r="D332" s="41" t="s">
        <v>42</v>
      </c>
      <c r="E332" s="41" t="s">
        <v>25</v>
      </c>
      <c r="F332" s="41" t="s">
        <v>25</v>
      </c>
      <c r="G332" s="41" t="s">
        <v>25</v>
      </c>
      <c r="H332" s="41" t="s">
        <v>25</v>
      </c>
      <c r="I332" s="61">
        <v>44593</v>
      </c>
      <c r="J332" s="62">
        <f>EFEITO!$J$332*EFEITO!$Y$218</f>
        <v>0</v>
      </c>
      <c r="K332" s="62">
        <f ca="1">EFEITO!$L$332*EFEITO!$Z$218</f>
        <v>3671.9592619064019</v>
      </c>
      <c r="L332" s="62">
        <f>EFEITO!$N$332*EFEITO!$AA$218</f>
        <v>2175.7592489547283</v>
      </c>
      <c r="M332" s="62">
        <f>$J$332-EFEITO!$K$332*EFEITO!$Y$332</f>
        <v>0</v>
      </c>
      <c r="N332" s="62">
        <f ca="1">$K$332-EFEITO!$M$332*EFEITO!$Z$332</f>
        <v>220.31755571438407</v>
      </c>
      <c r="O332" s="62">
        <f>$L$332-EFEITO!$O$332*EFEITO!$AA$332</f>
        <v>130.54555493728367</v>
      </c>
      <c r="P332" s="45"/>
      <c r="Q332" s="45"/>
      <c r="R332" s="45"/>
      <c r="S332" s="45"/>
      <c r="T332" s="45"/>
      <c r="U332" s="45"/>
      <c r="V332" s="45"/>
      <c r="W332" s="45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41" t="s">
        <v>21</v>
      </c>
      <c r="B333" s="41" t="s">
        <v>41</v>
      </c>
      <c r="C333" s="41" t="s">
        <v>23</v>
      </c>
      <c r="D333" s="41" t="s">
        <v>42</v>
      </c>
      <c r="E333" s="41" t="s">
        <v>25</v>
      </c>
      <c r="F333" s="41" t="s">
        <v>25</v>
      </c>
      <c r="G333" s="41" t="s">
        <v>25</v>
      </c>
      <c r="H333" s="41" t="s">
        <v>25</v>
      </c>
      <c r="I333" s="61">
        <v>44621</v>
      </c>
      <c r="J333" s="62">
        <f>EFEITO!$J$333*EFEITO!$Y$218</f>
        <v>0</v>
      </c>
      <c r="K333" s="62">
        <f ca="1">EFEITO!$L$333*EFEITO!$Z$218</f>
        <v>92458.105068191202</v>
      </c>
      <c r="L333" s="62">
        <f>EFEITO!$N$333*EFEITO!$AA$218</f>
        <v>54784.534057848919</v>
      </c>
      <c r="M333" s="62">
        <f>$J$333-EFEITO!$K$333*EFEITO!$Y$333</f>
        <v>0</v>
      </c>
      <c r="N333" s="62">
        <f ca="1">$K$333-EFEITO!$M$333*EFEITO!$Z$333</f>
        <v>5547.4863040914643</v>
      </c>
      <c r="O333" s="62">
        <f>$L$333-EFEITO!$O$333*EFEITO!$AA$333</f>
        <v>3287.0720434709365</v>
      </c>
      <c r="P333" s="45"/>
      <c r="Q333" s="45"/>
      <c r="R333" s="45"/>
      <c r="S333" s="45"/>
      <c r="T333" s="45"/>
      <c r="U333" s="45"/>
      <c r="V333" s="45"/>
      <c r="W333" s="45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41" t="s">
        <v>27</v>
      </c>
      <c r="B334" s="41" t="s">
        <v>41</v>
      </c>
      <c r="C334" s="41" t="s">
        <v>23</v>
      </c>
      <c r="D334" s="41" t="s">
        <v>42</v>
      </c>
      <c r="E334" s="41" t="s">
        <v>25</v>
      </c>
      <c r="F334" s="41" t="s">
        <v>25</v>
      </c>
      <c r="G334" s="41" t="s">
        <v>25</v>
      </c>
      <c r="H334" s="41" t="s">
        <v>25</v>
      </c>
      <c r="I334" s="61">
        <v>44621</v>
      </c>
      <c r="J334" s="62">
        <f>EFEITO!$J$334*EFEITO!$Y$218</f>
        <v>0</v>
      </c>
      <c r="K334" s="62">
        <f ca="1">EFEITO!$L$334*EFEITO!$Z$218</f>
        <v>5128.9691493963173</v>
      </c>
      <c r="L334" s="62">
        <f>EFEITO!$N$334*EFEITO!$AA$218</f>
        <v>3039.0865661752418</v>
      </c>
      <c r="M334" s="62">
        <f>$J$334-EFEITO!$K$334*EFEITO!$Y$334</f>
        <v>0</v>
      </c>
      <c r="N334" s="62">
        <f ca="1">$K$334-EFEITO!$M$334*EFEITO!$Z$334</f>
        <v>307.73814896377917</v>
      </c>
      <c r="O334" s="62">
        <f>$L$334-EFEITO!$O$334*EFEITO!$AA$334</f>
        <v>182.34519397051417</v>
      </c>
      <c r="P334" s="45"/>
      <c r="Q334" s="45"/>
      <c r="R334" s="45"/>
      <c r="S334" s="45"/>
      <c r="T334" s="45"/>
      <c r="U334" s="45"/>
      <c r="V334" s="45"/>
      <c r="W334" s="45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41" t="s">
        <v>21</v>
      </c>
      <c r="B335" s="41" t="s">
        <v>41</v>
      </c>
      <c r="C335" s="41" t="s">
        <v>23</v>
      </c>
      <c r="D335" s="41" t="s">
        <v>42</v>
      </c>
      <c r="E335" s="41" t="s">
        <v>25</v>
      </c>
      <c r="F335" s="41" t="s">
        <v>25</v>
      </c>
      <c r="G335" s="41" t="s">
        <v>25</v>
      </c>
      <c r="H335" s="41" t="s">
        <v>25</v>
      </c>
      <c r="I335" s="61">
        <v>44652</v>
      </c>
      <c r="J335" s="62">
        <f>EFEITO!$J$335*EFEITO!$Y$218</f>
        <v>0</v>
      </c>
      <c r="K335" s="62">
        <f ca="1">EFEITO!$L$335*EFEITO!$Z$218</f>
        <v>88752.856739591312</v>
      </c>
      <c r="L335" s="62">
        <f>EFEITO!$N$335*EFEITO!$AA$218</f>
        <v>52589.049918289107</v>
      </c>
      <c r="M335" s="62">
        <f>$J$335-EFEITO!$K$335*EFEITO!$Y$335</f>
        <v>0</v>
      </c>
      <c r="N335" s="62">
        <f ca="1">$K$335-EFEITO!$M$335*EFEITO!$Z$335</f>
        <v>5325.1714043754764</v>
      </c>
      <c r="O335" s="62">
        <f>$L$335-EFEITO!$O$335*EFEITO!$AA$335</f>
        <v>3155.3429950973441</v>
      </c>
      <c r="P335" s="45"/>
      <c r="Q335" s="45"/>
      <c r="R335" s="45"/>
      <c r="S335" s="45"/>
      <c r="T335" s="45"/>
      <c r="U335" s="45"/>
      <c r="V335" s="45"/>
      <c r="W335" s="45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41" t="s">
        <v>27</v>
      </c>
      <c r="B336" s="41" t="s">
        <v>41</v>
      </c>
      <c r="C336" s="41" t="s">
        <v>23</v>
      </c>
      <c r="D336" s="41" t="s">
        <v>42</v>
      </c>
      <c r="E336" s="41" t="s">
        <v>25</v>
      </c>
      <c r="F336" s="41" t="s">
        <v>25</v>
      </c>
      <c r="G336" s="41" t="s">
        <v>25</v>
      </c>
      <c r="H336" s="41" t="s">
        <v>25</v>
      </c>
      <c r="I336" s="61">
        <v>44652</v>
      </c>
      <c r="J336" s="62">
        <f>EFEITO!$J$336*EFEITO!$Y$218</f>
        <v>0</v>
      </c>
      <c r="K336" s="62">
        <f ca="1">EFEITO!$L$336*EFEITO!$Z$218</f>
        <v>4756.8324248859062</v>
      </c>
      <c r="L336" s="62">
        <f>EFEITO!$N$336*EFEITO!$AA$218</f>
        <v>2818.5830522531191</v>
      </c>
      <c r="M336" s="62">
        <f>$J$336-EFEITO!$K$336*EFEITO!$Y$336</f>
        <v>0</v>
      </c>
      <c r="N336" s="62">
        <f ca="1">$K$336-EFEITO!$M$336*EFEITO!$Z$336</f>
        <v>285.40994549315474</v>
      </c>
      <c r="O336" s="62">
        <f>$L$336-EFEITO!$O$336*EFEITO!$AA$336</f>
        <v>169.11498313518723</v>
      </c>
      <c r="P336" s="45"/>
      <c r="Q336" s="45"/>
      <c r="R336" s="45"/>
      <c r="S336" s="45"/>
      <c r="T336" s="45"/>
      <c r="U336" s="45"/>
      <c r="V336" s="45"/>
      <c r="W336" s="45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41" t="s">
        <v>21</v>
      </c>
      <c r="B337" s="41" t="s">
        <v>41</v>
      </c>
      <c r="C337" s="41" t="s">
        <v>23</v>
      </c>
      <c r="D337" s="41" t="s">
        <v>42</v>
      </c>
      <c r="E337" s="41" t="s">
        <v>25</v>
      </c>
      <c r="F337" s="41" t="s">
        <v>25</v>
      </c>
      <c r="G337" s="41" t="s">
        <v>25</v>
      </c>
      <c r="H337" s="41" t="s">
        <v>25</v>
      </c>
      <c r="I337" s="61">
        <v>44682</v>
      </c>
      <c r="J337" s="62">
        <f>EFEITO!$J$337*EFEITO!$Y$218</f>
        <v>0</v>
      </c>
      <c r="K337" s="62">
        <f ca="1">EFEITO!$L$337*EFEITO!$Z$218</f>
        <v>96423.358528228709</v>
      </c>
      <c r="L337" s="62">
        <f>EFEITO!$N$337*EFEITO!$AA$218</f>
        <v>57134.079974555832</v>
      </c>
      <c r="M337" s="62">
        <f>$J$337-EFEITO!$K$337*EFEITO!$Y$337</f>
        <v>0</v>
      </c>
      <c r="N337" s="62">
        <f ca="1">$K$337-EFEITO!$M$337*EFEITO!$Z$337</f>
        <v>5785.4015116937226</v>
      </c>
      <c r="O337" s="62">
        <f>$L$337-EFEITO!$O$337*EFEITO!$AA$337</f>
        <v>3428.0447984733473</v>
      </c>
      <c r="P337" s="45"/>
      <c r="Q337" s="45"/>
      <c r="R337" s="45"/>
      <c r="S337" s="45"/>
      <c r="T337" s="45"/>
      <c r="U337" s="45"/>
      <c r="V337" s="45"/>
      <c r="W337" s="45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41" t="s">
        <v>27</v>
      </c>
      <c r="B338" s="41" t="s">
        <v>41</v>
      </c>
      <c r="C338" s="41" t="s">
        <v>23</v>
      </c>
      <c r="D338" s="41" t="s">
        <v>42</v>
      </c>
      <c r="E338" s="41" t="s">
        <v>25</v>
      </c>
      <c r="F338" s="41" t="s">
        <v>25</v>
      </c>
      <c r="G338" s="41" t="s">
        <v>25</v>
      </c>
      <c r="H338" s="41" t="s">
        <v>25</v>
      </c>
      <c r="I338" s="61">
        <v>44682</v>
      </c>
      <c r="J338" s="62">
        <f>EFEITO!$J$338*EFEITO!$Y$218</f>
        <v>0</v>
      </c>
      <c r="K338" s="62">
        <f ca="1">EFEITO!$L$338*EFEITO!$Z$218</f>
        <v>3320.4967998687921</v>
      </c>
      <c r="L338" s="62">
        <f>EFEITO!$N$338*EFEITO!$AA$218</f>
        <v>1967.5059302505019</v>
      </c>
      <c r="M338" s="62">
        <f>$J$338-EFEITO!$K$338*EFEITO!$Y$338</f>
        <v>0</v>
      </c>
      <c r="N338" s="62">
        <f ca="1">$K$338-EFEITO!$M$338*EFEITO!$Z$338</f>
        <v>199.22980799212746</v>
      </c>
      <c r="O338" s="62">
        <f>$L$338-EFEITO!$O$338*EFEITO!$AA$338</f>
        <v>118.05035581503012</v>
      </c>
      <c r="P338" s="45"/>
      <c r="Q338" s="45"/>
      <c r="R338" s="45"/>
      <c r="S338" s="45"/>
      <c r="T338" s="45"/>
      <c r="U338" s="45"/>
      <c r="V338" s="45"/>
      <c r="W338" s="45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41" t="s">
        <v>21</v>
      </c>
      <c r="B339" s="41" t="s">
        <v>41</v>
      </c>
      <c r="C339" s="41" t="s">
        <v>23</v>
      </c>
      <c r="D339" s="41" t="s">
        <v>42</v>
      </c>
      <c r="E339" s="41" t="s">
        <v>25</v>
      </c>
      <c r="F339" s="41" t="s">
        <v>25</v>
      </c>
      <c r="G339" s="41" t="s">
        <v>25</v>
      </c>
      <c r="H339" s="41" t="s">
        <v>25</v>
      </c>
      <c r="I339" s="61">
        <v>44713</v>
      </c>
      <c r="J339" s="62">
        <f>EFEITO!$J$339*EFEITO!$Y$218</f>
        <v>0</v>
      </c>
      <c r="K339" s="62">
        <f ca="1">EFEITO!$L$339*EFEITO!$Z$218</f>
        <v>88362.498631206574</v>
      </c>
      <c r="L339" s="62">
        <f>EFEITO!$N$339*EFEITO!$AA$218</f>
        <v>52357.74962214104</v>
      </c>
      <c r="M339" s="62">
        <f>$J$339-EFEITO!$K$339*EFEITO!$Y$339</f>
        <v>0</v>
      </c>
      <c r="N339" s="62">
        <f ca="1">$K$339-EFEITO!$M$339*EFEITO!$Z$339</f>
        <v>5301.7499178723956</v>
      </c>
      <c r="O339" s="62">
        <f>$L$339-EFEITO!$O$339*EFEITO!$AA$339</f>
        <v>3141.4649773284618</v>
      </c>
      <c r="P339" s="45"/>
      <c r="Q339" s="45"/>
      <c r="R339" s="45"/>
      <c r="S339" s="45"/>
      <c r="T339" s="45"/>
      <c r="U339" s="45"/>
      <c r="V339" s="45"/>
      <c r="W339" s="45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41" t="s">
        <v>27</v>
      </c>
      <c r="B340" s="41" t="s">
        <v>41</v>
      </c>
      <c r="C340" s="41" t="s">
        <v>23</v>
      </c>
      <c r="D340" s="41" t="s">
        <v>42</v>
      </c>
      <c r="E340" s="41" t="s">
        <v>25</v>
      </c>
      <c r="F340" s="41" t="s">
        <v>25</v>
      </c>
      <c r="G340" s="41" t="s">
        <v>25</v>
      </c>
      <c r="H340" s="41" t="s">
        <v>25</v>
      </c>
      <c r="I340" s="61">
        <v>44713</v>
      </c>
      <c r="J340" s="62">
        <f>EFEITO!$J$340*EFEITO!$Y$218</f>
        <v>0</v>
      </c>
      <c r="K340" s="62">
        <f ca="1">EFEITO!$L$340*EFEITO!$Z$218</f>
        <v>4273.9657522160878</v>
      </c>
      <c r="L340" s="62">
        <f>EFEITO!$N$340*EFEITO!$AA$218</f>
        <v>2532.4683232656571</v>
      </c>
      <c r="M340" s="62">
        <f>$J$340-EFEITO!$K$340*EFEITO!$Y$340</f>
        <v>0</v>
      </c>
      <c r="N340" s="62">
        <f ca="1">$K$340-EFEITO!$M$340*EFEITO!$Z$340</f>
        <v>256.43794513296507</v>
      </c>
      <c r="O340" s="62">
        <f>$L$340-EFEITO!$O$340*EFEITO!$AA$340</f>
        <v>151.94809939593961</v>
      </c>
      <c r="P340" s="45"/>
      <c r="Q340" s="45"/>
      <c r="R340" s="45"/>
      <c r="S340" s="45"/>
      <c r="T340" s="45"/>
      <c r="U340" s="45"/>
      <c r="V340" s="45"/>
      <c r="W340" s="45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41" t="s">
        <v>55</v>
      </c>
      <c r="B341" s="41" t="s">
        <v>41</v>
      </c>
      <c r="C341" s="41" t="s">
        <v>23</v>
      </c>
      <c r="D341" s="41" t="s">
        <v>42</v>
      </c>
      <c r="E341" s="41" t="s">
        <v>25</v>
      </c>
      <c r="F341" s="41" t="s">
        <v>25</v>
      </c>
      <c r="G341" s="41" t="s">
        <v>25</v>
      </c>
      <c r="H341" s="41" t="s">
        <v>25</v>
      </c>
      <c r="I341" s="61">
        <v>44743</v>
      </c>
      <c r="J341" s="62">
        <f>EFEITO!$J$341*EFEITO!$Y$218</f>
        <v>0</v>
      </c>
      <c r="K341" s="62">
        <f ca="1">EFEITO!$L$341*EFEITO!$Z$218</f>
        <v>88362.498631206574</v>
      </c>
      <c r="L341" s="62">
        <f>EFEITO!$N$341*EFEITO!$AA$218</f>
        <v>52357.74962214104</v>
      </c>
      <c r="M341" s="62">
        <f>$J$341-EFEITO!$K$341*EFEITO!$Y$341</f>
        <v>0</v>
      </c>
      <c r="N341" s="62">
        <f ca="1">$K$341-EFEITO!$M$341*EFEITO!$Z$341</f>
        <v>5301.7499178723956</v>
      </c>
      <c r="O341" s="62">
        <f>$L$341-EFEITO!$O$341*EFEITO!$AA$341</f>
        <v>3141.4649773284618</v>
      </c>
      <c r="P341" s="45"/>
      <c r="Q341" s="45"/>
      <c r="R341" s="45"/>
      <c r="S341" s="45"/>
      <c r="T341" s="45"/>
      <c r="U341" s="45"/>
      <c r="V341" s="45"/>
      <c r="W341" s="45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41" t="s">
        <v>55</v>
      </c>
      <c r="B342" s="41" t="s">
        <v>41</v>
      </c>
      <c r="C342" s="41" t="s">
        <v>23</v>
      </c>
      <c r="D342" s="41" t="s">
        <v>42</v>
      </c>
      <c r="E342" s="41" t="s">
        <v>25</v>
      </c>
      <c r="F342" s="41" t="s">
        <v>25</v>
      </c>
      <c r="G342" s="41" t="s">
        <v>25</v>
      </c>
      <c r="H342" s="41" t="s">
        <v>25</v>
      </c>
      <c r="I342" s="61">
        <v>44743</v>
      </c>
      <c r="J342" s="62">
        <f>EFEITO!$J$342*EFEITO!$Y$218</f>
        <v>0</v>
      </c>
      <c r="K342" s="62">
        <f ca="1">EFEITO!$L$342*EFEITO!$Z$218</f>
        <v>4273.9657522160878</v>
      </c>
      <c r="L342" s="62">
        <f>EFEITO!$N$342*EFEITO!$AA$218</f>
        <v>2532.4683232656571</v>
      </c>
      <c r="M342" s="62">
        <f>$J$342-EFEITO!$K$342*EFEITO!$Y$342</f>
        <v>0</v>
      </c>
      <c r="N342" s="62">
        <f ca="1">$K$342-EFEITO!$M$342*EFEITO!$Z$342</f>
        <v>256.43794513296507</v>
      </c>
      <c r="O342" s="62">
        <f>$L$342-EFEITO!$O$342*EFEITO!$AA$342</f>
        <v>151.94809939593961</v>
      </c>
      <c r="P342" s="45"/>
      <c r="Q342" s="45"/>
      <c r="R342" s="45"/>
      <c r="S342" s="45"/>
      <c r="T342" s="45"/>
      <c r="U342" s="45"/>
      <c r="V342" s="45"/>
      <c r="W342" s="45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41" t="s">
        <v>21</v>
      </c>
      <c r="B343" s="41" t="s">
        <v>36</v>
      </c>
      <c r="C343" s="41" t="s">
        <v>32</v>
      </c>
      <c r="D343" s="41" t="s">
        <v>40</v>
      </c>
      <c r="E343" s="41" t="s">
        <v>25</v>
      </c>
      <c r="F343" s="41" t="s">
        <v>25</v>
      </c>
      <c r="G343" s="41" t="s">
        <v>25</v>
      </c>
      <c r="H343" s="41" t="s">
        <v>34</v>
      </c>
      <c r="I343" s="61">
        <v>44409</v>
      </c>
      <c r="J343" s="62">
        <f>EFEITO!$J$343*EFEITO!$Y$343</f>
        <v>0</v>
      </c>
      <c r="K343" s="62">
        <f ca="1">EFEITO!$L$343*EFEITO!$Z$343</f>
        <v>183.30943377427423</v>
      </c>
      <c r="L343" s="62">
        <f>EFEITO!$N$343*EFEITO!$AA$343</f>
        <v>134.23121973720882</v>
      </c>
      <c r="M343" s="62">
        <f>$J$343-EFEITO!$K$343*EFEITO!$Y$343</f>
        <v>0</v>
      </c>
      <c r="N343" s="62">
        <f ca="1">$K$343-EFEITO!$M$343*EFEITO!$Z$343</f>
        <v>0</v>
      </c>
      <c r="O343" s="62">
        <f>$L$343-EFEITO!$O$343*EFEITO!$AA$343</f>
        <v>0</v>
      </c>
      <c r="P343" s="45"/>
      <c r="Q343" s="45"/>
      <c r="R343" s="45"/>
      <c r="S343" s="45"/>
      <c r="T343" s="45"/>
      <c r="U343" s="45"/>
      <c r="V343" s="45"/>
      <c r="W343" s="45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41" t="s">
        <v>21</v>
      </c>
      <c r="B344" s="41" t="s">
        <v>36</v>
      </c>
      <c r="C344" s="41" t="s">
        <v>32</v>
      </c>
      <c r="D344" s="41" t="s">
        <v>40</v>
      </c>
      <c r="E344" s="41" t="s">
        <v>25</v>
      </c>
      <c r="F344" s="41" t="s">
        <v>25</v>
      </c>
      <c r="G344" s="41" t="s">
        <v>25</v>
      </c>
      <c r="H344" s="41" t="s">
        <v>34</v>
      </c>
      <c r="I344" s="61">
        <v>44440</v>
      </c>
      <c r="J344" s="62">
        <f>EFEITO!$J$344*EFEITO!$Y$344</f>
        <v>0</v>
      </c>
      <c r="K344" s="62">
        <f ca="1">EFEITO!$L$344*EFEITO!$Z$344</f>
        <v>198.96767701272472</v>
      </c>
      <c r="L344" s="62">
        <f>EFEITO!$N$344*EFEITO!$AA$344</f>
        <v>145.69721494303815</v>
      </c>
      <c r="M344" s="62">
        <f>$J$344-EFEITO!$K$344*EFEITO!$Y$344</f>
        <v>0</v>
      </c>
      <c r="N344" s="62">
        <f ca="1">$K$344-EFEITO!$M$344*EFEITO!$Z$344</f>
        <v>0</v>
      </c>
      <c r="O344" s="62">
        <f>$L$344-EFEITO!$O$344*EFEITO!$AA$344</f>
        <v>0</v>
      </c>
      <c r="P344" s="45"/>
      <c r="Q344" s="45"/>
      <c r="R344" s="45"/>
      <c r="S344" s="45"/>
      <c r="T344" s="45"/>
      <c r="U344" s="45"/>
      <c r="V344" s="45"/>
      <c r="W344" s="45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41" t="s">
        <v>21</v>
      </c>
      <c r="B345" s="41" t="s">
        <v>36</v>
      </c>
      <c r="C345" s="41" t="s">
        <v>32</v>
      </c>
      <c r="D345" s="41" t="s">
        <v>40</v>
      </c>
      <c r="E345" s="41" t="s">
        <v>25</v>
      </c>
      <c r="F345" s="41" t="s">
        <v>25</v>
      </c>
      <c r="G345" s="41" t="s">
        <v>25</v>
      </c>
      <c r="H345" s="41" t="s">
        <v>34</v>
      </c>
      <c r="I345" s="61">
        <v>44470</v>
      </c>
      <c r="J345" s="62">
        <f>EFEITO!$J$345*EFEITO!$Y$345</f>
        <v>0</v>
      </c>
      <c r="K345" s="62">
        <f ca="1">EFEITO!$L$345*EFEITO!$Z$345</f>
        <v>189.51873712745285</v>
      </c>
      <c r="L345" s="62">
        <f>EFEITO!$N$345*EFEITO!$AA$345</f>
        <v>138.77807990503769</v>
      </c>
      <c r="M345" s="62">
        <f>$J$345-EFEITO!$K$345*EFEITO!$Y$345</f>
        <v>0</v>
      </c>
      <c r="N345" s="62">
        <f ca="1">$K$345-EFEITO!$M$345*EFEITO!$Z$345</f>
        <v>0</v>
      </c>
      <c r="O345" s="62">
        <f>$L$345-EFEITO!$O$345*EFEITO!$AA$345</f>
        <v>0</v>
      </c>
      <c r="P345" s="45"/>
      <c r="Q345" s="45"/>
      <c r="R345" s="45"/>
      <c r="S345" s="45"/>
      <c r="T345" s="45"/>
      <c r="U345" s="45"/>
      <c r="V345" s="45"/>
      <c r="W345" s="45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41" t="s">
        <v>21</v>
      </c>
      <c r="B346" s="41" t="s">
        <v>36</v>
      </c>
      <c r="C346" s="41" t="s">
        <v>32</v>
      </c>
      <c r="D346" s="41" t="s">
        <v>40</v>
      </c>
      <c r="E346" s="41" t="s">
        <v>25</v>
      </c>
      <c r="F346" s="41" t="s">
        <v>25</v>
      </c>
      <c r="G346" s="41" t="s">
        <v>25</v>
      </c>
      <c r="H346" s="41" t="s">
        <v>34</v>
      </c>
      <c r="I346" s="61">
        <v>44501</v>
      </c>
      <c r="J346" s="62">
        <f>EFEITO!$J$346*EFEITO!$Y$346</f>
        <v>0</v>
      </c>
      <c r="K346" s="62">
        <f ca="1">EFEITO!$L$346*EFEITO!$Z$346</f>
        <v>296.96668210854438</v>
      </c>
      <c r="L346" s="62">
        <f>EFEITO!$N$346*EFEITO!$AA$346</f>
        <v>217.4585297657286</v>
      </c>
      <c r="M346" s="62">
        <f>$J$346-EFEITO!$K$346*EFEITO!$Y$346</f>
        <v>0</v>
      </c>
      <c r="N346" s="62">
        <f ca="1">$K$346-EFEITO!$M$346*EFEITO!$Z$346</f>
        <v>0</v>
      </c>
      <c r="O346" s="62">
        <f>$L$346-EFEITO!$O$346*EFEITO!$AA$346</f>
        <v>0</v>
      </c>
      <c r="P346" s="45"/>
      <c r="Q346" s="45"/>
      <c r="R346" s="45"/>
      <c r="S346" s="45"/>
      <c r="T346" s="45"/>
      <c r="U346" s="45"/>
      <c r="V346" s="45"/>
      <c r="W346" s="45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41" t="s">
        <v>21</v>
      </c>
      <c r="B347" s="41" t="s">
        <v>36</v>
      </c>
      <c r="C347" s="41" t="s">
        <v>32</v>
      </c>
      <c r="D347" s="41" t="s">
        <v>40</v>
      </c>
      <c r="E347" s="41" t="s">
        <v>25</v>
      </c>
      <c r="F347" s="41" t="s">
        <v>25</v>
      </c>
      <c r="G347" s="41" t="s">
        <v>25</v>
      </c>
      <c r="H347" s="41" t="s">
        <v>34</v>
      </c>
      <c r="I347" s="61">
        <v>44531</v>
      </c>
      <c r="J347" s="62">
        <f>EFEITO!$J$347*EFEITO!$Y$347</f>
        <v>0</v>
      </c>
      <c r="K347" s="62">
        <f ca="1">EFEITO!$L$347*EFEITO!$Z$347</f>
        <v>353.66032142017559</v>
      </c>
      <c r="L347" s="62">
        <f>EFEITO!$N$347*EFEITO!$AA$347</f>
        <v>258.97333999373132</v>
      </c>
      <c r="M347" s="62">
        <f>$J$347-EFEITO!$K$347*EFEITO!$Y$347</f>
        <v>0</v>
      </c>
      <c r="N347" s="62">
        <f ca="1">$K$347-EFEITO!$M$347*EFEITO!$Z$347</f>
        <v>0</v>
      </c>
      <c r="O347" s="62">
        <f>$L$347-EFEITO!$O$347*EFEITO!$AA$347</f>
        <v>0</v>
      </c>
      <c r="P347" s="45"/>
      <c r="Q347" s="45"/>
      <c r="R347" s="45"/>
      <c r="S347" s="45"/>
      <c r="T347" s="45"/>
      <c r="U347" s="45"/>
      <c r="V347" s="45"/>
      <c r="W347" s="45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41" t="s">
        <v>21</v>
      </c>
      <c r="B348" s="41" t="s">
        <v>36</v>
      </c>
      <c r="C348" s="41" t="s">
        <v>32</v>
      </c>
      <c r="D348" s="41" t="s">
        <v>40</v>
      </c>
      <c r="E348" s="41" t="s">
        <v>25</v>
      </c>
      <c r="F348" s="41" t="s">
        <v>25</v>
      </c>
      <c r="G348" s="41" t="s">
        <v>25</v>
      </c>
      <c r="H348" s="41" t="s">
        <v>34</v>
      </c>
      <c r="I348" s="61">
        <v>44562</v>
      </c>
      <c r="J348" s="62">
        <f>EFEITO!$J$348*EFEITO!$Y$348</f>
        <v>0</v>
      </c>
      <c r="K348" s="62">
        <f ca="1">EFEITO!$L$348*EFEITO!$Z$348</f>
        <v>369.85850408064164</v>
      </c>
      <c r="L348" s="62">
        <f>EFEITO!$N$348*EFEITO!$AA$348</f>
        <v>270.83471434458926</v>
      </c>
      <c r="M348" s="62">
        <f>$J$348-EFEITO!$K$348*EFEITO!$Y$348</f>
        <v>0</v>
      </c>
      <c r="N348" s="62">
        <f ca="1">$K$348-EFEITO!$M$348*EFEITO!$Z$348</f>
        <v>0</v>
      </c>
      <c r="O348" s="62">
        <f>$L$348-EFEITO!$O$348*EFEITO!$AA$348</f>
        <v>0</v>
      </c>
      <c r="P348" s="45"/>
      <c r="Q348" s="45"/>
      <c r="R348" s="45"/>
      <c r="S348" s="45"/>
      <c r="T348" s="45"/>
      <c r="U348" s="45"/>
      <c r="V348" s="45"/>
      <c r="W348" s="45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41" t="s">
        <v>21</v>
      </c>
      <c r="B349" s="41" t="s">
        <v>36</v>
      </c>
      <c r="C349" s="41" t="s">
        <v>32</v>
      </c>
      <c r="D349" s="41" t="s">
        <v>40</v>
      </c>
      <c r="E349" s="41" t="s">
        <v>25</v>
      </c>
      <c r="F349" s="41" t="s">
        <v>25</v>
      </c>
      <c r="G349" s="41" t="s">
        <v>25</v>
      </c>
      <c r="H349" s="41" t="s">
        <v>34</v>
      </c>
      <c r="I349" s="61">
        <v>44593</v>
      </c>
      <c r="J349" s="62">
        <f>EFEITO!$J$349*EFEITO!$Y$349</f>
        <v>0</v>
      </c>
      <c r="K349" s="62">
        <f ca="1">EFEITO!$L$349*EFEITO!$Z$349</f>
        <v>344.21138153490369</v>
      </c>
      <c r="L349" s="62">
        <f>EFEITO!$N$349*EFEITO!$AA$349</f>
        <v>252.05420495573082</v>
      </c>
      <c r="M349" s="62">
        <f>$J$349-EFEITO!$K$349*EFEITO!$Y$349</f>
        <v>0</v>
      </c>
      <c r="N349" s="62">
        <f ca="1">$K$349-EFEITO!$M$349*EFEITO!$Z$349</f>
        <v>0</v>
      </c>
      <c r="O349" s="62">
        <f>$L$349-EFEITO!$O$349*EFEITO!$AA$349</f>
        <v>0</v>
      </c>
      <c r="P349" s="45"/>
      <c r="Q349" s="45"/>
      <c r="R349" s="45"/>
      <c r="S349" s="45"/>
      <c r="T349" s="45"/>
      <c r="U349" s="45"/>
      <c r="V349" s="45"/>
      <c r="W349" s="45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41" t="s">
        <v>21</v>
      </c>
      <c r="B350" s="41" t="s">
        <v>36</v>
      </c>
      <c r="C350" s="41" t="s">
        <v>32</v>
      </c>
      <c r="D350" s="41" t="s">
        <v>40</v>
      </c>
      <c r="E350" s="41" t="s">
        <v>25</v>
      </c>
      <c r="F350" s="41" t="s">
        <v>25</v>
      </c>
      <c r="G350" s="41" t="s">
        <v>25</v>
      </c>
      <c r="H350" s="41" t="s">
        <v>34</v>
      </c>
      <c r="I350" s="61">
        <v>44621</v>
      </c>
      <c r="J350" s="62">
        <f>EFEITO!$J$350*EFEITO!$Y$350</f>
        <v>0</v>
      </c>
      <c r="K350" s="62">
        <f ca="1">EFEITO!$L$350*EFEITO!$Z$350</f>
        <v>304.79580372776962</v>
      </c>
      <c r="L350" s="62">
        <f>EFEITO!$N$350*EFEITO!$AA$350</f>
        <v>223.19152736864325</v>
      </c>
      <c r="M350" s="62">
        <f>$J$350-EFEITO!$K$350*EFEITO!$Y$350</f>
        <v>0</v>
      </c>
      <c r="N350" s="62">
        <f ca="1">$K$350-EFEITO!$M$350*EFEITO!$Z$350</f>
        <v>0</v>
      </c>
      <c r="O350" s="62">
        <f>$L$350-EFEITO!$O$350*EFEITO!$AA$350</f>
        <v>0</v>
      </c>
      <c r="P350" s="45"/>
      <c r="Q350" s="45"/>
      <c r="R350" s="45"/>
      <c r="S350" s="45"/>
      <c r="T350" s="45"/>
      <c r="U350" s="45"/>
      <c r="V350" s="45"/>
      <c r="W350" s="45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41" t="s">
        <v>21</v>
      </c>
      <c r="B351" s="41" t="s">
        <v>36</v>
      </c>
      <c r="C351" s="41" t="s">
        <v>32</v>
      </c>
      <c r="D351" s="41" t="s">
        <v>40</v>
      </c>
      <c r="E351" s="41" t="s">
        <v>25</v>
      </c>
      <c r="F351" s="41" t="s">
        <v>25</v>
      </c>
      <c r="G351" s="41" t="s">
        <v>25</v>
      </c>
      <c r="H351" s="41" t="s">
        <v>34</v>
      </c>
      <c r="I351" s="61">
        <v>44652</v>
      </c>
      <c r="J351" s="62">
        <f>EFEITO!$J$351*EFEITO!$Y$351</f>
        <v>0</v>
      </c>
      <c r="K351" s="62">
        <f ca="1">EFEITO!$L$351*EFEITO!$Z$351</f>
        <v>208.14664718698884</v>
      </c>
      <c r="L351" s="62">
        <f>EFEITO!$N$351*EFEITO!$AA$351</f>
        <v>152.41866040852432</v>
      </c>
      <c r="M351" s="62">
        <f>$J$351-EFEITO!$K$351*EFEITO!$Y$351</f>
        <v>0</v>
      </c>
      <c r="N351" s="62">
        <f ca="1">$K$351-EFEITO!$M$351*EFEITO!$Z$351</f>
        <v>0</v>
      </c>
      <c r="O351" s="62">
        <f>$L$351-EFEITO!$O$351*EFEITO!$AA$351</f>
        <v>0</v>
      </c>
      <c r="P351" s="45"/>
      <c r="Q351" s="45"/>
      <c r="R351" s="45"/>
      <c r="S351" s="45"/>
      <c r="T351" s="45"/>
      <c r="U351" s="45"/>
      <c r="V351" s="45"/>
      <c r="W351" s="45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41" t="s">
        <v>21</v>
      </c>
      <c r="B352" s="41" t="s">
        <v>36</v>
      </c>
      <c r="C352" s="41" t="s">
        <v>32</v>
      </c>
      <c r="D352" s="41" t="s">
        <v>40</v>
      </c>
      <c r="E352" s="41" t="s">
        <v>25</v>
      </c>
      <c r="F352" s="41" t="s">
        <v>25</v>
      </c>
      <c r="G352" s="41" t="s">
        <v>25</v>
      </c>
      <c r="H352" s="41" t="s">
        <v>34</v>
      </c>
      <c r="I352" s="61">
        <v>44682</v>
      </c>
      <c r="J352" s="62">
        <f>EFEITO!$J$352*EFEITO!$Y$352</f>
        <v>0</v>
      </c>
      <c r="K352" s="62">
        <f ca="1">EFEITO!$L$352*EFEITO!$Z$352</f>
        <v>166.57131169179263</v>
      </c>
      <c r="L352" s="62">
        <f>EFEITO!$N$352*EFEITO!$AA$352</f>
        <v>121.9744662413223</v>
      </c>
      <c r="M352" s="62">
        <f>$J$352-EFEITO!$K$352*EFEITO!$Y$352</f>
        <v>0</v>
      </c>
      <c r="N352" s="62">
        <f ca="1">$K$352-EFEITO!$M$352*EFEITO!$Z$352</f>
        <v>0</v>
      </c>
      <c r="O352" s="62">
        <f>$L$352-EFEITO!$O$352*EFEITO!$AA$352</f>
        <v>0</v>
      </c>
      <c r="P352" s="45"/>
      <c r="Q352" s="45"/>
      <c r="R352" s="45"/>
      <c r="S352" s="45"/>
      <c r="T352" s="45"/>
      <c r="U352" s="45"/>
      <c r="V352" s="45"/>
      <c r="W352" s="45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41" t="s">
        <v>21</v>
      </c>
      <c r="B353" s="41" t="s">
        <v>36</v>
      </c>
      <c r="C353" s="41" t="s">
        <v>32</v>
      </c>
      <c r="D353" s="41" t="s">
        <v>40</v>
      </c>
      <c r="E353" s="41" t="s">
        <v>25</v>
      </c>
      <c r="F353" s="41" t="s">
        <v>25</v>
      </c>
      <c r="G353" s="41" t="s">
        <v>25</v>
      </c>
      <c r="H353" s="41" t="s">
        <v>34</v>
      </c>
      <c r="I353" s="61">
        <v>44713</v>
      </c>
      <c r="J353" s="62">
        <f>EFEITO!$J$353*EFEITO!$Y$353</f>
        <v>0</v>
      </c>
      <c r="K353" s="62">
        <f ca="1">EFEITO!$L$353*EFEITO!$Z$353</f>
        <v>119.59658197644106</v>
      </c>
      <c r="L353" s="62">
        <f>EFEITO!$N$353*EFEITO!$AA$353</f>
        <v>87.576480623834328</v>
      </c>
      <c r="M353" s="62">
        <f>$J$353-EFEITO!$K$353*EFEITO!$Y$353</f>
        <v>0</v>
      </c>
      <c r="N353" s="62">
        <f ca="1">$K$353-EFEITO!$M$353*EFEITO!$Z$353</f>
        <v>0</v>
      </c>
      <c r="O353" s="62">
        <f>$L$353-EFEITO!$O$353*EFEITO!$AA$353</f>
        <v>0</v>
      </c>
      <c r="P353" s="45"/>
      <c r="Q353" s="45"/>
      <c r="R353" s="45"/>
      <c r="S353" s="45"/>
      <c r="T353" s="45"/>
      <c r="U353" s="45"/>
      <c r="V353" s="45"/>
      <c r="W353" s="45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41" t="s">
        <v>55</v>
      </c>
      <c r="B354" s="41" t="s">
        <v>36</v>
      </c>
      <c r="C354" s="41" t="s">
        <v>32</v>
      </c>
      <c r="D354" s="41" t="s">
        <v>40</v>
      </c>
      <c r="E354" s="41" t="s">
        <v>25</v>
      </c>
      <c r="F354" s="41" t="s">
        <v>25</v>
      </c>
      <c r="G354" s="41" t="s">
        <v>25</v>
      </c>
      <c r="H354" s="41" t="s">
        <v>34</v>
      </c>
      <c r="I354" s="61">
        <v>44743</v>
      </c>
      <c r="J354" s="62">
        <f>EFEITO!$J$354*EFEITO!$Y$354</f>
        <v>0</v>
      </c>
      <c r="K354" s="62">
        <f ca="1">EFEITO!$L$354*EFEITO!$Z$354</f>
        <v>119.59658197644106</v>
      </c>
      <c r="L354" s="62">
        <f>EFEITO!$N$354*EFEITO!$AA$354</f>
        <v>87.576480623834328</v>
      </c>
      <c r="M354" s="62">
        <f>$J$354-EFEITO!$K$354*EFEITO!$Y$354</f>
        <v>0</v>
      </c>
      <c r="N354" s="62">
        <f ca="1">$K$354-EFEITO!$M$354*EFEITO!$Z$354</f>
        <v>0</v>
      </c>
      <c r="O354" s="62">
        <f>$L$354-EFEITO!$O$354*EFEITO!$AA$354</f>
        <v>0</v>
      </c>
      <c r="P354" s="45"/>
      <c r="Q354" s="45"/>
      <c r="R354" s="45"/>
      <c r="S354" s="45"/>
      <c r="T354" s="45"/>
      <c r="U354" s="45"/>
      <c r="V354" s="45"/>
      <c r="W354" s="45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41" t="s">
        <v>21</v>
      </c>
      <c r="B355" s="41" t="s">
        <v>36</v>
      </c>
      <c r="C355" s="41" t="s">
        <v>32</v>
      </c>
      <c r="D355" s="41" t="s">
        <v>40</v>
      </c>
      <c r="E355" s="41" t="s">
        <v>25</v>
      </c>
      <c r="F355" s="41" t="s">
        <v>25</v>
      </c>
      <c r="G355" s="41" t="s">
        <v>25</v>
      </c>
      <c r="H355" s="41" t="s">
        <v>35</v>
      </c>
      <c r="I355" s="61">
        <v>44409</v>
      </c>
      <c r="J355" s="62">
        <f>EFEITO!$J$355*EFEITO!$Y$355</f>
        <v>0</v>
      </c>
      <c r="K355" s="62">
        <f ca="1">EFEITO!$L$355*EFEITO!$Z$355</f>
        <v>15.139068873095468</v>
      </c>
      <c r="L355" s="62">
        <f>EFEITO!$N$355*EFEITO!$AA$355</f>
        <v>5.1399288853717664</v>
      </c>
      <c r="M355" s="62">
        <f>$J$355-EFEITO!$K$355*EFEITO!$Y$355</f>
        <v>0</v>
      </c>
      <c r="N355" s="62">
        <f ca="1">$K$355-EFEITO!$M$355*EFEITO!$Z$355</f>
        <v>0</v>
      </c>
      <c r="O355" s="62">
        <f>$L$355-EFEITO!$O$355*EFEITO!$AA$355</f>
        <v>0</v>
      </c>
      <c r="P355" s="45"/>
      <c r="Q355" s="45"/>
      <c r="R355" s="45"/>
      <c r="S355" s="45"/>
      <c r="T355" s="45"/>
      <c r="U355" s="45"/>
      <c r="V355" s="45"/>
      <c r="W355" s="45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41" t="s">
        <v>21</v>
      </c>
      <c r="B356" s="41" t="s">
        <v>36</v>
      </c>
      <c r="C356" s="41" t="s">
        <v>32</v>
      </c>
      <c r="D356" s="41" t="s">
        <v>40</v>
      </c>
      <c r="E356" s="41" t="s">
        <v>25</v>
      </c>
      <c r="F356" s="41" t="s">
        <v>25</v>
      </c>
      <c r="G356" s="41" t="s">
        <v>25</v>
      </c>
      <c r="H356" s="41" t="s">
        <v>35</v>
      </c>
      <c r="I356" s="61">
        <v>44440</v>
      </c>
      <c r="J356" s="62">
        <f>EFEITO!$J$356*EFEITO!$Y$356</f>
        <v>0</v>
      </c>
      <c r="K356" s="62">
        <f ca="1">EFEITO!$L$356*EFEITO!$Z$356</f>
        <v>16.303612632564352</v>
      </c>
      <c r="L356" s="62">
        <f>EFEITO!$N$356*EFEITO!$AA$356</f>
        <v>5.5353080304003637</v>
      </c>
      <c r="M356" s="62">
        <f>$J$356-EFEITO!$K$356*EFEITO!$Y$356</f>
        <v>0</v>
      </c>
      <c r="N356" s="62">
        <f ca="1">$K$356-EFEITO!$M$356*EFEITO!$Z$356</f>
        <v>0</v>
      </c>
      <c r="O356" s="62">
        <f>$L$356-EFEITO!$O$356*EFEITO!$AA$356</f>
        <v>0</v>
      </c>
      <c r="P356" s="45"/>
      <c r="Q356" s="45"/>
      <c r="R356" s="45"/>
      <c r="S356" s="45"/>
      <c r="T356" s="45"/>
      <c r="U356" s="45"/>
      <c r="V356" s="45"/>
      <c r="W356" s="45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41" t="s">
        <v>21</v>
      </c>
      <c r="B357" s="41" t="s">
        <v>36</v>
      </c>
      <c r="C357" s="41" t="s">
        <v>32</v>
      </c>
      <c r="D357" s="41" t="s">
        <v>40</v>
      </c>
      <c r="E357" s="41" t="s">
        <v>25</v>
      </c>
      <c r="F357" s="41" t="s">
        <v>25</v>
      </c>
      <c r="G357" s="41" t="s">
        <v>25</v>
      </c>
      <c r="H357" s="41" t="s">
        <v>35</v>
      </c>
      <c r="I357" s="61">
        <v>44470</v>
      </c>
      <c r="J357" s="62">
        <f>EFEITO!$J$357*EFEITO!$Y$357</f>
        <v>0</v>
      </c>
      <c r="K357" s="62">
        <f ca="1">EFEITO!$L$357*EFEITO!$Z$357</f>
        <v>18.050428271767675</v>
      </c>
      <c r="L357" s="62">
        <f>EFEITO!$N$357*EFEITO!$AA$357</f>
        <v>6.1283767479432596</v>
      </c>
      <c r="M357" s="62">
        <f>$J$357-EFEITO!$K$357*EFEITO!$Y$357</f>
        <v>0</v>
      </c>
      <c r="N357" s="62">
        <f ca="1">$K$357-EFEITO!$M$357*EFEITO!$Z$357</f>
        <v>0</v>
      </c>
      <c r="O357" s="62">
        <f>$L$357-EFEITO!$O$357*EFEITO!$AA$357</f>
        <v>0</v>
      </c>
      <c r="P357" s="45"/>
      <c r="Q357" s="45"/>
      <c r="R357" s="45"/>
      <c r="S357" s="45"/>
      <c r="T357" s="45"/>
      <c r="U357" s="45"/>
      <c r="V357" s="45"/>
      <c r="W357" s="45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41" t="s">
        <v>21</v>
      </c>
      <c r="B358" s="41" t="s">
        <v>36</v>
      </c>
      <c r="C358" s="41" t="s">
        <v>32</v>
      </c>
      <c r="D358" s="41" t="s">
        <v>40</v>
      </c>
      <c r="E358" s="41" t="s">
        <v>25</v>
      </c>
      <c r="F358" s="41" t="s">
        <v>25</v>
      </c>
      <c r="G358" s="41" t="s">
        <v>25</v>
      </c>
      <c r="H358" s="41" t="s">
        <v>35</v>
      </c>
      <c r="I358" s="61">
        <v>44501</v>
      </c>
      <c r="J358" s="62">
        <f>EFEITO!$J$358*EFEITO!$Y$358</f>
        <v>0</v>
      </c>
      <c r="K358" s="62">
        <f ca="1">EFEITO!$L$358*EFEITO!$Z$358</f>
        <v>27.949050227253174</v>
      </c>
      <c r="L358" s="62">
        <f>EFEITO!$N$358*EFEITO!$AA$358</f>
        <v>9.4890994806863382</v>
      </c>
      <c r="M358" s="62">
        <f>$J$358-EFEITO!$K$358*EFEITO!$Y$358</f>
        <v>0</v>
      </c>
      <c r="N358" s="62">
        <f ca="1">$K$358-EFEITO!$M$358*EFEITO!$Z$358</f>
        <v>0</v>
      </c>
      <c r="O358" s="62">
        <f>$L$358-EFEITO!$O$358*EFEITO!$AA$358</f>
        <v>0</v>
      </c>
      <c r="P358" s="45"/>
      <c r="Q358" s="45"/>
      <c r="R358" s="45"/>
      <c r="S358" s="45"/>
      <c r="T358" s="45"/>
      <c r="U358" s="45"/>
      <c r="V358" s="45"/>
      <c r="W358" s="45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41" t="s">
        <v>21</v>
      </c>
      <c r="B359" s="41" t="s">
        <v>36</v>
      </c>
      <c r="C359" s="41" t="s">
        <v>32</v>
      </c>
      <c r="D359" s="41" t="s">
        <v>40</v>
      </c>
      <c r="E359" s="41" t="s">
        <v>25</v>
      </c>
      <c r="F359" s="41" t="s">
        <v>25</v>
      </c>
      <c r="G359" s="41" t="s">
        <v>25</v>
      </c>
      <c r="H359" s="41" t="s">
        <v>35</v>
      </c>
      <c r="I359" s="61">
        <v>44531</v>
      </c>
      <c r="J359" s="62">
        <f>EFEITO!$J$359*EFEITO!$Y$359</f>
        <v>0</v>
      </c>
      <c r="K359" s="62">
        <f ca="1">EFEITO!$L$359*EFEITO!$Z$359</f>
        <v>28.531322106987613</v>
      </c>
      <c r="L359" s="62">
        <f>EFEITO!$N$359*EFEITO!$AA$359</f>
        <v>9.686789053200636</v>
      </c>
      <c r="M359" s="62">
        <f>$J$359-EFEITO!$K$359*EFEITO!$Y$359</f>
        <v>0</v>
      </c>
      <c r="N359" s="62">
        <f ca="1">$K$359-EFEITO!$M$359*EFEITO!$Z$359</f>
        <v>0</v>
      </c>
      <c r="O359" s="62">
        <f>$L$359-EFEITO!$O$359*EFEITO!$AA$359</f>
        <v>0</v>
      </c>
      <c r="P359" s="45"/>
      <c r="Q359" s="45"/>
      <c r="R359" s="45"/>
      <c r="S359" s="45"/>
      <c r="T359" s="45"/>
      <c r="U359" s="45"/>
      <c r="V359" s="45"/>
      <c r="W359" s="45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41" t="s">
        <v>21</v>
      </c>
      <c r="B360" s="41" t="s">
        <v>36</v>
      </c>
      <c r="C360" s="41" t="s">
        <v>32</v>
      </c>
      <c r="D360" s="41" t="s">
        <v>40</v>
      </c>
      <c r="E360" s="41" t="s">
        <v>25</v>
      </c>
      <c r="F360" s="41" t="s">
        <v>25</v>
      </c>
      <c r="G360" s="41" t="s">
        <v>25</v>
      </c>
      <c r="H360" s="41" t="s">
        <v>35</v>
      </c>
      <c r="I360" s="61">
        <v>44562</v>
      </c>
      <c r="J360" s="62">
        <f>EFEITO!$J$360*EFEITO!$Y$360</f>
        <v>0</v>
      </c>
      <c r="K360" s="62">
        <f ca="1">EFEITO!$L$360*EFEITO!$Z$360</f>
        <v>23.873147069112086</v>
      </c>
      <c r="L360" s="62">
        <f>EFEITO!$N$360*EFEITO!$AA$360</f>
        <v>8.1052724730862469</v>
      </c>
      <c r="M360" s="62">
        <f>$J$360-EFEITO!$K$360*EFEITO!$Y$360</f>
        <v>0</v>
      </c>
      <c r="N360" s="62">
        <f ca="1">$K$360-EFEITO!$M$360*EFEITO!$Z$360</f>
        <v>0</v>
      </c>
      <c r="O360" s="62">
        <f>$L$360-EFEITO!$O$360*EFEITO!$AA$360</f>
        <v>0</v>
      </c>
      <c r="P360" s="45"/>
      <c r="Q360" s="45"/>
      <c r="R360" s="45"/>
      <c r="S360" s="45"/>
      <c r="T360" s="45"/>
      <c r="U360" s="45"/>
      <c r="V360" s="45"/>
      <c r="W360" s="45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41" t="s">
        <v>21</v>
      </c>
      <c r="B361" s="41" t="s">
        <v>36</v>
      </c>
      <c r="C361" s="41" t="s">
        <v>32</v>
      </c>
      <c r="D361" s="41" t="s">
        <v>40</v>
      </c>
      <c r="E361" s="41" t="s">
        <v>25</v>
      </c>
      <c r="F361" s="41" t="s">
        <v>25</v>
      </c>
      <c r="G361" s="41" t="s">
        <v>25</v>
      </c>
      <c r="H361" s="41" t="s">
        <v>35</v>
      </c>
      <c r="I361" s="61">
        <v>44593</v>
      </c>
      <c r="J361" s="62">
        <f>EFEITO!$J$361*EFEITO!$Y$361</f>
        <v>0</v>
      </c>
      <c r="K361" s="62">
        <f ca="1">EFEITO!$L$361*EFEITO!$Z$361</f>
        <v>37.265400303004228</v>
      </c>
      <c r="L361" s="62">
        <f>EFEITO!$N$361*EFEITO!$AA$361</f>
        <v>12.652132640915116</v>
      </c>
      <c r="M361" s="62">
        <f>$J$361-EFEITO!$K$361*EFEITO!$Y$361</f>
        <v>0</v>
      </c>
      <c r="N361" s="62">
        <f ca="1">$K$361-EFEITO!$M$361*EFEITO!$Z$361</f>
        <v>0</v>
      </c>
      <c r="O361" s="62">
        <f>$L$361-EFEITO!$O$361*EFEITO!$AA$361</f>
        <v>0</v>
      </c>
      <c r="P361" s="45"/>
      <c r="Q361" s="45"/>
      <c r="R361" s="45"/>
      <c r="S361" s="45"/>
      <c r="T361" s="45"/>
      <c r="U361" s="45"/>
      <c r="V361" s="45"/>
      <c r="W361" s="45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41" t="s">
        <v>21</v>
      </c>
      <c r="B362" s="41" t="s">
        <v>36</v>
      </c>
      <c r="C362" s="41" t="s">
        <v>32</v>
      </c>
      <c r="D362" s="41" t="s">
        <v>40</v>
      </c>
      <c r="E362" s="41" t="s">
        <v>25</v>
      </c>
      <c r="F362" s="41" t="s">
        <v>25</v>
      </c>
      <c r="G362" s="41" t="s">
        <v>25</v>
      </c>
      <c r="H362" s="41" t="s">
        <v>35</v>
      </c>
      <c r="I362" s="61">
        <v>44621</v>
      </c>
      <c r="J362" s="62">
        <f>EFEITO!$J$362*EFEITO!$Y$362</f>
        <v>0</v>
      </c>
      <c r="K362" s="62">
        <f ca="1">EFEITO!$L$362*EFEITO!$Z$362</f>
        <v>25.619962708315406</v>
      </c>
      <c r="L362" s="62">
        <f>EFEITO!$N$362*EFEITO!$AA$362</f>
        <v>8.6983411906291419</v>
      </c>
      <c r="M362" s="62">
        <f>$J$362-EFEITO!$K$362*EFEITO!$Y$362</f>
        <v>0</v>
      </c>
      <c r="N362" s="62">
        <f ca="1">$K$362-EFEITO!$M$362*EFEITO!$Z$362</f>
        <v>0</v>
      </c>
      <c r="O362" s="62">
        <f>$L$362-EFEITO!$O$362*EFEITO!$AA$362</f>
        <v>0</v>
      </c>
      <c r="P362" s="45"/>
      <c r="Q362" s="45"/>
      <c r="R362" s="45"/>
      <c r="S362" s="45"/>
      <c r="T362" s="45"/>
      <c r="U362" s="45"/>
      <c r="V362" s="45"/>
      <c r="W362" s="45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41" t="s">
        <v>21</v>
      </c>
      <c r="B363" s="41" t="s">
        <v>36</v>
      </c>
      <c r="C363" s="41" t="s">
        <v>32</v>
      </c>
      <c r="D363" s="41" t="s">
        <v>40</v>
      </c>
      <c r="E363" s="41" t="s">
        <v>25</v>
      </c>
      <c r="F363" s="41" t="s">
        <v>25</v>
      </c>
      <c r="G363" s="41" t="s">
        <v>25</v>
      </c>
      <c r="H363" s="41" t="s">
        <v>35</v>
      </c>
      <c r="I363" s="61">
        <v>44652</v>
      </c>
      <c r="J363" s="62">
        <f>EFEITO!$J$363*EFEITO!$Y$363</f>
        <v>0</v>
      </c>
      <c r="K363" s="62">
        <f ca="1">EFEITO!$L$363*EFEITO!$Z$363</f>
        <v>21.544059550174318</v>
      </c>
      <c r="L363" s="62">
        <f>EFEITO!$N$363*EFEITO!$AA$363</f>
        <v>7.3145141830290514</v>
      </c>
      <c r="M363" s="62">
        <f>$J$363-EFEITO!$K$363*EFEITO!$Y$363</f>
        <v>0</v>
      </c>
      <c r="N363" s="62">
        <f ca="1">$K$363-EFEITO!$M$363*EFEITO!$Z$363</f>
        <v>0</v>
      </c>
      <c r="O363" s="62">
        <f>$L$363-EFEITO!$O$363*EFEITO!$AA$363</f>
        <v>0</v>
      </c>
      <c r="P363" s="45"/>
      <c r="Q363" s="45"/>
      <c r="R363" s="45"/>
      <c r="S363" s="45"/>
      <c r="T363" s="45"/>
      <c r="U363" s="45"/>
      <c r="V363" s="45"/>
      <c r="W363" s="45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41" t="s">
        <v>21</v>
      </c>
      <c r="B364" s="41" t="s">
        <v>36</v>
      </c>
      <c r="C364" s="41" t="s">
        <v>32</v>
      </c>
      <c r="D364" s="41" t="s">
        <v>40</v>
      </c>
      <c r="E364" s="41" t="s">
        <v>25</v>
      </c>
      <c r="F364" s="41" t="s">
        <v>25</v>
      </c>
      <c r="G364" s="41" t="s">
        <v>25</v>
      </c>
      <c r="H364" s="41" t="s">
        <v>35</v>
      </c>
      <c r="I364" s="61">
        <v>44682</v>
      </c>
      <c r="J364" s="62">
        <f>EFEITO!$J$364*EFEITO!$Y$364</f>
        <v>0</v>
      </c>
      <c r="K364" s="62">
        <f ca="1">EFEITO!$L$364*EFEITO!$Z$364</f>
        <v>20.37951579070544</v>
      </c>
      <c r="L364" s="62">
        <f>EFEITO!$N$364*EFEITO!$AA$364</f>
        <v>6.919135038000455</v>
      </c>
      <c r="M364" s="62">
        <f>$J$364-EFEITO!$K$364*EFEITO!$Y$364</f>
        <v>0</v>
      </c>
      <c r="N364" s="62">
        <f ca="1">$K$364-EFEITO!$M$364*EFEITO!$Z$364</f>
        <v>0</v>
      </c>
      <c r="O364" s="62">
        <f>$L$364-EFEITO!$O$364*EFEITO!$AA$364</f>
        <v>0</v>
      </c>
      <c r="P364" s="45"/>
      <c r="Q364" s="45"/>
      <c r="R364" s="45"/>
      <c r="S364" s="45"/>
      <c r="T364" s="45"/>
      <c r="U364" s="45"/>
      <c r="V364" s="45"/>
      <c r="W364" s="45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41" t="s">
        <v>21</v>
      </c>
      <c r="B365" s="41" t="s">
        <v>36</v>
      </c>
      <c r="C365" s="41" t="s">
        <v>32</v>
      </c>
      <c r="D365" s="41" t="s">
        <v>40</v>
      </c>
      <c r="E365" s="41" t="s">
        <v>25</v>
      </c>
      <c r="F365" s="41" t="s">
        <v>25</v>
      </c>
      <c r="G365" s="41" t="s">
        <v>25</v>
      </c>
      <c r="H365" s="41" t="s">
        <v>35</v>
      </c>
      <c r="I365" s="61">
        <v>44713</v>
      </c>
      <c r="J365" s="62">
        <f>EFEITO!$J$365*EFEITO!$Y$365</f>
        <v>0</v>
      </c>
      <c r="K365" s="62">
        <f ca="1">EFEITO!$L$365*EFEITO!$Z$365</f>
        <v>16.303612632564352</v>
      </c>
      <c r="L365" s="62">
        <f>EFEITO!$N$365*EFEITO!$AA$365</f>
        <v>5.5353080304003637</v>
      </c>
      <c r="M365" s="62">
        <f>$J$365-EFEITO!$K$365*EFEITO!$Y$365</f>
        <v>0</v>
      </c>
      <c r="N365" s="62">
        <f ca="1">$K$365-EFEITO!$M$365*EFEITO!$Z$365</f>
        <v>0</v>
      </c>
      <c r="O365" s="62">
        <f>$L$365-EFEITO!$O$365*EFEITO!$AA$365</f>
        <v>0</v>
      </c>
      <c r="P365" s="45"/>
      <c r="Q365" s="45"/>
      <c r="R365" s="45"/>
      <c r="S365" s="45"/>
      <c r="T365" s="45"/>
      <c r="U365" s="45"/>
      <c r="V365" s="45"/>
      <c r="W365" s="45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41" t="s">
        <v>55</v>
      </c>
      <c r="B366" s="41" t="s">
        <v>36</v>
      </c>
      <c r="C366" s="41" t="s">
        <v>32</v>
      </c>
      <c r="D366" s="41" t="s">
        <v>40</v>
      </c>
      <c r="E366" s="41" t="s">
        <v>25</v>
      </c>
      <c r="F366" s="41" t="s">
        <v>25</v>
      </c>
      <c r="G366" s="41" t="s">
        <v>25</v>
      </c>
      <c r="H366" s="41" t="s">
        <v>35</v>
      </c>
      <c r="I366" s="61">
        <v>44743</v>
      </c>
      <c r="J366" s="62">
        <f>EFEITO!$J$366*EFEITO!$Y$366</f>
        <v>0</v>
      </c>
      <c r="K366" s="62">
        <f ca="1">EFEITO!$L$366*EFEITO!$Z$366</f>
        <v>16.303612632564352</v>
      </c>
      <c r="L366" s="62">
        <f>EFEITO!$N$366*EFEITO!$AA$366</f>
        <v>5.5353080304003637</v>
      </c>
      <c r="M366" s="62">
        <f>$J$366-EFEITO!$K$366*EFEITO!$Y$366</f>
        <v>0</v>
      </c>
      <c r="N366" s="62">
        <f ca="1">$K$366-EFEITO!$M$366*EFEITO!$Z$366</f>
        <v>0</v>
      </c>
      <c r="O366" s="62">
        <f>$L$366-EFEITO!$O$366*EFEITO!$AA$366</f>
        <v>0</v>
      </c>
      <c r="P366" s="45"/>
      <c r="Q366" s="45"/>
      <c r="R366" s="45"/>
      <c r="S366" s="45"/>
      <c r="T366" s="45"/>
      <c r="U366" s="45"/>
      <c r="V366" s="45"/>
      <c r="W366" s="45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41" t="s">
        <v>21</v>
      </c>
      <c r="B367" s="41" t="s">
        <v>36</v>
      </c>
      <c r="C367" s="41" t="s">
        <v>32</v>
      </c>
      <c r="D367" s="41" t="s">
        <v>40</v>
      </c>
      <c r="E367" s="41" t="s">
        <v>25</v>
      </c>
      <c r="F367" s="41" t="s">
        <v>25</v>
      </c>
      <c r="G367" s="41" t="s">
        <v>25</v>
      </c>
      <c r="H367" s="41" t="s">
        <v>33</v>
      </c>
      <c r="I367" s="61">
        <v>44409</v>
      </c>
      <c r="J367" s="62">
        <f>EFEITO!$J$367*EFEITO!$Y$367</f>
        <v>0</v>
      </c>
      <c r="K367" s="62">
        <f ca="1">EFEITO!$L$367*EFEITO!$Z$367</f>
        <v>25.942650035316174</v>
      </c>
      <c r="L367" s="62">
        <f>EFEITO!$N$367*EFEITO!$AA$367</f>
        <v>9.1924151107811198</v>
      </c>
      <c r="M367" s="62">
        <f>$J$367-EFEITO!$K$367*EFEITO!$Y$367</f>
        <v>0</v>
      </c>
      <c r="N367" s="62">
        <f ca="1">$K$367-EFEITO!$M$367*EFEITO!$Z$367</f>
        <v>0</v>
      </c>
      <c r="O367" s="62">
        <f>$L$367-EFEITO!$O$367*EFEITO!$AA$367</f>
        <v>0</v>
      </c>
      <c r="P367" s="45"/>
      <c r="Q367" s="45"/>
      <c r="R367" s="45"/>
      <c r="S367" s="45"/>
      <c r="T367" s="45"/>
      <c r="U367" s="45"/>
      <c r="V367" s="45"/>
      <c r="W367" s="45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41" t="s">
        <v>21</v>
      </c>
      <c r="B368" s="41" t="s">
        <v>36</v>
      </c>
      <c r="C368" s="41" t="s">
        <v>32</v>
      </c>
      <c r="D368" s="41" t="s">
        <v>40</v>
      </c>
      <c r="E368" s="41" t="s">
        <v>25</v>
      </c>
      <c r="F368" s="41" t="s">
        <v>25</v>
      </c>
      <c r="G368" s="41" t="s">
        <v>25</v>
      </c>
      <c r="H368" s="41" t="s">
        <v>33</v>
      </c>
      <c r="I368" s="61">
        <v>44440</v>
      </c>
      <c r="J368" s="62">
        <f>EFEITO!$J$368*EFEITO!$Y$368</f>
        <v>0</v>
      </c>
      <c r="K368" s="62">
        <f ca="1">EFEITO!$L$368*EFEITO!$Z$368</f>
        <v>25.942650035316174</v>
      </c>
      <c r="L368" s="62">
        <f>EFEITO!$N$368*EFEITO!$AA$368</f>
        <v>9.1924151107811198</v>
      </c>
      <c r="M368" s="62">
        <f>$J$368-EFEITO!$K$368*EFEITO!$Y$368</f>
        <v>0</v>
      </c>
      <c r="N368" s="62">
        <f ca="1">$K$368-EFEITO!$M$368*EFEITO!$Z$368</f>
        <v>0</v>
      </c>
      <c r="O368" s="62">
        <f>$L$368-EFEITO!$O$368*EFEITO!$AA$368</f>
        <v>0</v>
      </c>
      <c r="P368" s="45"/>
      <c r="Q368" s="45"/>
      <c r="R368" s="45"/>
      <c r="S368" s="45"/>
      <c r="T368" s="45"/>
      <c r="U368" s="45"/>
      <c r="V368" s="45"/>
      <c r="W368" s="45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41" t="s">
        <v>21</v>
      </c>
      <c r="B369" s="41" t="s">
        <v>36</v>
      </c>
      <c r="C369" s="41" t="s">
        <v>32</v>
      </c>
      <c r="D369" s="41" t="s">
        <v>40</v>
      </c>
      <c r="E369" s="41" t="s">
        <v>25</v>
      </c>
      <c r="F369" s="41" t="s">
        <v>25</v>
      </c>
      <c r="G369" s="41" t="s">
        <v>25</v>
      </c>
      <c r="H369" s="41" t="s">
        <v>33</v>
      </c>
      <c r="I369" s="61">
        <v>44470</v>
      </c>
      <c r="J369" s="62">
        <f>EFEITO!$J$369*EFEITO!$Y$369</f>
        <v>0</v>
      </c>
      <c r="K369" s="62">
        <f ca="1">EFEITO!$L$369*EFEITO!$Z$369</f>
        <v>22.36435347872084</v>
      </c>
      <c r="L369" s="62">
        <f>EFEITO!$N$369*EFEITO!$AA$369</f>
        <v>7.9244957851561368</v>
      </c>
      <c r="M369" s="62">
        <f>$J$369-EFEITO!$K$369*EFEITO!$Y$369</f>
        <v>0</v>
      </c>
      <c r="N369" s="62">
        <f ca="1">$K$369-EFEITO!$M$369*EFEITO!$Z$369</f>
        <v>0</v>
      </c>
      <c r="O369" s="62">
        <f>$L$369-EFEITO!$O$369*EFEITO!$AA$369</f>
        <v>0</v>
      </c>
      <c r="P369" s="45"/>
      <c r="Q369" s="45"/>
      <c r="R369" s="45"/>
      <c r="S369" s="45"/>
      <c r="T369" s="45"/>
      <c r="U369" s="45"/>
      <c r="V369" s="45"/>
      <c r="W369" s="45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41" t="s">
        <v>21</v>
      </c>
      <c r="B370" s="41" t="s">
        <v>36</v>
      </c>
      <c r="C370" s="41" t="s">
        <v>32</v>
      </c>
      <c r="D370" s="41" t="s">
        <v>40</v>
      </c>
      <c r="E370" s="41" t="s">
        <v>25</v>
      </c>
      <c r="F370" s="41" t="s">
        <v>25</v>
      </c>
      <c r="G370" s="41" t="s">
        <v>25</v>
      </c>
      <c r="H370" s="41" t="s">
        <v>33</v>
      </c>
      <c r="I370" s="61">
        <v>44501</v>
      </c>
      <c r="J370" s="62">
        <f>EFEITO!$J$370*EFEITO!$Y$370</f>
        <v>0</v>
      </c>
      <c r="K370" s="62">
        <f ca="1">EFEITO!$L$370*EFEITO!$Z$370</f>
        <v>22.36435347872084</v>
      </c>
      <c r="L370" s="62">
        <f>EFEITO!$N$370*EFEITO!$AA$370</f>
        <v>7.9244957851561368</v>
      </c>
      <c r="M370" s="62">
        <f>$J$370-EFEITO!$K$370*EFEITO!$Y$370</f>
        <v>0</v>
      </c>
      <c r="N370" s="62">
        <f ca="1">$K$370-EFEITO!$M$370*EFEITO!$Z$370</f>
        <v>0</v>
      </c>
      <c r="O370" s="62">
        <f>$L$370-EFEITO!$O$370*EFEITO!$AA$370</f>
        <v>0</v>
      </c>
      <c r="P370" s="45"/>
      <c r="Q370" s="45"/>
      <c r="R370" s="45"/>
      <c r="S370" s="45"/>
      <c r="T370" s="45"/>
      <c r="U370" s="45"/>
      <c r="V370" s="45"/>
      <c r="W370" s="45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41" t="s">
        <v>21</v>
      </c>
      <c r="B371" s="41" t="s">
        <v>36</v>
      </c>
      <c r="C371" s="41" t="s">
        <v>32</v>
      </c>
      <c r="D371" s="41" t="s">
        <v>40</v>
      </c>
      <c r="E371" s="41" t="s">
        <v>25</v>
      </c>
      <c r="F371" s="41" t="s">
        <v>25</v>
      </c>
      <c r="G371" s="41" t="s">
        <v>25</v>
      </c>
      <c r="H371" s="41" t="s">
        <v>33</v>
      </c>
      <c r="I371" s="61">
        <v>44531</v>
      </c>
      <c r="J371" s="62">
        <f>EFEITO!$J$371*EFEITO!$Y$371</f>
        <v>0</v>
      </c>
      <c r="K371" s="62">
        <f ca="1">EFEITO!$L$371*EFEITO!$Z$371</f>
        <v>27.73179831361384</v>
      </c>
      <c r="L371" s="62">
        <f>EFEITO!$N$371*EFEITO!$AA$371</f>
        <v>9.82637477359361</v>
      </c>
      <c r="M371" s="62">
        <f>$J$371-EFEITO!$K$371*EFEITO!$Y$371</f>
        <v>0</v>
      </c>
      <c r="N371" s="62">
        <f ca="1">$K$371-EFEITO!$M$371*EFEITO!$Z$371</f>
        <v>0</v>
      </c>
      <c r="O371" s="62">
        <f>$L$371-EFEITO!$O$371*EFEITO!$AA$371</f>
        <v>0</v>
      </c>
      <c r="P371" s="45"/>
      <c r="Q371" s="45"/>
      <c r="R371" s="45"/>
      <c r="S371" s="45"/>
      <c r="T371" s="45"/>
      <c r="U371" s="45"/>
      <c r="V371" s="45"/>
      <c r="W371" s="45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41" t="s">
        <v>21</v>
      </c>
      <c r="B372" s="41" t="s">
        <v>36</v>
      </c>
      <c r="C372" s="41" t="s">
        <v>32</v>
      </c>
      <c r="D372" s="41" t="s">
        <v>40</v>
      </c>
      <c r="E372" s="41" t="s">
        <v>25</v>
      </c>
      <c r="F372" s="41" t="s">
        <v>25</v>
      </c>
      <c r="G372" s="41" t="s">
        <v>25</v>
      </c>
      <c r="H372" s="41" t="s">
        <v>33</v>
      </c>
      <c r="I372" s="61">
        <v>44562</v>
      </c>
      <c r="J372" s="62">
        <f>EFEITO!$J$372*EFEITO!$Y$372</f>
        <v>0</v>
      </c>
      <c r="K372" s="62">
        <f ca="1">EFEITO!$L$372*EFEITO!$Z$372</f>
        <v>26.837224174465003</v>
      </c>
      <c r="L372" s="62">
        <f>EFEITO!$N$372*EFEITO!$AA$372</f>
        <v>9.5093949421873631</v>
      </c>
      <c r="M372" s="62">
        <f>$J$372-EFEITO!$K$372*EFEITO!$Y$372</f>
        <v>0</v>
      </c>
      <c r="N372" s="62">
        <f ca="1">$K$372-EFEITO!$M$372*EFEITO!$Z$372</f>
        <v>0</v>
      </c>
      <c r="O372" s="62">
        <f>$L$372-EFEITO!$O$372*EFEITO!$AA$372</f>
        <v>0</v>
      </c>
      <c r="P372" s="45"/>
      <c r="Q372" s="45"/>
      <c r="R372" s="45"/>
      <c r="S372" s="45"/>
      <c r="T372" s="45"/>
      <c r="U372" s="45"/>
      <c r="V372" s="45"/>
      <c r="W372" s="45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41" t="s">
        <v>21</v>
      </c>
      <c r="B373" s="41" t="s">
        <v>36</v>
      </c>
      <c r="C373" s="41" t="s">
        <v>32</v>
      </c>
      <c r="D373" s="41" t="s">
        <v>40</v>
      </c>
      <c r="E373" s="41" t="s">
        <v>25</v>
      </c>
      <c r="F373" s="41" t="s">
        <v>25</v>
      </c>
      <c r="G373" s="41" t="s">
        <v>25</v>
      </c>
      <c r="H373" s="41" t="s">
        <v>33</v>
      </c>
      <c r="I373" s="61">
        <v>44593</v>
      </c>
      <c r="J373" s="62">
        <f>EFEITO!$J$373*EFEITO!$Y$373</f>
        <v>0</v>
      </c>
      <c r="K373" s="62">
        <f ca="1">EFEITO!$L$373*EFEITO!$Z$373</f>
        <v>33.099243148506837</v>
      </c>
      <c r="L373" s="62">
        <f>EFEITO!$N$373*EFEITO!$AA$373</f>
        <v>11.728253762031082</v>
      </c>
      <c r="M373" s="62">
        <f>$J$373-EFEITO!$K$373*EFEITO!$Y$373</f>
        <v>0</v>
      </c>
      <c r="N373" s="62">
        <f ca="1">$K$373-EFEITO!$M$373*EFEITO!$Z$373</f>
        <v>0</v>
      </c>
      <c r="O373" s="62">
        <f>$L$373-EFEITO!$O$373*EFEITO!$AA$373</f>
        <v>0</v>
      </c>
      <c r="P373" s="45"/>
      <c r="Q373" s="45"/>
      <c r="R373" s="45"/>
      <c r="S373" s="45"/>
      <c r="T373" s="45"/>
      <c r="U373" s="45"/>
      <c r="V373" s="45"/>
      <c r="W373" s="45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41" t="s">
        <v>21</v>
      </c>
      <c r="B374" s="41" t="s">
        <v>36</v>
      </c>
      <c r="C374" s="41" t="s">
        <v>32</v>
      </c>
      <c r="D374" s="41" t="s">
        <v>40</v>
      </c>
      <c r="E374" s="41" t="s">
        <v>25</v>
      </c>
      <c r="F374" s="41" t="s">
        <v>25</v>
      </c>
      <c r="G374" s="41" t="s">
        <v>25</v>
      </c>
      <c r="H374" s="41" t="s">
        <v>33</v>
      </c>
      <c r="I374" s="61">
        <v>44621</v>
      </c>
      <c r="J374" s="62">
        <f>EFEITO!$J$374*EFEITO!$Y$374</f>
        <v>0</v>
      </c>
      <c r="K374" s="62">
        <f ca="1">EFEITO!$L$374*EFEITO!$Z$374</f>
        <v>23.25892761786967</v>
      </c>
      <c r="L374" s="62">
        <f>EFEITO!$N$374*EFEITO!$AA$374</f>
        <v>8.241475616562381</v>
      </c>
      <c r="M374" s="62">
        <f>$J$374-EFEITO!$K$374*EFEITO!$Y$374</f>
        <v>0</v>
      </c>
      <c r="N374" s="62">
        <f ca="1">$K$374-EFEITO!$M$374*EFEITO!$Z$374</f>
        <v>0</v>
      </c>
      <c r="O374" s="62">
        <f>$L$374-EFEITO!$O$374*EFEITO!$AA$374</f>
        <v>0</v>
      </c>
      <c r="P374" s="45"/>
      <c r="Q374" s="45"/>
      <c r="R374" s="45"/>
      <c r="S374" s="45"/>
      <c r="T374" s="45"/>
      <c r="U374" s="45"/>
      <c r="V374" s="45"/>
      <c r="W374" s="45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41" t="s">
        <v>21</v>
      </c>
      <c r="B375" s="41" t="s">
        <v>36</v>
      </c>
      <c r="C375" s="41" t="s">
        <v>32</v>
      </c>
      <c r="D375" s="41" t="s">
        <v>40</v>
      </c>
      <c r="E375" s="41" t="s">
        <v>25</v>
      </c>
      <c r="F375" s="41" t="s">
        <v>25</v>
      </c>
      <c r="G375" s="41" t="s">
        <v>25</v>
      </c>
      <c r="H375" s="41" t="s">
        <v>33</v>
      </c>
      <c r="I375" s="61">
        <v>44652</v>
      </c>
      <c r="J375" s="62">
        <f>EFEITO!$J$375*EFEITO!$Y$375</f>
        <v>0</v>
      </c>
      <c r="K375" s="62">
        <f ca="1">EFEITO!$L$375*EFEITO!$Z$375</f>
        <v>21.469779339572003</v>
      </c>
      <c r="L375" s="62">
        <f>EFEITO!$N$375*EFEITO!$AA$375</f>
        <v>7.6075159537498918</v>
      </c>
      <c r="M375" s="62">
        <f>$J$375-EFEITO!$K$375*EFEITO!$Y$375</f>
        <v>0</v>
      </c>
      <c r="N375" s="62">
        <f ca="1">$K$375-EFEITO!$M$375*EFEITO!$Z$375</f>
        <v>0</v>
      </c>
      <c r="O375" s="62">
        <f>$L$375-EFEITO!$O$375*EFEITO!$AA$375</f>
        <v>0</v>
      </c>
      <c r="P375" s="45"/>
      <c r="Q375" s="45"/>
      <c r="R375" s="45"/>
      <c r="S375" s="45"/>
      <c r="T375" s="45"/>
      <c r="U375" s="45"/>
      <c r="V375" s="45"/>
      <c r="W375" s="45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41" t="s">
        <v>21</v>
      </c>
      <c r="B376" s="41" t="s">
        <v>36</v>
      </c>
      <c r="C376" s="41" t="s">
        <v>32</v>
      </c>
      <c r="D376" s="41" t="s">
        <v>40</v>
      </c>
      <c r="E376" s="41" t="s">
        <v>25</v>
      </c>
      <c r="F376" s="41" t="s">
        <v>25</v>
      </c>
      <c r="G376" s="41" t="s">
        <v>25</v>
      </c>
      <c r="H376" s="41" t="s">
        <v>33</v>
      </c>
      <c r="I376" s="61">
        <v>44682</v>
      </c>
      <c r="J376" s="62">
        <f>EFEITO!$J$376*EFEITO!$Y$376</f>
        <v>0</v>
      </c>
      <c r="K376" s="62">
        <f ca="1">EFEITO!$L$376*EFEITO!$Z$376</f>
        <v>23.25892761786967</v>
      </c>
      <c r="L376" s="62">
        <f>EFEITO!$N$376*EFEITO!$AA$376</f>
        <v>8.241475616562381</v>
      </c>
      <c r="M376" s="62">
        <f>$J$376-EFEITO!$K$376*EFEITO!$Y$376</f>
        <v>0</v>
      </c>
      <c r="N376" s="62">
        <f ca="1">$K$376-EFEITO!$M$376*EFEITO!$Z$376</f>
        <v>0</v>
      </c>
      <c r="O376" s="62">
        <f>$L$376-EFEITO!$O$376*EFEITO!$AA$376</f>
        <v>0</v>
      </c>
      <c r="P376" s="45"/>
      <c r="Q376" s="45"/>
      <c r="R376" s="45"/>
      <c r="S376" s="45"/>
      <c r="T376" s="45"/>
      <c r="U376" s="45"/>
      <c r="V376" s="45"/>
      <c r="W376" s="45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41" t="s">
        <v>21</v>
      </c>
      <c r="B377" s="41" t="s">
        <v>36</v>
      </c>
      <c r="C377" s="41" t="s">
        <v>32</v>
      </c>
      <c r="D377" s="41" t="s">
        <v>40</v>
      </c>
      <c r="E377" s="41" t="s">
        <v>25</v>
      </c>
      <c r="F377" s="41" t="s">
        <v>25</v>
      </c>
      <c r="G377" s="41" t="s">
        <v>25</v>
      </c>
      <c r="H377" s="41" t="s">
        <v>33</v>
      </c>
      <c r="I377" s="61">
        <v>44713</v>
      </c>
      <c r="J377" s="62">
        <f>EFEITO!$J$377*EFEITO!$Y$377</f>
        <v>0</v>
      </c>
      <c r="K377" s="62">
        <f ca="1">EFEITO!$L$377*EFEITO!$Z$377</f>
        <v>24.153501757018503</v>
      </c>
      <c r="L377" s="62">
        <f>EFEITO!$N$377*EFEITO!$AA$377</f>
        <v>8.5584554479686279</v>
      </c>
      <c r="M377" s="62">
        <f>$J$377-EFEITO!$K$377*EFEITO!$Y$377</f>
        <v>0</v>
      </c>
      <c r="N377" s="62">
        <f ca="1">$K$377-EFEITO!$M$377*EFEITO!$Z$377</f>
        <v>0</v>
      </c>
      <c r="O377" s="62">
        <f>$L$377-EFEITO!$O$377*EFEITO!$AA$377</f>
        <v>0</v>
      </c>
      <c r="P377" s="45"/>
      <c r="Q377" s="45"/>
      <c r="R377" s="45"/>
      <c r="S377" s="45"/>
      <c r="T377" s="45"/>
      <c r="U377" s="45"/>
      <c r="V377" s="45"/>
      <c r="W377" s="45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41" t="s">
        <v>55</v>
      </c>
      <c r="B378" s="41" t="s">
        <v>36</v>
      </c>
      <c r="C378" s="41" t="s">
        <v>32</v>
      </c>
      <c r="D378" s="41" t="s">
        <v>40</v>
      </c>
      <c r="E378" s="41" t="s">
        <v>25</v>
      </c>
      <c r="F378" s="41" t="s">
        <v>25</v>
      </c>
      <c r="G378" s="41" t="s">
        <v>25</v>
      </c>
      <c r="H378" s="41" t="s">
        <v>33</v>
      </c>
      <c r="I378" s="61">
        <v>44743</v>
      </c>
      <c r="J378" s="62">
        <f>EFEITO!$J$378*EFEITO!$Y$378</f>
        <v>0</v>
      </c>
      <c r="K378" s="62">
        <f ca="1">EFEITO!$L$378*EFEITO!$Z$378</f>
        <v>24.153501757018503</v>
      </c>
      <c r="L378" s="62">
        <f>EFEITO!$N$378*EFEITO!$AA$378</f>
        <v>8.5584554479686279</v>
      </c>
      <c r="M378" s="62">
        <f>$J$378-EFEITO!$K$378*EFEITO!$Y$378</f>
        <v>0</v>
      </c>
      <c r="N378" s="62">
        <f ca="1">$K$378-EFEITO!$M$378*EFEITO!$Z$378</f>
        <v>0</v>
      </c>
      <c r="O378" s="62">
        <f>$L$378-EFEITO!$O$378*EFEITO!$AA$378</f>
        <v>0</v>
      </c>
      <c r="P378" s="45"/>
      <c r="Q378" s="45"/>
      <c r="R378" s="45"/>
      <c r="S378" s="45"/>
      <c r="T378" s="45"/>
      <c r="U378" s="45"/>
      <c r="V378" s="45"/>
      <c r="W378" s="45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41" t="s">
        <v>21</v>
      </c>
      <c r="B379" s="41" t="s">
        <v>36</v>
      </c>
      <c r="C379" s="41" t="s">
        <v>23</v>
      </c>
      <c r="D379" s="41" t="s">
        <v>40</v>
      </c>
      <c r="E379" s="41" t="s">
        <v>25</v>
      </c>
      <c r="F379" s="41" t="s">
        <v>25</v>
      </c>
      <c r="G379" s="41" t="s">
        <v>25</v>
      </c>
      <c r="H379" s="41" t="s">
        <v>25</v>
      </c>
      <c r="I379" s="61">
        <v>44409</v>
      </c>
      <c r="J379" s="62">
        <f>EFEITO!$J$379*EFEITO!$Y$379</f>
        <v>0</v>
      </c>
      <c r="K379" s="62">
        <f ca="1">EFEITO!$L$379*EFEITO!$Z$379</f>
        <v>102384.90475619068</v>
      </c>
      <c r="L379" s="62">
        <f>EFEITO!$N$379*EFEITO!$AA$379</f>
        <v>60666.496436285648</v>
      </c>
      <c r="M379" s="62">
        <f>$J$379-EFEITO!$K$379*EFEITO!$Y$379</f>
        <v>0</v>
      </c>
      <c r="N379" s="62">
        <f ca="1">$K$379-EFEITO!$M$379*EFEITO!$Z$379</f>
        <v>0</v>
      </c>
      <c r="O379" s="62">
        <f>$L$379-EFEITO!$O$379*EFEITO!$AA$379</f>
        <v>0</v>
      </c>
      <c r="P379" s="45"/>
      <c r="Q379" s="45"/>
      <c r="R379" s="45"/>
      <c r="S379" s="45"/>
      <c r="T379" s="45"/>
      <c r="U379" s="45"/>
      <c r="V379" s="45"/>
      <c r="W379" s="45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41" t="s">
        <v>27</v>
      </c>
      <c r="B380" s="41" t="s">
        <v>36</v>
      </c>
      <c r="C380" s="41" t="s">
        <v>23</v>
      </c>
      <c r="D380" s="41" t="s">
        <v>40</v>
      </c>
      <c r="E380" s="41" t="s">
        <v>25</v>
      </c>
      <c r="F380" s="41" t="s">
        <v>25</v>
      </c>
      <c r="G380" s="41" t="s">
        <v>25</v>
      </c>
      <c r="H380" s="41" t="s">
        <v>25</v>
      </c>
      <c r="I380" s="61">
        <v>44409</v>
      </c>
      <c r="J380" s="62">
        <f>EFEITO!$J$380*EFEITO!$Y$380</f>
        <v>0</v>
      </c>
      <c r="K380" s="62">
        <f ca="1">EFEITO!$L$380*EFEITO!$Z$380</f>
        <v>4763.8406494529572</v>
      </c>
      <c r="L380" s="62">
        <f>EFEITO!$N$380*EFEITO!$AA$380</f>
        <v>2822.7356608015589</v>
      </c>
      <c r="M380" s="62">
        <f>$J$380-EFEITO!$K$380*EFEITO!$Y$380</f>
        <v>0</v>
      </c>
      <c r="N380" s="62">
        <f ca="1">$K$380-EFEITO!$M$380*EFEITO!$Z$380</f>
        <v>0</v>
      </c>
      <c r="O380" s="62">
        <f>$L$380-EFEITO!$O$380*EFEITO!$AA$380</f>
        <v>0</v>
      </c>
      <c r="P380" s="45"/>
      <c r="Q380" s="45"/>
      <c r="R380" s="45"/>
      <c r="S380" s="45"/>
      <c r="T380" s="45"/>
      <c r="U380" s="45"/>
      <c r="V380" s="45"/>
      <c r="W380" s="45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41" t="s">
        <v>21</v>
      </c>
      <c r="B381" s="41" t="s">
        <v>36</v>
      </c>
      <c r="C381" s="41" t="s">
        <v>23</v>
      </c>
      <c r="D381" s="41" t="s">
        <v>40</v>
      </c>
      <c r="E381" s="41" t="s">
        <v>25</v>
      </c>
      <c r="F381" s="41" t="s">
        <v>25</v>
      </c>
      <c r="G381" s="41" t="s">
        <v>25</v>
      </c>
      <c r="H381" s="41" t="s">
        <v>25</v>
      </c>
      <c r="I381" s="61">
        <v>44440</v>
      </c>
      <c r="J381" s="62">
        <f>EFEITO!$J$381*EFEITO!$Y$381</f>
        <v>0</v>
      </c>
      <c r="K381" s="62">
        <f ca="1">EFEITO!$L$381*EFEITO!$Z$381</f>
        <v>111996.68474990121</v>
      </c>
      <c r="L381" s="62">
        <f>EFEITO!$N$381*EFEITO!$AA$381</f>
        <v>66361.799060470046</v>
      </c>
      <c r="M381" s="62">
        <f>$J$381-EFEITO!$K$381*EFEITO!$Y$381</f>
        <v>0</v>
      </c>
      <c r="N381" s="62">
        <f ca="1">$K$381-EFEITO!$M$381*EFEITO!$Z$381</f>
        <v>0</v>
      </c>
      <c r="O381" s="62">
        <f>$L$381-EFEITO!$O$381*EFEITO!$AA$381</f>
        <v>0</v>
      </c>
      <c r="P381" s="45"/>
      <c r="Q381" s="45"/>
      <c r="R381" s="45"/>
      <c r="S381" s="45"/>
      <c r="T381" s="45"/>
      <c r="U381" s="45"/>
      <c r="V381" s="45"/>
      <c r="W381" s="45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41" t="s">
        <v>27</v>
      </c>
      <c r="B382" s="41" t="s">
        <v>36</v>
      </c>
      <c r="C382" s="41" t="s">
        <v>23</v>
      </c>
      <c r="D382" s="41" t="s">
        <v>40</v>
      </c>
      <c r="E382" s="41" t="s">
        <v>25</v>
      </c>
      <c r="F382" s="41" t="s">
        <v>25</v>
      </c>
      <c r="G382" s="41" t="s">
        <v>25</v>
      </c>
      <c r="H382" s="41" t="s">
        <v>25</v>
      </c>
      <c r="I382" s="61">
        <v>44440</v>
      </c>
      <c r="J382" s="62">
        <f>EFEITO!$J$382*EFEITO!$Y$382</f>
        <v>0</v>
      </c>
      <c r="K382" s="62">
        <f ca="1">EFEITO!$L$382*EFEITO!$Z$382</f>
        <v>4121.1864566543745</v>
      </c>
      <c r="L382" s="62">
        <f>EFEITO!$N$382*EFEITO!$AA$382</f>
        <v>2441.9414569096821</v>
      </c>
      <c r="M382" s="62">
        <f>$J$382-EFEITO!$K$382*EFEITO!$Y$382</f>
        <v>0</v>
      </c>
      <c r="N382" s="62">
        <f ca="1">$K$382-EFEITO!$M$382*EFEITO!$Z$382</f>
        <v>0</v>
      </c>
      <c r="O382" s="62">
        <f>$L$382-EFEITO!$O$382*EFEITO!$AA$382</f>
        <v>0</v>
      </c>
      <c r="P382" s="45"/>
      <c r="Q382" s="45"/>
      <c r="R382" s="45"/>
      <c r="S382" s="45"/>
      <c r="T382" s="45"/>
      <c r="U382" s="45"/>
      <c r="V382" s="45"/>
      <c r="W382" s="45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41" t="s">
        <v>21</v>
      </c>
      <c r="B383" s="41" t="s">
        <v>36</v>
      </c>
      <c r="C383" s="41" t="s">
        <v>23</v>
      </c>
      <c r="D383" s="41" t="s">
        <v>40</v>
      </c>
      <c r="E383" s="41" t="s">
        <v>25</v>
      </c>
      <c r="F383" s="41" t="s">
        <v>25</v>
      </c>
      <c r="G383" s="41" t="s">
        <v>25</v>
      </c>
      <c r="H383" s="41" t="s">
        <v>25</v>
      </c>
      <c r="I383" s="61">
        <v>44470</v>
      </c>
      <c r="J383" s="62">
        <f>EFEITO!$J$383*EFEITO!$Y$383</f>
        <v>0</v>
      </c>
      <c r="K383" s="62">
        <f ca="1">EFEITO!$L$383*EFEITO!$Z$383</f>
        <v>101717.37136617905</v>
      </c>
      <c r="L383" s="62">
        <f>EFEITO!$N$383*EFEITO!$AA$383</f>
        <v>60270.960472046812</v>
      </c>
      <c r="M383" s="62">
        <f>$J$383-EFEITO!$K$383*EFEITO!$Y$383</f>
        <v>0</v>
      </c>
      <c r="N383" s="62">
        <f ca="1">$K$383-EFEITO!$M$383*EFEITO!$Z$383</f>
        <v>0</v>
      </c>
      <c r="O383" s="62">
        <f>$L$383-EFEITO!$O$383*EFEITO!$AA$383</f>
        <v>0</v>
      </c>
      <c r="P383" s="45"/>
      <c r="Q383" s="45"/>
      <c r="R383" s="45"/>
      <c r="S383" s="45"/>
      <c r="T383" s="45"/>
      <c r="U383" s="45"/>
      <c r="V383" s="45"/>
      <c r="W383" s="45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41" t="s">
        <v>27</v>
      </c>
      <c r="B384" s="41" t="s">
        <v>36</v>
      </c>
      <c r="C384" s="41" t="s">
        <v>23</v>
      </c>
      <c r="D384" s="41" t="s">
        <v>40</v>
      </c>
      <c r="E384" s="41" t="s">
        <v>25</v>
      </c>
      <c r="F384" s="41" t="s">
        <v>25</v>
      </c>
      <c r="G384" s="41" t="s">
        <v>25</v>
      </c>
      <c r="H384" s="41" t="s">
        <v>25</v>
      </c>
      <c r="I384" s="61">
        <v>44470</v>
      </c>
      <c r="J384" s="62">
        <f>EFEITO!$J$384*EFEITO!$Y$384</f>
        <v>0</v>
      </c>
      <c r="K384" s="62">
        <f ca="1">EFEITO!$L$384*EFEITO!$Z$384</f>
        <v>5679.8156003665308</v>
      </c>
      <c r="L384" s="62">
        <f>EFEITO!$N$384*EFEITO!$AA$384</f>
        <v>3365.4815980825642</v>
      </c>
      <c r="M384" s="62">
        <f>$J$384-EFEITO!$K$384*EFEITO!$Y$384</f>
        <v>0</v>
      </c>
      <c r="N384" s="62">
        <f ca="1">$K$384-EFEITO!$M$384*EFEITO!$Z$384</f>
        <v>0</v>
      </c>
      <c r="O384" s="62">
        <f>$L$384-EFEITO!$O$384*EFEITO!$AA$384</f>
        <v>0</v>
      </c>
      <c r="P384" s="45"/>
      <c r="Q384" s="45"/>
      <c r="R384" s="45"/>
      <c r="S384" s="45"/>
      <c r="T384" s="45"/>
      <c r="U384" s="45"/>
      <c r="V384" s="45"/>
      <c r="W384" s="45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41" t="s">
        <v>21</v>
      </c>
      <c r="B385" s="41" t="s">
        <v>36</v>
      </c>
      <c r="C385" s="41" t="s">
        <v>23</v>
      </c>
      <c r="D385" s="41" t="s">
        <v>40</v>
      </c>
      <c r="E385" s="41" t="s">
        <v>25</v>
      </c>
      <c r="F385" s="41" t="s">
        <v>25</v>
      </c>
      <c r="G385" s="41" t="s">
        <v>25</v>
      </c>
      <c r="H385" s="41" t="s">
        <v>25</v>
      </c>
      <c r="I385" s="61">
        <v>44501</v>
      </c>
      <c r="J385" s="62">
        <f>EFEITO!$J$385*EFEITO!$Y$385</f>
        <v>0</v>
      </c>
      <c r="K385" s="62">
        <f ca="1">EFEITO!$L$385*EFEITO!$Z$385</f>
        <v>124318.19477246204</v>
      </c>
      <c r="L385" s="62">
        <f>EFEITO!$N$385*EFEITO!$AA$385</f>
        <v>73662.707779908451</v>
      </c>
      <c r="M385" s="62">
        <f>$J$385-EFEITO!$K$385*EFEITO!$Y$385</f>
        <v>0</v>
      </c>
      <c r="N385" s="62">
        <f ca="1">$K$385-EFEITO!$M$385*EFEITO!$Z$385</f>
        <v>0</v>
      </c>
      <c r="O385" s="62">
        <f>$L$385-EFEITO!$O$385*EFEITO!$AA$385</f>
        <v>0</v>
      </c>
      <c r="P385" s="45"/>
      <c r="Q385" s="45"/>
      <c r="R385" s="45"/>
      <c r="S385" s="45"/>
      <c r="T385" s="45"/>
      <c r="U385" s="45"/>
      <c r="V385" s="45"/>
      <c r="W385" s="45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41" t="s">
        <v>27</v>
      </c>
      <c r="B386" s="41" t="s">
        <v>36</v>
      </c>
      <c r="C386" s="41" t="s">
        <v>23</v>
      </c>
      <c r="D386" s="41" t="s">
        <v>40</v>
      </c>
      <c r="E386" s="41" t="s">
        <v>25</v>
      </c>
      <c r="F386" s="41" t="s">
        <v>25</v>
      </c>
      <c r="G386" s="41" t="s">
        <v>25</v>
      </c>
      <c r="H386" s="41" t="s">
        <v>25</v>
      </c>
      <c r="I386" s="61">
        <v>44501</v>
      </c>
      <c r="J386" s="62">
        <f>EFEITO!$J$386*EFEITO!$Y$386</f>
        <v>0</v>
      </c>
      <c r="K386" s="62">
        <f ca="1">EFEITO!$L$386*EFEITO!$Z$386</f>
        <v>4246.2832651762365</v>
      </c>
      <c r="L386" s="62">
        <f>EFEITO!$N$386*EFEITO!$AA$386</f>
        <v>2516.0655194993224</v>
      </c>
      <c r="M386" s="62">
        <f>$J$386-EFEITO!$K$386*EFEITO!$Y$386</f>
        <v>0</v>
      </c>
      <c r="N386" s="62">
        <f ca="1">$K$386-EFEITO!$M$386*EFEITO!$Z$386</f>
        <v>0</v>
      </c>
      <c r="O386" s="62">
        <f>$L$386-EFEITO!$O$386*EFEITO!$AA$386</f>
        <v>0</v>
      </c>
      <c r="P386" s="45"/>
      <c r="Q386" s="45"/>
      <c r="R386" s="45"/>
      <c r="S386" s="45"/>
      <c r="T386" s="45"/>
      <c r="U386" s="45"/>
      <c r="V386" s="45"/>
      <c r="W386" s="45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41" t="s">
        <v>21</v>
      </c>
      <c r="B387" s="41" t="s">
        <v>36</v>
      </c>
      <c r="C387" s="41" t="s">
        <v>23</v>
      </c>
      <c r="D387" s="41" t="s">
        <v>40</v>
      </c>
      <c r="E387" s="41" t="s">
        <v>25</v>
      </c>
      <c r="F387" s="41" t="s">
        <v>25</v>
      </c>
      <c r="G387" s="41" t="s">
        <v>25</v>
      </c>
      <c r="H387" s="41" t="s">
        <v>25</v>
      </c>
      <c r="I387" s="61">
        <v>44531</v>
      </c>
      <c r="J387" s="62">
        <f>EFEITO!$J$387*EFEITO!$Y$387</f>
        <v>0</v>
      </c>
      <c r="K387" s="62">
        <f ca="1">EFEITO!$L$387*EFEITO!$Z$387</f>
        <v>137748.05551030196</v>
      </c>
      <c r="L387" s="62">
        <f>EFEITO!$N$387*EFEITO!$AA$387</f>
        <v>81620.351541282522</v>
      </c>
      <c r="M387" s="62">
        <f>$J$387-EFEITO!$K$387*EFEITO!$Y$387</f>
        <v>0</v>
      </c>
      <c r="N387" s="62">
        <f ca="1">$K$387-EFEITO!$M$387*EFEITO!$Z$387</f>
        <v>0</v>
      </c>
      <c r="O387" s="62">
        <f>$L$387-EFEITO!$O$387*EFEITO!$AA$387</f>
        <v>0</v>
      </c>
      <c r="P387" s="45"/>
      <c r="Q387" s="45"/>
      <c r="R387" s="45"/>
      <c r="S387" s="45"/>
      <c r="T387" s="45"/>
      <c r="U387" s="45"/>
      <c r="V387" s="45"/>
      <c r="W387" s="45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41" t="s">
        <v>27</v>
      </c>
      <c r="B388" s="41" t="s">
        <v>36</v>
      </c>
      <c r="C388" s="41" t="s">
        <v>23</v>
      </c>
      <c r="D388" s="41" t="s">
        <v>40</v>
      </c>
      <c r="E388" s="41" t="s">
        <v>25</v>
      </c>
      <c r="F388" s="41" t="s">
        <v>25</v>
      </c>
      <c r="G388" s="41" t="s">
        <v>25</v>
      </c>
      <c r="H388" s="41" t="s">
        <v>25</v>
      </c>
      <c r="I388" s="61">
        <v>44531</v>
      </c>
      <c r="J388" s="62">
        <f>EFEITO!$J$388*EFEITO!$Y$388</f>
        <v>0</v>
      </c>
      <c r="K388" s="62">
        <f ca="1">EFEITO!$L$388*EFEITO!$Z$388</f>
        <v>5261.7750049419346</v>
      </c>
      <c r="L388" s="62">
        <f>EFEITO!$N$388*EFEITO!$AA$388</f>
        <v>3117.7784981681652</v>
      </c>
      <c r="M388" s="62">
        <f>$J$388-EFEITO!$K$388*EFEITO!$Y$388</f>
        <v>0</v>
      </c>
      <c r="N388" s="62">
        <f ca="1">$K$388-EFEITO!$M$388*EFEITO!$Z$388</f>
        <v>0</v>
      </c>
      <c r="O388" s="62">
        <f>$L$388-EFEITO!$O$388*EFEITO!$AA$388</f>
        <v>0</v>
      </c>
      <c r="P388" s="45"/>
      <c r="Q388" s="45"/>
      <c r="R388" s="45"/>
      <c r="S388" s="45"/>
      <c r="T388" s="45"/>
      <c r="U388" s="45"/>
      <c r="V388" s="45"/>
      <c r="W388" s="45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41" t="s">
        <v>21</v>
      </c>
      <c r="B389" s="41" t="s">
        <v>36</v>
      </c>
      <c r="C389" s="41" t="s">
        <v>23</v>
      </c>
      <c r="D389" s="41" t="s">
        <v>40</v>
      </c>
      <c r="E389" s="41" t="s">
        <v>25</v>
      </c>
      <c r="F389" s="41" t="s">
        <v>25</v>
      </c>
      <c r="G389" s="41" t="s">
        <v>25</v>
      </c>
      <c r="H389" s="41" t="s">
        <v>25</v>
      </c>
      <c r="I389" s="61">
        <v>44562</v>
      </c>
      <c r="J389" s="62">
        <f>EFEITO!$J$389*EFEITO!$Y$389</f>
        <v>0</v>
      </c>
      <c r="K389" s="62">
        <f ca="1">EFEITO!$L$389*EFEITO!$Z$389</f>
        <v>131963.81736388637</v>
      </c>
      <c r="L389" s="62">
        <f>EFEITO!$N$389*EFEITO!$AA$389</f>
        <v>78192.99607582821</v>
      </c>
      <c r="M389" s="62">
        <f>$J$389-EFEITO!$K$389*EFEITO!$Y$389</f>
        <v>0</v>
      </c>
      <c r="N389" s="62">
        <f ca="1">$K$389-EFEITO!$M$389*EFEITO!$Z$389</f>
        <v>0</v>
      </c>
      <c r="O389" s="62">
        <f>$L$389-EFEITO!$O$389*EFEITO!$AA$389</f>
        <v>0</v>
      </c>
      <c r="P389" s="45"/>
      <c r="Q389" s="45"/>
      <c r="R389" s="45"/>
      <c r="S389" s="45"/>
      <c r="T389" s="45"/>
      <c r="U389" s="45"/>
      <c r="V389" s="45"/>
      <c r="W389" s="45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41" t="s">
        <v>27</v>
      </c>
      <c r="B390" s="41" t="s">
        <v>36</v>
      </c>
      <c r="C390" s="41" t="s">
        <v>23</v>
      </c>
      <c r="D390" s="41" t="s">
        <v>40</v>
      </c>
      <c r="E390" s="41" t="s">
        <v>25</v>
      </c>
      <c r="F390" s="41" t="s">
        <v>25</v>
      </c>
      <c r="G390" s="41" t="s">
        <v>25</v>
      </c>
      <c r="H390" s="41" t="s">
        <v>25</v>
      </c>
      <c r="I390" s="61">
        <v>44562</v>
      </c>
      <c r="J390" s="62">
        <f>EFEITO!$J$390*EFEITO!$Y$390</f>
        <v>0</v>
      </c>
      <c r="K390" s="62">
        <f ca="1">EFEITO!$L$390*EFEITO!$Z$390</f>
        <v>5061.3397823242749</v>
      </c>
      <c r="L390" s="62">
        <f>EFEITO!$N$390*EFEITO!$AA$390</f>
        <v>2999.0138936828039</v>
      </c>
      <c r="M390" s="62">
        <f>$J$390-EFEITO!$K$390*EFEITO!$Y$390</f>
        <v>0</v>
      </c>
      <c r="N390" s="62">
        <f ca="1">$K$390-EFEITO!$M$390*EFEITO!$Z$390</f>
        <v>0</v>
      </c>
      <c r="O390" s="62">
        <f>$L$390-EFEITO!$O$390*EFEITO!$AA$390</f>
        <v>0</v>
      </c>
      <c r="P390" s="45"/>
      <c r="Q390" s="45"/>
      <c r="R390" s="45"/>
      <c r="S390" s="45"/>
      <c r="T390" s="45"/>
      <c r="U390" s="45"/>
      <c r="V390" s="45"/>
      <c r="W390" s="45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41" t="s">
        <v>21</v>
      </c>
      <c r="B391" s="41" t="s">
        <v>36</v>
      </c>
      <c r="C391" s="41" t="s">
        <v>23</v>
      </c>
      <c r="D391" s="41" t="s">
        <v>40</v>
      </c>
      <c r="E391" s="41" t="s">
        <v>25</v>
      </c>
      <c r="F391" s="41" t="s">
        <v>25</v>
      </c>
      <c r="G391" s="41" t="s">
        <v>25</v>
      </c>
      <c r="H391" s="41" t="s">
        <v>25</v>
      </c>
      <c r="I391" s="61">
        <v>44593</v>
      </c>
      <c r="J391" s="62">
        <f>EFEITO!$J$391*EFEITO!$Y$391</f>
        <v>0</v>
      </c>
      <c r="K391" s="62">
        <f ca="1">EFEITO!$L$391*EFEITO!$Z$391</f>
        <v>121097.56517267371</v>
      </c>
      <c r="L391" s="62">
        <f>EFEITO!$N$391*EFEITO!$AA$391</f>
        <v>71754.376521473212</v>
      </c>
      <c r="M391" s="62">
        <f>$J$391-EFEITO!$K$391*EFEITO!$Y$391</f>
        <v>0</v>
      </c>
      <c r="N391" s="62">
        <f ca="1">$K$391-EFEITO!$M$391*EFEITO!$Z$391</f>
        <v>0</v>
      </c>
      <c r="O391" s="62">
        <f>$L$391-EFEITO!$O$391*EFEITO!$AA$391</f>
        <v>0</v>
      </c>
      <c r="P391" s="45"/>
      <c r="Q391" s="45"/>
      <c r="R391" s="45"/>
      <c r="S391" s="45"/>
      <c r="T391" s="45"/>
      <c r="U391" s="45"/>
      <c r="V391" s="45"/>
      <c r="W391" s="45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41" t="s">
        <v>27</v>
      </c>
      <c r="B392" s="41" t="s">
        <v>36</v>
      </c>
      <c r="C392" s="41" t="s">
        <v>23</v>
      </c>
      <c r="D392" s="41" t="s">
        <v>40</v>
      </c>
      <c r="E392" s="41" t="s">
        <v>25</v>
      </c>
      <c r="F392" s="41" t="s">
        <v>25</v>
      </c>
      <c r="G392" s="41" t="s">
        <v>25</v>
      </c>
      <c r="H392" s="41" t="s">
        <v>25</v>
      </c>
      <c r="I392" s="61">
        <v>44593</v>
      </c>
      <c r="J392" s="62">
        <f>EFEITO!$J$392*EFEITO!$Y$392</f>
        <v>0</v>
      </c>
      <c r="K392" s="62">
        <f ca="1">EFEITO!$L$392*EFEITO!$Z$392</f>
        <v>6247.4817902976665</v>
      </c>
      <c r="L392" s="62">
        <f>EFEITO!$N$392*EFEITO!$AA$392</f>
        <v>3701.8428905061414</v>
      </c>
      <c r="M392" s="62">
        <f>$J$392-EFEITO!$K$392*EFEITO!$Y$392</f>
        <v>0</v>
      </c>
      <c r="N392" s="62">
        <f ca="1">$K$392-EFEITO!$M$392*EFEITO!$Z$392</f>
        <v>0</v>
      </c>
      <c r="O392" s="62">
        <f>$L$392-EFEITO!$O$392*EFEITO!$AA$392</f>
        <v>0</v>
      </c>
      <c r="P392" s="45"/>
      <c r="Q392" s="45"/>
      <c r="R392" s="45"/>
      <c r="S392" s="45"/>
      <c r="T392" s="45"/>
      <c r="U392" s="45"/>
      <c r="V392" s="45"/>
      <c r="W392" s="45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41" t="s">
        <v>21</v>
      </c>
      <c r="B393" s="41" t="s">
        <v>36</v>
      </c>
      <c r="C393" s="41" t="s">
        <v>23</v>
      </c>
      <c r="D393" s="41" t="s">
        <v>40</v>
      </c>
      <c r="E393" s="41" t="s">
        <v>25</v>
      </c>
      <c r="F393" s="41" t="s">
        <v>25</v>
      </c>
      <c r="G393" s="41" t="s">
        <v>25</v>
      </c>
      <c r="H393" s="41" t="s">
        <v>25</v>
      </c>
      <c r="I393" s="61">
        <v>44621</v>
      </c>
      <c r="J393" s="62">
        <f>EFEITO!$J$393*EFEITO!$Y$393</f>
        <v>0</v>
      </c>
      <c r="K393" s="62">
        <f ca="1">EFEITO!$L$393*EFEITO!$Z$393</f>
        <v>126593.7652893835</v>
      </c>
      <c r="L393" s="62">
        <f>EFEITO!$N$393*EFEITO!$AA$393</f>
        <v>75011.059775586662</v>
      </c>
      <c r="M393" s="62">
        <f>$J$393-EFEITO!$K$393*EFEITO!$Y$393</f>
        <v>0</v>
      </c>
      <c r="N393" s="62">
        <f ca="1">$K$393-EFEITO!$M$393*EFEITO!$Z$393</f>
        <v>0</v>
      </c>
      <c r="O393" s="62">
        <f>$L$393-EFEITO!$O$393*EFEITO!$AA$393</f>
        <v>0</v>
      </c>
      <c r="P393" s="45"/>
      <c r="Q393" s="45"/>
      <c r="R393" s="45"/>
      <c r="S393" s="45"/>
      <c r="T393" s="45"/>
      <c r="U393" s="45"/>
      <c r="V393" s="45"/>
      <c r="W393" s="45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41" t="s">
        <v>27</v>
      </c>
      <c r="B394" s="41" t="s">
        <v>36</v>
      </c>
      <c r="C394" s="41" t="s">
        <v>23</v>
      </c>
      <c r="D394" s="41" t="s">
        <v>40</v>
      </c>
      <c r="E394" s="41" t="s">
        <v>25</v>
      </c>
      <c r="F394" s="41" t="s">
        <v>25</v>
      </c>
      <c r="G394" s="41" t="s">
        <v>25</v>
      </c>
      <c r="H394" s="41" t="s">
        <v>25</v>
      </c>
      <c r="I394" s="61">
        <v>44621</v>
      </c>
      <c r="J394" s="62">
        <f>EFEITO!$J$394*EFEITO!$Y$394</f>
        <v>0</v>
      </c>
      <c r="K394" s="62">
        <f ca="1">EFEITO!$L$394*EFEITO!$Z$394</f>
        <v>10127.234910617133</v>
      </c>
      <c r="L394" s="62">
        <f>EFEITO!$N$394*EFEITO!$AA$394</f>
        <v>6000.7269829220922</v>
      </c>
      <c r="M394" s="62">
        <f>$J$394-EFEITO!$K$394*EFEITO!$Y$394</f>
        <v>0</v>
      </c>
      <c r="N394" s="62">
        <f ca="1">$K$394-EFEITO!$M$394*EFEITO!$Z$394</f>
        <v>0</v>
      </c>
      <c r="O394" s="62">
        <f>$L$394-EFEITO!$O$394*EFEITO!$AA$394</f>
        <v>0</v>
      </c>
      <c r="P394" s="45"/>
      <c r="Q394" s="45"/>
      <c r="R394" s="45"/>
      <c r="S394" s="45"/>
      <c r="T394" s="45"/>
      <c r="U394" s="45"/>
      <c r="V394" s="45"/>
      <c r="W394" s="45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41" t="s">
        <v>21</v>
      </c>
      <c r="B395" s="41" t="s">
        <v>36</v>
      </c>
      <c r="C395" s="41" t="s">
        <v>23</v>
      </c>
      <c r="D395" s="41" t="s">
        <v>40</v>
      </c>
      <c r="E395" s="41" t="s">
        <v>25</v>
      </c>
      <c r="F395" s="41" t="s">
        <v>25</v>
      </c>
      <c r="G395" s="41" t="s">
        <v>25</v>
      </c>
      <c r="H395" s="41" t="s">
        <v>25</v>
      </c>
      <c r="I395" s="61">
        <v>44652</v>
      </c>
      <c r="J395" s="62">
        <f>EFEITO!$J$395*EFEITO!$Y$395</f>
        <v>0</v>
      </c>
      <c r="K395" s="62">
        <f ca="1">EFEITO!$L$395*EFEITO!$Z$395</f>
        <v>99204.922858891267</v>
      </c>
      <c r="L395" s="62">
        <f>EFEITO!$N$395*EFEITO!$AA$395</f>
        <v>58782.250307431357</v>
      </c>
      <c r="M395" s="62">
        <f>$J$395-EFEITO!$K$395*EFEITO!$Y$395</f>
        <v>0</v>
      </c>
      <c r="N395" s="62">
        <f ca="1">$K$395-EFEITO!$M$395*EFEITO!$Z$395</f>
        <v>0</v>
      </c>
      <c r="O395" s="62">
        <f>$L$395-EFEITO!$O$395*EFEITO!$AA$395</f>
        <v>0</v>
      </c>
      <c r="P395" s="45"/>
      <c r="Q395" s="45"/>
      <c r="R395" s="45"/>
      <c r="S395" s="45"/>
      <c r="T395" s="45"/>
      <c r="U395" s="45"/>
      <c r="V395" s="45"/>
      <c r="W395" s="45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41" t="s">
        <v>27</v>
      </c>
      <c r="B396" s="41" t="s">
        <v>36</v>
      </c>
      <c r="C396" s="41" t="s">
        <v>23</v>
      </c>
      <c r="D396" s="41" t="s">
        <v>40</v>
      </c>
      <c r="E396" s="41" t="s">
        <v>25</v>
      </c>
      <c r="F396" s="41" t="s">
        <v>25</v>
      </c>
      <c r="G396" s="41" t="s">
        <v>25</v>
      </c>
      <c r="H396" s="41" t="s">
        <v>25</v>
      </c>
      <c r="I396" s="61">
        <v>44652</v>
      </c>
      <c r="J396" s="62">
        <f>EFEITO!$J$396*EFEITO!$Y$396</f>
        <v>0</v>
      </c>
      <c r="K396" s="62">
        <f ca="1">EFEITO!$L$396*EFEITO!$Z$396</f>
        <v>8041.9376906910893</v>
      </c>
      <c r="L396" s="62">
        <f>EFEITO!$N$396*EFEITO!$AA$396</f>
        <v>4765.1183093340032</v>
      </c>
      <c r="M396" s="62">
        <f>$J$396-EFEITO!$K$396*EFEITO!$Y$396</f>
        <v>0</v>
      </c>
      <c r="N396" s="62">
        <f ca="1">$K$396-EFEITO!$M$396*EFEITO!$Z$396</f>
        <v>0</v>
      </c>
      <c r="O396" s="62">
        <f>$L$396-EFEITO!$O$396*EFEITO!$AA$396</f>
        <v>0</v>
      </c>
      <c r="P396" s="45"/>
      <c r="Q396" s="45"/>
      <c r="R396" s="45"/>
      <c r="S396" s="45"/>
      <c r="T396" s="45"/>
      <c r="U396" s="45"/>
      <c r="V396" s="45"/>
      <c r="W396" s="45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41" t="s">
        <v>21</v>
      </c>
      <c r="B397" s="41" t="s">
        <v>36</v>
      </c>
      <c r="C397" s="41" t="s">
        <v>23</v>
      </c>
      <c r="D397" s="41" t="s">
        <v>40</v>
      </c>
      <c r="E397" s="41" t="s">
        <v>25</v>
      </c>
      <c r="F397" s="41" t="s">
        <v>25</v>
      </c>
      <c r="G397" s="41" t="s">
        <v>25</v>
      </c>
      <c r="H397" s="41" t="s">
        <v>25</v>
      </c>
      <c r="I397" s="61">
        <v>44682</v>
      </c>
      <c r="J397" s="62">
        <f>EFEITO!$J$397*EFEITO!$Y$397</f>
        <v>0</v>
      </c>
      <c r="K397" s="62">
        <f ca="1">EFEITO!$L$397*EFEITO!$Z$397</f>
        <v>100904.41731640113</v>
      </c>
      <c r="L397" s="62">
        <f>EFEITO!$N$397*EFEITO!$AA$397</f>
        <v>59789.25788042786</v>
      </c>
      <c r="M397" s="62">
        <f>$J$397-EFEITO!$K$397*EFEITO!$Y$397</f>
        <v>0</v>
      </c>
      <c r="N397" s="62">
        <f ca="1">$K$397-EFEITO!$M$397*EFEITO!$Z$397</f>
        <v>0</v>
      </c>
      <c r="O397" s="62">
        <f>$L$397-EFEITO!$O$397*EFEITO!$AA$397</f>
        <v>0</v>
      </c>
      <c r="P397" s="45"/>
      <c r="Q397" s="45"/>
      <c r="R397" s="45"/>
      <c r="S397" s="45"/>
      <c r="T397" s="45"/>
      <c r="U397" s="45"/>
      <c r="V397" s="45"/>
      <c r="W397" s="45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41" t="s">
        <v>54</v>
      </c>
      <c r="B398" s="41" t="s">
        <v>36</v>
      </c>
      <c r="C398" s="41" t="s">
        <v>23</v>
      </c>
      <c r="D398" s="41" t="s">
        <v>40</v>
      </c>
      <c r="E398" s="41" t="s">
        <v>25</v>
      </c>
      <c r="F398" s="41" t="s">
        <v>25</v>
      </c>
      <c r="G398" s="41" t="s">
        <v>25</v>
      </c>
      <c r="H398" s="41" t="s">
        <v>25</v>
      </c>
      <c r="I398" s="61">
        <v>44682</v>
      </c>
      <c r="J398" s="62">
        <f>EFEITO!$J$398*EFEITO!$Y$398</f>
        <v>0</v>
      </c>
      <c r="K398" s="62">
        <f ca="1">EFEITO!$L$398*EFEITO!$Z$398</f>
        <v>-31.537010551729765</v>
      </c>
      <c r="L398" s="62">
        <f>EFEITO!$N$398*EFEITO!$AA$398</f>
        <v>-18.686738467976483</v>
      </c>
      <c r="M398" s="62">
        <f>$J$398-EFEITO!$K$398*EFEITO!$Y$398</f>
        <v>0</v>
      </c>
      <c r="N398" s="62">
        <f ca="1">$K$398-EFEITO!$M$398*EFEITO!$Z$398</f>
        <v>0</v>
      </c>
      <c r="O398" s="62">
        <f>$L$398-EFEITO!$O$398*EFEITO!$AA$398</f>
        <v>0</v>
      </c>
      <c r="P398" s="45"/>
      <c r="Q398" s="45"/>
      <c r="R398" s="45"/>
      <c r="S398" s="45"/>
      <c r="T398" s="45"/>
      <c r="U398" s="45"/>
      <c r="V398" s="45"/>
      <c r="W398" s="45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41" t="s">
        <v>27</v>
      </c>
      <c r="B399" s="41" t="s">
        <v>36</v>
      </c>
      <c r="C399" s="41" t="s">
        <v>23</v>
      </c>
      <c r="D399" s="41" t="s">
        <v>40</v>
      </c>
      <c r="E399" s="41" t="s">
        <v>25</v>
      </c>
      <c r="F399" s="41" t="s">
        <v>25</v>
      </c>
      <c r="G399" s="41" t="s">
        <v>25</v>
      </c>
      <c r="H399" s="41" t="s">
        <v>25</v>
      </c>
      <c r="I399" s="61">
        <v>44682</v>
      </c>
      <c r="J399" s="62">
        <f>EFEITO!$J$399*EFEITO!$Y$399</f>
        <v>0</v>
      </c>
      <c r="K399" s="62">
        <f ca="1">EFEITO!$L$399*EFEITO!$Z$399</f>
        <v>8664.6184434735769</v>
      </c>
      <c r="L399" s="62">
        <f>EFEITO!$N$399*EFEITO!$AA$399</f>
        <v>5134.077578862828</v>
      </c>
      <c r="M399" s="62">
        <f>$J$399-EFEITO!$K$399*EFEITO!$Y$399</f>
        <v>0</v>
      </c>
      <c r="N399" s="62">
        <f ca="1">$K$399-EFEITO!$M$399*EFEITO!$Z$399</f>
        <v>0</v>
      </c>
      <c r="O399" s="62">
        <f>$L$399-EFEITO!$O$399*EFEITO!$AA$399</f>
        <v>0</v>
      </c>
      <c r="P399" s="45"/>
      <c r="Q399" s="45"/>
      <c r="R399" s="45"/>
      <c r="S399" s="45"/>
      <c r="T399" s="45"/>
      <c r="U399" s="45"/>
      <c r="V399" s="45"/>
      <c r="W399" s="45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41" t="s">
        <v>21</v>
      </c>
      <c r="B400" s="41" t="s">
        <v>36</v>
      </c>
      <c r="C400" s="41" t="s">
        <v>23</v>
      </c>
      <c r="D400" s="41" t="s">
        <v>40</v>
      </c>
      <c r="E400" s="41" t="s">
        <v>25</v>
      </c>
      <c r="F400" s="41" t="s">
        <v>25</v>
      </c>
      <c r="G400" s="41" t="s">
        <v>25</v>
      </c>
      <c r="H400" s="41" t="s">
        <v>25</v>
      </c>
      <c r="I400" s="61">
        <v>44713</v>
      </c>
      <c r="J400" s="62">
        <f>EFEITO!$J$400*EFEITO!$Y$400</f>
        <v>0</v>
      </c>
      <c r="K400" s="62">
        <f ca="1">EFEITO!$L$400*EFEITO!$Z$400</f>
        <v>94004.119407682665</v>
      </c>
      <c r="L400" s="62">
        <f>EFEITO!$N$400*EFEITO!$AA$400</f>
        <v>55700.599503634607</v>
      </c>
      <c r="M400" s="62">
        <f>$J$400-EFEITO!$K$400*EFEITO!$Y$400</f>
        <v>0</v>
      </c>
      <c r="N400" s="62">
        <f ca="1">$K$400-EFEITO!$M$400*EFEITO!$Z$400</f>
        <v>0</v>
      </c>
      <c r="O400" s="62">
        <f>$L$400-EFEITO!$O$400*EFEITO!$AA$400</f>
        <v>0</v>
      </c>
      <c r="P400" s="45"/>
      <c r="Q400" s="45"/>
      <c r="R400" s="45"/>
      <c r="S400" s="45"/>
      <c r="T400" s="45"/>
      <c r="U400" s="45"/>
      <c r="V400" s="45"/>
      <c r="W400" s="45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41" t="s">
        <v>27</v>
      </c>
      <c r="B401" s="41" t="s">
        <v>36</v>
      </c>
      <c r="C401" s="41" t="s">
        <v>23</v>
      </c>
      <c r="D401" s="41" t="s">
        <v>40</v>
      </c>
      <c r="E401" s="41" t="s">
        <v>25</v>
      </c>
      <c r="F401" s="41" t="s">
        <v>25</v>
      </c>
      <c r="G401" s="41" t="s">
        <v>25</v>
      </c>
      <c r="H401" s="41" t="s">
        <v>25</v>
      </c>
      <c r="I401" s="61">
        <v>44713</v>
      </c>
      <c r="J401" s="62">
        <f>EFEITO!$J$401*EFEITO!$Y$401</f>
        <v>0</v>
      </c>
      <c r="K401" s="62">
        <f ca="1">EFEITO!$L$401*EFEITO!$Z$401</f>
        <v>11126.607733878613</v>
      </c>
      <c r="L401" s="62">
        <f>EFEITO!$N$401*EFEITO!$AA$401</f>
        <v>6592.8889619295251</v>
      </c>
      <c r="M401" s="62">
        <f>$J$401-EFEITO!$K$401*EFEITO!$Y$401</f>
        <v>0</v>
      </c>
      <c r="N401" s="62">
        <f ca="1">$K$401-EFEITO!$M$401*EFEITO!$Z$401</f>
        <v>0</v>
      </c>
      <c r="O401" s="62">
        <f>$L$401-EFEITO!$O$401*EFEITO!$AA$401</f>
        <v>0</v>
      </c>
      <c r="P401" s="45"/>
      <c r="Q401" s="45"/>
      <c r="R401" s="45"/>
      <c r="S401" s="45"/>
      <c r="T401" s="45"/>
      <c r="U401" s="45"/>
      <c r="V401" s="45"/>
      <c r="W401" s="45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41" t="s">
        <v>55</v>
      </c>
      <c r="B402" s="41" t="s">
        <v>36</v>
      </c>
      <c r="C402" s="41" t="s">
        <v>23</v>
      </c>
      <c r="D402" s="41" t="s">
        <v>40</v>
      </c>
      <c r="E402" s="41" t="s">
        <v>25</v>
      </c>
      <c r="F402" s="41" t="s">
        <v>25</v>
      </c>
      <c r="G402" s="41" t="s">
        <v>25</v>
      </c>
      <c r="H402" s="41" t="s">
        <v>25</v>
      </c>
      <c r="I402" s="61">
        <v>44743</v>
      </c>
      <c r="J402" s="62">
        <f>EFEITO!$J$402*EFEITO!$Y$402</f>
        <v>0</v>
      </c>
      <c r="K402" s="62">
        <f ca="1">EFEITO!$L$402*EFEITO!$Z$402</f>
        <v>94004.119407682665</v>
      </c>
      <c r="L402" s="62">
        <f>EFEITO!$N$402*EFEITO!$AA$402</f>
        <v>55700.599503634607</v>
      </c>
      <c r="M402" s="62">
        <f>$J$402-EFEITO!$K$402*EFEITO!$Y$402</f>
        <v>0</v>
      </c>
      <c r="N402" s="62">
        <f ca="1">$K$402-EFEITO!$M$402*EFEITO!$Z$402</f>
        <v>0</v>
      </c>
      <c r="O402" s="62">
        <f>$L$402-EFEITO!$O$402*EFEITO!$AA$402</f>
        <v>0</v>
      </c>
      <c r="P402" s="45"/>
      <c r="Q402" s="45"/>
      <c r="R402" s="45"/>
      <c r="S402" s="45"/>
      <c r="T402" s="45"/>
      <c r="U402" s="45"/>
      <c r="V402" s="45"/>
      <c r="W402" s="45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41" t="s">
        <v>55</v>
      </c>
      <c r="B403" s="41" t="s">
        <v>36</v>
      </c>
      <c r="C403" s="41" t="s">
        <v>23</v>
      </c>
      <c r="D403" s="41" t="s">
        <v>40</v>
      </c>
      <c r="E403" s="41" t="s">
        <v>25</v>
      </c>
      <c r="F403" s="41" t="s">
        <v>25</v>
      </c>
      <c r="G403" s="41" t="s">
        <v>25</v>
      </c>
      <c r="H403" s="41" t="s">
        <v>25</v>
      </c>
      <c r="I403" s="61">
        <v>44743</v>
      </c>
      <c r="J403" s="62">
        <f>EFEITO!$J$403*EFEITO!$Y$403</f>
        <v>0</v>
      </c>
      <c r="K403" s="62">
        <f ca="1">EFEITO!$L$403*EFEITO!$Z$403</f>
        <v>11126.607733878613</v>
      </c>
      <c r="L403" s="62">
        <f>EFEITO!$N$403*EFEITO!$AA$403</f>
        <v>6592.8889619295251</v>
      </c>
      <c r="M403" s="62">
        <f>$J$403-EFEITO!$K$403*EFEITO!$Y$403</f>
        <v>0</v>
      </c>
      <c r="N403" s="62">
        <f ca="1">$K$403-EFEITO!$M$403*EFEITO!$Z$403</f>
        <v>0</v>
      </c>
      <c r="O403" s="62">
        <f>$L$403-EFEITO!$O$403*EFEITO!$AA$403</f>
        <v>0</v>
      </c>
      <c r="P403" s="45"/>
      <c r="Q403" s="45"/>
      <c r="R403" s="45"/>
      <c r="S403" s="45"/>
      <c r="T403" s="45"/>
      <c r="U403" s="45"/>
      <c r="V403" s="45"/>
      <c r="W403" s="45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41" t="s">
        <v>21</v>
      </c>
      <c r="B404" s="41" t="s">
        <v>36</v>
      </c>
      <c r="C404" s="41" t="s">
        <v>23</v>
      </c>
      <c r="D404" s="41" t="s">
        <v>49</v>
      </c>
      <c r="E404" s="41" t="s">
        <v>25</v>
      </c>
      <c r="F404" s="41" t="s">
        <v>25</v>
      </c>
      <c r="G404" s="41" t="s">
        <v>25</v>
      </c>
      <c r="H404" s="41" t="s">
        <v>25</v>
      </c>
      <c r="I404" s="61">
        <v>44409</v>
      </c>
      <c r="J404" s="62">
        <f>EFEITO!$J$404*EFEITO!$Y$404</f>
        <v>0</v>
      </c>
      <c r="K404" s="62">
        <f ca="1">EFEITO!$L$404*EFEITO!$Z$404</f>
        <v>2217.0518417866024</v>
      </c>
      <c r="L404" s="62">
        <f>EFEITO!$N$404*EFEITO!$AA$404</f>
        <v>1313.6777142987467</v>
      </c>
      <c r="M404" s="62">
        <f>$J$404-EFEITO!$K$404*EFEITO!$Y$404</f>
        <v>0</v>
      </c>
      <c r="N404" s="62">
        <f ca="1">$K$404-EFEITO!$M$404*EFEITO!$Z$404</f>
        <v>0</v>
      </c>
      <c r="O404" s="62">
        <f>$L$404-EFEITO!$O$404*EFEITO!$AA$404</f>
        <v>0</v>
      </c>
      <c r="P404" s="45"/>
      <c r="Q404" s="45"/>
      <c r="R404" s="45"/>
      <c r="S404" s="45"/>
      <c r="T404" s="45"/>
      <c r="U404" s="45"/>
      <c r="V404" s="45"/>
      <c r="W404" s="45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41" t="s">
        <v>21</v>
      </c>
      <c r="B405" s="41" t="s">
        <v>36</v>
      </c>
      <c r="C405" s="41" t="s">
        <v>23</v>
      </c>
      <c r="D405" s="41" t="s">
        <v>49</v>
      </c>
      <c r="E405" s="41" t="s">
        <v>25</v>
      </c>
      <c r="F405" s="41" t="s">
        <v>25</v>
      </c>
      <c r="G405" s="41" t="s">
        <v>25</v>
      </c>
      <c r="H405" s="41" t="s">
        <v>25</v>
      </c>
      <c r="I405" s="61">
        <v>44440</v>
      </c>
      <c r="J405" s="62">
        <f>EFEITO!$J$405*EFEITO!$Y$405</f>
        <v>0</v>
      </c>
      <c r="K405" s="62">
        <f ca="1">EFEITO!$L$405*EFEITO!$Z$405</f>
        <v>2117.88546416283</v>
      </c>
      <c r="L405" s="62">
        <f>EFEITO!$N$405*EFEITO!$AA$405</f>
        <v>1254.9183033383317</v>
      </c>
      <c r="M405" s="62">
        <f>$J$405-EFEITO!$K$405*EFEITO!$Y$405</f>
        <v>0</v>
      </c>
      <c r="N405" s="62">
        <f ca="1">$K$405-EFEITO!$M$405*EFEITO!$Z$405</f>
        <v>0</v>
      </c>
      <c r="O405" s="62">
        <f>$L$405-EFEITO!$O$405*EFEITO!$AA$405</f>
        <v>0</v>
      </c>
      <c r="P405" s="45"/>
      <c r="Q405" s="45"/>
      <c r="R405" s="45"/>
      <c r="S405" s="45"/>
      <c r="T405" s="45"/>
      <c r="U405" s="45"/>
      <c r="V405" s="45"/>
      <c r="W405" s="45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41" t="s">
        <v>21</v>
      </c>
      <c r="B406" s="41" t="s">
        <v>36</v>
      </c>
      <c r="C406" s="41" t="s">
        <v>23</v>
      </c>
      <c r="D406" s="41" t="s">
        <v>49</v>
      </c>
      <c r="E406" s="41" t="s">
        <v>25</v>
      </c>
      <c r="F406" s="41" t="s">
        <v>25</v>
      </c>
      <c r="G406" s="41" t="s">
        <v>25</v>
      </c>
      <c r="H406" s="41" t="s">
        <v>25</v>
      </c>
      <c r="I406" s="61">
        <v>44470</v>
      </c>
      <c r="J406" s="62">
        <f>EFEITO!$J$406*EFEITO!$Y$406</f>
        <v>0</v>
      </c>
      <c r="K406" s="62">
        <f ca="1">EFEITO!$L$406*EFEITO!$Z$406</f>
        <v>2276.2713393781842</v>
      </c>
      <c r="L406" s="62">
        <f>EFEITO!$N$406*EFEITO!$AA$406</f>
        <v>1348.7672565330581</v>
      </c>
      <c r="M406" s="62">
        <f>$J$406-EFEITO!$K$406*EFEITO!$Y$406</f>
        <v>0</v>
      </c>
      <c r="N406" s="62">
        <f ca="1">$K$406-EFEITO!$M$406*EFEITO!$Z$406</f>
        <v>0</v>
      </c>
      <c r="O406" s="62">
        <f>$L$406-EFEITO!$O$406*EFEITO!$AA$406</f>
        <v>0</v>
      </c>
      <c r="P406" s="45"/>
      <c r="Q406" s="45"/>
      <c r="R406" s="45"/>
      <c r="S406" s="45"/>
      <c r="T406" s="45"/>
      <c r="U406" s="45"/>
      <c r="V406" s="45"/>
      <c r="W406" s="45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41" t="s">
        <v>21</v>
      </c>
      <c r="B407" s="41" t="s">
        <v>36</v>
      </c>
      <c r="C407" s="41" t="s">
        <v>23</v>
      </c>
      <c r="D407" s="41" t="s">
        <v>49</v>
      </c>
      <c r="E407" s="41" t="s">
        <v>25</v>
      </c>
      <c r="F407" s="41" t="s">
        <v>25</v>
      </c>
      <c r="G407" s="41" t="s">
        <v>25</v>
      </c>
      <c r="H407" s="41" t="s">
        <v>25</v>
      </c>
      <c r="I407" s="61">
        <v>44501</v>
      </c>
      <c r="J407" s="62">
        <f>EFEITO!$J$407*EFEITO!$Y$407</f>
        <v>0</v>
      </c>
      <c r="K407" s="62">
        <f ca="1">EFEITO!$L$407*EFEITO!$Z$407</f>
        <v>1871.5463706309854</v>
      </c>
      <c r="L407" s="62">
        <f>EFEITO!$N$407*EFEITO!$AA$407</f>
        <v>1108.9541128606934</v>
      </c>
      <c r="M407" s="62">
        <f>$J$407-EFEITO!$K$407*EFEITO!$Y$407</f>
        <v>0</v>
      </c>
      <c r="N407" s="62">
        <f ca="1">$K$407-EFEITO!$M$407*EFEITO!$Z$407</f>
        <v>0</v>
      </c>
      <c r="O407" s="62">
        <f>$L$407-EFEITO!$O$407*EFEITO!$AA$407</f>
        <v>0</v>
      </c>
      <c r="P407" s="45"/>
      <c r="Q407" s="45"/>
      <c r="R407" s="45"/>
      <c r="S407" s="45"/>
      <c r="T407" s="45"/>
      <c r="U407" s="45"/>
      <c r="V407" s="45"/>
      <c r="W407" s="45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41" t="s">
        <v>21</v>
      </c>
      <c r="B408" s="41" t="s">
        <v>36</v>
      </c>
      <c r="C408" s="41" t="s">
        <v>23</v>
      </c>
      <c r="D408" s="41" t="s">
        <v>49</v>
      </c>
      <c r="E408" s="41" t="s">
        <v>25</v>
      </c>
      <c r="F408" s="41" t="s">
        <v>25</v>
      </c>
      <c r="G408" s="41" t="s">
        <v>25</v>
      </c>
      <c r="H408" s="41" t="s">
        <v>25</v>
      </c>
      <c r="I408" s="61">
        <v>44531</v>
      </c>
      <c r="J408" s="62">
        <f>EFEITO!$J$408*EFEITO!$Y$408</f>
        <v>0</v>
      </c>
      <c r="K408" s="62">
        <f ca="1">EFEITO!$L$408*EFEITO!$Z$408</f>
        <v>2021.522376365878</v>
      </c>
      <c r="L408" s="62">
        <f>EFEITO!$N$408*EFEITO!$AA$408</f>
        <v>1197.8199357972926</v>
      </c>
      <c r="M408" s="62">
        <f>$J$408-EFEITO!$K$408*EFEITO!$Y$408</f>
        <v>0</v>
      </c>
      <c r="N408" s="62">
        <f ca="1">$K$408-EFEITO!$M$408*EFEITO!$Z$408</f>
        <v>0</v>
      </c>
      <c r="O408" s="62">
        <f>$L$408-EFEITO!$O$408*EFEITO!$AA$408</f>
        <v>0</v>
      </c>
      <c r="P408" s="45"/>
      <c r="Q408" s="45"/>
      <c r="R408" s="45"/>
      <c r="S408" s="45"/>
      <c r="T408" s="45"/>
      <c r="U408" s="45"/>
      <c r="V408" s="45"/>
      <c r="W408" s="45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41" t="s">
        <v>21</v>
      </c>
      <c r="B409" s="41" t="s">
        <v>36</v>
      </c>
      <c r="C409" s="41" t="s">
        <v>23</v>
      </c>
      <c r="D409" s="41" t="s">
        <v>49</v>
      </c>
      <c r="E409" s="41" t="s">
        <v>25</v>
      </c>
      <c r="F409" s="41" t="s">
        <v>25</v>
      </c>
      <c r="G409" s="41" t="s">
        <v>25</v>
      </c>
      <c r="H409" s="41" t="s">
        <v>25</v>
      </c>
      <c r="I409" s="61">
        <v>44562</v>
      </c>
      <c r="J409" s="62">
        <f>EFEITO!$J$409*EFEITO!$Y$409</f>
        <v>0</v>
      </c>
      <c r="K409" s="62">
        <f ca="1">EFEITO!$L$409*EFEITO!$Z$409</f>
        <v>2200.932925282385</v>
      </c>
      <c r="L409" s="62">
        <f>EFEITO!$N$409*EFEITO!$AA$409</f>
        <v>1304.1267146373364</v>
      </c>
      <c r="M409" s="62">
        <f>$J$409-EFEITO!$K$409*EFEITO!$Y$409</f>
        <v>0</v>
      </c>
      <c r="N409" s="62">
        <f ca="1">$K$409-EFEITO!$M$409*EFEITO!$Z$409</f>
        <v>0</v>
      </c>
      <c r="O409" s="62">
        <f>$L$409-EFEITO!$O$409*EFEITO!$AA$409</f>
        <v>0</v>
      </c>
      <c r="P409" s="45"/>
      <c r="Q409" s="45"/>
      <c r="R409" s="45"/>
      <c r="S409" s="45"/>
      <c r="T409" s="45"/>
      <c r="U409" s="45"/>
      <c r="V409" s="45"/>
      <c r="W409" s="45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41" t="s">
        <v>21</v>
      </c>
      <c r="B410" s="41" t="s">
        <v>36</v>
      </c>
      <c r="C410" s="41" t="s">
        <v>23</v>
      </c>
      <c r="D410" s="41" t="s">
        <v>49</v>
      </c>
      <c r="E410" s="41" t="s">
        <v>25</v>
      </c>
      <c r="F410" s="41" t="s">
        <v>25</v>
      </c>
      <c r="G410" s="41" t="s">
        <v>25</v>
      </c>
      <c r="H410" s="41" t="s">
        <v>25</v>
      </c>
      <c r="I410" s="61">
        <v>44593</v>
      </c>
      <c r="J410" s="62">
        <f>EFEITO!$J$410*EFEITO!$Y$410</f>
        <v>0</v>
      </c>
      <c r="K410" s="62">
        <f ca="1">EFEITO!$L$410*EFEITO!$Z$410</f>
        <v>2207.5907386210833</v>
      </c>
      <c r="L410" s="62">
        <f>EFEITO!$N$410*EFEITO!$AA$410</f>
        <v>1308.0716927583537</v>
      </c>
      <c r="M410" s="62">
        <f>$J$410-EFEITO!$K$410*EFEITO!$Y$410</f>
        <v>0</v>
      </c>
      <c r="N410" s="62">
        <f ca="1">$K$410-EFEITO!$M$410*EFEITO!$Z$410</f>
        <v>0</v>
      </c>
      <c r="O410" s="62">
        <f>$L$410-EFEITO!$O$410*EFEITO!$AA$410</f>
        <v>0</v>
      </c>
      <c r="P410" s="45"/>
      <c r="Q410" s="45"/>
      <c r="R410" s="45"/>
      <c r="S410" s="45"/>
      <c r="T410" s="45"/>
      <c r="U410" s="45"/>
      <c r="V410" s="45"/>
      <c r="W410" s="45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41" t="s">
        <v>21</v>
      </c>
      <c r="B411" s="41" t="s">
        <v>36</v>
      </c>
      <c r="C411" s="41" t="s">
        <v>23</v>
      </c>
      <c r="D411" s="41" t="s">
        <v>49</v>
      </c>
      <c r="E411" s="41" t="s">
        <v>25</v>
      </c>
      <c r="F411" s="41" t="s">
        <v>25</v>
      </c>
      <c r="G411" s="41" t="s">
        <v>25</v>
      </c>
      <c r="H411" s="41" t="s">
        <v>25</v>
      </c>
      <c r="I411" s="61">
        <v>44621</v>
      </c>
      <c r="J411" s="62">
        <f>EFEITO!$J$411*EFEITO!$Y$411</f>
        <v>0</v>
      </c>
      <c r="K411" s="62">
        <f ca="1">EFEITO!$L$411*EFEITO!$Z$411</f>
        <v>2068.1270697367677</v>
      </c>
      <c r="L411" s="62">
        <f>EFEITO!$N$411*EFEITO!$AA$411</f>
        <v>1225.4347826444134</v>
      </c>
      <c r="M411" s="62">
        <f>$J$411-EFEITO!$K$411*EFEITO!$Y$411</f>
        <v>0</v>
      </c>
      <c r="N411" s="62">
        <f ca="1">$K$411-EFEITO!$M$411*EFEITO!$Z$411</f>
        <v>0</v>
      </c>
      <c r="O411" s="62">
        <f>$L$411-EFEITO!$O$411*EFEITO!$AA$411</f>
        <v>0</v>
      </c>
      <c r="P411" s="45"/>
      <c r="Q411" s="45"/>
      <c r="R411" s="45"/>
      <c r="S411" s="45"/>
      <c r="T411" s="45"/>
      <c r="U411" s="45"/>
      <c r="V411" s="45"/>
      <c r="W411" s="45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41" t="s">
        <v>21</v>
      </c>
      <c r="B412" s="41" t="s">
        <v>36</v>
      </c>
      <c r="C412" s="41" t="s">
        <v>23</v>
      </c>
      <c r="D412" s="41" t="s">
        <v>49</v>
      </c>
      <c r="E412" s="41" t="s">
        <v>25</v>
      </c>
      <c r="F412" s="41" t="s">
        <v>25</v>
      </c>
      <c r="G412" s="41" t="s">
        <v>25</v>
      </c>
      <c r="H412" s="41" t="s">
        <v>25</v>
      </c>
      <c r="I412" s="61">
        <v>44652</v>
      </c>
      <c r="J412" s="62">
        <f>EFEITO!$J$412*EFEITO!$Y$412</f>
        <v>0</v>
      </c>
      <c r="K412" s="62">
        <f ca="1">EFEITO!$L$412*EFEITO!$Z$412</f>
        <v>1898.5280352141319</v>
      </c>
      <c r="L412" s="62">
        <f>EFEITO!$N$412*EFEITO!$AA$412</f>
        <v>1124.9416557721843</v>
      </c>
      <c r="M412" s="62">
        <f>$J$412-EFEITO!$K$412*EFEITO!$Y$412</f>
        <v>0</v>
      </c>
      <c r="N412" s="62">
        <f ca="1">$K$412-EFEITO!$M$412*EFEITO!$Z$412</f>
        <v>0</v>
      </c>
      <c r="O412" s="62">
        <f>$L$412-EFEITO!$O$412*EFEITO!$AA$412</f>
        <v>0</v>
      </c>
      <c r="P412" s="45"/>
      <c r="Q412" s="45"/>
      <c r="R412" s="45"/>
      <c r="S412" s="45"/>
      <c r="T412" s="45"/>
      <c r="U412" s="45"/>
      <c r="V412" s="45"/>
      <c r="W412" s="45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41" t="s">
        <v>21</v>
      </c>
      <c r="B413" s="41" t="s">
        <v>36</v>
      </c>
      <c r="C413" s="41" t="s">
        <v>23</v>
      </c>
      <c r="D413" s="41" t="s">
        <v>49</v>
      </c>
      <c r="E413" s="41" t="s">
        <v>25</v>
      </c>
      <c r="F413" s="41" t="s">
        <v>25</v>
      </c>
      <c r="G413" s="41" t="s">
        <v>25</v>
      </c>
      <c r="H413" s="41" t="s">
        <v>25</v>
      </c>
      <c r="I413" s="61">
        <v>44682</v>
      </c>
      <c r="J413" s="62">
        <f>EFEITO!$J$413*EFEITO!$Y$413</f>
        <v>0</v>
      </c>
      <c r="K413" s="62">
        <f ca="1">EFEITO!$L$413*EFEITO!$Z$413</f>
        <v>1758.7139551014632</v>
      </c>
      <c r="L413" s="62">
        <f>EFEITO!$N$413*EFEITO!$AA$413</f>
        <v>1042.0971152308218</v>
      </c>
      <c r="M413" s="62">
        <f>$J$413-EFEITO!$K$413*EFEITO!$Y$413</f>
        <v>0</v>
      </c>
      <c r="N413" s="62">
        <f ca="1">$K$413-EFEITO!$M$413*EFEITO!$Z$413</f>
        <v>0</v>
      </c>
      <c r="O413" s="62">
        <f>$L$413-EFEITO!$O$413*EFEITO!$AA$413</f>
        <v>0</v>
      </c>
      <c r="P413" s="45"/>
      <c r="Q413" s="45"/>
      <c r="R413" s="45"/>
      <c r="S413" s="45"/>
      <c r="T413" s="45"/>
      <c r="U413" s="45"/>
      <c r="V413" s="45"/>
      <c r="W413" s="45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41" t="s">
        <v>21</v>
      </c>
      <c r="B414" s="41" t="s">
        <v>36</v>
      </c>
      <c r="C414" s="41" t="s">
        <v>23</v>
      </c>
      <c r="D414" s="41" t="s">
        <v>49</v>
      </c>
      <c r="E414" s="41" t="s">
        <v>25</v>
      </c>
      <c r="F414" s="41" t="s">
        <v>25</v>
      </c>
      <c r="G414" s="41" t="s">
        <v>25</v>
      </c>
      <c r="H414" s="41" t="s">
        <v>25</v>
      </c>
      <c r="I414" s="61">
        <v>44713</v>
      </c>
      <c r="J414" s="62">
        <f>EFEITO!$J$414*EFEITO!$Y$414</f>
        <v>0</v>
      </c>
      <c r="K414" s="62">
        <f ca="1">EFEITO!$L$414*EFEITO!$Z$414</f>
        <v>844.49106032965267</v>
      </c>
      <c r="L414" s="62">
        <f>EFEITO!$N$414*EFEITO!$AA$414</f>
        <v>500.38933008692584</v>
      </c>
      <c r="M414" s="62">
        <f>$J$414-EFEITO!$K$414*EFEITO!$Y$414</f>
        <v>0</v>
      </c>
      <c r="N414" s="62">
        <f ca="1">$K$414-EFEITO!$M$414*EFEITO!$Z$414</f>
        <v>0</v>
      </c>
      <c r="O414" s="62">
        <f>$L$414-EFEITO!$O$414*EFEITO!$AA$414</f>
        <v>0</v>
      </c>
      <c r="P414" s="45"/>
      <c r="Q414" s="45"/>
      <c r="R414" s="45"/>
      <c r="S414" s="45"/>
      <c r="T414" s="45"/>
      <c r="U414" s="45"/>
      <c r="V414" s="45"/>
      <c r="W414" s="45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41" t="s">
        <v>55</v>
      </c>
      <c r="B415" s="41" t="s">
        <v>36</v>
      </c>
      <c r="C415" s="41" t="s">
        <v>23</v>
      </c>
      <c r="D415" s="41" t="s">
        <v>49</v>
      </c>
      <c r="E415" s="41" t="s">
        <v>25</v>
      </c>
      <c r="F415" s="41" t="s">
        <v>25</v>
      </c>
      <c r="G415" s="41" t="s">
        <v>25</v>
      </c>
      <c r="H415" s="41" t="s">
        <v>25</v>
      </c>
      <c r="I415" s="61">
        <v>44743</v>
      </c>
      <c r="J415" s="62">
        <f>EFEITO!$J$415*EFEITO!$Y$415</f>
        <v>0</v>
      </c>
      <c r="K415" s="62">
        <f ca="1">EFEITO!$L$415*EFEITO!$Z$415</f>
        <v>844.49106032965267</v>
      </c>
      <c r="L415" s="62">
        <f>EFEITO!$N$415*EFEITO!$AA$415</f>
        <v>500.38933008692584</v>
      </c>
      <c r="M415" s="62">
        <f>$J$415-EFEITO!$K$415*EFEITO!$Y$415</f>
        <v>0</v>
      </c>
      <c r="N415" s="62">
        <f ca="1">$K$415-EFEITO!$M$415*EFEITO!$Z$415</f>
        <v>0</v>
      </c>
      <c r="O415" s="62">
        <f>$L$415-EFEITO!$O$415*EFEITO!$AA$415</f>
        <v>0</v>
      </c>
      <c r="P415" s="45"/>
      <c r="Q415" s="45"/>
      <c r="R415" s="45"/>
      <c r="S415" s="45"/>
      <c r="T415" s="45"/>
      <c r="U415" s="45"/>
      <c r="V415" s="45"/>
      <c r="W415" s="45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41" t="s">
        <v>21</v>
      </c>
      <c r="B416" s="41" t="s">
        <v>36</v>
      </c>
      <c r="C416" s="41" t="s">
        <v>23</v>
      </c>
      <c r="D416" s="41" t="s">
        <v>37</v>
      </c>
      <c r="E416" s="41" t="s">
        <v>25</v>
      </c>
      <c r="F416" s="41" t="s">
        <v>25</v>
      </c>
      <c r="G416" s="41" t="s">
        <v>25</v>
      </c>
      <c r="H416" s="41" t="s">
        <v>25</v>
      </c>
      <c r="I416" s="61">
        <v>44409</v>
      </c>
      <c r="J416" s="62">
        <f>EFEITO!$J$416*EFEITO!$Y$416</f>
        <v>0</v>
      </c>
      <c r="K416" s="62">
        <f ca="1">EFEITO!$L$416*EFEITO!$Z$416</f>
        <v>29461.174434969238</v>
      </c>
      <c r="L416" s="62">
        <f>EFEITO!$N$416*EFEITO!$AA$416</f>
        <v>17456.735815928783</v>
      </c>
      <c r="M416" s="62">
        <f>$J$416-EFEITO!$K$416*EFEITO!$Y$416</f>
        <v>0</v>
      </c>
      <c r="N416" s="62">
        <f ca="1">$K$416-EFEITO!$M$416*EFEITO!$Z$416</f>
        <v>0</v>
      </c>
      <c r="O416" s="62">
        <f>$L$416-EFEITO!$O$416*EFEITO!$AA$416</f>
        <v>0</v>
      </c>
      <c r="P416" s="45"/>
      <c r="Q416" s="45"/>
      <c r="R416" s="45"/>
      <c r="S416" s="45"/>
      <c r="T416" s="45"/>
      <c r="U416" s="45"/>
      <c r="V416" s="45"/>
      <c r="W416" s="45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41" t="s">
        <v>27</v>
      </c>
      <c r="B417" s="41" t="s">
        <v>36</v>
      </c>
      <c r="C417" s="41" t="s">
        <v>23</v>
      </c>
      <c r="D417" s="41" t="s">
        <v>37</v>
      </c>
      <c r="E417" s="41" t="s">
        <v>25</v>
      </c>
      <c r="F417" s="41" t="s">
        <v>25</v>
      </c>
      <c r="G417" s="41" t="s">
        <v>25</v>
      </c>
      <c r="H417" s="41" t="s">
        <v>25</v>
      </c>
      <c r="I417" s="61">
        <v>44409</v>
      </c>
      <c r="J417" s="62">
        <f>EFEITO!$J$417*EFEITO!$Y$417</f>
        <v>0</v>
      </c>
      <c r="K417" s="62">
        <f ca="1">EFEITO!$L$417*EFEITO!$Z$417</f>
        <v>518.60861796177835</v>
      </c>
      <c r="L417" s="62">
        <f>EFEITO!$N$417*EFEITO!$AA$417</f>
        <v>307.29303258450216</v>
      </c>
      <c r="M417" s="62">
        <f>$J$417-EFEITO!$K$417*EFEITO!$Y$417</f>
        <v>0</v>
      </c>
      <c r="N417" s="62">
        <f ca="1">$K$417-EFEITO!$M$417*EFEITO!$Z$417</f>
        <v>0</v>
      </c>
      <c r="O417" s="62">
        <f>$L$417-EFEITO!$O$417*EFEITO!$AA$417</f>
        <v>0</v>
      </c>
      <c r="P417" s="45"/>
      <c r="Q417" s="45"/>
      <c r="R417" s="45"/>
      <c r="S417" s="45"/>
      <c r="T417" s="45"/>
      <c r="U417" s="45"/>
      <c r="V417" s="45"/>
      <c r="W417" s="45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41" t="s">
        <v>21</v>
      </c>
      <c r="B418" s="41" t="s">
        <v>36</v>
      </c>
      <c r="C418" s="41" t="s">
        <v>23</v>
      </c>
      <c r="D418" s="41" t="s">
        <v>37</v>
      </c>
      <c r="E418" s="41" t="s">
        <v>25</v>
      </c>
      <c r="F418" s="41" t="s">
        <v>25</v>
      </c>
      <c r="G418" s="41" t="s">
        <v>25</v>
      </c>
      <c r="H418" s="41" t="s">
        <v>25</v>
      </c>
      <c r="I418" s="61">
        <v>44440</v>
      </c>
      <c r="J418" s="62">
        <f>EFEITO!$J$418*EFEITO!$Y$418</f>
        <v>0</v>
      </c>
      <c r="K418" s="62">
        <f ca="1">EFEITO!$L$418*EFEITO!$Z$418</f>
        <v>32043.354776699201</v>
      </c>
      <c r="L418" s="62">
        <f>EFEITO!$N$418*EFEITO!$AA$418</f>
        <v>18986.764435601213</v>
      </c>
      <c r="M418" s="62">
        <f>$J$418-EFEITO!$K$418*EFEITO!$Y$418</f>
        <v>0</v>
      </c>
      <c r="N418" s="62">
        <f ca="1">$K$418-EFEITO!$M$418*EFEITO!$Z$418</f>
        <v>0</v>
      </c>
      <c r="O418" s="62">
        <f>$L$418-EFEITO!$O$418*EFEITO!$AA$418</f>
        <v>0</v>
      </c>
      <c r="P418" s="45"/>
      <c r="Q418" s="45"/>
      <c r="R418" s="45"/>
      <c r="S418" s="45"/>
      <c r="T418" s="45"/>
      <c r="U418" s="45"/>
      <c r="V418" s="45"/>
      <c r="W418" s="45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41" t="s">
        <v>27</v>
      </c>
      <c r="B419" s="41" t="s">
        <v>36</v>
      </c>
      <c r="C419" s="41" t="s">
        <v>23</v>
      </c>
      <c r="D419" s="41" t="s">
        <v>37</v>
      </c>
      <c r="E419" s="41" t="s">
        <v>25</v>
      </c>
      <c r="F419" s="41" t="s">
        <v>25</v>
      </c>
      <c r="G419" s="41" t="s">
        <v>25</v>
      </c>
      <c r="H419" s="41" t="s">
        <v>25</v>
      </c>
      <c r="I419" s="61">
        <v>44440</v>
      </c>
      <c r="J419" s="62">
        <f>EFEITO!$J$419*EFEITO!$Y$419</f>
        <v>0</v>
      </c>
      <c r="K419" s="62">
        <f ca="1">EFEITO!$L$419*EFEITO!$Z$419</f>
        <v>195.87987664907712</v>
      </c>
      <c r="L419" s="62">
        <f>EFEITO!$N$419*EFEITO!$AA$419</f>
        <v>116.06540892887617</v>
      </c>
      <c r="M419" s="62">
        <f>$J$419-EFEITO!$K$419*EFEITO!$Y$419</f>
        <v>0</v>
      </c>
      <c r="N419" s="62">
        <f ca="1">$K$419-EFEITO!$M$419*EFEITO!$Z$419</f>
        <v>0</v>
      </c>
      <c r="O419" s="62">
        <f>$L$419-EFEITO!$O$419*EFEITO!$AA$419</f>
        <v>0</v>
      </c>
      <c r="P419" s="45"/>
      <c r="Q419" s="45"/>
      <c r="R419" s="45"/>
      <c r="S419" s="45"/>
      <c r="T419" s="45"/>
      <c r="U419" s="45"/>
      <c r="V419" s="45"/>
      <c r="W419" s="45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41" t="s">
        <v>21</v>
      </c>
      <c r="B420" s="41" t="s">
        <v>36</v>
      </c>
      <c r="C420" s="41" t="s">
        <v>23</v>
      </c>
      <c r="D420" s="41" t="s">
        <v>37</v>
      </c>
      <c r="E420" s="41" t="s">
        <v>25</v>
      </c>
      <c r="F420" s="41" t="s">
        <v>25</v>
      </c>
      <c r="G420" s="41" t="s">
        <v>25</v>
      </c>
      <c r="H420" s="41" t="s">
        <v>25</v>
      </c>
      <c r="I420" s="61">
        <v>44470</v>
      </c>
      <c r="J420" s="62">
        <f>EFEITO!$J$420*EFEITO!$Y$420</f>
        <v>0</v>
      </c>
      <c r="K420" s="62">
        <f ca="1">EFEITO!$L$420*EFEITO!$Z$420</f>
        <v>30775.216541291313</v>
      </c>
      <c r="L420" s="62">
        <f>EFEITO!$N$420*EFEITO!$AA$420</f>
        <v>18235.349918761138</v>
      </c>
      <c r="M420" s="62">
        <f>$J$420-EFEITO!$K$420*EFEITO!$Y$420</f>
        <v>0</v>
      </c>
      <c r="N420" s="62">
        <f ca="1">$K$420-EFEITO!$M$420*EFEITO!$Z$420</f>
        <v>0</v>
      </c>
      <c r="O420" s="62">
        <f>$L$420-EFEITO!$O$420*EFEITO!$AA$420</f>
        <v>0</v>
      </c>
      <c r="P420" s="45"/>
      <c r="Q420" s="45"/>
      <c r="R420" s="45"/>
      <c r="S420" s="45"/>
      <c r="T420" s="45"/>
      <c r="U420" s="45"/>
      <c r="V420" s="45"/>
      <c r="W420" s="45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41" t="s">
        <v>27</v>
      </c>
      <c r="B421" s="41" t="s">
        <v>36</v>
      </c>
      <c r="C421" s="41" t="s">
        <v>23</v>
      </c>
      <c r="D421" s="41" t="s">
        <v>37</v>
      </c>
      <c r="E421" s="41" t="s">
        <v>25</v>
      </c>
      <c r="F421" s="41" t="s">
        <v>25</v>
      </c>
      <c r="G421" s="41" t="s">
        <v>25</v>
      </c>
      <c r="H421" s="41" t="s">
        <v>25</v>
      </c>
      <c r="I421" s="61">
        <v>44470</v>
      </c>
      <c r="J421" s="62">
        <f>EFEITO!$J$421*EFEITO!$Y$421</f>
        <v>0</v>
      </c>
      <c r="K421" s="62">
        <f ca="1">EFEITO!$L$421*EFEITO!$Z$421</f>
        <v>323.4295637694064</v>
      </c>
      <c r="L421" s="62">
        <f>EFEITO!$N$421*EFEITO!$AA$421</f>
        <v>191.64288451046994</v>
      </c>
      <c r="M421" s="62">
        <f>$J$421-EFEITO!$K$421*EFEITO!$Y$421</f>
        <v>0</v>
      </c>
      <c r="N421" s="62">
        <f ca="1">$K$421-EFEITO!$M$421*EFEITO!$Z$421</f>
        <v>0</v>
      </c>
      <c r="O421" s="62">
        <f>$L$421-EFEITO!$O$421*EFEITO!$AA$421</f>
        <v>0</v>
      </c>
      <c r="P421" s="45"/>
      <c r="Q421" s="45"/>
      <c r="R421" s="45"/>
      <c r="S421" s="45"/>
      <c r="T421" s="45"/>
      <c r="U421" s="45"/>
      <c r="V421" s="45"/>
      <c r="W421" s="45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41" t="s">
        <v>21</v>
      </c>
      <c r="B422" s="41" t="s">
        <v>36</v>
      </c>
      <c r="C422" s="41" t="s">
        <v>23</v>
      </c>
      <c r="D422" s="41" t="s">
        <v>37</v>
      </c>
      <c r="E422" s="41" t="s">
        <v>25</v>
      </c>
      <c r="F422" s="41" t="s">
        <v>25</v>
      </c>
      <c r="G422" s="41" t="s">
        <v>25</v>
      </c>
      <c r="H422" s="41" t="s">
        <v>25</v>
      </c>
      <c r="I422" s="61">
        <v>44501</v>
      </c>
      <c r="J422" s="62">
        <f>EFEITO!$J$422*EFEITO!$Y$422</f>
        <v>0</v>
      </c>
      <c r="K422" s="62">
        <f ca="1">EFEITO!$L$422*EFEITO!$Z$422</f>
        <v>31598.332516691462</v>
      </c>
      <c r="L422" s="62">
        <f>EFEITO!$N$422*EFEITO!$AA$422</f>
        <v>18723.073792775325</v>
      </c>
      <c r="M422" s="62">
        <f>$J$422-EFEITO!$K$422*EFEITO!$Y$422</f>
        <v>0</v>
      </c>
      <c r="N422" s="62">
        <f ca="1">$K$422-EFEITO!$M$422*EFEITO!$Z$422</f>
        <v>0</v>
      </c>
      <c r="O422" s="62">
        <f>$L$422-EFEITO!$O$422*EFEITO!$AA$422</f>
        <v>0</v>
      </c>
      <c r="P422" s="45"/>
      <c r="Q422" s="45"/>
      <c r="R422" s="45"/>
      <c r="S422" s="45"/>
      <c r="T422" s="45"/>
      <c r="U422" s="45"/>
      <c r="V422" s="45"/>
      <c r="W422" s="45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41" t="s">
        <v>27</v>
      </c>
      <c r="B423" s="41" t="s">
        <v>36</v>
      </c>
      <c r="C423" s="41" t="s">
        <v>23</v>
      </c>
      <c r="D423" s="41" t="s">
        <v>37</v>
      </c>
      <c r="E423" s="41" t="s">
        <v>25</v>
      </c>
      <c r="F423" s="41" t="s">
        <v>25</v>
      </c>
      <c r="G423" s="41" t="s">
        <v>25</v>
      </c>
      <c r="H423" s="41" t="s">
        <v>25</v>
      </c>
      <c r="I423" s="61">
        <v>44501</v>
      </c>
      <c r="J423" s="62">
        <f>EFEITO!$J$423*EFEITO!$Y$423</f>
        <v>0</v>
      </c>
      <c r="K423" s="62">
        <f ca="1">EFEITO!$L$423*EFEITO!$Z$423</f>
        <v>225.31441983069155</v>
      </c>
      <c r="L423" s="62">
        <f>EFEITO!$N$423*EFEITO!$AA$423</f>
        <v>133.50636483232088</v>
      </c>
      <c r="M423" s="62">
        <f>$J$423-EFEITO!$K$423*EFEITO!$Y$423</f>
        <v>0</v>
      </c>
      <c r="N423" s="62">
        <f ca="1">$K$423-EFEITO!$M$423*EFEITO!$Z$423</f>
        <v>0</v>
      </c>
      <c r="O423" s="62">
        <f>$L$423-EFEITO!$O$423*EFEITO!$AA$423</f>
        <v>0</v>
      </c>
      <c r="P423" s="45"/>
      <c r="Q423" s="45"/>
      <c r="R423" s="45"/>
      <c r="S423" s="45"/>
      <c r="T423" s="45"/>
      <c r="U423" s="45"/>
      <c r="V423" s="45"/>
      <c r="W423" s="45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41" t="s">
        <v>21</v>
      </c>
      <c r="B424" s="41" t="s">
        <v>36</v>
      </c>
      <c r="C424" s="41" t="s">
        <v>23</v>
      </c>
      <c r="D424" s="41" t="s">
        <v>37</v>
      </c>
      <c r="E424" s="41" t="s">
        <v>25</v>
      </c>
      <c r="F424" s="41" t="s">
        <v>25</v>
      </c>
      <c r="G424" s="41" t="s">
        <v>25</v>
      </c>
      <c r="H424" s="41" t="s">
        <v>25</v>
      </c>
      <c r="I424" s="61">
        <v>44531</v>
      </c>
      <c r="J424" s="62">
        <f>EFEITO!$J$424*EFEITO!$Y$424</f>
        <v>0</v>
      </c>
      <c r="K424" s="62">
        <f ca="1">EFEITO!$L$424*EFEITO!$Z$424</f>
        <v>34567.717265750995</v>
      </c>
      <c r="L424" s="62">
        <f>EFEITO!$N$424*EFEITO!$AA$424</f>
        <v>20482.534034749024</v>
      </c>
      <c r="M424" s="62">
        <f>$J$424-EFEITO!$K$424*EFEITO!$Y$424</f>
        <v>0</v>
      </c>
      <c r="N424" s="62">
        <f ca="1">$K$424-EFEITO!$M$424*EFEITO!$Z$424</f>
        <v>0</v>
      </c>
      <c r="O424" s="62">
        <f>$L$424-EFEITO!$O$424*EFEITO!$AA$424</f>
        <v>0</v>
      </c>
      <c r="P424" s="45"/>
      <c r="Q424" s="45"/>
      <c r="R424" s="45"/>
      <c r="S424" s="45"/>
      <c r="T424" s="45"/>
      <c r="U424" s="45"/>
      <c r="V424" s="45"/>
      <c r="W424" s="45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41" t="s">
        <v>27</v>
      </c>
      <c r="B425" s="41" t="s">
        <v>36</v>
      </c>
      <c r="C425" s="41" t="s">
        <v>23</v>
      </c>
      <c r="D425" s="41" t="s">
        <v>37</v>
      </c>
      <c r="E425" s="41" t="s">
        <v>25</v>
      </c>
      <c r="F425" s="41" t="s">
        <v>25</v>
      </c>
      <c r="G425" s="41" t="s">
        <v>25</v>
      </c>
      <c r="H425" s="41" t="s">
        <v>25</v>
      </c>
      <c r="I425" s="61">
        <v>44531</v>
      </c>
      <c r="J425" s="62">
        <f>EFEITO!$J$425*EFEITO!$Y$425</f>
        <v>0</v>
      </c>
      <c r="K425" s="62">
        <f ca="1">EFEITO!$L$425*EFEITO!$Z$425</f>
        <v>607.96348119167942</v>
      </c>
      <c r="L425" s="62">
        <f>EFEITO!$N$425*EFEITO!$AA$425</f>
        <v>360.23879157710223</v>
      </c>
      <c r="M425" s="62">
        <f>$J$425-EFEITO!$K$425*EFEITO!$Y$425</f>
        <v>0</v>
      </c>
      <c r="N425" s="62">
        <f ca="1">$K$425-EFEITO!$M$425*EFEITO!$Z$425</f>
        <v>0</v>
      </c>
      <c r="O425" s="62">
        <f>$L$425-EFEITO!$O$425*EFEITO!$AA$425</f>
        <v>0</v>
      </c>
      <c r="P425" s="45"/>
      <c r="Q425" s="45"/>
      <c r="R425" s="45"/>
      <c r="S425" s="45"/>
      <c r="T425" s="45"/>
      <c r="U425" s="45"/>
      <c r="V425" s="45"/>
      <c r="W425" s="45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41" t="s">
        <v>21</v>
      </c>
      <c r="B426" s="41" t="s">
        <v>36</v>
      </c>
      <c r="C426" s="41" t="s">
        <v>23</v>
      </c>
      <c r="D426" s="41" t="s">
        <v>37</v>
      </c>
      <c r="E426" s="41" t="s">
        <v>25</v>
      </c>
      <c r="F426" s="41" t="s">
        <v>25</v>
      </c>
      <c r="G426" s="41" t="s">
        <v>25</v>
      </c>
      <c r="H426" s="41" t="s">
        <v>25</v>
      </c>
      <c r="I426" s="61">
        <v>44562</v>
      </c>
      <c r="J426" s="62">
        <f>EFEITO!$J$426*EFEITO!$Y$426</f>
        <v>0</v>
      </c>
      <c r="K426" s="62">
        <f ca="1">EFEITO!$L$426*EFEITO!$Z$426</f>
        <v>32567.21956308627</v>
      </c>
      <c r="L426" s="62">
        <f>EFEITO!$N$426*EFEITO!$AA$426</f>
        <v>19297.171924597049</v>
      </c>
      <c r="M426" s="62">
        <f>$J$426-EFEITO!$K$426*EFEITO!$Y$426</f>
        <v>0</v>
      </c>
      <c r="N426" s="62">
        <f ca="1">$K$426-EFEITO!$M$426*EFEITO!$Z$426</f>
        <v>0</v>
      </c>
      <c r="O426" s="62">
        <f>$L$426-EFEITO!$O$426*EFEITO!$AA$426</f>
        <v>0</v>
      </c>
      <c r="P426" s="45"/>
      <c r="Q426" s="45"/>
      <c r="R426" s="45"/>
      <c r="S426" s="45"/>
      <c r="T426" s="45"/>
      <c r="U426" s="45"/>
      <c r="V426" s="45"/>
      <c r="W426" s="45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41" t="s">
        <v>27</v>
      </c>
      <c r="B427" s="41" t="s">
        <v>36</v>
      </c>
      <c r="C427" s="41" t="s">
        <v>23</v>
      </c>
      <c r="D427" s="41" t="s">
        <v>37</v>
      </c>
      <c r="E427" s="41" t="s">
        <v>25</v>
      </c>
      <c r="F427" s="41" t="s">
        <v>25</v>
      </c>
      <c r="G427" s="41" t="s">
        <v>25</v>
      </c>
      <c r="H427" s="41" t="s">
        <v>25</v>
      </c>
      <c r="I427" s="61">
        <v>44562</v>
      </c>
      <c r="J427" s="62">
        <f>EFEITO!$J$427*EFEITO!$Y$427</f>
        <v>0</v>
      </c>
      <c r="K427" s="62">
        <f ca="1">EFEITO!$L$427*EFEITO!$Z$427</f>
        <v>245.28785984678703</v>
      </c>
      <c r="L427" s="62">
        <f>EFEITO!$N$427*EFEITO!$AA$427</f>
        <v>145.34129919537264</v>
      </c>
      <c r="M427" s="62">
        <f>$J$427-EFEITO!$K$427*EFEITO!$Y$427</f>
        <v>0</v>
      </c>
      <c r="N427" s="62">
        <f ca="1">$K$427-EFEITO!$M$427*EFEITO!$Z$427</f>
        <v>0</v>
      </c>
      <c r="O427" s="62">
        <f>$L$427-EFEITO!$O$427*EFEITO!$AA$427</f>
        <v>0</v>
      </c>
      <c r="P427" s="45"/>
      <c r="Q427" s="45"/>
      <c r="R427" s="45"/>
      <c r="S427" s="45"/>
      <c r="T427" s="45"/>
      <c r="U427" s="45"/>
      <c r="V427" s="45"/>
      <c r="W427" s="45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41" t="s">
        <v>21</v>
      </c>
      <c r="B428" s="41" t="s">
        <v>36</v>
      </c>
      <c r="C428" s="41" t="s">
        <v>23</v>
      </c>
      <c r="D428" s="41" t="s">
        <v>37</v>
      </c>
      <c r="E428" s="41" t="s">
        <v>25</v>
      </c>
      <c r="F428" s="41" t="s">
        <v>25</v>
      </c>
      <c r="G428" s="41" t="s">
        <v>25</v>
      </c>
      <c r="H428" s="41" t="s">
        <v>25</v>
      </c>
      <c r="I428" s="61">
        <v>44593</v>
      </c>
      <c r="J428" s="62">
        <f>EFEITO!$J$428*EFEITO!$Y$428</f>
        <v>0</v>
      </c>
      <c r="K428" s="62">
        <f ca="1">EFEITO!$L$428*EFEITO!$Z$428</f>
        <v>34981.552926435361</v>
      </c>
      <c r="L428" s="62">
        <f>EFEITO!$N$428*EFEITO!$AA$428</f>
        <v>20727.74556953436</v>
      </c>
      <c r="M428" s="62">
        <f>$J$428-EFEITO!$K$428*EFEITO!$Y$428</f>
        <v>0</v>
      </c>
      <c r="N428" s="62">
        <f ca="1">$K$428-EFEITO!$M$428*EFEITO!$Z$428</f>
        <v>0</v>
      </c>
      <c r="O428" s="62">
        <f>$L$428-EFEITO!$O$428*EFEITO!$AA$428</f>
        <v>0</v>
      </c>
      <c r="P428" s="45"/>
      <c r="Q428" s="45"/>
      <c r="R428" s="45"/>
      <c r="S428" s="45"/>
      <c r="T428" s="45"/>
      <c r="U428" s="45"/>
      <c r="V428" s="45"/>
      <c r="W428" s="45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41" t="s">
        <v>27</v>
      </c>
      <c r="B429" s="41" t="s">
        <v>36</v>
      </c>
      <c r="C429" s="41" t="s">
        <v>23</v>
      </c>
      <c r="D429" s="41" t="s">
        <v>37</v>
      </c>
      <c r="E429" s="41" t="s">
        <v>25</v>
      </c>
      <c r="F429" s="41" t="s">
        <v>25</v>
      </c>
      <c r="G429" s="41" t="s">
        <v>25</v>
      </c>
      <c r="H429" s="41" t="s">
        <v>25</v>
      </c>
      <c r="I429" s="61">
        <v>44593</v>
      </c>
      <c r="J429" s="62">
        <f>EFEITO!$J$429*EFEITO!$Y$429</f>
        <v>0</v>
      </c>
      <c r="K429" s="62">
        <f ca="1">EFEITO!$L$429*EFEITO!$Z$429</f>
        <v>449.92801720467799</v>
      </c>
      <c r="L429" s="62">
        <f>EFEITO!$N$429*EFEITO!$AA$429</f>
        <v>266.59746880979782</v>
      </c>
      <c r="M429" s="62">
        <f>$J$429-EFEITO!$K$429*EFEITO!$Y$429</f>
        <v>0</v>
      </c>
      <c r="N429" s="62">
        <f ca="1">$K$429-EFEITO!$M$429*EFEITO!$Z$429</f>
        <v>0</v>
      </c>
      <c r="O429" s="62">
        <f>$L$429-EFEITO!$O$429*EFEITO!$AA$429</f>
        <v>0</v>
      </c>
      <c r="P429" s="45"/>
      <c r="Q429" s="45"/>
      <c r="R429" s="45"/>
      <c r="S429" s="45"/>
      <c r="T429" s="45"/>
      <c r="U429" s="45"/>
      <c r="V429" s="45"/>
      <c r="W429" s="45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41" t="s">
        <v>21</v>
      </c>
      <c r="B430" s="41" t="s">
        <v>36</v>
      </c>
      <c r="C430" s="41" t="s">
        <v>23</v>
      </c>
      <c r="D430" s="41" t="s">
        <v>37</v>
      </c>
      <c r="E430" s="41" t="s">
        <v>25</v>
      </c>
      <c r="F430" s="41" t="s">
        <v>25</v>
      </c>
      <c r="G430" s="41" t="s">
        <v>25</v>
      </c>
      <c r="H430" s="41" t="s">
        <v>25</v>
      </c>
      <c r="I430" s="61">
        <v>44621</v>
      </c>
      <c r="J430" s="62">
        <f>EFEITO!$J$430*EFEITO!$Y$430</f>
        <v>0</v>
      </c>
      <c r="K430" s="62">
        <f ca="1">EFEITO!$L$430*EFEITO!$Z$430</f>
        <v>32537.434608676303</v>
      </c>
      <c r="L430" s="62">
        <f>EFEITO!$N$430*EFEITO!$AA$430</f>
        <v>19279.523338266183</v>
      </c>
      <c r="M430" s="62">
        <f>$J$430-EFEITO!$K$430*EFEITO!$Y$430</f>
        <v>0</v>
      </c>
      <c r="N430" s="62">
        <f ca="1">$K$430-EFEITO!$M$430*EFEITO!$Z$430</f>
        <v>0</v>
      </c>
      <c r="O430" s="62">
        <f>$L$430-EFEITO!$O$430*EFEITO!$AA$430</f>
        <v>0</v>
      </c>
      <c r="P430" s="45"/>
      <c r="Q430" s="45"/>
      <c r="R430" s="45"/>
      <c r="S430" s="45"/>
      <c r="T430" s="45"/>
      <c r="U430" s="45"/>
      <c r="V430" s="45"/>
      <c r="W430" s="45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41" t="s">
        <v>27</v>
      </c>
      <c r="B431" s="41" t="s">
        <v>36</v>
      </c>
      <c r="C431" s="41" t="s">
        <v>23</v>
      </c>
      <c r="D431" s="41" t="s">
        <v>37</v>
      </c>
      <c r="E431" s="41" t="s">
        <v>25</v>
      </c>
      <c r="F431" s="41" t="s">
        <v>25</v>
      </c>
      <c r="G431" s="41" t="s">
        <v>25</v>
      </c>
      <c r="H431" s="41" t="s">
        <v>25</v>
      </c>
      <c r="I431" s="61">
        <v>44621</v>
      </c>
      <c r="J431" s="62">
        <f>EFEITO!$J$431*EFEITO!$Y$431</f>
        <v>0</v>
      </c>
      <c r="K431" s="62">
        <f ca="1">EFEITO!$L$431*EFEITO!$Z$431</f>
        <v>2346.3535850486942</v>
      </c>
      <c r="L431" s="62">
        <f>EFEITO!$N$431*EFEITO!$AA$431</f>
        <v>1390.2933420174502</v>
      </c>
      <c r="M431" s="62">
        <f>$J$431-EFEITO!$K$431*EFEITO!$Y$431</f>
        <v>0</v>
      </c>
      <c r="N431" s="62">
        <f ca="1">$K$431-EFEITO!$M$431*EFEITO!$Z$431</f>
        <v>0</v>
      </c>
      <c r="O431" s="62">
        <f>$L$431-EFEITO!$O$431*EFEITO!$AA$431</f>
        <v>0</v>
      </c>
      <c r="P431" s="45"/>
      <c r="Q431" s="45"/>
      <c r="R431" s="45"/>
      <c r="S431" s="45"/>
      <c r="T431" s="45"/>
      <c r="U431" s="45"/>
      <c r="V431" s="45"/>
      <c r="W431" s="45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41" t="s">
        <v>21</v>
      </c>
      <c r="B432" s="41" t="s">
        <v>36</v>
      </c>
      <c r="C432" s="41" t="s">
        <v>23</v>
      </c>
      <c r="D432" s="41" t="s">
        <v>37</v>
      </c>
      <c r="E432" s="41" t="s">
        <v>25</v>
      </c>
      <c r="F432" s="41" t="s">
        <v>25</v>
      </c>
      <c r="G432" s="41" t="s">
        <v>25</v>
      </c>
      <c r="H432" s="41" t="s">
        <v>25</v>
      </c>
      <c r="I432" s="61">
        <v>44652</v>
      </c>
      <c r="J432" s="62">
        <f>EFEITO!$J$432*EFEITO!$Y$432</f>
        <v>0</v>
      </c>
      <c r="K432" s="62">
        <f ca="1">EFEITO!$L$432*EFEITO!$Z$432</f>
        <v>28007.318248534502</v>
      </c>
      <c r="L432" s="62">
        <f>EFEITO!$N$432*EFEITO!$AA$432</f>
        <v>16595.27717255507</v>
      </c>
      <c r="M432" s="62">
        <f>$J$432-EFEITO!$K$432*EFEITO!$Y$432</f>
        <v>0</v>
      </c>
      <c r="N432" s="62">
        <f ca="1">$K$432-EFEITO!$M$432*EFEITO!$Z$432</f>
        <v>0</v>
      </c>
      <c r="O432" s="62">
        <f>$L$432-EFEITO!$O$432*EFEITO!$AA$432</f>
        <v>0</v>
      </c>
      <c r="P432" s="45"/>
      <c r="Q432" s="45"/>
      <c r="R432" s="45"/>
      <c r="S432" s="45"/>
      <c r="T432" s="45"/>
      <c r="U432" s="45"/>
      <c r="V432" s="45"/>
      <c r="W432" s="45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41" t="s">
        <v>27</v>
      </c>
      <c r="B433" s="41" t="s">
        <v>36</v>
      </c>
      <c r="C433" s="41" t="s">
        <v>23</v>
      </c>
      <c r="D433" s="41" t="s">
        <v>37</v>
      </c>
      <c r="E433" s="41" t="s">
        <v>25</v>
      </c>
      <c r="F433" s="41" t="s">
        <v>25</v>
      </c>
      <c r="G433" s="41" t="s">
        <v>25</v>
      </c>
      <c r="H433" s="41" t="s">
        <v>25</v>
      </c>
      <c r="I433" s="61">
        <v>44652</v>
      </c>
      <c r="J433" s="62">
        <f>EFEITO!$J$433*EFEITO!$Y$433</f>
        <v>0</v>
      </c>
      <c r="K433" s="62">
        <f ca="1">EFEITO!$L$433*EFEITO!$Z$433</f>
        <v>2980.2474971384631</v>
      </c>
      <c r="L433" s="62">
        <f>EFEITO!$N$433*EFEITO!$AA$433</f>
        <v>1765.8967852237777</v>
      </c>
      <c r="M433" s="62">
        <f>$J$433-EFEITO!$K$433*EFEITO!$Y$433</f>
        <v>0</v>
      </c>
      <c r="N433" s="62">
        <f ca="1">$K$433-EFEITO!$M$433*EFEITO!$Z$433</f>
        <v>0</v>
      </c>
      <c r="O433" s="62">
        <f>$L$433-EFEITO!$O$433*EFEITO!$AA$433</f>
        <v>0</v>
      </c>
      <c r="P433" s="45"/>
      <c r="Q433" s="45"/>
      <c r="R433" s="45"/>
      <c r="S433" s="45"/>
      <c r="T433" s="45"/>
      <c r="U433" s="45"/>
      <c r="V433" s="45"/>
      <c r="W433" s="45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41" t="s">
        <v>21</v>
      </c>
      <c r="B434" s="41" t="s">
        <v>36</v>
      </c>
      <c r="C434" s="41" t="s">
        <v>23</v>
      </c>
      <c r="D434" s="41" t="s">
        <v>37</v>
      </c>
      <c r="E434" s="41" t="s">
        <v>25</v>
      </c>
      <c r="F434" s="41" t="s">
        <v>25</v>
      </c>
      <c r="G434" s="41" t="s">
        <v>25</v>
      </c>
      <c r="H434" s="41" t="s">
        <v>25</v>
      </c>
      <c r="I434" s="61">
        <v>44682</v>
      </c>
      <c r="J434" s="62">
        <f>EFEITO!$J$434*EFEITO!$Y$434</f>
        <v>0</v>
      </c>
      <c r="K434" s="62">
        <f ca="1">EFEITO!$L$434*EFEITO!$Z$434</f>
        <v>29313.300896604462</v>
      </c>
      <c r="L434" s="62">
        <f>EFEITO!$N$434*EFEITO!$AA$434</f>
        <v>17369.115775556718</v>
      </c>
      <c r="M434" s="62">
        <f>$J$434-EFEITO!$K$434*EFEITO!$Y$434</f>
        <v>0</v>
      </c>
      <c r="N434" s="62">
        <f ca="1">$K$434-EFEITO!$M$434*EFEITO!$Z$434</f>
        <v>0</v>
      </c>
      <c r="O434" s="62">
        <f>$L$434-EFEITO!$O$434*EFEITO!$AA$434</f>
        <v>0</v>
      </c>
      <c r="P434" s="45"/>
      <c r="Q434" s="45"/>
      <c r="R434" s="45"/>
      <c r="S434" s="45"/>
      <c r="T434" s="45"/>
      <c r="U434" s="45"/>
      <c r="V434" s="45"/>
      <c r="W434" s="45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41" t="s">
        <v>27</v>
      </c>
      <c r="B435" s="41" t="s">
        <v>36</v>
      </c>
      <c r="C435" s="41" t="s">
        <v>23</v>
      </c>
      <c r="D435" s="41" t="s">
        <v>37</v>
      </c>
      <c r="E435" s="41" t="s">
        <v>25</v>
      </c>
      <c r="F435" s="41" t="s">
        <v>25</v>
      </c>
      <c r="G435" s="41" t="s">
        <v>25</v>
      </c>
      <c r="H435" s="41" t="s">
        <v>25</v>
      </c>
      <c r="I435" s="61">
        <v>44682</v>
      </c>
      <c r="J435" s="62">
        <f>EFEITO!$J$435*EFEITO!$Y$435</f>
        <v>0</v>
      </c>
      <c r="K435" s="62">
        <f ca="1">EFEITO!$L$435*EFEITO!$Z$435</f>
        <v>3043.6719294702748</v>
      </c>
      <c r="L435" s="62">
        <f>EFEITO!$N$435*EFEITO!$AA$435</f>
        <v>1803.4778925871526</v>
      </c>
      <c r="M435" s="62">
        <f>$J$435-EFEITO!$K$435*EFEITO!$Y$435</f>
        <v>0</v>
      </c>
      <c r="N435" s="62">
        <f ca="1">$K$435-EFEITO!$M$435*EFEITO!$Z$435</f>
        <v>0</v>
      </c>
      <c r="O435" s="62">
        <f>$L$435-EFEITO!$O$435*EFEITO!$AA$435</f>
        <v>0</v>
      </c>
      <c r="P435" s="45"/>
      <c r="Q435" s="45"/>
      <c r="R435" s="45"/>
      <c r="S435" s="45"/>
      <c r="T435" s="45"/>
      <c r="U435" s="45"/>
      <c r="V435" s="45"/>
      <c r="W435" s="45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41" t="s">
        <v>21</v>
      </c>
      <c r="B436" s="41" t="s">
        <v>36</v>
      </c>
      <c r="C436" s="41" t="s">
        <v>23</v>
      </c>
      <c r="D436" s="41" t="s">
        <v>37</v>
      </c>
      <c r="E436" s="41" t="s">
        <v>25</v>
      </c>
      <c r="F436" s="41" t="s">
        <v>25</v>
      </c>
      <c r="G436" s="41" t="s">
        <v>25</v>
      </c>
      <c r="H436" s="41" t="s">
        <v>25</v>
      </c>
      <c r="I436" s="61">
        <v>44713</v>
      </c>
      <c r="J436" s="62">
        <f>EFEITO!$J$436*EFEITO!$Y$436</f>
        <v>0</v>
      </c>
      <c r="K436" s="62">
        <f ca="1">EFEITO!$L$436*EFEITO!$Z$436</f>
        <v>28799.247624611267</v>
      </c>
      <c r="L436" s="62">
        <f>EFEITO!$N$436*EFEITO!$AA$436</f>
        <v>17064.521938528702</v>
      </c>
      <c r="M436" s="62">
        <f>$J$436-EFEITO!$K$436*EFEITO!$Y$436</f>
        <v>0</v>
      </c>
      <c r="N436" s="62">
        <f ca="1">$K$436-EFEITO!$M$436*EFEITO!$Z$436</f>
        <v>0</v>
      </c>
      <c r="O436" s="62">
        <f>$L$436-EFEITO!$O$436*EFEITO!$AA$436</f>
        <v>0</v>
      </c>
      <c r="P436" s="45"/>
      <c r="Q436" s="45"/>
      <c r="R436" s="45"/>
      <c r="S436" s="45"/>
      <c r="T436" s="45"/>
      <c r="U436" s="45"/>
      <c r="V436" s="45"/>
      <c r="W436" s="45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41" t="s">
        <v>27</v>
      </c>
      <c r="B437" s="41" t="s">
        <v>36</v>
      </c>
      <c r="C437" s="41" t="s">
        <v>23</v>
      </c>
      <c r="D437" s="41" t="s">
        <v>37</v>
      </c>
      <c r="E437" s="41" t="s">
        <v>25</v>
      </c>
      <c r="F437" s="41" t="s">
        <v>25</v>
      </c>
      <c r="G437" s="41" t="s">
        <v>25</v>
      </c>
      <c r="H437" s="41" t="s">
        <v>25</v>
      </c>
      <c r="I437" s="61">
        <v>44713</v>
      </c>
      <c r="J437" s="62">
        <f>EFEITO!$J$437*EFEITO!$Y$437</f>
        <v>0</v>
      </c>
      <c r="K437" s="62">
        <f ca="1">EFEITO!$L$437*EFEITO!$Z$437</f>
        <v>3627.1066246772757</v>
      </c>
      <c r="L437" s="62">
        <f>EFEITO!$N$437*EFEITO!$AA$437</f>
        <v>2149.1825542447177</v>
      </c>
      <c r="M437" s="62">
        <f>$J$437-EFEITO!$K$437*EFEITO!$Y$437</f>
        <v>0</v>
      </c>
      <c r="N437" s="62">
        <f ca="1">$K$437-EFEITO!$M$437*EFEITO!$Z$437</f>
        <v>0</v>
      </c>
      <c r="O437" s="62">
        <f>$L$437-EFEITO!$O$437*EFEITO!$AA$437</f>
        <v>0</v>
      </c>
      <c r="P437" s="45"/>
      <c r="Q437" s="45"/>
      <c r="R437" s="45"/>
      <c r="S437" s="45"/>
      <c r="T437" s="45"/>
      <c r="U437" s="45"/>
      <c r="V437" s="45"/>
      <c r="W437" s="45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41" t="s">
        <v>55</v>
      </c>
      <c r="B438" s="41" t="s">
        <v>36</v>
      </c>
      <c r="C438" s="41" t="s">
        <v>23</v>
      </c>
      <c r="D438" s="41" t="s">
        <v>37</v>
      </c>
      <c r="E438" s="41" t="s">
        <v>25</v>
      </c>
      <c r="F438" s="41" t="s">
        <v>25</v>
      </c>
      <c r="G438" s="41" t="s">
        <v>25</v>
      </c>
      <c r="H438" s="41" t="s">
        <v>25</v>
      </c>
      <c r="I438" s="61">
        <v>44743</v>
      </c>
      <c r="J438" s="62">
        <f>EFEITO!$J$438*EFEITO!$Y$438</f>
        <v>0</v>
      </c>
      <c r="K438" s="62">
        <f ca="1">EFEITO!$L$438*EFEITO!$Z$438</f>
        <v>28799.247624611267</v>
      </c>
      <c r="L438" s="62">
        <f>EFEITO!$N$438*EFEITO!$AA$438</f>
        <v>17064.521938528702</v>
      </c>
      <c r="M438" s="62">
        <f>$J$438-EFEITO!$K$438*EFEITO!$Y$438</f>
        <v>0</v>
      </c>
      <c r="N438" s="62">
        <f ca="1">$K$438-EFEITO!$M$438*EFEITO!$Z$438</f>
        <v>0</v>
      </c>
      <c r="O438" s="62">
        <f>$L$438-EFEITO!$O$438*EFEITO!$AA$438</f>
        <v>0</v>
      </c>
      <c r="P438" s="45"/>
      <c r="Q438" s="45"/>
      <c r="R438" s="45"/>
      <c r="S438" s="45"/>
      <c r="T438" s="45"/>
      <c r="U438" s="45"/>
      <c r="V438" s="45"/>
      <c r="W438" s="45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41" t="s">
        <v>55</v>
      </c>
      <c r="B439" s="41" t="s">
        <v>36</v>
      </c>
      <c r="C439" s="41" t="s">
        <v>23</v>
      </c>
      <c r="D439" s="41" t="s">
        <v>37</v>
      </c>
      <c r="E439" s="41" t="s">
        <v>25</v>
      </c>
      <c r="F439" s="41" t="s">
        <v>25</v>
      </c>
      <c r="G439" s="41" t="s">
        <v>25</v>
      </c>
      <c r="H439" s="41" t="s">
        <v>25</v>
      </c>
      <c r="I439" s="61">
        <v>44743</v>
      </c>
      <c r="J439" s="62">
        <f>EFEITO!$J$439*EFEITO!$Y$439</f>
        <v>0</v>
      </c>
      <c r="K439" s="62">
        <f ca="1">EFEITO!$L$439*EFEITO!$Z$439</f>
        <v>3627.1066246772757</v>
      </c>
      <c r="L439" s="62">
        <f>EFEITO!$N$439*EFEITO!$AA$439</f>
        <v>2149.1825542447177</v>
      </c>
      <c r="M439" s="62">
        <f>$J$439-EFEITO!$K$439*EFEITO!$Y$439</f>
        <v>0</v>
      </c>
      <c r="N439" s="62">
        <f ca="1">$K$439-EFEITO!$M$439*EFEITO!$Z$439</f>
        <v>0</v>
      </c>
      <c r="O439" s="62">
        <f>$L$439-EFEITO!$O$439*EFEITO!$AA$439</f>
        <v>0</v>
      </c>
      <c r="P439" s="45"/>
      <c r="Q439" s="45"/>
      <c r="R439" s="45"/>
      <c r="S439" s="45"/>
      <c r="T439" s="45"/>
      <c r="U439" s="45"/>
      <c r="V439" s="45"/>
      <c r="W439" s="45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41" t="s">
        <v>21</v>
      </c>
      <c r="B440" s="41" t="s">
        <v>36</v>
      </c>
      <c r="C440" s="41" t="s">
        <v>23</v>
      </c>
      <c r="D440" s="41" t="s">
        <v>43</v>
      </c>
      <c r="E440" s="41" t="s">
        <v>25</v>
      </c>
      <c r="F440" s="41" t="s">
        <v>25</v>
      </c>
      <c r="G440" s="41" t="s">
        <v>25</v>
      </c>
      <c r="H440" s="41" t="s">
        <v>25</v>
      </c>
      <c r="I440" s="61">
        <v>44409</v>
      </c>
      <c r="J440" s="62">
        <f>EFEITO!$J$440*EFEITO!$Y$440</f>
        <v>0</v>
      </c>
      <c r="K440" s="62">
        <f ca="1">EFEITO!$L$440*EFEITO!$Z$440</f>
        <v>26877.242037097516</v>
      </c>
      <c r="L440" s="62">
        <f>EFEITO!$N$440*EFEITO!$AA$440</f>
        <v>15925.669044119246</v>
      </c>
      <c r="M440" s="62">
        <f>$J$440-EFEITO!$K$440*EFEITO!$Y$440</f>
        <v>0</v>
      </c>
      <c r="N440" s="62">
        <f ca="1">$K$440-EFEITO!$M$440*EFEITO!$Z$440</f>
        <v>0</v>
      </c>
      <c r="O440" s="62">
        <f>$L$440-EFEITO!$O$440*EFEITO!$AA$440</f>
        <v>0</v>
      </c>
      <c r="P440" s="45"/>
      <c r="Q440" s="45"/>
      <c r="R440" s="45"/>
      <c r="S440" s="45"/>
      <c r="T440" s="45"/>
      <c r="U440" s="45"/>
      <c r="V440" s="45"/>
      <c r="W440" s="45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41" t="s">
        <v>21</v>
      </c>
      <c r="B441" s="41" t="s">
        <v>36</v>
      </c>
      <c r="C441" s="41" t="s">
        <v>23</v>
      </c>
      <c r="D441" s="41" t="s">
        <v>43</v>
      </c>
      <c r="E441" s="41" t="s">
        <v>25</v>
      </c>
      <c r="F441" s="41" t="s">
        <v>25</v>
      </c>
      <c r="G441" s="41" t="s">
        <v>25</v>
      </c>
      <c r="H441" s="41" t="s">
        <v>25</v>
      </c>
      <c r="I441" s="61">
        <v>44440</v>
      </c>
      <c r="J441" s="62">
        <f>EFEITO!$J$441*EFEITO!$Y$441</f>
        <v>0</v>
      </c>
      <c r="K441" s="62">
        <f ca="1">EFEITO!$L$441*EFEITO!$Z$441</f>
        <v>26790.340052466079</v>
      </c>
      <c r="L441" s="62">
        <f>EFEITO!$N$441*EFEITO!$AA$441</f>
        <v>15874.176698118599</v>
      </c>
      <c r="M441" s="62">
        <f>$J$441-EFEITO!$K$441*EFEITO!$Y$441</f>
        <v>0</v>
      </c>
      <c r="N441" s="62">
        <f ca="1">$K$441-EFEITO!$M$441*EFEITO!$Z$441</f>
        <v>0</v>
      </c>
      <c r="O441" s="62">
        <f>$L$441-EFEITO!$O$441*EFEITO!$AA$441</f>
        <v>0</v>
      </c>
      <c r="P441" s="45"/>
      <c r="Q441" s="45"/>
      <c r="R441" s="45"/>
      <c r="S441" s="45"/>
      <c r="T441" s="45"/>
      <c r="U441" s="45"/>
      <c r="V441" s="45"/>
      <c r="W441" s="45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41" t="s">
        <v>21</v>
      </c>
      <c r="B442" s="41" t="s">
        <v>36</v>
      </c>
      <c r="C442" s="41" t="s">
        <v>23</v>
      </c>
      <c r="D442" s="41" t="s">
        <v>43</v>
      </c>
      <c r="E442" s="41" t="s">
        <v>25</v>
      </c>
      <c r="F442" s="41" t="s">
        <v>25</v>
      </c>
      <c r="G442" s="41" t="s">
        <v>25</v>
      </c>
      <c r="H442" s="41" t="s">
        <v>25</v>
      </c>
      <c r="I442" s="61">
        <v>44470</v>
      </c>
      <c r="J442" s="62">
        <f>EFEITO!$J$442*EFEITO!$Y$442</f>
        <v>0</v>
      </c>
      <c r="K442" s="62">
        <f ca="1">EFEITO!$L$442*EFEITO!$Z$442</f>
        <v>24264.926329729235</v>
      </c>
      <c r="L442" s="62">
        <f>EFEITO!$N$442*EFEITO!$AA$442</f>
        <v>14377.784207688528</v>
      </c>
      <c r="M442" s="62">
        <f>$J$442-EFEITO!$K$442*EFEITO!$Y$442</f>
        <v>0</v>
      </c>
      <c r="N442" s="62">
        <f ca="1">$K$442-EFEITO!$M$442*EFEITO!$Z$442</f>
        <v>0</v>
      </c>
      <c r="O442" s="62">
        <f>$L$442-EFEITO!$O$442*EFEITO!$AA$442</f>
        <v>0</v>
      </c>
      <c r="P442" s="45"/>
      <c r="Q442" s="45"/>
      <c r="R442" s="45"/>
      <c r="S442" s="45"/>
      <c r="T442" s="45"/>
      <c r="U442" s="45"/>
      <c r="V442" s="45"/>
      <c r="W442" s="45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41" t="s">
        <v>21</v>
      </c>
      <c r="B443" s="41" t="s">
        <v>36</v>
      </c>
      <c r="C443" s="41" t="s">
        <v>23</v>
      </c>
      <c r="D443" s="41" t="s">
        <v>43</v>
      </c>
      <c r="E443" s="41" t="s">
        <v>25</v>
      </c>
      <c r="F443" s="41" t="s">
        <v>25</v>
      </c>
      <c r="G443" s="41" t="s">
        <v>25</v>
      </c>
      <c r="H443" s="41" t="s">
        <v>25</v>
      </c>
      <c r="I443" s="61">
        <v>44501</v>
      </c>
      <c r="J443" s="62">
        <f>EFEITO!$J$443*EFEITO!$Y$443</f>
        <v>0</v>
      </c>
      <c r="K443" s="62">
        <f ca="1">EFEITO!$L$443*EFEITO!$Z$443</f>
        <v>31562.940982627853</v>
      </c>
      <c r="L443" s="62">
        <f>EFEITO!$N$443*EFEITO!$AA$443</f>
        <v>18702.103119605708</v>
      </c>
      <c r="M443" s="62">
        <f>$J$443-EFEITO!$K$443*EFEITO!$Y$443</f>
        <v>0</v>
      </c>
      <c r="N443" s="62">
        <f ca="1">$K$443-EFEITO!$M$443*EFEITO!$Z$443</f>
        <v>0</v>
      </c>
      <c r="O443" s="62">
        <f>$L$443-EFEITO!$O$443*EFEITO!$AA$443</f>
        <v>0</v>
      </c>
      <c r="P443" s="45"/>
      <c r="Q443" s="45"/>
      <c r="R443" s="45"/>
      <c r="S443" s="45"/>
      <c r="T443" s="45"/>
      <c r="U443" s="45"/>
      <c r="V443" s="45"/>
      <c r="W443" s="45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41" t="s">
        <v>21</v>
      </c>
      <c r="B444" s="41" t="s">
        <v>36</v>
      </c>
      <c r="C444" s="41" t="s">
        <v>23</v>
      </c>
      <c r="D444" s="41" t="s">
        <v>43</v>
      </c>
      <c r="E444" s="41" t="s">
        <v>25</v>
      </c>
      <c r="F444" s="41" t="s">
        <v>25</v>
      </c>
      <c r="G444" s="41" t="s">
        <v>25</v>
      </c>
      <c r="H444" s="41" t="s">
        <v>25</v>
      </c>
      <c r="I444" s="61">
        <v>44531</v>
      </c>
      <c r="J444" s="62">
        <f>EFEITO!$J$444*EFEITO!$Y$444</f>
        <v>0</v>
      </c>
      <c r="K444" s="62">
        <f ca="1">EFEITO!$L$444*EFEITO!$Z$444</f>
        <v>35133.280988312021</v>
      </c>
      <c r="L444" s="62">
        <f>EFEITO!$N$444*EFEITO!$AA$444</f>
        <v>20817.64954460807</v>
      </c>
      <c r="M444" s="62">
        <f>$J$444-EFEITO!$K$444*EFEITO!$Y$444</f>
        <v>0</v>
      </c>
      <c r="N444" s="62">
        <f ca="1">$K$444-EFEITO!$M$444*EFEITO!$Z$444</f>
        <v>0</v>
      </c>
      <c r="O444" s="62">
        <f>$L$444-EFEITO!$O$444*EFEITO!$AA$444</f>
        <v>0</v>
      </c>
      <c r="P444" s="45"/>
      <c r="Q444" s="45"/>
      <c r="R444" s="45"/>
      <c r="S444" s="45"/>
      <c r="T444" s="45"/>
      <c r="U444" s="45"/>
      <c r="V444" s="45"/>
      <c r="W444" s="45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41" t="s">
        <v>21</v>
      </c>
      <c r="B445" s="41" t="s">
        <v>36</v>
      </c>
      <c r="C445" s="41" t="s">
        <v>23</v>
      </c>
      <c r="D445" s="41" t="s">
        <v>43</v>
      </c>
      <c r="E445" s="41" t="s">
        <v>25</v>
      </c>
      <c r="F445" s="41" t="s">
        <v>25</v>
      </c>
      <c r="G445" s="41" t="s">
        <v>25</v>
      </c>
      <c r="H445" s="41" t="s">
        <v>25</v>
      </c>
      <c r="I445" s="61">
        <v>44562</v>
      </c>
      <c r="J445" s="62">
        <f>EFEITO!$J$445*EFEITO!$Y$445</f>
        <v>0</v>
      </c>
      <c r="K445" s="62">
        <f ca="1">EFEITO!$L$445*EFEITO!$Z$445</f>
        <v>30494.537147380921</v>
      </c>
      <c r="L445" s="62">
        <f>EFEITO!$N$445*EFEITO!$AA$445</f>
        <v>18069.037946396151</v>
      </c>
      <c r="M445" s="62">
        <f>$J$445-EFEITO!$K$445*EFEITO!$Y$445</f>
        <v>0</v>
      </c>
      <c r="N445" s="62">
        <f ca="1">$K$445-EFEITO!$M$445*EFEITO!$Z$445</f>
        <v>0</v>
      </c>
      <c r="O445" s="62">
        <f>$L$445-EFEITO!$O$445*EFEITO!$AA$445</f>
        <v>0</v>
      </c>
      <c r="P445" s="45"/>
      <c r="Q445" s="45"/>
      <c r="R445" s="45"/>
      <c r="S445" s="45"/>
      <c r="T445" s="45"/>
      <c r="U445" s="45"/>
      <c r="V445" s="45"/>
      <c r="W445" s="45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41" t="s">
        <v>21</v>
      </c>
      <c r="B446" s="41" t="s">
        <v>36</v>
      </c>
      <c r="C446" s="41" t="s">
        <v>23</v>
      </c>
      <c r="D446" s="41" t="s">
        <v>43</v>
      </c>
      <c r="E446" s="41" t="s">
        <v>25</v>
      </c>
      <c r="F446" s="41" t="s">
        <v>25</v>
      </c>
      <c r="G446" s="41" t="s">
        <v>25</v>
      </c>
      <c r="H446" s="41" t="s">
        <v>25</v>
      </c>
      <c r="I446" s="61">
        <v>44593</v>
      </c>
      <c r="J446" s="62">
        <f>EFEITO!$J$446*EFEITO!$Y$446</f>
        <v>0</v>
      </c>
      <c r="K446" s="62">
        <f ca="1">EFEITO!$L$446*EFEITO!$Z$446</f>
        <v>33050.086235756091</v>
      </c>
      <c r="L446" s="62">
        <f>EFEITO!$N$446*EFEITO!$AA$446</f>
        <v>19583.28665358451</v>
      </c>
      <c r="M446" s="62">
        <f>$J$446-EFEITO!$K$446*EFEITO!$Y$446</f>
        <v>0</v>
      </c>
      <c r="N446" s="62">
        <f ca="1">$K$446-EFEITO!$M$446*EFEITO!$Z$446</f>
        <v>0</v>
      </c>
      <c r="O446" s="62">
        <f>$L$446-EFEITO!$O$446*EFEITO!$AA$446</f>
        <v>0</v>
      </c>
      <c r="P446" s="45"/>
      <c r="Q446" s="45"/>
      <c r="R446" s="45"/>
      <c r="S446" s="45"/>
      <c r="T446" s="45"/>
      <c r="U446" s="45"/>
      <c r="V446" s="45"/>
      <c r="W446" s="45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41" t="s">
        <v>21</v>
      </c>
      <c r="B447" s="41" t="s">
        <v>36</v>
      </c>
      <c r="C447" s="41" t="s">
        <v>23</v>
      </c>
      <c r="D447" s="41" t="s">
        <v>43</v>
      </c>
      <c r="E447" s="41" t="s">
        <v>25</v>
      </c>
      <c r="F447" s="41" t="s">
        <v>25</v>
      </c>
      <c r="G447" s="41" t="s">
        <v>25</v>
      </c>
      <c r="H447" s="41" t="s">
        <v>25</v>
      </c>
      <c r="I447" s="61">
        <v>44621</v>
      </c>
      <c r="J447" s="62">
        <f>EFEITO!$J$447*EFEITO!$Y$447</f>
        <v>0</v>
      </c>
      <c r="K447" s="62">
        <f ca="1">EFEITO!$L$447*EFEITO!$Z$447</f>
        <v>36083.245828375788</v>
      </c>
      <c r="L447" s="62">
        <f>EFEITO!$N$447*EFEITO!$AA$447</f>
        <v>21380.535633349005</v>
      </c>
      <c r="M447" s="62">
        <f>$J$447-EFEITO!$K$447*EFEITO!$Y$447</f>
        <v>0</v>
      </c>
      <c r="N447" s="62">
        <f ca="1">$K$447-EFEITO!$M$447*EFEITO!$Z$447</f>
        <v>0</v>
      </c>
      <c r="O447" s="62">
        <f>$L$447-EFEITO!$O$447*EFEITO!$AA$447</f>
        <v>0</v>
      </c>
      <c r="P447" s="45"/>
      <c r="Q447" s="45"/>
      <c r="R447" s="45"/>
      <c r="S447" s="45"/>
      <c r="T447" s="45"/>
      <c r="U447" s="45"/>
      <c r="V447" s="45"/>
      <c r="W447" s="45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41" t="s">
        <v>21</v>
      </c>
      <c r="B448" s="41" t="s">
        <v>36</v>
      </c>
      <c r="C448" s="41" t="s">
        <v>23</v>
      </c>
      <c r="D448" s="41" t="s">
        <v>43</v>
      </c>
      <c r="E448" s="41" t="s">
        <v>25</v>
      </c>
      <c r="F448" s="41" t="s">
        <v>25</v>
      </c>
      <c r="G448" s="41" t="s">
        <v>25</v>
      </c>
      <c r="H448" s="41" t="s">
        <v>25</v>
      </c>
      <c r="I448" s="61">
        <v>44652</v>
      </c>
      <c r="J448" s="62">
        <f>EFEITO!$J$448*EFEITO!$Y$448</f>
        <v>0</v>
      </c>
      <c r="K448" s="62">
        <f ca="1">EFEITO!$L$448*EFEITO!$Z$448</f>
        <v>30410.788863804661</v>
      </c>
      <c r="L448" s="62">
        <f>EFEITO!$N$448*EFEITO!$AA$448</f>
        <v>18019.414274242299</v>
      </c>
      <c r="M448" s="62">
        <f>$J$448-EFEITO!$K$448*EFEITO!$Y$448</f>
        <v>0</v>
      </c>
      <c r="N448" s="62">
        <f ca="1">$K$448-EFEITO!$M$448*EFEITO!$Z$448</f>
        <v>0</v>
      </c>
      <c r="O448" s="62">
        <f>$L$448-EFEITO!$O$448*EFEITO!$AA$448</f>
        <v>0</v>
      </c>
      <c r="P448" s="45"/>
      <c r="Q448" s="45"/>
      <c r="R448" s="45"/>
      <c r="S448" s="45"/>
      <c r="T448" s="45"/>
      <c r="U448" s="45"/>
      <c r="V448" s="45"/>
      <c r="W448" s="45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41" t="s">
        <v>21</v>
      </c>
      <c r="B449" s="41" t="s">
        <v>36</v>
      </c>
      <c r="C449" s="41" t="s">
        <v>23</v>
      </c>
      <c r="D449" s="41" t="s">
        <v>43</v>
      </c>
      <c r="E449" s="41" t="s">
        <v>25</v>
      </c>
      <c r="F449" s="41" t="s">
        <v>25</v>
      </c>
      <c r="G449" s="41" t="s">
        <v>25</v>
      </c>
      <c r="H449" s="41" t="s">
        <v>25</v>
      </c>
      <c r="I449" s="61">
        <v>44682</v>
      </c>
      <c r="J449" s="62">
        <f>EFEITO!$J$449*EFEITO!$Y$449</f>
        <v>0</v>
      </c>
      <c r="K449" s="62">
        <f ca="1">EFEITO!$L$449*EFEITO!$Z$449</f>
        <v>32265.165084246371</v>
      </c>
      <c r="L449" s="62">
        <f>EFEITO!$N$449*EFEITO!$AA$449</f>
        <v>19118.194496159318</v>
      </c>
      <c r="M449" s="62">
        <f>$J$449-EFEITO!$K$449*EFEITO!$Y$449</f>
        <v>0</v>
      </c>
      <c r="N449" s="62">
        <f ca="1">$K$449-EFEITO!$M$449*EFEITO!$Z$449</f>
        <v>0</v>
      </c>
      <c r="O449" s="62">
        <f>$L$449-EFEITO!$O$449*EFEITO!$AA$449</f>
        <v>0</v>
      </c>
      <c r="P449" s="45"/>
      <c r="Q449" s="45"/>
      <c r="R449" s="45"/>
      <c r="S449" s="45"/>
      <c r="T449" s="45"/>
      <c r="U449" s="45"/>
      <c r="V449" s="45"/>
      <c r="W449" s="45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41" t="s">
        <v>21</v>
      </c>
      <c r="B450" s="41" t="s">
        <v>36</v>
      </c>
      <c r="C450" s="41" t="s">
        <v>23</v>
      </c>
      <c r="D450" s="41" t="s">
        <v>43</v>
      </c>
      <c r="E450" s="41" t="s">
        <v>25</v>
      </c>
      <c r="F450" s="41" t="s">
        <v>25</v>
      </c>
      <c r="G450" s="41" t="s">
        <v>25</v>
      </c>
      <c r="H450" s="41" t="s">
        <v>25</v>
      </c>
      <c r="I450" s="61">
        <v>44713</v>
      </c>
      <c r="J450" s="62">
        <f>EFEITO!$J$450*EFEITO!$Y$450</f>
        <v>0</v>
      </c>
      <c r="K450" s="62">
        <f ca="1">EFEITO!$L$450*EFEITO!$Z$450</f>
        <v>29965.416192568566</v>
      </c>
      <c r="L450" s="62">
        <f>EFEITO!$N$450*EFEITO!$AA$450</f>
        <v>17755.516000988988</v>
      </c>
      <c r="M450" s="62">
        <f>$J$450-EFEITO!$K$450*EFEITO!$Y$450</f>
        <v>0</v>
      </c>
      <c r="N450" s="62">
        <f ca="1">$K$450-EFEITO!$M$450*EFEITO!$Z$450</f>
        <v>0</v>
      </c>
      <c r="O450" s="62">
        <f>$L$450-EFEITO!$O$450*EFEITO!$AA$450</f>
        <v>0</v>
      </c>
      <c r="P450" s="45"/>
      <c r="Q450" s="45"/>
      <c r="R450" s="45"/>
      <c r="S450" s="45"/>
      <c r="T450" s="45"/>
      <c r="U450" s="45"/>
      <c r="V450" s="45"/>
      <c r="W450" s="45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41" t="s">
        <v>55</v>
      </c>
      <c r="B451" s="41" t="s">
        <v>36</v>
      </c>
      <c r="C451" s="41" t="s">
        <v>23</v>
      </c>
      <c r="D451" s="41" t="s">
        <v>43</v>
      </c>
      <c r="E451" s="41" t="s">
        <v>25</v>
      </c>
      <c r="F451" s="41" t="s">
        <v>25</v>
      </c>
      <c r="G451" s="41" t="s">
        <v>25</v>
      </c>
      <c r="H451" s="41" t="s">
        <v>25</v>
      </c>
      <c r="I451" s="61">
        <v>44743</v>
      </c>
      <c r="J451" s="62">
        <f>EFEITO!$J$451*EFEITO!$Y$451</f>
        <v>0</v>
      </c>
      <c r="K451" s="62">
        <f ca="1">EFEITO!$L$451*EFEITO!$Z$451</f>
        <v>29965.416192568566</v>
      </c>
      <c r="L451" s="62">
        <f>EFEITO!$N$451*EFEITO!$AA$451</f>
        <v>17755.516000988988</v>
      </c>
      <c r="M451" s="62">
        <f>$J$451-EFEITO!$K$451*EFEITO!$Y$451</f>
        <v>0</v>
      </c>
      <c r="N451" s="62">
        <f ca="1">$K$451-EFEITO!$M$451*EFEITO!$Z$451</f>
        <v>0</v>
      </c>
      <c r="O451" s="62">
        <f>$L$451-EFEITO!$O$451*EFEITO!$AA$451</f>
        <v>0</v>
      </c>
      <c r="P451" s="45"/>
      <c r="Q451" s="45"/>
      <c r="R451" s="45"/>
      <c r="S451" s="45"/>
      <c r="T451" s="45"/>
      <c r="U451" s="45"/>
      <c r="V451" s="45"/>
      <c r="W451" s="45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41" t="s">
        <v>21</v>
      </c>
      <c r="B452" s="41" t="s">
        <v>36</v>
      </c>
      <c r="C452" s="41" t="s">
        <v>23</v>
      </c>
      <c r="D452" s="41" t="s">
        <v>47</v>
      </c>
      <c r="E452" s="41" t="s">
        <v>48</v>
      </c>
      <c r="F452" s="41" t="s">
        <v>25</v>
      </c>
      <c r="G452" s="41" t="s">
        <v>25</v>
      </c>
      <c r="H452" s="41" t="s">
        <v>25</v>
      </c>
      <c r="I452" s="61">
        <v>44409</v>
      </c>
      <c r="J452" s="62">
        <f>EFEITO!$J$452*EFEITO!$Y$451</f>
        <v>0</v>
      </c>
      <c r="K452" s="62">
        <f ca="1">EFEITO!$L$452*EFEITO!$Z$451</f>
        <v>6834.0701865598403</v>
      </c>
      <c r="L452" s="62">
        <f>EFEITO!$N$452*EFEITO!$AA$451</f>
        <v>4049.4162260105036</v>
      </c>
      <c r="M452" s="62">
        <f>$J$452-EFEITO!$K$452*EFEITO!$Y$452</f>
        <v>0</v>
      </c>
      <c r="N452" s="62">
        <f ca="1">$K$452-EFEITO!$M$452*EFEITO!$Z$452</f>
        <v>205.02210559679588</v>
      </c>
      <c r="O452" s="62">
        <f>$L$452-EFEITO!$O$452*EFEITO!$AA$452</f>
        <v>121.48248678031496</v>
      </c>
      <c r="P452" s="45"/>
      <c r="Q452" s="45"/>
      <c r="R452" s="45"/>
      <c r="S452" s="45"/>
      <c r="T452" s="45"/>
      <c r="U452" s="45"/>
      <c r="V452" s="45"/>
      <c r="W452" s="45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41" t="s">
        <v>21</v>
      </c>
      <c r="B453" s="41" t="s">
        <v>36</v>
      </c>
      <c r="C453" s="41" t="s">
        <v>23</v>
      </c>
      <c r="D453" s="41" t="s">
        <v>47</v>
      </c>
      <c r="E453" s="41" t="s">
        <v>48</v>
      </c>
      <c r="F453" s="41" t="s">
        <v>25</v>
      </c>
      <c r="G453" s="41" t="s">
        <v>25</v>
      </c>
      <c r="H453" s="41" t="s">
        <v>25</v>
      </c>
      <c r="I453" s="61">
        <v>44440</v>
      </c>
      <c r="J453" s="62">
        <f>EFEITO!$J$453*EFEITO!$Y$451</f>
        <v>0</v>
      </c>
      <c r="K453" s="62">
        <f ca="1">EFEITO!$L$453*EFEITO!$Z$451</f>
        <v>7634.4094321170705</v>
      </c>
      <c r="L453" s="62">
        <f>EFEITO!$N$453*EFEITO!$AA$451</f>
        <v>4523.6441222422627</v>
      </c>
      <c r="M453" s="62">
        <f>$J$453-EFEITO!$K$453*EFEITO!$Y$453</f>
        <v>0</v>
      </c>
      <c r="N453" s="62">
        <f ca="1">$K$453-EFEITO!$M$453*EFEITO!$Z$453</f>
        <v>229.03228296351244</v>
      </c>
      <c r="O453" s="62">
        <f>$L$453-EFEITO!$O$453*EFEITO!$AA$453</f>
        <v>135.70932366726811</v>
      </c>
      <c r="P453" s="45"/>
      <c r="Q453" s="45"/>
      <c r="R453" s="45"/>
      <c r="S453" s="45"/>
      <c r="T453" s="45"/>
      <c r="U453" s="45"/>
      <c r="V453" s="45"/>
      <c r="W453" s="45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41" t="s">
        <v>21</v>
      </c>
      <c r="B454" s="41" t="s">
        <v>36</v>
      </c>
      <c r="C454" s="41" t="s">
        <v>23</v>
      </c>
      <c r="D454" s="41" t="s">
        <v>47</v>
      </c>
      <c r="E454" s="41" t="s">
        <v>48</v>
      </c>
      <c r="F454" s="41" t="s">
        <v>25</v>
      </c>
      <c r="G454" s="41" t="s">
        <v>25</v>
      </c>
      <c r="H454" s="41" t="s">
        <v>25</v>
      </c>
      <c r="I454" s="61">
        <v>44470</v>
      </c>
      <c r="J454" s="62">
        <f>EFEITO!$J$454*EFEITO!$Y$451</f>
        <v>0</v>
      </c>
      <c r="K454" s="62">
        <f ca="1">EFEITO!$L$454*EFEITO!$Z$451</f>
        <v>6713.1783127782101</v>
      </c>
      <c r="L454" s="62">
        <f>EFEITO!$N$454*EFEITO!$AA$451</f>
        <v>3977.7837285499277</v>
      </c>
      <c r="M454" s="62">
        <f>$J$454-EFEITO!$K$454*EFEITO!$Y$454</f>
        <v>0</v>
      </c>
      <c r="N454" s="62">
        <f ca="1">$K$454-EFEITO!$M$454*EFEITO!$Z$454</f>
        <v>201.39534938334691</v>
      </c>
      <c r="O454" s="62">
        <f>$L$454-EFEITO!$O$454*EFEITO!$AA$454</f>
        <v>119.33351185649781</v>
      </c>
      <c r="P454" s="45"/>
      <c r="Q454" s="45"/>
      <c r="R454" s="45"/>
      <c r="S454" s="45"/>
      <c r="T454" s="45"/>
      <c r="U454" s="45"/>
      <c r="V454" s="45"/>
      <c r="W454" s="45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41" t="s">
        <v>21</v>
      </c>
      <c r="B455" s="41" t="s">
        <v>36</v>
      </c>
      <c r="C455" s="41" t="s">
        <v>23</v>
      </c>
      <c r="D455" s="41" t="s">
        <v>47</v>
      </c>
      <c r="E455" s="41" t="s">
        <v>48</v>
      </c>
      <c r="F455" s="41" t="s">
        <v>25</v>
      </c>
      <c r="G455" s="41" t="s">
        <v>25</v>
      </c>
      <c r="H455" s="41" t="s">
        <v>25</v>
      </c>
      <c r="I455" s="61">
        <v>44501</v>
      </c>
      <c r="J455" s="62">
        <f>EFEITO!$J$455*EFEITO!$Y$451</f>
        <v>0</v>
      </c>
      <c r="K455" s="62">
        <f ca="1">EFEITO!$L$455*EFEITO!$Z$451</f>
        <v>7211.4630794955392</v>
      </c>
      <c r="L455" s="62">
        <f>EFEITO!$N$455*EFEITO!$AA$451</f>
        <v>4273.034196343955</v>
      </c>
      <c r="M455" s="62">
        <f>$J$455-EFEITO!$K$455*EFEITO!$Y$455</f>
        <v>0</v>
      </c>
      <c r="N455" s="62">
        <f ca="1">$K$455-EFEITO!$M$455*EFEITO!$Z$455</f>
        <v>216.3438923848671</v>
      </c>
      <c r="O455" s="62">
        <f>$L$455-EFEITO!$O$455*EFEITO!$AA$455</f>
        <v>128.19102589031809</v>
      </c>
      <c r="P455" s="45"/>
      <c r="Q455" s="45"/>
      <c r="R455" s="45"/>
      <c r="S455" s="45"/>
      <c r="T455" s="45"/>
      <c r="U455" s="45"/>
      <c r="V455" s="45"/>
      <c r="W455" s="45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41" t="s">
        <v>21</v>
      </c>
      <c r="B456" s="41" t="s">
        <v>36</v>
      </c>
      <c r="C456" s="41" t="s">
        <v>23</v>
      </c>
      <c r="D456" s="41" t="s">
        <v>47</v>
      </c>
      <c r="E456" s="41" t="s">
        <v>48</v>
      </c>
      <c r="F456" s="41" t="s">
        <v>25</v>
      </c>
      <c r="G456" s="41" t="s">
        <v>25</v>
      </c>
      <c r="H456" s="41" t="s">
        <v>25</v>
      </c>
      <c r="I456" s="61">
        <v>44531</v>
      </c>
      <c r="J456" s="62">
        <f>EFEITO!$J$456*EFEITO!$Y$451</f>
        <v>0</v>
      </c>
      <c r="K456" s="62">
        <f ca="1">EFEITO!$L$456*EFEITO!$Z$451</f>
        <v>7839.0495894749611</v>
      </c>
      <c r="L456" s="62">
        <f>EFEITO!$N$456*EFEITO!$AA$451</f>
        <v>4644.9002918566875</v>
      </c>
      <c r="M456" s="62">
        <f>$J$456-EFEITO!$K$456*EFEITO!$Y$456</f>
        <v>0</v>
      </c>
      <c r="N456" s="62">
        <f ca="1">$K$456-EFEITO!$M$456*EFEITO!$Z$456</f>
        <v>235.17148768424886</v>
      </c>
      <c r="O456" s="62">
        <f>$L$456-EFEITO!$O$456*EFEITO!$AA$456</f>
        <v>139.3470087557007</v>
      </c>
      <c r="P456" s="45"/>
      <c r="Q456" s="45"/>
      <c r="R456" s="45"/>
      <c r="S456" s="45"/>
      <c r="T456" s="45"/>
      <c r="U456" s="45"/>
      <c r="V456" s="45"/>
      <c r="W456" s="45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41" t="s">
        <v>21</v>
      </c>
      <c r="B457" s="41" t="s">
        <v>36</v>
      </c>
      <c r="C457" s="41" t="s">
        <v>23</v>
      </c>
      <c r="D457" s="41" t="s">
        <v>47</v>
      </c>
      <c r="E457" s="41" t="s">
        <v>48</v>
      </c>
      <c r="F457" s="41" t="s">
        <v>25</v>
      </c>
      <c r="G457" s="41" t="s">
        <v>25</v>
      </c>
      <c r="H457" s="41" t="s">
        <v>25</v>
      </c>
      <c r="I457" s="61">
        <v>44562</v>
      </c>
      <c r="J457" s="62">
        <f>EFEITO!$J$457*EFEITO!$Y$451</f>
        <v>0</v>
      </c>
      <c r="K457" s="62">
        <f ca="1">EFEITO!$L$457*EFEITO!$Z$451</f>
        <v>6662.3686846670898</v>
      </c>
      <c r="L457" s="62">
        <f>EFEITO!$N$457*EFEITO!$AA$451</f>
        <v>3947.6773165737432</v>
      </c>
      <c r="M457" s="62">
        <f>$J$457-EFEITO!$K$457*EFEITO!$Y$457</f>
        <v>0</v>
      </c>
      <c r="N457" s="62">
        <f ca="1">$K$457-EFEITO!$M$457*EFEITO!$Z$457</f>
        <v>199.87106054001379</v>
      </c>
      <c r="O457" s="62">
        <f>$L$457-EFEITO!$O$457*EFEITO!$AA$457</f>
        <v>118.43031949721217</v>
      </c>
      <c r="P457" s="45"/>
      <c r="Q457" s="45"/>
      <c r="R457" s="45"/>
      <c r="S457" s="45"/>
      <c r="T457" s="45"/>
      <c r="U457" s="45"/>
      <c r="V457" s="45"/>
      <c r="W457" s="45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41" t="s">
        <v>21</v>
      </c>
      <c r="B458" s="41" t="s">
        <v>36</v>
      </c>
      <c r="C458" s="41" t="s">
        <v>23</v>
      </c>
      <c r="D458" s="41" t="s">
        <v>47</v>
      </c>
      <c r="E458" s="41" t="s">
        <v>48</v>
      </c>
      <c r="F458" s="41" t="s">
        <v>25</v>
      </c>
      <c r="G458" s="41" t="s">
        <v>25</v>
      </c>
      <c r="H458" s="41" t="s">
        <v>25</v>
      </c>
      <c r="I458" s="61">
        <v>44593</v>
      </c>
      <c r="J458" s="62">
        <f>EFEITO!$J$458*EFEITO!$Y$451</f>
        <v>0</v>
      </c>
      <c r="K458" s="62">
        <f ca="1">EFEITO!$L$458*EFEITO!$Z$451</f>
        <v>6090.1471487673698</v>
      </c>
      <c r="L458" s="62">
        <f>EFEITO!$N$458*EFEITO!$AA$451</f>
        <v>3608.6168285936806</v>
      </c>
      <c r="M458" s="62">
        <f>$J$458-EFEITO!$K$458*EFEITO!$Y$458</f>
        <v>0</v>
      </c>
      <c r="N458" s="62">
        <f ca="1">$K$458-EFEITO!$M$458*EFEITO!$Z$458</f>
        <v>182.70441446302175</v>
      </c>
      <c r="O458" s="62">
        <f>$L$458-EFEITO!$O$458*EFEITO!$AA$458</f>
        <v>108.25850485781029</v>
      </c>
      <c r="P458" s="45"/>
      <c r="Q458" s="45"/>
      <c r="R458" s="45"/>
      <c r="S458" s="45"/>
      <c r="T458" s="45"/>
      <c r="U458" s="45"/>
      <c r="V458" s="45"/>
      <c r="W458" s="45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41" t="s">
        <v>21</v>
      </c>
      <c r="B459" s="41" t="s">
        <v>36</v>
      </c>
      <c r="C459" s="41" t="s">
        <v>23</v>
      </c>
      <c r="D459" s="41" t="s">
        <v>47</v>
      </c>
      <c r="E459" s="41" t="s">
        <v>48</v>
      </c>
      <c r="F459" s="41" t="s">
        <v>25</v>
      </c>
      <c r="G459" s="41" t="s">
        <v>25</v>
      </c>
      <c r="H459" s="41" t="s">
        <v>25</v>
      </c>
      <c r="I459" s="61">
        <v>44621</v>
      </c>
      <c r="J459" s="62">
        <f>EFEITO!$J$459*EFEITO!$Y$451</f>
        <v>0</v>
      </c>
      <c r="K459" s="62">
        <f ca="1">EFEITO!$L$459*EFEITO!$Z$451</f>
        <v>6659.5653948402687</v>
      </c>
      <c r="L459" s="62">
        <f>EFEITO!$N$459*EFEITO!$AA$451</f>
        <v>3946.0162731543669</v>
      </c>
      <c r="M459" s="62">
        <f>$J$459-EFEITO!$K$459*EFEITO!$Y$459</f>
        <v>0</v>
      </c>
      <c r="N459" s="62">
        <f ca="1">$K$459-EFEITO!$M$459*EFEITO!$Z$459</f>
        <v>199.78696184520868</v>
      </c>
      <c r="O459" s="62">
        <f>$L$459-EFEITO!$O$459*EFEITO!$AA$459</f>
        <v>118.38048819463074</v>
      </c>
      <c r="P459" s="45"/>
      <c r="Q459" s="45"/>
      <c r="R459" s="45"/>
      <c r="S459" s="45"/>
      <c r="T459" s="45"/>
      <c r="U459" s="45"/>
      <c r="V459" s="45"/>
      <c r="W459" s="45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41" t="s">
        <v>21</v>
      </c>
      <c r="B460" s="41" t="s">
        <v>36</v>
      </c>
      <c r="C460" s="41" t="s">
        <v>23</v>
      </c>
      <c r="D460" s="41" t="s">
        <v>47</v>
      </c>
      <c r="E460" s="41" t="s">
        <v>48</v>
      </c>
      <c r="F460" s="41" t="s">
        <v>25</v>
      </c>
      <c r="G460" s="41" t="s">
        <v>25</v>
      </c>
      <c r="H460" s="41" t="s">
        <v>25</v>
      </c>
      <c r="I460" s="61">
        <v>44652</v>
      </c>
      <c r="J460" s="62">
        <f>EFEITO!$J$460*EFEITO!$Y$451</f>
        <v>0</v>
      </c>
      <c r="K460" s="62">
        <f ca="1">EFEITO!$L$460*EFEITO!$Z$451</f>
        <v>6171.7929649735152</v>
      </c>
      <c r="L460" s="62">
        <f>EFEITO!$N$460*EFEITO!$AA$451</f>
        <v>3656.9947181829975</v>
      </c>
      <c r="M460" s="62">
        <f>$J$460-EFEITO!$K$460*EFEITO!$Y$460</f>
        <v>0</v>
      </c>
      <c r="N460" s="62">
        <f ca="1">$K$460-EFEITO!$M$460*EFEITO!$Z$460</f>
        <v>185.1537889492065</v>
      </c>
      <c r="O460" s="62">
        <f>$L$460-EFEITO!$O$460*EFEITO!$AA$460</f>
        <v>109.70984154548978</v>
      </c>
      <c r="P460" s="45"/>
      <c r="Q460" s="45"/>
      <c r="R460" s="45"/>
      <c r="S460" s="45"/>
      <c r="T460" s="45"/>
      <c r="U460" s="45"/>
      <c r="V460" s="45"/>
      <c r="W460" s="45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41" t="s">
        <v>21</v>
      </c>
      <c r="B461" s="41" t="s">
        <v>36</v>
      </c>
      <c r="C461" s="41" t="s">
        <v>23</v>
      </c>
      <c r="D461" s="41" t="s">
        <v>47</v>
      </c>
      <c r="E461" s="41" t="s">
        <v>48</v>
      </c>
      <c r="F461" s="41" t="s">
        <v>25</v>
      </c>
      <c r="G461" s="41" t="s">
        <v>25</v>
      </c>
      <c r="H461" s="41" t="s">
        <v>25</v>
      </c>
      <c r="I461" s="61">
        <v>44682</v>
      </c>
      <c r="J461" s="62">
        <f>EFEITO!$J$461*EFEITO!$Y$451</f>
        <v>0</v>
      </c>
      <c r="K461" s="62">
        <f ca="1">EFEITO!$L$461*EFEITO!$Z$451</f>
        <v>5329.0539607856253</v>
      </c>
      <c r="L461" s="62">
        <f>EFEITO!$N$461*EFEITO!$AA$451</f>
        <v>3157.6435402331817</v>
      </c>
      <c r="M461" s="62">
        <f>$J$461-EFEITO!$K$461*EFEITO!$Y$461</f>
        <v>0</v>
      </c>
      <c r="N461" s="62">
        <f ca="1">$K$461-EFEITO!$M$461*EFEITO!$Z$461</f>
        <v>159.87161882356941</v>
      </c>
      <c r="O461" s="62">
        <f>$L$461-EFEITO!$O$461*EFEITO!$AA$461</f>
        <v>94.729306206995716</v>
      </c>
      <c r="P461" s="45"/>
      <c r="Q461" s="45"/>
      <c r="R461" s="45"/>
      <c r="S461" s="45"/>
      <c r="T461" s="45"/>
      <c r="U461" s="45"/>
      <c r="V461" s="45"/>
      <c r="W461" s="45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41" t="s">
        <v>21</v>
      </c>
      <c r="B462" s="41" t="s">
        <v>36</v>
      </c>
      <c r="C462" s="41" t="s">
        <v>23</v>
      </c>
      <c r="D462" s="41" t="s">
        <v>47</v>
      </c>
      <c r="E462" s="41" t="s">
        <v>48</v>
      </c>
      <c r="F462" s="41" t="s">
        <v>25</v>
      </c>
      <c r="G462" s="41" t="s">
        <v>25</v>
      </c>
      <c r="H462" s="41" t="s">
        <v>25</v>
      </c>
      <c r="I462" s="61">
        <v>44713</v>
      </c>
      <c r="J462" s="62">
        <f>EFEITO!$J$462*EFEITO!$Y$451</f>
        <v>0</v>
      </c>
      <c r="K462" s="62">
        <f ca="1">EFEITO!$L$462*EFEITO!$Z$451</f>
        <v>5340.9679425496124</v>
      </c>
      <c r="L462" s="62">
        <f>EFEITO!$N$462*EFEITO!$AA$451</f>
        <v>3164.7029747655283</v>
      </c>
      <c r="M462" s="62">
        <f>$J$462-EFEITO!$K$462*EFEITO!$Y$462</f>
        <v>0</v>
      </c>
      <c r="N462" s="62">
        <f ca="1">$K$462-EFEITO!$M$462*EFEITO!$Z$462</f>
        <v>160.22903827648861</v>
      </c>
      <c r="O462" s="62">
        <f>$L$462-EFEITO!$O$462*EFEITO!$AA$462</f>
        <v>94.941089242965518</v>
      </c>
      <c r="P462" s="45"/>
      <c r="Q462" s="45"/>
      <c r="R462" s="45"/>
      <c r="S462" s="45"/>
      <c r="T462" s="45"/>
      <c r="U462" s="45"/>
      <c r="V462" s="45"/>
      <c r="W462" s="45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41" t="s">
        <v>55</v>
      </c>
      <c r="B463" s="41" t="s">
        <v>36</v>
      </c>
      <c r="C463" s="41" t="s">
        <v>23</v>
      </c>
      <c r="D463" s="41" t="s">
        <v>47</v>
      </c>
      <c r="E463" s="41" t="s">
        <v>48</v>
      </c>
      <c r="F463" s="41" t="s">
        <v>25</v>
      </c>
      <c r="G463" s="41" t="s">
        <v>25</v>
      </c>
      <c r="H463" s="41" t="s">
        <v>25</v>
      </c>
      <c r="I463" s="61">
        <v>44743</v>
      </c>
      <c r="J463" s="62">
        <f>EFEITO!$J$463*EFEITO!$Y$451</f>
        <v>0</v>
      </c>
      <c r="K463" s="62">
        <f ca="1">EFEITO!$L$463*EFEITO!$Z$451</f>
        <v>5340.9679425496124</v>
      </c>
      <c r="L463" s="62">
        <f>EFEITO!$N$463*EFEITO!$AA$451</f>
        <v>3164.7029747655283</v>
      </c>
      <c r="M463" s="62">
        <f>$J$463-EFEITO!$K$463*EFEITO!$Y$463</f>
        <v>0</v>
      </c>
      <c r="N463" s="62">
        <f ca="1">$K$463-EFEITO!$M$463*EFEITO!$Z$463</f>
        <v>160.22903827648861</v>
      </c>
      <c r="O463" s="62">
        <f>$L$463-EFEITO!$O$463*EFEITO!$AA$463</f>
        <v>94.941089242965518</v>
      </c>
      <c r="P463" s="45"/>
      <c r="Q463" s="45"/>
      <c r="R463" s="45"/>
      <c r="S463" s="45"/>
      <c r="T463" s="45"/>
      <c r="U463" s="45"/>
      <c r="V463" s="45"/>
      <c r="W463" s="45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41" t="s">
        <v>21</v>
      </c>
      <c r="B464" s="41" t="s">
        <v>44</v>
      </c>
      <c r="C464" s="41" t="s">
        <v>23</v>
      </c>
      <c r="D464" s="41" t="s">
        <v>45</v>
      </c>
      <c r="E464" s="41" t="s">
        <v>46</v>
      </c>
      <c r="F464" s="41" t="s">
        <v>25</v>
      </c>
      <c r="G464" s="41" t="s">
        <v>25</v>
      </c>
      <c r="H464" s="41" t="s">
        <v>25</v>
      </c>
      <c r="I464" s="61">
        <v>44409</v>
      </c>
      <c r="J464" s="62">
        <f>EFEITO!$J$464*EFEITO!$Y$464</f>
        <v>0</v>
      </c>
      <c r="K464" s="62">
        <f ca="1">EFEITO!$L$464*EFEITO!$Z$464</f>
        <v>28835.129734394566</v>
      </c>
      <c r="L464" s="62">
        <f>EFEITO!$N$464*EFEITO!$AA$464</f>
        <v>17085.783294296711</v>
      </c>
      <c r="M464" s="62">
        <f>$J$464-EFEITO!$K$464*EFEITO!$Y$464</f>
        <v>0</v>
      </c>
      <c r="N464" s="62">
        <f ca="1">$K$464-EFEITO!$M$464*EFEITO!$Z$464</f>
        <v>0</v>
      </c>
      <c r="O464" s="62">
        <f>$L$464-EFEITO!$O$464*EFEITO!$AA$464</f>
        <v>0</v>
      </c>
      <c r="P464" s="45"/>
      <c r="Q464" s="45"/>
      <c r="R464" s="45"/>
      <c r="S464" s="45"/>
      <c r="T464" s="45"/>
      <c r="U464" s="45"/>
      <c r="V464" s="45"/>
      <c r="W464" s="45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41" t="s">
        <v>21</v>
      </c>
      <c r="B465" s="41" t="s">
        <v>44</v>
      </c>
      <c r="C465" s="41" t="s">
        <v>23</v>
      </c>
      <c r="D465" s="41" t="s">
        <v>45</v>
      </c>
      <c r="E465" s="41" t="s">
        <v>46</v>
      </c>
      <c r="F465" s="41" t="s">
        <v>25</v>
      </c>
      <c r="G465" s="41" t="s">
        <v>25</v>
      </c>
      <c r="H465" s="41" t="s">
        <v>25</v>
      </c>
      <c r="I465" s="61">
        <v>44440</v>
      </c>
      <c r="J465" s="62">
        <f>EFEITO!$J$465*EFEITO!$Y$465</f>
        <v>0</v>
      </c>
      <c r="K465" s="62">
        <f ca="1">EFEITO!$L$465*EFEITO!$Z$465</f>
        <v>28835.129734394566</v>
      </c>
      <c r="L465" s="62">
        <f>EFEITO!$N$465*EFEITO!$AA$465</f>
        <v>17085.783294296711</v>
      </c>
      <c r="M465" s="62">
        <f>$J$465-EFEITO!$K$465*EFEITO!$Y$465</f>
        <v>0</v>
      </c>
      <c r="N465" s="62">
        <f ca="1">$K$465-EFEITO!$M$465*EFEITO!$Z$465</f>
        <v>0</v>
      </c>
      <c r="O465" s="62">
        <f>$L$465-EFEITO!$O$465*EFEITO!$AA$465</f>
        <v>0</v>
      </c>
      <c r="P465" s="45"/>
      <c r="Q465" s="45"/>
      <c r="R465" s="45"/>
      <c r="S465" s="45"/>
      <c r="T465" s="45"/>
      <c r="U465" s="45"/>
      <c r="V465" s="45"/>
      <c r="W465" s="45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41" t="s">
        <v>21</v>
      </c>
      <c r="B466" s="41" t="s">
        <v>44</v>
      </c>
      <c r="C466" s="41" t="s">
        <v>23</v>
      </c>
      <c r="D466" s="41" t="s">
        <v>45</v>
      </c>
      <c r="E466" s="41" t="s">
        <v>46</v>
      </c>
      <c r="F466" s="41" t="s">
        <v>25</v>
      </c>
      <c r="G466" s="41" t="s">
        <v>25</v>
      </c>
      <c r="H466" s="41" t="s">
        <v>25</v>
      </c>
      <c r="I466" s="61">
        <v>44470</v>
      </c>
      <c r="J466" s="62">
        <f>EFEITO!$J$466*EFEITO!$Y$466</f>
        <v>0</v>
      </c>
      <c r="K466" s="62">
        <f ca="1">EFEITO!$L$466*EFEITO!$Z$466</f>
        <v>28835.129734394566</v>
      </c>
      <c r="L466" s="62">
        <f>EFEITO!$N$466*EFEITO!$AA$466</f>
        <v>17085.783294296711</v>
      </c>
      <c r="M466" s="62">
        <f>$J$466-EFEITO!$K$466*EFEITO!$Y$466</f>
        <v>0</v>
      </c>
      <c r="N466" s="62">
        <f ca="1">$K$466-EFEITO!$M$466*EFEITO!$Z$466</f>
        <v>0</v>
      </c>
      <c r="O466" s="62">
        <f>$L$466-EFEITO!$O$466*EFEITO!$AA$466</f>
        <v>0</v>
      </c>
      <c r="P466" s="45"/>
      <c r="Q466" s="45"/>
      <c r="R466" s="45"/>
      <c r="S466" s="45"/>
      <c r="T466" s="45"/>
      <c r="U466" s="45"/>
      <c r="V466" s="45"/>
      <c r="W466" s="45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41" t="s">
        <v>21</v>
      </c>
      <c r="B467" s="41" t="s">
        <v>44</v>
      </c>
      <c r="C467" s="41" t="s">
        <v>23</v>
      </c>
      <c r="D467" s="41" t="s">
        <v>45</v>
      </c>
      <c r="E467" s="41" t="s">
        <v>46</v>
      </c>
      <c r="F467" s="41" t="s">
        <v>25</v>
      </c>
      <c r="G467" s="41" t="s">
        <v>25</v>
      </c>
      <c r="H467" s="41" t="s">
        <v>25</v>
      </c>
      <c r="I467" s="61">
        <v>44501</v>
      </c>
      <c r="J467" s="62">
        <f>EFEITO!$J$467*EFEITO!$Y$467</f>
        <v>0</v>
      </c>
      <c r="K467" s="62">
        <f ca="1">EFEITO!$L$467*EFEITO!$Z$467</f>
        <v>28914.392754247914</v>
      </c>
      <c r="L467" s="62">
        <f>EFEITO!$N$467*EFEITO!$AA$467</f>
        <v>17132.74929697956</v>
      </c>
      <c r="M467" s="62">
        <f>$J$467-EFEITO!$K$467*EFEITO!$Y$467</f>
        <v>0</v>
      </c>
      <c r="N467" s="62">
        <f ca="1">$K$467-EFEITO!$M$467*EFEITO!$Z$467</f>
        <v>0</v>
      </c>
      <c r="O467" s="62">
        <f>$L$467-EFEITO!$O$467*EFEITO!$AA$467</f>
        <v>0</v>
      </c>
      <c r="P467" s="45"/>
      <c r="Q467" s="45"/>
      <c r="R467" s="45"/>
      <c r="S467" s="45"/>
      <c r="T467" s="45"/>
      <c r="U467" s="45"/>
      <c r="V467" s="45"/>
      <c r="W467" s="45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41" t="s">
        <v>21</v>
      </c>
      <c r="B468" s="41" t="s">
        <v>44</v>
      </c>
      <c r="C468" s="41" t="s">
        <v>23</v>
      </c>
      <c r="D468" s="41" t="s">
        <v>45</v>
      </c>
      <c r="E468" s="41" t="s">
        <v>46</v>
      </c>
      <c r="F468" s="41" t="s">
        <v>25</v>
      </c>
      <c r="G468" s="41" t="s">
        <v>25</v>
      </c>
      <c r="H468" s="41" t="s">
        <v>25</v>
      </c>
      <c r="I468" s="61">
        <v>44531</v>
      </c>
      <c r="J468" s="62">
        <f>EFEITO!$J$468*EFEITO!$Y$468</f>
        <v>0</v>
      </c>
      <c r="K468" s="62">
        <f ca="1">EFEITO!$L$468*EFEITO!$Z$468</f>
        <v>28914.392754247914</v>
      </c>
      <c r="L468" s="62">
        <f>EFEITO!$N$468*EFEITO!$AA$468</f>
        <v>17132.74929697956</v>
      </c>
      <c r="M468" s="62">
        <f>$J$468-EFEITO!$K$468*EFEITO!$Y$468</f>
        <v>0</v>
      </c>
      <c r="N468" s="62">
        <f ca="1">$K$468-EFEITO!$M$468*EFEITO!$Z$468</f>
        <v>0</v>
      </c>
      <c r="O468" s="62">
        <f>$L$468-EFEITO!$O$468*EFEITO!$AA$468</f>
        <v>0</v>
      </c>
      <c r="P468" s="45"/>
      <c r="Q468" s="45"/>
      <c r="R468" s="45"/>
      <c r="S468" s="45"/>
      <c r="T468" s="45"/>
      <c r="U468" s="45"/>
      <c r="V468" s="45"/>
      <c r="W468" s="45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41" t="s">
        <v>21</v>
      </c>
      <c r="B469" s="41" t="s">
        <v>44</v>
      </c>
      <c r="C469" s="41" t="s">
        <v>23</v>
      </c>
      <c r="D469" s="41" t="s">
        <v>45</v>
      </c>
      <c r="E469" s="41" t="s">
        <v>46</v>
      </c>
      <c r="F469" s="41" t="s">
        <v>25</v>
      </c>
      <c r="G469" s="41" t="s">
        <v>25</v>
      </c>
      <c r="H469" s="41" t="s">
        <v>25</v>
      </c>
      <c r="I469" s="61">
        <v>44562</v>
      </c>
      <c r="J469" s="62">
        <f>EFEITO!$J$469*EFEITO!$Y$469</f>
        <v>0</v>
      </c>
      <c r="K469" s="62">
        <f ca="1">EFEITO!$L$469*EFEITO!$Z$469</f>
        <v>29142.930957379449</v>
      </c>
      <c r="L469" s="62">
        <f>EFEITO!$N$469*EFEITO!$AA$469</f>
        <v>17268.165861744161</v>
      </c>
      <c r="M469" s="62">
        <f>$J$469-EFEITO!$K$469*EFEITO!$Y$469</f>
        <v>0</v>
      </c>
      <c r="N469" s="62">
        <f ca="1">$K$469-EFEITO!$M$469*EFEITO!$Z$469</f>
        <v>0</v>
      </c>
      <c r="O469" s="62">
        <f>$L$469-EFEITO!$O$469*EFEITO!$AA$469</f>
        <v>0</v>
      </c>
      <c r="P469" s="45"/>
      <c r="Q469" s="45"/>
      <c r="R469" s="45"/>
      <c r="S469" s="45"/>
      <c r="T469" s="45"/>
      <c r="U469" s="45"/>
      <c r="V469" s="45"/>
      <c r="W469" s="45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41" t="s">
        <v>21</v>
      </c>
      <c r="B470" s="41" t="s">
        <v>44</v>
      </c>
      <c r="C470" s="41" t="s">
        <v>23</v>
      </c>
      <c r="D470" s="41" t="s">
        <v>45</v>
      </c>
      <c r="E470" s="41" t="s">
        <v>46</v>
      </c>
      <c r="F470" s="41" t="s">
        <v>25</v>
      </c>
      <c r="G470" s="41" t="s">
        <v>25</v>
      </c>
      <c r="H470" s="41" t="s">
        <v>25</v>
      </c>
      <c r="I470" s="61">
        <v>44593</v>
      </c>
      <c r="J470" s="62">
        <f>EFEITO!$J$470*EFEITO!$Y$470</f>
        <v>0</v>
      </c>
      <c r="K470" s="62">
        <f ca="1">EFEITO!$L$470*EFEITO!$Z$470</f>
        <v>29129.054672736685</v>
      </c>
      <c r="L470" s="62">
        <f>EFEITO!$N$470*EFEITO!$AA$470</f>
        <v>17259.943696818253</v>
      </c>
      <c r="M470" s="62">
        <f>$J$470-EFEITO!$K$470*EFEITO!$Y$470</f>
        <v>0</v>
      </c>
      <c r="N470" s="62">
        <f ca="1">$K$470-EFEITO!$M$470*EFEITO!$Z$470</f>
        <v>0</v>
      </c>
      <c r="O470" s="62">
        <f>$L$470-EFEITO!$O$470*EFEITO!$AA$470</f>
        <v>0</v>
      </c>
      <c r="P470" s="45"/>
      <c r="Q470" s="45"/>
      <c r="R470" s="45"/>
      <c r="S470" s="45"/>
      <c r="T470" s="45"/>
      <c r="U470" s="45"/>
      <c r="V470" s="45"/>
      <c r="W470" s="45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41" t="s">
        <v>21</v>
      </c>
      <c r="B471" s="41" t="s">
        <v>44</v>
      </c>
      <c r="C471" s="41" t="s">
        <v>23</v>
      </c>
      <c r="D471" s="41" t="s">
        <v>45</v>
      </c>
      <c r="E471" s="41" t="s">
        <v>46</v>
      </c>
      <c r="F471" s="41" t="s">
        <v>25</v>
      </c>
      <c r="G471" s="41" t="s">
        <v>25</v>
      </c>
      <c r="H471" s="41" t="s">
        <v>25</v>
      </c>
      <c r="I471" s="61">
        <v>44621</v>
      </c>
      <c r="J471" s="62">
        <f>EFEITO!$J$471*EFEITO!$Y$471</f>
        <v>0</v>
      </c>
      <c r="K471" s="62">
        <f ca="1">EFEITO!$L$471*EFEITO!$Z$471</f>
        <v>29022.459577071841</v>
      </c>
      <c r="L471" s="62">
        <f>EFEITO!$N$471*EFEITO!$AA$471</f>
        <v>17196.782520796489</v>
      </c>
      <c r="M471" s="62">
        <f>$J$471-EFEITO!$K$471*EFEITO!$Y$471</f>
        <v>0</v>
      </c>
      <c r="N471" s="62">
        <f ca="1">$K$471-EFEITO!$M$471*EFEITO!$Z$471</f>
        <v>0</v>
      </c>
      <c r="O471" s="62">
        <f>$L$471-EFEITO!$O$471*EFEITO!$AA$471</f>
        <v>0</v>
      </c>
      <c r="P471" s="45"/>
      <c r="Q471" s="45"/>
      <c r="R471" s="45"/>
      <c r="S471" s="45"/>
      <c r="T471" s="45"/>
      <c r="U471" s="45"/>
      <c r="V471" s="45"/>
      <c r="W471" s="45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41" t="s">
        <v>21</v>
      </c>
      <c r="B472" s="41" t="s">
        <v>44</v>
      </c>
      <c r="C472" s="41" t="s">
        <v>23</v>
      </c>
      <c r="D472" s="41" t="s">
        <v>45</v>
      </c>
      <c r="E472" s="41" t="s">
        <v>46</v>
      </c>
      <c r="F472" s="41" t="s">
        <v>25</v>
      </c>
      <c r="G472" s="41" t="s">
        <v>25</v>
      </c>
      <c r="H472" s="41" t="s">
        <v>25</v>
      </c>
      <c r="I472" s="61">
        <v>44652</v>
      </c>
      <c r="J472" s="62">
        <f>EFEITO!$J$472*EFEITO!$Y$472</f>
        <v>0</v>
      </c>
      <c r="K472" s="62">
        <f ca="1">EFEITO!$L$472*EFEITO!$Z$472</f>
        <v>29028.556732445173</v>
      </c>
      <c r="L472" s="62">
        <f>EFEITO!$N$472*EFEITO!$AA$472</f>
        <v>17200.395290233631</v>
      </c>
      <c r="M472" s="62">
        <f>$J$472-EFEITO!$K$472*EFEITO!$Y$472</f>
        <v>0</v>
      </c>
      <c r="N472" s="62">
        <f ca="1">$K$472-EFEITO!$M$472*EFEITO!$Z$472</f>
        <v>0</v>
      </c>
      <c r="O472" s="62">
        <f>$L$472-EFEITO!$O$472*EFEITO!$AA$472</f>
        <v>0</v>
      </c>
      <c r="P472" s="45"/>
      <c r="Q472" s="45"/>
      <c r="R472" s="45"/>
      <c r="S472" s="45"/>
      <c r="T472" s="45"/>
      <c r="U472" s="45"/>
      <c r="V472" s="45"/>
      <c r="W472" s="45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41" t="s">
        <v>21</v>
      </c>
      <c r="B473" s="41" t="s">
        <v>44</v>
      </c>
      <c r="C473" s="41" t="s">
        <v>23</v>
      </c>
      <c r="D473" s="41" t="s">
        <v>45</v>
      </c>
      <c r="E473" s="41" t="s">
        <v>46</v>
      </c>
      <c r="F473" s="41" t="s">
        <v>25</v>
      </c>
      <c r="G473" s="41" t="s">
        <v>25</v>
      </c>
      <c r="H473" s="41" t="s">
        <v>25</v>
      </c>
      <c r="I473" s="61">
        <v>44682</v>
      </c>
      <c r="J473" s="62">
        <f>EFEITO!$J$473*EFEITO!$Y$473</f>
        <v>0</v>
      </c>
      <c r="K473" s="62">
        <f ca="1">EFEITO!$L$473*EFEITO!$Z$473</f>
        <v>29028.556732445173</v>
      </c>
      <c r="L473" s="62">
        <f>EFEITO!$N$473*EFEITO!$AA$473</f>
        <v>17200.395290233631</v>
      </c>
      <c r="M473" s="62">
        <f>$J$473-EFEITO!$K$473*EFEITO!$Y$473</f>
        <v>0</v>
      </c>
      <c r="N473" s="62">
        <f ca="1">$K$473-EFEITO!$M$473*EFEITO!$Z$473</f>
        <v>0</v>
      </c>
      <c r="O473" s="62">
        <f>$L$473-EFEITO!$O$473*EFEITO!$AA$473</f>
        <v>0</v>
      </c>
      <c r="P473" s="45"/>
      <c r="Q473" s="45"/>
      <c r="R473" s="45"/>
      <c r="S473" s="45"/>
      <c r="T473" s="45"/>
      <c r="U473" s="45"/>
      <c r="V473" s="45"/>
      <c r="W473" s="45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41" t="s">
        <v>21</v>
      </c>
      <c r="B474" s="41" t="s">
        <v>44</v>
      </c>
      <c r="C474" s="41" t="s">
        <v>23</v>
      </c>
      <c r="D474" s="41" t="s">
        <v>45</v>
      </c>
      <c r="E474" s="41" t="s">
        <v>46</v>
      </c>
      <c r="F474" s="41" t="s">
        <v>25</v>
      </c>
      <c r="G474" s="41" t="s">
        <v>25</v>
      </c>
      <c r="H474" s="41" t="s">
        <v>25</v>
      </c>
      <c r="I474" s="61">
        <v>44713</v>
      </c>
      <c r="J474" s="62">
        <f>EFEITO!$J$474*EFEITO!$Y$474</f>
        <v>0</v>
      </c>
      <c r="K474" s="62">
        <f ca="1">EFEITO!$L$474*EFEITO!$Z$474</f>
        <v>29227.239898921074</v>
      </c>
      <c r="L474" s="62">
        <f>EFEITO!$N$474*EFEITO!$AA$474</f>
        <v>17318.121742581887</v>
      </c>
      <c r="M474" s="62">
        <f>$J$474-EFEITO!$K$474*EFEITO!$Y$474</f>
        <v>0</v>
      </c>
      <c r="N474" s="62">
        <f ca="1">$K$474-EFEITO!$M$474*EFEITO!$Z$474</f>
        <v>0</v>
      </c>
      <c r="O474" s="62">
        <f>$L$474-EFEITO!$O$474*EFEITO!$AA$474</f>
        <v>0</v>
      </c>
      <c r="P474" s="45"/>
      <c r="Q474" s="45"/>
      <c r="R474" s="45"/>
      <c r="S474" s="45"/>
      <c r="T474" s="45"/>
      <c r="U474" s="45"/>
      <c r="V474" s="45"/>
      <c r="W474" s="45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41" t="s">
        <v>55</v>
      </c>
      <c r="B475" s="41" t="s">
        <v>44</v>
      </c>
      <c r="C475" s="41" t="s">
        <v>23</v>
      </c>
      <c r="D475" s="41" t="s">
        <v>45</v>
      </c>
      <c r="E475" s="41" t="s">
        <v>46</v>
      </c>
      <c r="F475" s="41" t="s">
        <v>25</v>
      </c>
      <c r="G475" s="41" t="s">
        <v>25</v>
      </c>
      <c r="H475" s="41" t="s">
        <v>25</v>
      </c>
      <c r="I475" s="61">
        <v>44743</v>
      </c>
      <c r="J475" s="62">
        <f>EFEITO!$J$475*EFEITO!$Y$475</f>
        <v>0</v>
      </c>
      <c r="K475" s="62">
        <f ca="1">EFEITO!$L$475*EFEITO!$Z$475</f>
        <v>29227.239898921074</v>
      </c>
      <c r="L475" s="62">
        <f>EFEITO!$N$475*EFEITO!$AA$475</f>
        <v>17318.121742581887</v>
      </c>
      <c r="M475" s="62">
        <f>$J$475-EFEITO!$K$475*EFEITO!$Y$475</f>
        <v>0</v>
      </c>
      <c r="N475" s="62">
        <f ca="1">$K$475-EFEITO!$M$475*EFEITO!$Z$475</f>
        <v>0</v>
      </c>
      <c r="O475" s="62">
        <f>$L$475-EFEITO!$O$475*EFEITO!$AA$475</f>
        <v>0</v>
      </c>
      <c r="P475" s="45"/>
      <c r="Q475" s="45"/>
      <c r="R475" s="45"/>
      <c r="S475" s="45"/>
      <c r="T475" s="45"/>
      <c r="U475" s="45"/>
      <c r="V475" s="45"/>
      <c r="W475" s="45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6A7EF-C28B-4B92-91E1-99B671775D82}">
  <dimension ref="A1:BD103"/>
  <sheetViews>
    <sheetView showGridLines="0" topLeftCell="D40" workbookViewId="0">
      <selection activeCell="L53" sqref="L53:BD10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" style="9" bestFit="1" customWidth="1"/>
    <col min="14" max="14" width="7.85546875" style="9" bestFit="1" customWidth="1"/>
    <col min="15" max="15" width="4.140625" style="9" bestFit="1" customWidth="1"/>
    <col min="16" max="16" width="4.42578125" style="9" bestFit="1" customWidth="1"/>
    <col min="17" max="17" width="10" style="9" bestFit="1" customWidth="1"/>
    <col min="18" max="19" width="8.7109375" style="9" bestFit="1" customWidth="1"/>
    <col min="20" max="20" width="7.42578125" style="9" bestFit="1" customWidth="1"/>
    <col min="21" max="21" width="7.28515625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7" style="9" bestFit="1" customWidth="1"/>
    <col min="37" max="37" width="7.85546875" style="9" bestFit="1" customWidth="1"/>
    <col min="38" max="38" width="4.140625" style="9" bestFit="1" customWidth="1"/>
    <col min="39" max="39" width="4.42578125" style="9" bestFit="1" customWidth="1"/>
    <col min="40" max="40" width="10" style="9" bestFit="1" customWidth="1"/>
    <col min="41" max="42" width="8.7109375" style="9" bestFit="1" customWidth="1"/>
    <col min="43" max="43" width="7.42578125" style="9" bestFit="1" customWidth="1"/>
    <col min="44" max="44" width="7.28515625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38" t="s">
        <v>65</v>
      </c>
      <c r="B1" s="138" t="s">
        <v>66</v>
      </c>
      <c r="C1" s="138" t="s">
        <v>67</v>
      </c>
      <c r="D1" s="138" t="s">
        <v>68</v>
      </c>
      <c r="E1" s="138" t="s">
        <v>69</v>
      </c>
      <c r="F1" s="138" t="s">
        <v>15</v>
      </c>
      <c r="G1" s="138" t="s">
        <v>71</v>
      </c>
      <c r="H1" s="138" t="s">
        <v>72</v>
      </c>
      <c r="I1" s="138" t="s">
        <v>634</v>
      </c>
      <c r="J1" s="131"/>
      <c r="L1" s="139" t="s">
        <v>914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I1" s="139" t="s">
        <v>915</v>
      </c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</row>
    <row r="2" spans="1:56" ht="11.25" customHeight="1" x14ac:dyDescent="0.25">
      <c r="A2" s="138"/>
      <c r="B2" s="138"/>
      <c r="C2" s="138"/>
      <c r="D2" s="138"/>
      <c r="E2" s="138"/>
      <c r="F2" s="138"/>
      <c r="G2" s="138"/>
      <c r="H2" s="138"/>
      <c r="I2" s="138"/>
      <c r="J2" s="131"/>
      <c r="L2" s="139" t="s">
        <v>533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I2" s="139" t="s">
        <v>533</v>
      </c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</row>
    <row r="3" spans="1:56" ht="11.25" customHeight="1" x14ac:dyDescent="0.25">
      <c r="A3" s="138"/>
      <c r="B3" s="138"/>
      <c r="C3" s="138"/>
      <c r="D3" s="138"/>
      <c r="E3" s="138"/>
      <c r="F3" s="138"/>
      <c r="G3" s="138"/>
      <c r="H3" s="138"/>
      <c r="I3" s="138"/>
      <c r="J3" s="131"/>
      <c r="L3" s="139" t="s">
        <v>534</v>
      </c>
      <c r="M3" s="139"/>
      <c r="N3" s="139"/>
      <c r="O3" s="139"/>
      <c r="P3" s="139"/>
      <c r="Q3" s="139"/>
      <c r="R3" s="139"/>
      <c r="S3" s="139"/>
      <c r="T3" s="139" t="s">
        <v>543</v>
      </c>
      <c r="U3" s="139"/>
      <c r="V3" s="139"/>
      <c r="W3" s="139"/>
      <c r="X3" s="139"/>
      <c r="Y3" s="139"/>
      <c r="Z3" s="139"/>
      <c r="AA3" s="10" t="s">
        <v>551</v>
      </c>
      <c r="AB3" s="139" t="s">
        <v>553</v>
      </c>
      <c r="AC3" s="139"/>
      <c r="AD3" s="139" t="s">
        <v>556</v>
      </c>
      <c r="AE3" s="139"/>
      <c r="AF3" s="139"/>
      <c r="AG3" s="139"/>
      <c r="AI3" s="139" t="s">
        <v>534</v>
      </c>
      <c r="AJ3" s="139"/>
      <c r="AK3" s="139"/>
      <c r="AL3" s="139"/>
      <c r="AM3" s="139"/>
      <c r="AN3" s="139"/>
      <c r="AO3" s="139"/>
      <c r="AP3" s="139"/>
      <c r="AQ3" s="139" t="s">
        <v>543</v>
      </c>
      <c r="AR3" s="139"/>
      <c r="AS3" s="139"/>
      <c r="AT3" s="139"/>
      <c r="AU3" s="139"/>
      <c r="AV3" s="139"/>
      <c r="AW3" s="139"/>
      <c r="AX3" s="10" t="s">
        <v>551</v>
      </c>
      <c r="AY3" s="139" t="s">
        <v>553</v>
      </c>
      <c r="AZ3" s="139"/>
      <c r="BA3" s="139" t="s">
        <v>556</v>
      </c>
      <c r="BB3" s="139"/>
      <c r="BC3" s="139"/>
      <c r="BD3" s="139"/>
    </row>
    <row r="4" spans="1:56" ht="11.25" customHeight="1" x14ac:dyDescent="0.25">
      <c r="A4" s="138"/>
      <c r="B4" s="138"/>
      <c r="C4" s="138"/>
      <c r="D4" s="138"/>
      <c r="E4" s="138"/>
      <c r="F4" s="138"/>
      <c r="G4" s="138"/>
      <c r="H4" s="138"/>
      <c r="I4" s="138"/>
      <c r="J4" s="131"/>
      <c r="L4" s="10" t="s">
        <v>619</v>
      </c>
      <c r="M4" s="10" t="s">
        <v>535</v>
      </c>
      <c r="N4" s="10" t="s">
        <v>536</v>
      </c>
      <c r="O4" s="10" t="s">
        <v>537</v>
      </c>
      <c r="P4" s="10" t="s">
        <v>538</v>
      </c>
      <c r="Q4" s="10" t="s">
        <v>539</v>
      </c>
      <c r="R4" s="10" t="s">
        <v>540</v>
      </c>
      <c r="S4" s="10" t="s">
        <v>541</v>
      </c>
      <c r="T4" s="10" t="s">
        <v>544</v>
      </c>
      <c r="U4" s="10" t="s">
        <v>545</v>
      </c>
      <c r="V4" s="10" t="s">
        <v>546</v>
      </c>
      <c r="W4" s="10" t="s">
        <v>547</v>
      </c>
      <c r="X4" s="10" t="s">
        <v>548</v>
      </c>
      <c r="Y4" s="10" t="s">
        <v>549</v>
      </c>
      <c r="Z4" s="10" t="s">
        <v>550</v>
      </c>
      <c r="AA4" s="10" t="s">
        <v>552</v>
      </c>
      <c r="AB4" s="10" t="s">
        <v>554</v>
      </c>
      <c r="AC4" s="10" t="s">
        <v>555</v>
      </c>
      <c r="AD4" s="10" t="s">
        <v>557</v>
      </c>
      <c r="AE4" s="10" t="s">
        <v>558</v>
      </c>
      <c r="AF4" s="10" t="s">
        <v>559</v>
      </c>
      <c r="AG4" s="10" t="s">
        <v>560</v>
      </c>
      <c r="AI4" s="10" t="s">
        <v>619</v>
      </c>
      <c r="AJ4" s="10" t="s">
        <v>535</v>
      </c>
      <c r="AK4" s="10" t="s">
        <v>536</v>
      </c>
      <c r="AL4" s="10" t="s">
        <v>537</v>
      </c>
      <c r="AM4" s="10" t="s">
        <v>538</v>
      </c>
      <c r="AN4" s="10" t="s">
        <v>539</v>
      </c>
      <c r="AO4" s="10" t="s">
        <v>540</v>
      </c>
      <c r="AP4" s="10" t="s">
        <v>541</v>
      </c>
      <c r="AQ4" s="10" t="s">
        <v>544</v>
      </c>
      <c r="AR4" s="10" t="s">
        <v>545</v>
      </c>
      <c r="AS4" s="10" t="s">
        <v>546</v>
      </c>
      <c r="AT4" s="10" t="s">
        <v>547</v>
      </c>
      <c r="AU4" s="10" t="s">
        <v>548</v>
      </c>
      <c r="AV4" s="10" t="s">
        <v>549</v>
      </c>
      <c r="AW4" s="10" t="s">
        <v>550</v>
      </c>
      <c r="AX4" s="10" t="s">
        <v>552</v>
      </c>
      <c r="AY4" s="10" t="s">
        <v>554</v>
      </c>
      <c r="AZ4" s="10" t="s">
        <v>555</v>
      </c>
      <c r="BA4" s="10" t="s">
        <v>557</v>
      </c>
      <c r="BB4" s="10" t="s">
        <v>558</v>
      </c>
      <c r="BC4" s="10" t="s">
        <v>559</v>
      </c>
      <c r="BD4" s="10" t="s">
        <v>560</v>
      </c>
    </row>
    <row r="5" spans="1:56" ht="11.25" customHeight="1" x14ac:dyDescent="0.25">
      <c r="A5" s="142" t="s">
        <v>38</v>
      </c>
      <c r="B5" s="142" t="s">
        <v>56</v>
      </c>
      <c r="C5" s="142" t="s">
        <v>25</v>
      </c>
      <c r="D5" s="142" t="s">
        <v>25</v>
      </c>
      <c r="E5" s="142" t="s">
        <v>25</v>
      </c>
      <c r="F5" s="142" t="s">
        <v>25</v>
      </c>
      <c r="G5" s="24" t="s">
        <v>81</v>
      </c>
      <c r="H5" s="24" t="s">
        <v>80</v>
      </c>
      <c r="I5" s="24">
        <f>'MERCADO TUSD'!$U$2</f>
        <v>40015</v>
      </c>
      <c r="J5" s="15"/>
      <c r="L5" s="13">
        <f>('TUSD BE'!$L$5+'TUSD BF'!$L$5+'TUSD CVA'!$L$5)*1</f>
        <v>0</v>
      </c>
      <c r="M5" s="13">
        <f>('TUSD BE'!$M$5+'TUSD BF'!$M$5+'TUSD CVA'!$M$5)*1</f>
        <v>0</v>
      </c>
      <c r="N5" s="13">
        <f ca="1">('TUSD BE'!$N$5+'TUSD BF'!$N$5+'TUSD CVA'!$N$5)*1</f>
        <v>0</v>
      </c>
      <c r="O5" s="13">
        <f>('TUSD BE'!$O$5+'TUSD BF'!$O$5+'TUSD CVA'!$O$5)*1</f>
        <v>0</v>
      </c>
      <c r="P5" s="13">
        <f>('TUSD BE'!$P$5+'TUSD BF'!$P$5+'TUSD CVA'!$P$5)*1</f>
        <v>0</v>
      </c>
      <c r="Q5" s="13">
        <f>('TUSD BE'!$Q$5+'TUSD BF'!$Q$5+'TUSD CVA'!$Q$5)*1</f>
        <v>0</v>
      </c>
      <c r="R5" s="13">
        <f>('TUSD BE'!$R$5+'TUSD BF'!$R$5+'TUSD CVA'!$R$5)*1</f>
        <v>0</v>
      </c>
      <c r="S5" s="13">
        <f>('TUSD BE'!$S$5+'TUSD BF'!$S$5+'TUSD CVA'!$S$5)*1</f>
        <v>0</v>
      </c>
      <c r="T5" s="13">
        <f>('TUSD BE'!$U$5+'TUSD BF'!$U$5+'TUSD CVA'!$U$5)*1</f>
        <v>0</v>
      </c>
      <c r="U5" s="13">
        <f>('TUSD BE'!$V$5+'TUSD BF'!$V$5+'TUSD CVA'!$V$5)*1</f>
        <v>0</v>
      </c>
      <c r="V5" s="13">
        <f>('TUSD BE'!$W$5+'TUSD BF'!$W$5+'TUSD CVA'!$W$5)*1</f>
        <v>0</v>
      </c>
      <c r="W5" s="13">
        <f>('TUSD BE'!$X$5+'TUSD BF'!$X$5+'TUSD CVA'!$X$5)*1</f>
        <v>0</v>
      </c>
      <c r="X5" s="13">
        <f>('TUSD BE'!$Y$5+'TUSD BF'!$Y$5+'TUSD CVA'!$Y$5)*1</f>
        <v>33.414891148720017</v>
      </c>
      <c r="Y5" s="13">
        <f>('TUSD BE'!$Z$5+'TUSD BF'!$Z$5+'TUSD CVA'!$Z$5)*1</f>
        <v>0</v>
      </c>
      <c r="Z5" s="13">
        <f>('TUSD BE'!$AA$5+'TUSD BF'!$AA$5+'TUSD CVA'!$AA$5)*1</f>
        <v>0</v>
      </c>
      <c r="AA5" s="13">
        <f>('TUSD BE'!$AC$5+'TUSD BF'!$AC$5+'TUSD CVA'!$AC$5)*1</f>
        <v>21.45364698939645</v>
      </c>
      <c r="AB5" s="13">
        <f ca="1">('TUSD BE'!$AE$5+'TUSD BF'!$AE$5+'TUSD CVA'!$AE$5)*1</f>
        <v>-15.083100836550395</v>
      </c>
      <c r="AC5" s="13">
        <f ca="1">('TUSD BE'!$AF$5+'TUSD BF'!$AF$5+'TUSD CVA'!$AF$5)*1</f>
        <v>0</v>
      </c>
      <c r="AD5" s="13">
        <f>('TUSD BE'!$AH$5+'TUSD BF'!$AH$5+'TUSD CVA'!$AH$5)*1</f>
        <v>0</v>
      </c>
      <c r="AE5" s="13">
        <f>('TUSD BE'!$AI$5+'TUSD BF'!$AI$5+'TUSD CVA'!$AI$5)*1</f>
        <v>0</v>
      </c>
      <c r="AF5" s="13">
        <f ca="1">('TUSD BE'!$AJ$5+'TUSD BF'!$AJ$5+'TUSD CVA'!$AJ$5)*1</f>
        <v>0</v>
      </c>
      <c r="AG5" s="13">
        <f ca="1">('TUSD BE'!$AK$5+'TUSD BF'!$AK$5+'TUSD CVA'!$AK$5)*1</f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31.874022882605299</v>
      </c>
      <c r="AV5" s="13">
        <v>0</v>
      </c>
      <c r="AW5" s="13">
        <v>0</v>
      </c>
      <c r="AX5" s="13">
        <v>20.375466070516101</v>
      </c>
      <c r="AY5" s="13">
        <v>-2.1961480216800702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</row>
    <row r="6" spans="1:56" ht="11.25" customHeight="1" x14ac:dyDescent="0.25">
      <c r="A6" s="142"/>
      <c r="B6" s="142"/>
      <c r="C6" s="142"/>
      <c r="D6" s="142"/>
      <c r="E6" s="142"/>
      <c r="F6" s="142"/>
      <c r="G6" s="24" t="s">
        <v>82</v>
      </c>
      <c r="H6" s="24" t="s">
        <v>80</v>
      </c>
      <c r="I6" s="24">
        <f>'MERCADO TUSD'!$U$3</f>
        <v>87299</v>
      </c>
      <c r="J6" s="15"/>
      <c r="L6" s="13">
        <f>('TUSD BE'!$L$6+'TUSD BF'!$L$6+'TUSD CVA'!$L$6)*1</f>
        <v>0</v>
      </c>
      <c r="M6" s="13">
        <f>('TUSD BE'!$M$6+'TUSD BF'!$M$6+'TUSD CVA'!$M$6)*1</f>
        <v>0</v>
      </c>
      <c r="N6" s="13">
        <f ca="1">('TUSD BE'!$N$6+'TUSD BF'!$N$6+'TUSD CVA'!$N$6)*1</f>
        <v>0</v>
      </c>
      <c r="O6" s="13">
        <f>('TUSD BE'!$O$6+'TUSD BF'!$O$6+'TUSD CVA'!$O$6)*1</f>
        <v>0</v>
      </c>
      <c r="P6" s="13">
        <f>('TUSD BE'!$P$6+'TUSD BF'!$P$6+'TUSD CVA'!$P$6)*1</f>
        <v>0</v>
      </c>
      <c r="Q6" s="13">
        <f>('TUSD BE'!$Q$6+'TUSD BF'!$Q$6+'TUSD CVA'!$Q$6)*1</f>
        <v>0</v>
      </c>
      <c r="R6" s="13">
        <f>('TUSD BE'!$R$6+'TUSD BF'!$R$6+'TUSD CVA'!$R$6)*1</f>
        <v>0</v>
      </c>
      <c r="S6" s="13">
        <f>('TUSD BE'!$S$6+'TUSD BF'!$S$6+'TUSD CVA'!$S$6)*1</f>
        <v>0</v>
      </c>
      <c r="T6" s="13">
        <f>('TUSD BE'!$U$6+'TUSD BF'!$U$6+'TUSD CVA'!$U$6)*1</f>
        <v>0</v>
      </c>
      <c r="U6" s="13">
        <f>('TUSD BE'!$V$6+'TUSD BF'!$V$6+'TUSD CVA'!$V$6)*1</f>
        <v>0</v>
      </c>
      <c r="V6" s="13">
        <f>('TUSD BE'!$W$6+'TUSD BF'!$W$6+'TUSD CVA'!$W$6)*1</f>
        <v>0</v>
      </c>
      <c r="W6" s="13">
        <f>('TUSD BE'!$X$6+'TUSD BF'!$X$6+'TUSD CVA'!$X$6)*1</f>
        <v>0</v>
      </c>
      <c r="X6" s="13">
        <f>('TUSD BE'!$Y$6+'TUSD BF'!$Y$6+'TUSD CVA'!$Y$6)*1</f>
        <v>13.130787787147051</v>
      </c>
      <c r="Y6" s="13">
        <f>('TUSD BE'!$Z$6+'TUSD BF'!$Z$6+'TUSD CVA'!$Z$6)*1</f>
        <v>0</v>
      </c>
      <c r="Z6" s="13">
        <f>('TUSD BE'!$AA$6+'TUSD BF'!$AA$6+'TUSD CVA'!$AA$6)*1</f>
        <v>0</v>
      </c>
      <c r="AA6" s="13">
        <f>('TUSD BE'!$AC$6+'TUSD BF'!$AC$6+'TUSD CVA'!$AC$6)*1</f>
        <v>5.7040642569725293</v>
      </c>
      <c r="AB6" s="13">
        <f ca="1">('TUSD BE'!$AE$6+'TUSD BF'!$AE$6+'TUSD CVA'!$AE$6)*1</f>
        <v>-5.1743872308518988</v>
      </c>
      <c r="AC6" s="13">
        <f ca="1">('TUSD BE'!$AF$6+'TUSD BF'!$AF$6+'TUSD CVA'!$AF$6)*1</f>
        <v>0</v>
      </c>
      <c r="AD6" s="13">
        <f>('TUSD BE'!$AH$6+'TUSD BF'!$AH$6+'TUSD CVA'!$AH$6)*1</f>
        <v>0</v>
      </c>
      <c r="AE6" s="13">
        <f>('TUSD BE'!$AI$6+'TUSD BF'!$AI$6+'TUSD CVA'!$AI$6)*1</f>
        <v>0</v>
      </c>
      <c r="AF6" s="13">
        <f ca="1">('TUSD BE'!$AJ$6+'TUSD BF'!$AJ$6+'TUSD CVA'!$AJ$6)*1</f>
        <v>0</v>
      </c>
      <c r="AG6" s="13">
        <f ca="1">('TUSD BE'!$AK$6+'TUSD BF'!$AK$6+'TUSD CVA'!$AK$6)*1</f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12.525284865702501</v>
      </c>
      <c r="AV6" s="13">
        <v>0</v>
      </c>
      <c r="AW6" s="13">
        <v>0</v>
      </c>
      <c r="AX6" s="13">
        <v>5.4173990925380098</v>
      </c>
      <c r="AY6" s="13">
        <v>-0.75246964447593701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</row>
    <row r="7" spans="1:56" ht="11.25" customHeight="1" x14ac:dyDescent="0.25">
      <c r="A7" s="142"/>
      <c r="B7" s="142"/>
      <c r="C7" s="142"/>
      <c r="D7" s="142"/>
      <c r="E7" s="142"/>
      <c r="F7" s="142"/>
      <c r="G7" s="24" t="s">
        <v>79</v>
      </c>
      <c r="H7" s="24" t="s">
        <v>75</v>
      </c>
      <c r="I7" s="24">
        <f>'MERCADO TUSD'!$U$4</f>
        <v>40556.964</v>
      </c>
      <c r="J7" s="15"/>
      <c r="L7" s="13">
        <f>('TUSD BE'!$L$7+'TUSD BF'!$L$7+'TUSD CVA'!$L$7)*1</f>
        <v>0</v>
      </c>
      <c r="M7" s="13">
        <f>('TUSD BE'!$M$7+'TUSD BF'!$M$7+'TUSD CVA'!$M$7)*1</f>
        <v>0.15765867997420627</v>
      </c>
      <c r="N7" s="13">
        <f ca="1">('TUSD BE'!$N$7+'TUSD BF'!$N$7+'TUSD CVA'!$N$7)*1</f>
        <v>0.1006270513366769</v>
      </c>
      <c r="O7" s="13">
        <f>('TUSD BE'!$O$7+'TUSD BF'!$O$7+'TUSD CVA'!$O$7)*1</f>
        <v>0</v>
      </c>
      <c r="P7" s="13">
        <f>('TUSD BE'!$P$7+'TUSD BF'!$P$7+'TUSD CVA'!$P$7)*1</f>
        <v>0</v>
      </c>
      <c r="Q7" s="13">
        <f>('TUSD BE'!$Q$7+'TUSD BF'!$Q$7+'TUSD CVA'!$Q$7)*1</f>
        <v>85.826188605446333</v>
      </c>
      <c r="R7" s="13">
        <f>('TUSD BE'!$R$7+'TUSD BF'!$R$7+'TUSD CVA'!$R$7)*1</f>
        <v>18.0548366013739</v>
      </c>
      <c r="S7" s="13">
        <f>('TUSD BE'!$S$7+'TUSD BF'!$S$7+'TUSD CVA'!$S$7)*1</f>
        <v>0</v>
      </c>
      <c r="T7" s="13">
        <f>('TUSD BE'!$U$7+'TUSD BF'!$U$7+'TUSD CVA'!$U$7)*1</f>
        <v>0</v>
      </c>
      <c r="U7" s="13">
        <f>('TUSD BE'!$V$7+'TUSD BF'!$V$7+'TUSD CVA'!$V$7)*1</f>
        <v>0</v>
      </c>
      <c r="V7" s="13">
        <f>('TUSD BE'!$W$7+'TUSD BF'!$W$7+'TUSD CVA'!$W$7)*1</f>
        <v>0</v>
      </c>
      <c r="W7" s="13">
        <f>('TUSD BE'!$X$7+'TUSD BF'!$X$7+'TUSD CVA'!$X$7)*1</f>
        <v>0</v>
      </c>
      <c r="X7" s="13">
        <f>('TUSD BE'!$Y$7+'TUSD BF'!$Y$7+'TUSD CVA'!$Y$7)*1</f>
        <v>0</v>
      </c>
      <c r="Y7" s="13">
        <f>('TUSD BE'!$Z$7+'TUSD BF'!$Z$7+'TUSD CVA'!$Z$7)*1</f>
        <v>0</v>
      </c>
      <c r="Z7" s="13">
        <f>('TUSD BE'!$AA$7+'TUSD BF'!$AA$7+'TUSD CVA'!$AA$7)*1</f>
        <v>0</v>
      </c>
      <c r="AA7" s="13">
        <f>('TUSD BE'!$AC$7+'TUSD BF'!$AC$7+'TUSD CVA'!$AC$7)*1</f>
        <v>0</v>
      </c>
      <c r="AB7" s="13">
        <f ca="1">('TUSD BE'!$AE$7+'TUSD BF'!$AE$7+'TUSD CVA'!$AE$7)*1</f>
        <v>-25.840128802940797</v>
      </c>
      <c r="AC7" s="13">
        <f ca="1">('TUSD BE'!$AF$7+'TUSD BF'!$AF$7+'TUSD CVA'!$AF$7)*1</f>
        <v>0</v>
      </c>
      <c r="AD7" s="13">
        <f>('TUSD BE'!$AH$7+'TUSD BF'!$AH$7+'TUSD CVA'!$AH$7)*1</f>
        <v>2.8367396766568693</v>
      </c>
      <c r="AE7" s="13">
        <f>('TUSD BE'!$AI$7+'TUSD BF'!$AI$7+'TUSD CVA'!$AI$7)*1</f>
        <v>9.7323960655876993E-2</v>
      </c>
      <c r="AF7" s="13">
        <f ca="1">('TUSD BE'!$AJ$7+'TUSD BF'!$AJ$7+'TUSD CVA'!$AJ$7)*1</f>
        <v>1.9350165550345997</v>
      </c>
      <c r="AG7" s="13">
        <f ca="1">('TUSD BE'!$AK$7+'TUSD BF'!$AK$7+'TUSD CVA'!$AK$7)*1</f>
        <v>0.10725548002137954</v>
      </c>
      <c r="AI7" s="13">
        <v>0</v>
      </c>
      <c r="AJ7" s="13">
        <v>0.15777585315203199</v>
      </c>
      <c r="AK7" s="13">
        <v>0.16085719184851799</v>
      </c>
      <c r="AL7" s="13">
        <v>0</v>
      </c>
      <c r="AM7" s="13">
        <v>0</v>
      </c>
      <c r="AN7" s="13">
        <v>60.488502662438698</v>
      </c>
      <c r="AO7" s="13">
        <v>10.427299785706101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-2.9336679204123799</v>
      </c>
      <c r="AZ7" s="13">
        <v>0</v>
      </c>
      <c r="BA7" s="13">
        <v>3.1002744131878401</v>
      </c>
      <c r="BB7" s="13">
        <v>9.6137489000286305E-2</v>
      </c>
      <c r="BC7" s="13">
        <v>2.1275230792148001</v>
      </c>
      <c r="BD7" s="13">
        <v>0.16891290906360401</v>
      </c>
    </row>
    <row r="8" spans="1:56" ht="11.25" customHeight="1" x14ac:dyDescent="0.25">
      <c r="A8" s="142"/>
      <c r="B8" s="142"/>
      <c r="C8" s="142"/>
      <c r="D8" s="142"/>
      <c r="E8" s="23" t="s">
        <v>83</v>
      </c>
      <c r="F8" s="23" t="s">
        <v>25</v>
      </c>
      <c r="G8" s="24" t="s">
        <v>79</v>
      </c>
      <c r="H8" s="24" t="s">
        <v>75</v>
      </c>
      <c r="I8" s="24">
        <f>'MERCADO TUSD'!$U$5</f>
        <v>0</v>
      </c>
      <c r="J8" s="15"/>
      <c r="L8" s="13">
        <f>('TUSD BE'!$L$8+'TUSD BF'!$L$8+'TUSD CVA'!$L$8)*1</f>
        <v>0</v>
      </c>
      <c r="M8" s="13">
        <f>('TUSD BE'!$M$8+'TUSD BF'!$M$8+'TUSD CVA'!$M$8)*1</f>
        <v>0.15765867997420627</v>
      </c>
      <c r="N8" s="13">
        <f ca="1">('TUSD BE'!$N$8+'TUSD BF'!$N$8+'TUSD CVA'!$N$8)*1</f>
        <v>9.025726925727065E-2</v>
      </c>
      <c r="O8" s="13">
        <f>('TUSD BE'!$O$8+'TUSD BF'!$O$8+'TUSD CVA'!$O$8)*1</f>
        <v>0</v>
      </c>
      <c r="P8" s="13">
        <f>('TUSD BE'!$P$8+'TUSD BF'!$P$8+'TUSD CVA'!$P$8)*1</f>
        <v>0</v>
      </c>
      <c r="Q8" s="13">
        <f>('TUSD BE'!$Q$8+'TUSD BF'!$Q$8+'TUSD CVA'!$Q$8)*1</f>
        <v>0</v>
      </c>
      <c r="R8" s="13">
        <f>('TUSD BE'!$R$8+'TUSD BF'!$R$8+'TUSD CVA'!$R$8)*1</f>
        <v>0</v>
      </c>
      <c r="S8" s="13">
        <f>('TUSD BE'!$S$8+'TUSD BF'!$S$8+'TUSD CVA'!$S$8)*1</f>
        <v>0</v>
      </c>
      <c r="T8" s="13">
        <f>('TUSD BE'!$U$8+'TUSD BF'!$U$8+'TUSD CVA'!$U$8)*1</f>
        <v>0</v>
      </c>
      <c r="U8" s="13">
        <f>('TUSD BE'!$V$8+'TUSD BF'!$V$8+'TUSD CVA'!$V$8)*1</f>
        <v>0</v>
      </c>
      <c r="V8" s="13">
        <f>('TUSD BE'!$W$8+'TUSD BF'!$W$8+'TUSD CVA'!$W$8)*1</f>
        <v>0</v>
      </c>
      <c r="W8" s="13">
        <f>('TUSD BE'!$X$8+'TUSD BF'!$X$8+'TUSD CVA'!$X$8)*1</f>
        <v>0</v>
      </c>
      <c r="X8" s="13">
        <f>('TUSD BE'!$Y$8+'TUSD BF'!$Y$8+'TUSD CVA'!$Y$8)*1</f>
        <v>0</v>
      </c>
      <c r="Y8" s="13">
        <f>('TUSD BE'!$Z$8+'TUSD BF'!$Z$8+'TUSD CVA'!$Z$8)*1</f>
        <v>0</v>
      </c>
      <c r="Z8" s="13">
        <f>('TUSD BE'!$AA$8+'TUSD BF'!$AA$8+'TUSD CVA'!$AA$8)*1</f>
        <v>0</v>
      </c>
      <c r="AA8" s="13">
        <f>('TUSD BE'!$AC$8+'TUSD BF'!$AC$8+'TUSD CVA'!$AC$8)*1</f>
        <v>0</v>
      </c>
      <c r="AB8" s="13">
        <f ca="1">('TUSD BE'!$AE$8+'TUSD BF'!$AE$8+'TUSD CVA'!$AE$8)*1</f>
        <v>-1.2645756724936796</v>
      </c>
      <c r="AC8" s="13">
        <f ca="1">('TUSD BE'!$AF$8+'TUSD BF'!$AF$8+'TUSD CVA'!$AF$8)*1</f>
        <v>0</v>
      </c>
      <c r="AD8" s="13">
        <f>('TUSD BE'!$AH$8+'TUSD BF'!$AH$8+'TUSD CVA'!$AH$8)*1</f>
        <v>2.8367396766568693</v>
      </c>
      <c r="AE8" s="13">
        <f>('TUSD BE'!$AI$8+'TUSD BF'!$AI$8+'TUSD CVA'!$AI$8)*1</f>
        <v>9.7323960655876993E-2</v>
      </c>
      <c r="AF8" s="13">
        <f ca="1">('TUSD BE'!$AJ$8+'TUSD BF'!$AJ$8+'TUSD CVA'!$AJ$8)*1</f>
        <v>1.9350165550345997</v>
      </c>
      <c r="AG8" s="13">
        <f ca="1">('TUSD BE'!$AK$8+'TUSD BF'!$AK$8+'TUSD CVA'!$AK$8)*1</f>
        <v>0.10725548002137954</v>
      </c>
      <c r="AI8" s="13">
        <v>0</v>
      </c>
      <c r="AJ8" s="13">
        <v>0.15777585315203199</v>
      </c>
      <c r="AK8" s="13">
        <v>0.143927421543006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-0.188859931326745</v>
      </c>
      <c r="AZ8" s="13">
        <v>0</v>
      </c>
      <c r="BA8" s="13">
        <v>3.1002744131878401</v>
      </c>
      <c r="BB8" s="13">
        <v>9.6137489000286305E-2</v>
      </c>
      <c r="BC8" s="13">
        <v>2.1275230792148001</v>
      </c>
      <c r="BD8" s="13">
        <v>0.16891290906360401</v>
      </c>
    </row>
    <row r="9" spans="1:56" ht="11.25" customHeight="1" x14ac:dyDescent="0.25">
      <c r="A9" s="142"/>
      <c r="B9" s="23" t="s">
        <v>84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80</v>
      </c>
      <c r="I9" s="24">
        <f>'MERCADO TUSD'!$U$6</f>
        <v>0</v>
      </c>
      <c r="J9" s="15"/>
      <c r="L9" s="13">
        <f>('TUSD BE'!$L$9+'TUSD BF'!$L$9+'TUSD CVA'!$L$9)*1</f>
        <v>0</v>
      </c>
      <c r="M9" s="13">
        <f>('TUSD BE'!$M$9+'TUSD BF'!$M$9+'TUSD CVA'!$M$9)*1</f>
        <v>2.7115475596816478E-2</v>
      </c>
      <c r="N9" s="13">
        <f ca="1">('TUSD BE'!$N$9+'TUSD BF'!$N$9+'TUSD CVA'!$N$9)*1</f>
        <v>7.0307122498374397E-2</v>
      </c>
      <c r="O9" s="13">
        <f>('TUSD BE'!$O$9+'TUSD BF'!$O$9+'TUSD CVA'!$O$9)*1</f>
        <v>0</v>
      </c>
      <c r="P9" s="13">
        <f>('TUSD BE'!$P$9+'TUSD BF'!$P$9+'TUSD CVA'!$P$9)*1</f>
        <v>0</v>
      </c>
      <c r="Q9" s="13">
        <f>('TUSD BE'!$Q$9+'TUSD BF'!$Q$9+'TUSD CVA'!$Q$9)*1</f>
        <v>0</v>
      </c>
      <c r="R9" s="13">
        <f>('TUSD BE'!$R$9+'TUSD BF'!$R$9+'TUSD CVA'!$R$9)*1</f>
        <v>0</v>
      </c>
      <c r="S9" s="13">
        <f>('TUSD BE'!$S$9+'TUSD BF'!$S$9+'TUSD CVA'!$S$9)*1</f>
        <v>0</v>
      </c>
      <c r="T9" s="13">
        <f>('TUSD BE'!$U$9+'TUSD BF'!$U$9+'TUSD CVA'!$U$9)*1</f>
        <v>0</v>
      </c>
      <c r="U9" s="13">
        <f>('TUSD BE'!$V$9+'TUSD BF'!$V$9+'TUSD CVA'!$V$9)*1</f>
        <v>0</v>
      </c>
      <c r="V9" s="13">
        <f>('TUSD BE'!$W$9+'TUSD BF'!$W$9+'TUSD CVA'!$W$9)*1</f>
        <v>0</v>
      </c>
      <c r="W9" s="13">
        <f>('TUSD BE'!$X$9+'TUSD BF'!$X$9+'TUSD CVA'!$X$9)*1</f>
        <v>0</v>
      </c>
      <c r="X9" s="13">
        <f>('TUSD BE'!$Y$9+'TUSD BF'!$Y$9+'TUSD CVA'!$Y$9)*1</f>
        <v>0</v>
      </c>
      <c r="Y9" s="13">
        <f>('TUSD BE'!$Z$9+'TUSD BF'!$Z$9+'TUSD CVA'!$Z$9)*1</f>
        <v>0</v>
      </c>
      <c r="Z9" s="13">
        <f>('TUSD BE'!$AA$9+'TUSD BF'!$AA$9+'TUSD CVA'!$AA$9)*1</f>
        <v>0</v>
      </c>
      <c r="AA9" s="13">
        <f>('TUSD BE'!$AC$9+'TUSD BF'!$AC$9+'TUSD CVA'!$AC$9)*1</f>
        <v>7.2791410461509019</v>
      </c>
      <c r="AB9" s="13">
        <f ca="1">('TUSD BE'!$AE$9+'TUSD BF'!$AE$9+'TUSD CVA'!$AE$9)*1</f>
        <v>-2.0366331771274715</v>
      </c>
      <c r="AC9" s="13">
        <f ca="1">('TUSD BE'!$AF$9+'TUSD BF'!$AF$9+'TUSD CVA'!$AF$9)*1</f>
        <v>0</v>
      </c>
      <c r="AD9" s="13">
        <f>('TUSD BE'!$AH$9+'TUSD BF'!$AH$9+'TUSD CVA'!$AH$9)*1</f>
        <v>0</v>
      </c>
      <c r="AE9" s="13">
        <f>('TUSD BE'!$AI$9+'TUSD BF'!$AI$9+'TUSD CVA'!$AI$9)*1</f>
        <v>0</v>
      </c>
      <c r="AF9" s="13">
        <f ca="1">('TUSD BE'!$AJ$9+'TUSD BF'!$AJ$9+'TUSD CVA'!$AJ$9)*1</f>
        <v>0</v>
      </c>
      <c r="AG9" s="13">
        <f ca="1">('TUSD BE'!$AK$9+'TUSD BF'!$AK$9+'TUSD CVA'!$AK$9)*1</f>
        <v>0</v>
      </c>
      <c r="AI9" s="13">
        <v>0</v>
      </c>
      <c r="AJ9" s="13">
        <v>2.73452832153857E-2</v>
      </c>
      <c r="AK9" s="13">
        <v>0.11478384267137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6.9133183500993596</v>
      </c>
      <c r="AY9" s="13">
        <v>-0.30118864687974201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</row>
    <row r="10" spans="1:56" ht="11.25" customHeight="1" x14ac:dyDescent="0.25">
      <c r="A10" s="142"/>
      <c r="B10" s="142" t="s">
        <v>39</v>
      </c>
      <c r="C10" s="142" t="s">
        <v>25</v>
      </c>
      <c r="D10" s="142" t="s">
        <v>25</v>
      </c>
      <c r="E10" s="142" t="s">
        <v>25</v>
      </c>
      <c r="F10" s="142" t="s">
        <v>25</v>
      </c>
      <c r="G10" s="24" t="s">
        <v>9</v>
      </c>
      <c r="H10" s="24" t="s">
        <v>80</v>
      </c>
      <c r="I10" s="24">
        <f>'MERCADO TUSD'!$U$7</f>
        <v>37121</v>
      </c>
      <c r="J10" s="15"/>
      <c r="L10" s="13">
        <f>('TUSD BE'!$L$10+'TUSD BF'!$L$10+'TUSD CVA'!$L$10)*1</f>
        <v>0</v>
      </c>
      <c r="M10" s="13">
        <f>('TUSD BE'!$M$10+'TUSD BF'!$M$10+'TUSD CVA'!$M$10)*1</f>
        <v>0</v>
      </c>
      <c r="N10" s="13">
        <f ca="1">('TUSD BE'!$N$10+'TUSD BF'!$N$10+'TUSD CVA'!$N$10)*1</f>
        <v>0</v>
      </c>
      <c r="O10" s="13">
        <f>('TUSD BE'!$O$10+'TUSD BF'!$O$10+'TUSD CVA'!$O$10)*1</f>
        <v>0</v>
      </c>
      <c r="P10" s="13">
        <f>('TUSD BE'!$P$10+'TUSD BF'!$P$10+'TUSD CVA'!$P$10)*1</f>
        <v>0</v>
      </c>
      <c r="Q10" s="13">
        <f>('TUSD BE'!$Q$10+'TUSD BF'!$Q$10+'TUSD CVA'!$Q$10)*1</f>
        <v>0</v>
      </c>
      <c r="R10" s="13">
        <f>('TUSD BE'!$R$10+'TUSD BF'!$R$10+'TUSD CVA'!$R$10)*1</f>
        <v>0</v>
      </c>
      <c r="S10" s="13">
        <f>('TUSD BE'!$S$10+'TUSD BF'!$S$10+'TUSD CVA'!$S$10)*1</f>
        <v>0</v>
      </c>
      <c r="T10" s="13">
        <f>('TUSD BE'!$U$10+'TUSD BF'!$U$10+'TUSD CVA'!$U$10)*1</f>
        <v>0</v>
      </c>
      <c r="U10" s="13">
        <f>('TUSD BE'!$V$10+'TUSD BF'!$V$10+'TUSD CVA'!$V$10)*1</f>
        <v>0</v>
      </c>
      <c r="V10" s="13">
        <f>('TUSD BE'!$W$10+'TUSD BF'!$W$10+'TUSD CVA'!$W$10)*1</f>
        <v>0</v>
      </c>
      <c r="W10" s="13">
        <f>('TUSD BE'!$X$10+'TUSD BF'!$X$10+'TUSD CVA'!$X$10)*1</f>
        <v>0</v>
      </c>
      <c r="X10" s="13">
        <f>('TUSD BE'!$Y$10+'TUSD BF'!$Y$10+'TUSD CVA'!$Y$10)*1</f>
        <v>13.130787787147051</v>
      </c>
      <c r="Y10" s="13">
        <f>('TUSD BE'!$Z$10+'TUSD BF'!$Z$10+'TUSD CVA'!$Z$10)*1</f>
        <v>0</v>
      </c>
      <c r="Z10" s="13">
        <f>('TUSD BE'!$AA$10+'TUSD BF'!$AA$10+'TUSD CVA'!$AA$10)*1</f>
        <v>0</v>
      </c>
      <c r="AA10" s="13">
        <f>('TUSD BE'!$AC$10+'TUSD BF'!$AC$10+'TUSD CVA'!$AC$10)*1</f>
        <v>5.7040642569725293</v>
      </c>
      <c r="AB10" s="13">
        <f ca="1">('TUSD BE'!$AE$10+'TUSD BF'!$AE$10+'TUSD CVA'!$AE$10)*1</f>
        <v>-5.1743872308518988</v>
      </c>
      <c r="AC10" s="13">
        <f ca="1">('TUSD BE'!$AF$10+'TUSD BF'!$AF$10+'TUSD CVA'!$AF$10)*1</f>
        <v>0</v>
      </c>
      <c r="AD10" s="13">
        <f>('TUSD BE'!$AH$10+'TUSD BF'!$AH$10+'TUSD CVA'!$AH$10)*1</f>
        <v>0</v>
      </c>
      <c r="AE10" s="13">
        <f>('TUSD BE'!$AI$10+'TUSD BF'!$AI$10+'TUSD CVA'!$AI$10)*1</f>
        <v>0</v>
      </c>
      <c r="AF10" s="13">
        <f ca="1">('TUSD BE'!$AJ$10+'TUSD BF'!$AJ$10+'TUSD CVA'!$AJ$10)*1</f>
        <v>0</v>
      </c>
      <c r="AG10" s="13">
        <f ca="1">('TUSD BE'!$AK$10+'TUSD BF'!$AK$10+'TUSD CVA'!$AK$10)*1</f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12.525284865702501</v>
      </c>
      <c r="AV10" s="13">
        <v>0</v>
      </c>
      <c r="AW10" s="13">
        <v>0</v>
      </c>
      <c r="AX10" s="13">
        <v>5.4173990925380098</v>
      </c>
      <c r="AY10" s="13">
        <v>-0.75246964447593701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</row>
    <row r="11" spans="1:56" ht="11.25" customHeight="1" x14ac:dyDescent="0.25">
      <c r="A11" s="142"/>
      <c r="B11" s="142"/>
      <c r="C11" s="142"/>
      <c r="D11" s="142"/>
      <c r="E11" s="142"/>
      <c r="F11" s="142"/>
      <c r="G11" s="24" t="s">
        <v>76</v>
      </c>
      <c r="H11" s="24" t="s">
        <v>75</v>
      </c>
      <c r="I11" s="24">
        <f>'MERCADO TUSD'!$U$8</f>
        <v>280.50399999999996</v>
      </c>
      <c r="J11" s="15"/>
      <c r="L11" s="13">
        <f>('TUSD BE'!$L$11+'TUSD BF'!$L$11+'TUSD CVA'!$L$11)*1</f>
        <v>0</v>
      </c>
      <c r="M11" s="13">
        <f>('TUSD BE'!$M$11+'TUSD BF'!$M$11+'TUSD CVA'!$M$11)*1</f>
        <v>0.15765867997420627</v>
      </c>
      <c r="N11" s="13">
        <f ca="1">('TUSD BE'!$N$11+'TUSD BF'!$N$11+'TUSD CVA'!$N$11)*1</f>
        <v>11.792343765334598</v>
      </c>
      <c r="O11" s="13">
        <f>('TUSD BE'!$O$11+'TUSD BF'!$O$11+'TUSD CVA'!$O$11)*1</f>
        <v>0</v>
      </c>
      <c r="P11" s="13">
        <f>('TUSD BE'!$P$11+'TUSD BF'!$P$11+'TUSD CVA'!$P$11)*1</f>
        <v>0</v>
      </c>
      <c r="Q11" s="13">
        <f>('TUSD BE'!$Q$11+'TUSD BF'!$Q$11+'TUSD CVA'!$Q$11)*1</f>
        <v>85.826188605446333</v>
      </c>
      <c r="R11" s="13">
        <f>('TUSD BE'!$R$11+'TUSD BF'!$R$11+'TUSD CVA'!$R$11)*1</f>
        <v>18.0548366013739</v>
      </c>
      <c r="S11" s="13">
        <f>('TUSD BE'!$S$11+'TUSD BF'!$S$11+'TUSD CVA'!$S$11)*1</f>
        <v>0</v>
      </c>
      <c r="T11" s="13">
        <f>('TUSD BE'!$U$11+'TUSD BF'!$U$11+'TUSD CVA'!$U$11)*1</f>
        <v>0</v>
      </c>
      <c r="U11" s="13">
        <f>('TUSD BE'!$V$11+'TUSD BF'!$V$11+'TUSD CVA'!$V$11)*1</f>
        <v>0</v>
      </c>
      <c r="V11" s="13">
        <f>('TUSD BE'!$W$11+'TUSD BF'!$W$11+'TUSD CVA'!$W$11)*1</f>
        <v>0</v>
      </c>
      <c r="W11" s="13">
        <f>('TUSD BE'!$X$11+'TUSD BF'!$X$11+'TUSD CVA'!$X$11)*1</f>
        <v>0</v>
      </c>
      <c r="X11" s="13">
        <f>('TUSD BE'!$Y$11+'TUSD BF'!$Y$11+'TUSD CVA'!$Y$11)*1</f>
        <v>803.629587991785</v>
      </c>
      <c r="Y11" s="13">
        <f>('TUSD BE'!$Z$11+'TUSD BF'!$Z$11+'TUSD CVA'!$Z$11)*1</f>
        <v>0</v>
      </c>
      <c r="Z11" s="13">
        <f>('TUSD BE'!$AA$11+'TUSD BF'!$AA$11+'TUSD CVA'!$AA$11)*1</f>
        <v>0</v>
      </c>
      <c r="AA11" s="13">
        <f>('TUSD BE'!$AC$11+'TUSD BF'!$AC$11+'TUSD CVA'!$AC$11)*1</f>
        <v>515.96009696613669</v>
      </c>
      <c r="AB11" s="13">
        <f ca="1">('TUSD BE'!$AE$11+'TUSD BF'!$AE$11+'TUSD CVA'!$AE$11)*1</f>
        <v>-391.81689254899322</v>
      </c>
      <c r="AC11" s="13">
        <f ca="1">('TUSD BE'!$AF$11+'TUSD BF'!$AF$11+'TUSD CVA'!$AF$11)*1</f>
        <v>0</v>
      </c>
      <c r="AD11" s="13">
        <f>('TUSD BE'!$AH$11+'TUSD BF'!$AH$11+'TUSD CVA'!$AH$11)*1</f>
        <v>2.8367396766568693</v>
      </c>
      <c r="AE11" s="13">
        <f>('TUSD BE'!$AI$11+'TUSD BF'!$AI$11+'TUSD CVA'!$AI$11)*1</f>
        <v>9.7323960655876993E-2</v>
      </c>
      <c r="AF11" s="13">
        <f ca="1">('TUSD BE'!$AJ$11+'TUSD BF'!$AJ$11+'TUSD CVA'!$AJ$11)*1</f>
        <v>1.9350165550345997</v>
      </c>
      <c r="AG11" s="13">
        <f ca="1">('TUSD BE'!$AK$11+'TUSD BF'!$AK$11+'TUSD CVA'!$AK$11)*1</f>
        <v>0.10725548002137954</v>
      </c>
      <c r="AI11" s="13">
        <v>0</v>
      </c>
      <c r="AJ11" s="13">
        <v>0.15777585315203199</v>
      </c>
      <c r="AK11" s="13">
        <v>19.248826151021699</v>
      </c>
      <c r="AL11" s="13">
        <v>0</v>
      </c>
      <c r="AM11" s="13">
        <v>0</v>
      </c>
      <c r="AN11" s="13">
        <v>60.488502662438698</v>
      </c>
      <c r="AO11" s="13">
        <v>10.427299785706101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766.57163905709797</v>
      </c>
      <c r="AV11" s="13">
        <v>0</v>
      </c>
      <c r="AW11" s="13">
        <v>0</v>
      </c>
      <c r="AX11" s="13">
        <v>490.02985155250099</v>
      </c>
      <c r="AY11" s="13">
        <v>-56.565875467432001</v>
      </c>
      <c r="AZ11" s="13">
        <v>0</v>
      </c>
      <c r="BA11" s="13">
        <v>3.1002744131878401</v>
      </c>
      <c r="BB11" s="13">
        <v>9.6137489000286305E-2</v>
      </c>
      <c r="BC11" s="13">
        <v>2.1275230792148001</v>
      </c>
      <c r="BD11" s="13">
        <v>0.16891290906360401</v>
      </c>
    </row>
    <row r="12" spans="1:56" ht="11.25" customHeight="1" x14ac:dyDescent="0.25">
      <c r="A12" s="142"/>
      <c r="B12" s="142"/>
      <c r="C12" s="142"/>
      <c r="D12" s="142"/>
      <c r="E12" s="142"/>
      <c r="F12" s="142"/>
      <c r="G12" s="24" t="s">
        <v>77</v>
      </c>
      <c r="H12" s="24" t="s">
        <v>75</v>
      </c>
      <c r="I12" s="24">
        <f>'MERCADO TUSD'!$U$9</f>
        <v>7558.6610000000001</v>
      </c>
      <c r="J12" s="15"/>
      <c r="L12" s="13">
        <f>('TUSD BE'!$L$12+'TUSD BF'!$L$12+'TUSD CVA'!$L$12)*1</f>
        <v>0</v>
      </c>
      <c r="M12" s="13">
        <f>('TUSD BE'!$M$12+'TUSD BF'!$M$12+'TUSD CVA'!$M$12)*1</f>
        <v>0.15765867997420627</v>
      </c>
      <c r="N12" s="13">
        <f ca="1">('TUSD BE'!$N$12+'TUSD BF'!$N$12+'TUSD CVA'!$N$12)*1</f>
        <v>0.1006270513366769</v>
      </c>
      <c r="O12" s="13">
        <f>('TUSD BE'!$O$12+'TUSD BF'!$O$12+'TUSD CVA'!$O$12)*1</f>
        <v>0</v>
      </c>
      <c r="P12" s="13">
        <f>('TUSD BE'!$P$12+'TUSD BF'!$P$12+'TUSD CVA'!$P$12)*1</f>
        <v>0</v>
      </c>
      <c r="Q12" s="13">
        <f>('TUSD BE'!$Q$12+'TUSD BF'!$Q$12+'TUSD CVA'!$Q$12)*1</f>
        <v>85.826188605446333</v>
      </c>
      <c r="R12" s="13">
        <f>('TUSD BE'!$R$12+'TUSD BF'!$R$12+'TUSD CVA'!$R$12)*1</f>
        <v>18.0548366013739</v>
      </c>
      <c r="S12" s="13">
        <f>('TUSD BE'!$S$12+'TUSD BF'!$S$12+'TUSD CVA'!$S$12)*1</f>
        <v>0</v>
      </c>
      <c r="T12" s="13">
        <f>('TUSD BE'!$U$12+'TUSD BF'!$U$12+'TUSD CVA'!$U$12)*1</f>
        <v>0</v>
      </c>
      <c r="U12" s="13">
        <f>('TUSD BE'!$V$12+'TUSD BF'!$V$12+'TUSD CVA'!$V$12)*1</f>
        <v>0</v>
      </c>
      <c r="V12" s="13">
        <f>('TUSD BE'!$W$12+'TUSD BF'!$W$12+'TUSD CVA'!$W$12)*1</f>
        <v>0</v>
      </c>
      <c r="W12" s="13">
        <f>('TUSD BE'!$X$12+'TUSD BF'!$X$12+'TUSD CVA'!$X$12)*1</f>
        <v>0</v>
      </c>
      <c r="X12" s="13">
        <f>('TUSD BE'!$Y$12+'TUSD BF'!$Y$12+'TUSD CVA'!$Y$12)*1</f>
        <v>0</v>
      </c>
      <c r="Y12" s="13">
        <f>('TUSD BE'!$Z$12+'TUSD BF'!$Z$12+'TUSD CVA'!$Z$12)*1</f>
        <v>0</v>
      </c>
      <c r="Z12" s="13">
        <f>('TUSD BE'!$AA$12+'TUSD BF'!$AA$12+'TUSD CVA'!$AA$12)*1</f>
        <v>0</v>
      </c>
      <c r="AA12" s="13">
        <f>('TUSD BE'!$AC$12+'TUSD BF'!$AC$12+'TUSD CVA'!$AC$12)*1</f>
        <v>0</v>
      </c>
      <c r="AB12" s="13">
        <f ca="1">('TUSD BE'!$AE$12+'TUSD BF'!$AE$12+'TUSD CVA'!$AE$12)*1</f>
        <v>-25.840128802940797</v>
      </c>
      <c r="AC12" s="13">
        <f ca="1">('TUSD BE'!$AF$12+'TUSD BF'!$AF$12+'TUSD CVA'!$AF$12)*1</f>
        <v>0</v>
      </c>
      <c r="AD12" s="13">
        <f>('TUSD BE'!$AH$12+'TUSD BF'!$AH$12+'TUSD CVA'!$AH$12)*1</f>
        <v>2.8367396766568693</v>
      </c>
      <c r="AE12" s="13">
        <f>('TUSD BE'!$AI$12+'TUSD BF'!$AI$12+'TUSD CVA'!$AI$12)*1</f>
        <v>9.7323960655876993E-2</v>
      </c>
      <c r="AF12" s="13">
        <f ca="1">('TUSD BE'!$AJ$12+'TUSD BF'!$AJ$12+'TUSD CVA'!$AJ$12)*1</f>
        <v>1.9350165550345997</v>
      </c>
      <c r="AG12" s="13">
        <f ca="1">('TUSD BE'!$AK$12+'TUSD BF'!$AK$12+'TUSD CVA'!$AK$12)*1</f>
        <v>0.10725548002137954</v>
      </c>
      <c r="AI12" s="13">
        <v>0</v>
      </c>
      <c r="AJ12" s="13">
        <v>0.15777585315203199</v>
      </c>
      <c r="AK12" s="13">
        <v>0.16085719184851799</v>
      </c>
      <c r="AL12" s="13">
        <v>0</v>
      </c>
      <c r="AM12" s="13">
        <v>0</v>
      </c>
      <c r="AN12" s="13">
        <v>60.488502662438698</v>
      </c>
      <c r="AO12" s="13">
        <v>10.427299785706101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-2.9336679204123799</v>
      </c>
      <c r="AZ12" s="13">
        <v>0</v>
      </c>
      <c r="BA12" s="13">
        <v>3.1002744131878401</v>
      </c>
      <c r="BB12" s="13">
        <v>9.6137489000286305E-2</v>
      </c>
      <c r="BC12" s="13">
        <v>2.1275230792148001</v>
      </c>
      <c r="BD12" s="13">
        <v>0.16891290906360401</v>
      </c>
    </row>
    <row r="13" spans="1:56" ht="11.25" customHeight="1" x14ac:dyDescent="0.25">
      <c r="A13" s="142"/>
      <c r="B13" s="142"/>
      <c r="C13" s="142"/>
      <c r="D13" s="142"/>
      <c r="E13" s="142" t="s">
        <v>83</v>
      </c>
      <c r="F13" s="142" t="s">
        <v>25</v>
      </c>
      <c r="G13" s="24" t="s">
        <v>76</v>
      </c>
      <c r="H13" s="24" t="s">
        <v>75</v>
      </c>
      <c r="I13" s="24">
        <f>'MERCADO TUSD'!$U$10</f>
        <v>0</v>
      </c>
      <c r="J13" s="15"/>
      <c r="L13" s="13">
        <f>('TUSD BE'!$L$13+'TUSD BF'!$L$13+'TUSD CVA'!$L$13)*1</f>
        <v>0</v>
      </c>
      <c r="M13" s="13">
        <f>('TUSD BE'!$M$13+'TUSD BF'!$M$13+'TUSD CVA'!$M$13)*1</f>
        <v>0.15765867997420627</v>
      </c>
      <c r="N13" s="13">
        <f ca="1">('TUSD BE'!$N$13+'TUSD BF'!$N$13+'TUSD CVA'!$N$13)*1</f>
        <v>11.78197398325519</v>
      </c>
      <c r="O13" s="13">
        <f>('TUSD BE'!$O$13+'TUSD BF'!$O$13+'TUSD CVA'!$O$13)*1</f>
        <v>0</v>
      </c>
      <c r="P13" s="13">
        <f>('TUSD BE'!$P$13+'TUSD BF'!$P$13+'TUSD CVA'!$P$13)*1</f>
        <v>0</v>
      </c>
      <c r="Q13" s="13">
        <f>('TUSD BE'!$Q$13+'TUSD BF'!$Q$13+'TUSD CVA'!$Q$13)*1</f>
        <v>0</v>
      </c>
      <c r="R13" s="13">
        <f>('TUSD BE'!$R$13+'TUSD BF'!$R$13+'TUSD CVA'!$R$13)*1</f>
        <v>0</v>
      </c>
      <c r="S13" s="13">
        <f>('TUSD BE'!$S$13+'TUSD BF'!$S$13+'TUSD CVA'!$S$13)*1</f>
        <v>0</v>
      </c>
      <c r="T13" s="13">
        <f>('TUSD BE'!$U$13+'TUSD BF'!$U$13+'TUSD CVA'!$U$13)*1</f>
        <v>0</v>
      </c>
      <c r="U13" s="13">
        <f>('TUSD BE'!$V$13+'TUSD BF'!$V$13+'TUSD CVA'!$V$13)*1</f>
        <v>0</v>
      </c>
      <c r="V13" s="13">
        <f>('TUSD BE'!$W$13+'TUSD BF'!$W$13+'TUSD CVA'!$W$13)*1</f>
        <v>0</v>
      </c>
      <c r="W13" s="13">
        <f>('TUSD BE'!$X$13+'TUSD BF'!$X$13+'TUSD CVA'!$X$13)*1</f>
        <v>0</v>
      </c>
      <c r="X13" s="13">
        <f>('TUSD BE'!$Y$13+'TUSD BF'!$Y$13+'TUSD CVA'!$Y$13)*1</f>
        <v>803.629587991785</v>
      </c>
      <c r="Y13" s="13">
        <f>('TUSD BE'!$Z$13+'TUSD BF'!$Z$13+'TUSD CVA'!$Z$13)*1</f>
        <v>0</v>
      </c>
      <c r="Z13" s="13">
        <f>('TUSD BE'!$AA$13+'TUSD BF'!$AA$13+'TUSD CVA'!$AA$13)*1</f>
        <v>0</v>
      </c>
      <c r="AA13" s="13">
        <f>('TUSD BE'!$AC$13+'TUSD BF'!$AC$13+'TUSD CVA'!$AC$13)*1</f>
        <v>515.96009696613669</v>
      </c>
      <c r="AB13" s="13">
        <f ca="1">('TUSD BE'!$AE$13+'TUSD BF'!$AE$13+'TUSD CVA'!$AE$13)*1</f>
        <v>-367.24133941854609</v>
      </c>
      <c r="AC13" s="13">
        <f ca="1">('TUSD BE'!$AF$13+'TUSD BF'!$AF$13+'TUSD CVA'!$AF$13)*1</f>
        <v>0</v>
      </c>
      <c r="AD13" s="13">
        <f>('TUSD BE'!$AH$13+'TUSD BF'!$AH$13+'TUSD CVA'!$AH$13)*1</f>
        <v>2.8367396766568693</v>
      </c>
      <c r="AE13" s="13">
        <f>('TUSD BE'!$AI$13+'TUSD BF'!$AI$13+'TUSD CVA'!$AI$13)*1</f>
        <v>9.7323960655876993E-2</v>
      </c>
      <c r="AF13" s="13">
        <f ca="1">('TUSD BE'!$AJ$13+'TUSD BF'!$AJ$13+'TUSD CVA'!$AJ$13)*1</f>
        <v>1.9350165550345997</v>
      </c>
      <c r="AG13" s="13">
        <f ca="1">('TUSD BE'!$AK$13+'TUSD BF'!$AK$13+'TUSD CVA'!$AK$13)*1</f>
        <v>0.10725548002137954</v>
      </c>
      <c r="AI13" s="13">
        <v>0</v>
      </c>
      <c r="AJ13" s="13">
        <v>0.15777585315203199</v>
      </c>
      <c r="AK13" s="13">
        <v>19.231896380716201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766.57163905709797</v>
      </c>
      <c r="AV13" s="13">
        <v>0</v>
      </c>
      <c r="AW13" s="13">
        <v>0</v>
      </c>
      <c r="AX13" s="13">
        <v>490.02985155250099</v>
      </c>
      <c r="AY13" s="13">
        <v>-53.8210674783464</v>
      </c>
      <c r="AZ13" s="13">
        <v>0</v>
      </c>
      <c r="BA13" s="13">
        <v>3.1002744131878401</v>
      </c>
      <c r="BB13" s="13">
        <v>9.6137489000286305E-2</v>
      </c>
      <c r="BC13" s="13">
        <v>2.1275230792148001</v>
      </c>
      <c r="BD13" s="13">
        <v>0.16891290906360401</v>
      </c>
    </row>
    <row r="14" spans="1:56" ht="11.25" customHeight="1" x14ac:dyDescent="0.25">
      <c r="A14" s="142"/>
      <c r="B14" s="142"/>
      <c r="C14" s="142"/>
      <c r="D14" s="142"/>
      <c r="E14" s="142"/>
      <c r="F14" s="142"/>
      <c r="G14" s="24" t="s">
        <v>77</v>
      </c>
      <c r="H14" s="24" t="s">
        <v>75</v>
      </c>
      <c r="I14" s="24">
        <f>'MERCADO TUSD'!$U$11</f>
        <v>0</v>
      </c>
      <c r="J14" s="15"/>
      <c r="L14" s="13">
        <f>('TUSD BE'!$L$14+'TUSD BF'!$L$14+'TUSD CVA'!$L$14)*1</f>
        <v>0</v>
      </c>
      <c r="M14" s="13">
        <f>('TUSD BE'!$M$14+'TUSD BF'!$M$14+'TUSD CVA'!$M$14)*1</f>
        <v>0.15765867997420627</v>
      </c>
      <c r="N14" s="13">
        <f ca="1">('TUSD BE'!$N$14+'TUSD BF'!$N$14+'TUSD CVA'!$N$14)*1</f>
        <v>9.025726925727065E-2</v>
      </c>
      <c r="O14" s="13">
        <f>('TUSD BE'!$O$14+'TUSD BF'!$O$14+'TUSD CVA'!$O$14)*1</f>
        <v>0</v>
      </c>
      <c r="P14" s="13">
        <f>('TUSD BE'!$P$14+'TUSD BF'!$P$14+'TUSD CVA'!$P$14)*1</f>
        <v>0</v>
      </c>
      <c r="Q14" s="13">
        <f>('TUSD BE'!$Q$14+'TUSD BF'!$Q$14+'TUSD CVA'!$Q$14)*1</f>
        <v>0</v>
      </c>
      <c r="R14" s="13">
        <f>('TUSD BE'!$R$14+'TUSD BF'!$R$14+'TUSD CVA'!$R$14)*1</f>
        <v>0</v>
      </c>
      <c r="S14" s="13">
        <f>('TUSD BE'!$S$14+'TUSD BF'!$S$14+'TUSD CVA'!$S$14)*1</f>
        <v>0</v>
      </c>
      <c r="T14" s="13">
        <f>('TUSD BE'!$U$14+'TUSD BF'!$U$14+'TUSD CVA'!$U$14)*1</f>
        <v>0</v>
      </c>
      <c r="U14" s="13">
        <f>('TUSD BE'!$V$14+'TUSD BF'!$V$14+'TUSD CVA'!$V$14)*1</f>
        <v>0</v>
      </c>
      <c r="V14" s="13">
        <f>('TUSD BE'!$W$14+'TUSD BF'!$W$14+'TUSD CVA'!$W$14)*1</f>
        <v>0</v>
      </c>
      <c r="W14" s="13">
        <f>('TUSD BE'!$X$14+'TUSD BF'!$X$14+'TUSD CVA'!$X$14)*1</f>
        <v>0</v>
      </c>
      <c r="X14" s="13">
        <f>('TUSD BE'!$Y$14+'TUSD BF'!$Y$14+'TUSD CVA'!$Y$14)*1</f>
        <v>0</v>
      </c>
      <c r="Y14" s="13">
        <f>('TUSD BE'!$Z$14+'TUSD BF'!$Z$14+'TUSD CVA'!$Z$14)*1</f>
        <v>0</v>
      </c>
      <c r="Z14" s="13">
        <f>('TUSD BE'!$AA$14+'TUSD BF'!$AA$14+'TUSD CVA'!$AA$14)*1</f>
        <v>0</v>
      </c>
      <c r="AA14" s="13">
        <f>('TUSD BE'!$AC$14+'TUSD BF'!$AC$14+'TUSD CVA'!$AC$14)*1</f>
        <v>0</v>
      </c>
      <c r="AB14" s="13">
        <f ca="1">('TUSD BE'!$AE$14+'TUSD BF'!$AE$14+'TUSD CVA'!$AE$14)*1</f>
        <v>-1.2645756724936796</v>
      </c>
      <c r="AC14" s="13">
        <f ca="1">('TUSD BE'!$AF$14+'TUSD BF'!$AF$14+'TUSD CVA'!$AF$14)*1</f>
        <v>0</v>
      </c>
      <c r="AD14" s="13">
        <f>('TUSD BE'!$AH$14+'TUSD BF'!$AH$14+'TUSD CVA'!$AH$14)*1</f>
        <v>2.8367396766568693</v>
      </c>
      <c r="AE14" s="13">
        <f>('TUSD BE'!$AI$14+'TUSD BF'!$AI$14+'TUSD CVA'!$AI$14)*1</f>
        <v>9.7323960655876993E-2</v>
      </c>
      <c r="AF14" s="13">
        <f ca="1">('TUSD BE'!$AJ$14+'TUSD BF'!$AJ$14+'TUSD CVA'!$AJ$14)*1</f>
        <v>1.9350165550345997</v>
      </c>
      <c r="AG14" s="13">
        <f ca="1">('TUSD BE'!$AK$14+'TUSD BF'!$AK$14+'TUSD CVA'!$AK$14)*1</f>
        <v>0.10725548002137954</v>
      </c>
      <c r="AI14" s="13">
        <v>0</v>
      </c>
      <c r="AJ14" s="13">
        <v>0.15777585315203199</v>
      </c>
      <c r="AK14" s="13">
        <v>0.143927421543006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-0.188859931326745</v>
      </c>
      <c r="AZ14" s="13">
        <v>0</v>
      </c>
      <c r="BA14" s="13">
        <v>3.1002744131878401</v>
      </c>
      <c r="BB14" s="13">
        <v>9.6137489000286305E-2</v>
      </c>
      <c r="BC14" s="13">
        <v>2.1275230792148001</v>
      </c>
      <c r="BD14" s="13">
        <v>0.16891290906360401</v>
      </c>
    </row>
    <row r="15" spans="1:56" ht="11.25" customHeight="1" x14ac:dyDescent="0.25">
      <c r="A15" s="142" t="s">
        <v>85</v>
      </c>
      <c r="B15" s="142" t="s">
        <v>84</v>
      </c>
      <c r="C15" s="142" t="s">
        <v>25</v>
      </c>
      <c r="D15" s="142" t="s">
        <v>25</v>
      </c>
      <c r="E15" s="23" t="s">
        <v>86</v>
      </c>
      <c r="F15" s="23" t="s">
        <v>25</v>
      </c>
      <c r="G15" s="24" t="s">
        <v>9</v>
      </c>
      <c r="H15" s="24" t="s">
        <v>80</v>
      </c>
      <c r="I15" s="24">
        <f>'MERCADO TUSD'!$U$12+0.00000001</f>
        <v>1E-8</v>
      </c>
      <c r="J15" s="15"/>
      <c r="L15" s="13">
        <f>('TUSD BE'!$L$15+'TUSD BF'!$L$15+'TUSD CVA'!$L$15)*1</f>
        <v>0</v>
      </c>
      <c r="M15" s="13">
        <f>('TUSD BE'!$M$15+'TUSD BF'!$M$15+'TUSD CVA'!$M$15)*1</f>
        <v>2.2194518914431263E-2</v>
      </c>
      <c r="N15" s="13">
        <f ca="1">('TUSD BE'!$N$15+'TUSD BF'!$N$15+'TUSD CVA'!$N$15)*1</f>
        <v>5.734489489911658E-2</v>
      </c>
      <c r="O15" s="13">
        <f>('TUSD BE'!$O$15+'TUSD BF'!$O$15+'TUSD CVA'!$O$15)*1</f>
        <v>0</v>
      </c>
      <c r="P15" s="13">
        <f>('TUSD BE'!$P$15+'TUSD BF'!$P$15+'TUSD CVA'!$P$15)*1</f>
        <v>0</v>
      </c>
      <c r="Q15" s="13">
        <f>('TUSD BE'!$Q$15+'TUSD BF'!$Q$15+'TUSD CVA'!$Q$15)*1</f>
        <v>0</v>
      </c>
      <c r="R15" s="13">
        <f>('TUSD BE'!$R$15+'TUSD BF'!$R$15+'TUSD CVA'!$R$15)*1</f>
        <v>0</v>
      </c>
      <c r="S15" s="13">
        <f>('TUSD BE'!$S$15+'TUSD BF'!$S$15+'TUSD CVA'!$S$15)*1</f>
        <v>0</v>
      </c>
      <c r="T15" s="13">
        <f>('TUSD BE'!$U$15+'TUSD BF'!$U$15+'TUSD CVA'!$U$15)*1</f>
        <v>0</v>
      </c>
      <c r="U15" s="13">
        <f>('TUSD BE'!$V$15+'TUSD BF'!$V$15+'TUSD CVA'!$V$15)*1</f>
        <v>0</v>
      </c>
      <c r="V15" s="13">
        <f>('TUSD BE'!$W$15+'TUSD BF'!$W$15+'TUSD CVA'!$W$15)*1</f>
        <v>0</v>
      </c>
      <c r="W15" s="13">
        <f>('TUSD BE'!$X$15+'TUSD BF'!$X$15+'TUSD CVA'!$X$15)*1</f>
        <v>0</v>
      </c>
      <c r="X15" s="13">
        <f>('TUSD BE'!$Y$15+'TUSD BF'!$Y$15+'TUSD CVA'!$Y$15)*1</f>
        <v>0</v>
      </c>
      <c r="Y15" s="13">
        <f>('TUSD BE'!$Z$15+'TUSD BF'!$Z$15+'TUSD CVA'!$Z$15)*1</f>
        <v>0</v>
      </c>
      <c r="Z15" s="13">
        <f>('TUSD BE'!$AA$15+'TUSD BF'!$AA$15+'TUSD CVA'!$AA$15)*1</f>
        <v>0</v>
      </c>
      <c r="AA15" s="13">
        <f>('TUSD BE'!$AC$15+'TUSD BF'!$AC$15+'TUSD CVA'!$AC$15)*1</f>
        <v>5.9395877442934077</v>
      </c>
      <c r="AB15" s="13">
        <f ca="1">('TUSD BE'!$AE$15+'TUSD BF'!$AE$15+'TUSD CVA'!$AE$15)*1</f>
        <v>-1.6618519195985642</v>
      </c>
      <c r="AC15" s="13">
        <f ca="1">('TUSD BE'!$AF$15+'TUSD BF'!$AF$15+'TUSD CVA'!$AF$15)*1</f>
        <v>0</v>
      </c>
      <c r="AD15" s="13">
        <f>('TUSD BE'!$AH$15+'TUSD BF'!$AH$15+'TUSD CVA'!$AH$15)*1</f>
        <v>0</v>
      </c>
      <c r="AE15" s="13">
        <f>('TUSD BE'!$AI$15+'TUSD BF'!$AI$15+'TUSD CVA'!$AI$15)*1</f>
        <v>0</v>
      </c>
      <c r="AF15" s="13">
        <f ca="1">('TUSD BE'!$AJ$15+'TUSD BF'!$AJ$15+'TUSD CVA'!$AJ$15)*1</f>
        <v>0</v>
      </c>
      <c r="AG15" s="13">
        <f ca="1">('TUSD BE'!$AK$15+'TUSD BF'!$AK$15+'TUSD CVA'!$AK$15)*1</f>
        <v>0</v>
      </c>
      <c r="AI15" s="13">
        <v>0</v>
      </c>
      <c r="AJ15" s="13">
        <v>2.2382620705926799E-2</v>
      </c>
      <c r="AK15" s="13">
        <v>9.3621629789479896E-2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5.6410860408264796</v>
      </c>
      <c r="AY15" s="13">
        <v>-0.245763356712905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</row>
    <row r="16" spans="1:56" ht="11.25" customHeight="1" x14ac:dyDescent="0.25">
      <c r="A16" s="142"/>
      <c r="B16" s="142"/>
      <c r="C16" s="142"/>
      <c r="D16" s="142"/>
      <c r="E16" s="23" t="s">
        <v>87</v>
      </c>
      <c r="F16" s="23" t="s">
        <v>25</v>
      </c>
      <c r="G16" s="24" t="s">
        <v>9</v>
      </c>
      <c r="H16" s="24" t="s">
        <v>80</v>
      </c>
      <c r="I16" s="24">
        <f>'MERCADO TUSD'!$U$13+0.00000001</f>
        <v>1E-8</v>
      </c>
      <c r="J16" s="15"/>
      <c r="L16" s="13">
        <f>('TUSD BE'!$L$16+'TUSD BF'!$L$16+'TUSD CVA'!$L$16)*1</f>
        <v>0</v>
      </c>
      <c r="M16" s="13">
        <f>('TUSD BE'!$M$16+'TUSD BF'!$M$16+'TUSD CVA'!$M$16)*1</f>
        <v>2.2194518914431263E-2</v>
      </c>
      <c r="N16" s="13">
        <f ca="1">('TUSD BE'!$N$16+'TUSD BF'!$N$16+'TUSD CVA'!$N$16)*1</f>
        <v>5.734489489911658E-2</v>
      </c>
      <c r="O16" s="13">
        <f>('TUSD BE'!$O$16+'TUSD BF'!$O$16+'TUSD CVA'!$O$16)*1</f>
        <v>0</v>
      </c>
      <c r="P16" s="13">
        <f>('TUSD BE'!$P$16+'TUSD BF'!$P$16+'TUSD CVA'!$P$16)*1</f>
        <v>0</v>
      </c>
      <c r="Q16" s="13">
        <f>('TUSD BE'!$Q$16+'TUSD BF'!$Q$16+'TUSD CVA'!$Q$16)*1</f>
        <v>0</v>
      </c>
      <c r="R16" s="13">
        <f>('TUSD BE'!$R$16+'TUSD BF'!$R$16+'TUSD CVA'!$R$16)*1</f>
        <v>0</v>
      </c>
      <c r="S16" s="13">
        <f>('TUSD BE'!$S$16+'TUSD BF'!$S$16+'TUSD CVA'!$S$16)*1</f>
        <v>0</v>
      </c>
      <c r="T16" s="13">
        <f>('TUSD BE'!$U$16+'TUSD BF'!$U$16+'TUSD CVA'!$U$16)*1</f>
        <v>0</v>
      </c>
      <c r="U16" s="13">
        <f>('TUSD BE'!$V$16+'TUSD BF'!$V$16+'TUSD CVA'!$V$16)*1</f>
        <v>0</v>
      </c>
      <c r="V16" s="13">
        <f>('TUSD BE'!$W$16+'TUSD BF'!$W$16+'TUSD CVA'!$W$16)*1</f>
        <v>0</v>
      </c>
      <c r="W16" s="13">
        <f>('TUSD BE'!$X$16+'TUSD BF'!$X$16+'TUSD CVA'!$X$16)*1</f>
        <v>0</v>
      </c>
      <c r="X16" s="13">
        <f>('TUSD BE'!$Y$16+'TUSD BF'!$Y$16+'TUSD CVA'!$Y$16)*1</f>
        <v>0</v>
      </c>
      <c r="Y16" s="13">
        <f>('TUSD BE'!$Z$16+'TUSD BF'!$Z$16+'TUSD CVA'!$Z$16)*1</f>
        <v>0</v>
      </c>
      <c r="Z16" s="13">
        <f>('TUSD BE'!$AA$16+'TUSD BF'!$AA$16+'TUSD CVA'!$AA$16)*1</f>
        <v>0</v>
      </c>
      <c r="AA16" s="13">
        <f>('TUSD BE'!$AC$16+'TUSD BF'!$AC$16+'TUSD CVA'!$AC$16)*1</f>
        <v>14.318772159861586</v>
      </c>
      <c r="AB16" s="13">
        <f ca="1">('TUSD BE'!$AE$16+'TUSD BF'!$AE$16+'TUSD CVA'!$AE$16)*1</f>
        <v>-3.9751591692998711</v>
      </c>
      <c r="AC16" s="13">
        <f ca="1">('TUSD BE'!$AF$16+'TUSD BF'!$AF$16+'TUSD CVA'!$AF$16)*1</f>
        <v>0</v>
      </c>
      <c r="AD16" s="13">
        <f>('TUSD BE'!$AH$16+'TUSD BF'!$AH$16+'TUSD CVA'!$AH$16)*1</f>
        <v>0</v>
      </c>
      <c r="AE16" s="13">
        <f>('TUSD BE'!$AI$16+'TUSD BF'!$AI$16+'TUSD CVA'!$AI$16)*1</f>
        <v>0</v>
      </c>
      <c r="AF16" s="13">
        <f ca="1">('TUSD BE'!$AJ$16+'TUSD BF'!$AJ$16+'TUSD CVA'!$AJ$16)*1</f>
        <v>0</v>
      </c>
      <c r="AG16" s="13">
        <f ca="1">('TUSD BE'!$AK$16+'TUSD BF'!$AK$16+'TUSD CVA'!$AK$16)*1</f>
        <v>0</v>
      </c>
      <c r="AI16" s="13">
        <v>0</v>
      </c>
      <c r="AJ16" s="13">
        <v>2.2382620705926799E-2</v>
      </c>
      <c r="AK16" s="13">
        <v>9.3621629789479896E-2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13.599163650772701</v>
      </c>
      <c r="AY16" s="13">
        <v>-0.585470482137881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</row>
    <row r="17" spans="1:56" ht="11.25" customHeight="1" x14ac:dyDescent="0.25">
      <c r="A17" s="142" t="s">
        <v>22</v>
      </c>
      <c r="B17" s="142" t="s">
        <v>32</v>
      </c>
      <c r="C17" s="142" t="s">
        <v>24</v>
      </c>
      <c r="D17" s="142" t="s">
        <v>24</v>
      </c>
      <c r="E17" s="142" t="s">
        <v>25</v>
      </c>
      <c r="F17" s="142" t="s">
        <v>25</v>
      </c>
      <c r="G17" s="24" t="s">
        <v>76</v>
      </c>
      <c r="H17" s="24" t="s">
        <v>75</v>
      </c>
      <c r="I17" s="24">
        <f>'MERCADO TUSD'!$U$14</f>
        <v>0.17000000000000004</v>
      </c>
      <c r="J17" s="15"/>
      <c r="L17" s="13">
        <f>('TUSD BE'!$L$17+'TUSD BF'!$L$17+'TUSD CVA'!$L$17)*1</f>
        <v>0</v>
      </c>
      <c r="M17" s="13">
        <f>('TUSD BE'!$M$17+'TUSD BF'!$M$17+'TUSD CVA'!$M$17)*1</f>
        <v>0.86775775818246881</v>
      </c>
      <c r="N17" s="13">
        <f ca="1">('TUSD BE'!$N$17+'TUSD BF'!$N$17+'TUSD CVA'!$N$17)*1</f>
        <v>8.720697984914958</v>
      </c>
      <c r="O17" s="13">
        <f>('TUSD BE'!$O$17+'TUSD BF'!$O$17+'TUSD CVA'!$O$17)*1</f>
        <v>0</v>
      </c>
      <c r="P17" s="13">
        <f>('TUSD BE'!$P$17+'TUSD BF'!$P$17+'TUSD CVA'!$P$17)*1</f>
        <v>0</v>
      </c>
      <c r="Q17" s="13">
        <f>('TUSD BE'!$Q$17+'TUSD BF'!$Q$17+'TUSD CVA'!$Q$17)*1</f>
        <v>102.17403405410278</v>
      </c>
      <c r="R17" s="13">
        <f>('TUSD BE'!$R$17+'TUSD BF'!$R$17+'TUSD CVA'!$R$17)*1</f>
        <v>18.0548366013739</v>
      </c>
      <c r="S17" s="13">
        <f>('TUSD BE'!$S$17+'TUSD BF'!$S$17+'TUSD CVA'!$S$17)*1</f>
        <v>0</v>
      </c>
      <c r="T17" s="13">
        <f>('TUSD BE'!$U$17+'TUSD BF'!$U$17+'TUSD CVA'!$U$17)*1</f>
        <v>0</v>
      </c>
      <c r="U17" s="13">
        <f>('TUSD BE'!$V$17+'TUSD BF'!$V$17+'TUSD CVA'!$V$17)*1</f>
        <v>0</v>
      </c>
      <c r="V17" s="13">
        <f>('TUSD BE'!$W$17+'TUSD BF'!$W$17+'TUSD CVA'!$W$17)*1</f>
        <v>0</v>
      </c>
      <c r="W17" s="13">
        <f>('TUSD BE'!$X$17+'TUSD BF'!$X$17+'TUSD CVA'!$X$17)*1</f>
        <v>0</v>
      </c>
      <c r="X17" s="13">
        <f>('TUSD BE'!$Y$17+'TUSD BF'!$Y$17+'TUSD CVA'!$Y$17)*1</f>
        <v>360.33639282226352</v>
      </c>
      <c r="Y17" s="13">
        <f>('TUSD BE'!$Z$17+'TUSD BF'!$Z$17+'TUSD CVA'!$Z$17)*1</f>
        <v>0</v>
      </c>
      <c r="Z17" s="13">
        <f>('TUSD BE'!$AA$17+'TUSD BF'!$AA$17+'TUSD CVA'!$AA$17)*1</f>
        <v>0</v>
      </c>
      <c r="AA17" s="13">
        <f>('TUSD BE'!$AC$17+'TUSD BF'!$AC$17+'TUSD CVA'!$AC$17)*1</f>
        <v>545.52799138330533</v>
      </c>
      <c r="AB17" s="13">
        <f ca="1">('TUSD BE'!$AE$17+'TUSD BF'!$AE$17+'TUSD CVA'!$AE$17)*1</f>
        <v>-287.20219612447801</v>
      </c>
      <c r="AC17" s="13">
        <f ca="1">('TUSD BE'!$AF$17+'TUSD BF'!$AF$17+'TUSD CVA'!$AF$17)*1</f>
        <v>0</v>
      </c>
      <c r="AD17" s="13">
        <f>('TUSD BE'!$AH$17+'TUSD BF'!$AH$17+'TUSD CVA'!$AH$17)*1</f>
        <v>22.435532988508729</v>
      </c>
      <c r="AE17" s="13">
        <f>('TUSD BE'!$AI$17+'TUSD BF'!$AI$17+'TUSD CVA'!$AI$17)*1</f>
        <v>0.76972693258922908</v>
      </c>
      <c r="AF17" s="13">
        <f ca="1">('TUSD BE'!$AJ$17+'TUSD BF'!$AJ$17+'TUSD CVA'!$AJ$17)*1</f>
        <v>4.3518279770431629</v>
      </c>
      <c r="AG17" s="13">
        <f ca="1">('TUSD BE'!$AK$17+'TUSD BF'!$AK$17+'TUSD CVA'!$AK$17)*1</f>
        <v>0.24121623013188509</v>
      </c>
      <c r="AI17" s="13">
        <v>0</v>
      </c>
      <c r="AJ17" s="13">
        <v>0.82889782385699695</v>
      </c>
      <c r="AK17" s="13">
        <v>14.233298301520801</v>
      </c>
      <c r="AL17" s="13">
        <v>0</v>
      </c>
      <c r="AM17" s="13">
        <v>0</v>
      </c>
      <c r="AN17" s="13">
        <v>69.527014554527298</v>
      </c>
      <c r="AO17" s="13">
        <v>10.427299785706101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343.720121042269</v>
      </c>
      <c r="AV17" s="13">
        <v>0</v>
      </c>
      <c r="AW17" s="13">
        <v>0</v>
      </c>
      <c r="AX17" s="13">
        <v>518.11177299790302</v>
      </c>
      <c r="AY17" s="13">
        <v>-41.133028814369297</v>
      </c>
      <c r="AZ17" s="13">
        <v>0</v>
      </c>
      <c r="BA17" s="13">
        <v>24.519806820088</v>
      </c>
      <c r="BB17" s="13">
        <v>0.76034322911161301</v>
      </c>
      <c r="BC17" s="13">
        <v>4.9573187834929202</v>
      </c>
      <c r="BD17" s="13">
        <v>0.39358216371710297</v>
      </c>
    </row>
    <row r="18" spans="1:56" ht="11.25" customHeight="1" x14ac:dyDescent="0.25">
      <c r="A18" s="142"/>
      <c r="B18" s="142"/>
      <c r="C18" s="142"/>
      <c r="D18" s="142"/>
      <c r="E18" s="142"/>
      <c r="F18" s="142"/>
      <c r="G18" s="24" t="s">
        <v>88</v>
      </c>
      <c r="H18" s="24" t="s">
        <v>75</v>
      </c>
      <c r="I18" s="24">
        <f>'MERCADO TUSD'!$U$15</f>
        <v>0.13000000000000003</v>
      </c>
      <c r="J18" s="15"/>
      <c r="L18" s="13">
        <f>('TUSD BE'!$L$18+'TUSD BF'!$L$18+'TUSD CVA'!$L$18)*1</f>
        <v>0</v>
      </c>
      <c r="M18" s="13">
        <f>('TUSD BE'!$M$18+'TUSD BF'!$M$18+'TUSD CVA'!$M$18)*1</f>
        <v>0.86775775818246881</v>
      </c>
      <c r="N18" s="13">
        <f ca="1">('TUSD BE'!$N$18+'TUSD BF'!$N$18+'TUSD CVA'!$N$18)*1</f>
        <v>5.4141903080536888</v>
      </c>
      <c r="O18" s="13">
        <f>('TUSD BE'!$O$18+'TUSD BF'!$O$18+'TUSD CVA'!$O$18)*1</f>
        <v>0</v>
      </c>
      <c r="P18" s="13">
        <f>('TUSD BE'!$P$18+'TUSD BF'!$P$18+'TUSD CVA'!$P$18)*1</f>
        <v>0</v>
      </c>
      <c r="Q18" s="13">
        <f>('TUSD BE'!$Q$18+'TUSD BF'!$Q$18+'TUSD CVA'!$Q$18)*1</f>
        <v>102.17403405410278</v>
      </c>
      <c r="R18" s="13">
        <f>('TUSD BE'!$R$18+'TUSD BF'!$R$18+'TUSD CVA'!$R$18)*1</f>
        <v>18.0548366013739</v>
      </c>
      <c r="S18" s="13">
        <f>('TUSD BE'!$S$18+'TUSD BF'!$S$18+'TUSD CVA'!$S$18)*1</f>
        <v>0</v>
      </c>
      <c r="T18" s="13">
        <f>('TUSD BE'!$U$18+'TUSD BF'!$U$18+'TUSD CVA'!$U$18)*1</f>
        <v>0</v>
      </c>
      <c r="U18" s="13">
        <f>('TUSD BE'!$V$18+'TUSD BF'!$V$18+'TUSD CVA'!$V$18)*1</f>
        <v>0</v>
      </c>
      <c r="V18" s="13">
        <f>('TUSD BE'!$W$18+'TUSD BF'!$W$18+'TUSD CVA'!$W$18)*1</f>
        <v>0</v>
      </c>
      <c r="W18" s="13">
        <f>('TUSD BE'!$X$18+'TUSD BF'!$X$18+'TUSD CVA'!$X$18)*1</f>
        <v>0</v>
      </c>
      <c r="X18" s="13">
        <f>('TUSD BE'!$Y$18+'TUSD BF'!$Y$18+'TUSD CVA'!$Y$18)*1</f>
        <v>216.20178613199411</v>
      </c>
      <c r="Y18" s="13">
        <f>('TUSD BE'!$Z$18+'TUSD BF'!$Z$18+'TUSD CVA'!$Z$18)*1</f>
        <v>0</v>
      </c>
      <c r="Z18" s="13">
        <f>('TUSD BE'!$AA$18+'TUSD BF'!$AA$18+'TUSD CVA'!$AA$18)*1</f>
        <v>0</v>
      </c>
      <c r="AA18" s="13">
        <f>('TUSD BE'!$AC$18+'TUSD BF'!$AC$18+'TUSD CVA'!$AC$18)*1</f>
        <v>327.31677328163119</v>
      </c>
      <c r="AB18" s="13">
        <f ca="1">('TUSD BE'!$AE$18+'TUSD BF'!$AE$18+'TUSD CVA'!$AE$18)*1</f>
        <v>-186.53357671616351</v>
      </c>
      <c r="AC18" s="13">
        <f ca="1">('TUSD BE'!$AF$18+'TUSD BF'!$AF$18+'TUSD CVA'!$AF$18)*1</f>
        <v>0</v>
      </c>
      <c r="AD18" s="13">
        <f>('TUSD BE'!$AH$18+'TUSD BF'!$AH$18+'TUSD CVA'!$AH$18)*1</f>
        <v>22.435532988508729</v>
      </c>
      <c r="AE18" s="13">
        <f>('TUSD BE'!$AI$18+'TUSD BF'!$AI$18+'TUSD CVA'!$AI$18)*1</f>
        <v>0.76972693258922908</v>
      </c>
      <c r="AF18" s="13">
        <f ca="1">('TUSD BE'!$AJ$18+'TUSD BF'!$AJ$18+'TUSD CVA'!$AJ$18)*1</f>
        <v>4.3518279770431629</v>
      </c>
      <c r="AG18" s="13">
        <f ca="1">('TUSD BE'!$AK$18+'TUSD BF'!$AK$18+'TUSD CVA'!$AK$18)*1</f>
        <v>0.24121623013188509</v>
      </c>
      <c r="AI18" s="13">
        <v>0</v>
      </c>
      <c r="AJ18" s="13">
        <v>0.82889782385699695</v>
      </c>
      <c r="AK18" s="13">
        <v>8.8350734348823092</v>
      </c>
      <c r="AL18" s="13">
        <v>0</v>
      </c>
      <c r="AM18" s="13">
        <v>0</v>
      </c>
      <c r="AN18" s="13">
        <v>69.527014554527298</v>
      </c>
      <c r="AO18" s="13">
        <v>10.427299785706101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206.23202534943101</v>
      </c>
      <c r="AV18" s="13">
        <v>0</v>
      </c>
      <c r="AW18" s="13">
        <v>0</v>
      </c>
      <c r="AX18" s="13">
        <v>310.86704333333</v>
      </c>
      <c r="AY18" s="13">
        <v>-26.3346114920632</v>
      </c>
      <c r="AZ18" s="13">
        <v>0</v>
      </c>
      <c r="BA18" s="13">
        <v>24.519806820088</v>
      </c>
      <c r="BB18" s="13">
        <v>0.76034322911161301</v>
      </c>
      <c r="BC18" s="13">
        <v>4.9573187834929202</v>
      </c>
      <c r="BD18" s="13">
        <v>0.39358216371710297</v>
      </c>
    </row>
    <row r="19" spans="1:56" ht="11.25" customHeight="1" x14ac:dyDescent="0.25">
      <c r="A19" s="142"/>
      <c r="B19" s="142"/>
      <c r="C19" s="142"/>
      <c r="D19" s="142"/>
      <c r="E19" s="142"/>
      <c r="F19" s="142"/>
      <c r="G19" s="24" t="s">
        <v>77</v>
      </c>
      <c r="H19" s="24" t="s">
        <v>75</v>
      </c>
      <c r="I19" s="24">
        <f>'MERCADO TUSD'!$U$16</f>
        <v>2.4539999999999997</v>
      </c>
      <c r="J19" s="15"/>
      <c r="L19" s="13">
        <f>('TUSD BE'!$L$19+'TUSD BF'!$L$19+'TUSD CVA'!$L$19)*1</f>
        <v>0</v>
      </c>
      <c r="M19" s="13">
        <f>('TUSD BE'!$M$19+'TUSD BF'!$M$19+'TUSD CVA'!$M$19)*1</f>
        <v>0.86775775818246881</v>
      </c>
      <c r="N19" s="13">
        <f ca="1">('TUSD BE'!$N$19+'TUSD BF'!$N$19+'TUSD CVA'!$N$19)*1</f>
        <v>2.1076836681706248</v>
      </c>
      <c r="O19" s="13">
        <f>('TUSD BE'!$O$19+'TUSD BF'!$O$19+'TUSD CVA'!$O$19)*1</f>
        <v>0</v>
      </c>
      <c r="P19" s="13">
        <f>('TUSD BE'!$P$19+'TUSD BF'!$P$19+'TUSD CVA'!$P$19)*1</f>
        <v>0</v>
      </c>
      <c r="Q19" s="13">
        <f>('TUSD BE'!$Q$19+'TUSD BF'!$Q$19+'TUSD CVA'!$Q$19)*1</f>
        <v>102.17403405410278</v>
      </c>
      <c r="R19" s="13">
        <f>('TUSD BE'!$R$19+'TUSD BF'!$R$19+'TUSD CVA'!$R$19)*1</f>
        <v>18.0548366013739</v>
      </c>
      <c r="S19" s="13">
        <f>('TUSD BE'!$S$19+'TUSD BF'!$S$19+'TUSD CVA'!$S$19)*1</f>
        <v>0</v>
      </c>
      <c r="T19" s="13">
        <f>('TUSD BE'!$U$19+'TUSD BF'!$U$19+'TUSD CVA'!$U$19)*1</f>
        <v>0</v>
      </c>
      <c r="U19" s="13">
        <f>('TUSD BE'!$V$19+'TUSD BF'!$V$19+'TUSD CVA'!$V$19)*1</f>
        <v>0</v>
      </c>
      <c r="V19" s="13">
        <f>('TUSD BE'!$W$19+'TUSD BF'!$W$19+'TUSD CVA'!$W$19)*1</f>
        <v>0</v>
      </c>
      <c r="W19" s="13">
        <f>('TUSD BE'!$X$19+'TUSD BF'!$X$19+'TUSD CVA'!$X$19)*1</f>
        <v>0</v>
      </c>
      <c r="X19" s="13">
        <f>('TUSD BE'!$Y$19+'TUSD BF'!$Y$19+'TUSD CVA'!$Y$19)*1</f>
        <v>72.067303345134718</v>
      </c>
      <c r="Y19" s="13">
        <f>('TUSD BE'!$Z$19+'TUSD BF'!$Z$19+'TUSD CVA'!$Z$19)*1</f>
        <v>0</v>
      </c>
      <c r="Z19" s="13">
        <f>('TUSD BE'!$AA$19+'TUSD BF'!$AA$19+'TUSD CVA'!$AA$19)*1</f>
        <v>0</v>
      </c>
      <c r="AA19" s="13">
        <f>('TUSD BE'!$AC$19+'TUSD BF'!$AC$19+'TUSD CVA'!$AC$19)*1</f>
        <v>109.10555517995707</v>
      </c>
      <c r="AB19" s="13">
        <f ca="1">('TUSD BE'!$AE$19+'TUSD BF'!$AE$19+'TUSD CVA'!$AE$19)*1</f>
        <v>-85.864991560518519</v>
      </c>
      <c r="AC19" s="13">
        <f ca="1">('TUSD BE'!$AF$19+'TUSD BF'!$AF$19+'TUSD CVA'!$AF$19)*1</f>
        <v>0</v>
      </c>
      <c r="AD19" s="13">
        <f>('TUSD BE'!$AH$19+'TUSD BF'!$AH$19+'TUSD CVA'!$AH$19)*1</f>
        <v>22.435532988508729</v>
      </c>
      <c r="AE19" s="13">
        <f>('TUSD BE'!$AI$19+'TUSD BF'!$AI$19+'TUSD CVA'!$AI$19)*1</f>
        <v>0.76972693258922908</v>
      </c>
      <c r="AF19" s="13">
        <f ca="1">('TUSD BE'!$AJ$19+'TUSD BF'!$AJ$19+'TUSD CVA'!$AJ$19)*1</f>
        <v>4.3518279770431629</v>
      </c>
      <c r="AG19" s="13">
        <f ca="1">('TUSD BE'!$AK$19+'TUSD BF'!$AK$19+'TUSD CVA'!$AK$19)*1</f>
        <v>0.24121623013188509</v>
      </c>
      <c r="AI19" s="13">
        <v>0</v>
      </c>
      <c r="AJ19" s="13">
        <v>0.82889782385699695</v>
      </c>
      <c r="AK19" s="13">
        <v>3.43685026122091</v>
      </c>
      <c r="AL19" s="13">
        <v>0</v>
      </c>
      <c r="AM19" s="13">
        <v>0</v>
      </c>
      <c r="AN19" s="13">
        <v>69.527014554527298</v>
      </c>
      <c r="AO19" s="13">
        <v>10.427299785706101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68.744047846418695</v>
      </c>
      <c r="AV19" s="13">
        <v>0</v>
      </c>
      <c r="AW19" s="13">
        <v>0</v>
      </c>
      <c r="AX19" s="13">
        <v>103.622313668757</v>
      </c>
      <c r="AY19" s="13">
        <v>-11.536199160275901</v>
      </c>
      <c r="AZ19" s="13">
        <v>0</v>
      </c>
      <c r="BA19" s="13">
        <v>24.519806820088</v>
      </c>
      <c r="BB19" s="13">
        <v>0.76034322911161301</v>
      </c>
      <c r="BC19" s="13">
        <v>4.9573187834929202</v>
      </c>
      <c r="BD19" s="13">
        <v>0.39358216371710297</v>
      </c>
    </row>
    <row r="20" spans="1:56" ht="11.25" customHeight="1" x14ac:dyDescent="0.25">
      <c r="A20" s="142"/>
      <c r="B20" s="142" t="s">
        <v>23</v>
      </c>
      <c r="C20" s="142" t="s">
        <v>24</v>
      </c>
      <c r="D20" s="23" t="s">
        <v>24</v>
      </c>
      <c r="E20" s="23" t="s">
        <v>25</v>
      </c>
      <c r="F20" s="23" t="s">
        <v>25</v>
      </c>
      <c r="G20" s="24" t="s">
        <v>79</v>
      </c>
      <c r="H20" s="24" t="s">
        <v>75</v>
      </c>
      <c r="I20" s="24">
        <f>'MERCADO TUSD'!$U$17</f>
        <v>10574.981000000002</v>
      </c>
      <c r="J20" s="15"/>
      <c r="L20" s="13">
        <f>('TUSD BE'!$L$20+'TUSD BF'!$L$20+'TUSD CVA'!$L$20)*1</f>
        <v>0</v>
      </c>
      <c r="M20" s="13">
        <f>('TUSD BE'!$M$20+'TUSD BF'!$M$20+'TUSD CVA'!$M$20)*1</f>
        <v>0.86775775818246881</v>
      </c>
      <c r="N20" s="13">
        <f ca="1">('TUSD BE'!$N$20+'TUSD BF'!$N$20+'TUSD CVA'!$N$20)*1</f>
        <v>3.4066689380423605</v>
      </c>
      <c r="O20" s="13">
        <f>('TUSD BE'!$O$20+'TUSD BF'!$O$20+'TUSD CVA'!$O$20)*1</f>
        <v>0</v>
      </c>
      <c r="P20" s="13">
        <f>('TUSD BE'!$P$20+'TUSD BF'!$P$20+'TUSD CVA'!$P$20)*1</f>
        <v>0</v>
      </c>
      <c r="Q20" s="13">
        <f>('TUSD BE'!$Q$20+'TUSD BF'!$Q$20+'TUSD CVA'!$Q$20)*1</f>
        <v>102.17403405410278</v>
      </c>
      <c r="R20" s="13">
        <f>('TUSD BE'!$R$20+'TUSD BF'!$R$20+'TUSD CVA'!$R$20)*1</f>
        <v>18.0548366013739</v>
      </c>
      <c r="S20" s="13">
        <f>('TUSD BE'!$S$20+'TUSD BF'!$S$20+'TUSD CVA'!$S$20)*1</f>
        <v>0</v>
      </c>
      <c r="T20" s="13">
        <f>('TUSD BE'!$U$20+'TUSD BF'!$U$20+'TUSD CVA'!$U$20)*1</f>
        <v>0</v>
      </c>
      <c r="U20" s="13">
        <f>('TUSD BE'!$V$20+'TUSD BF'!$V$20+'TUSD CVA'!$V$20)*1</f>
        <v>0</v>
      </c>
      <c r="V20" s="13">
        <f>('TUSD BE'!$W$20+'TUSD BF'!$W$20+'TUSD CVA'!$W$20)*1</f>
        <v>0</v>
      </c>
      <c r="W20" s="13">
        <f>('TUSD BE'!$X$20+'TUSD BF'!$X$20+'TUSD CVA'!$X$20)*1</f>
        <v>0</v>
      </c>
      <c r="X20" s="13">
        <f>('TUSD BE'!$Y$20+'TUSD BF'!$Y$20+'TUSD CVA'!$Y$20)*1</f>
        <v>128.69153346411983</v>
      </c>
      <c r="Y20" s="13">
        <f>('TUSD BE'!$Z$20+'TUSD BF'!$Z$20+'TUSD CVA'!$Z$20)*1</f>
        <v>0</v>
      </c>
      <c r="Z20" s="13">
        <f>('TUSD BE'!$AA$20+'TUSD BF'!$AA$20+'TUSD CVA'!$AA$20)*1</f>
        <v>0</v>
      </c>
      <c r="AA20" s="13">
        <f>('TUSD BE'!$AC$20+'TUSD BF'!$AC$20+'TUSD CVA'!$AC$20)*1</f>
        <v>194.83147166907759</v>
      </c>
      <c r="AB20" s="13">
        <f ca="1">('TUSD BE'!$AE$20+'TUSD BF'!$AE$20+'TUSD CVA'!$AE$20)*1</f>
        <v>-125.41337826061903</v>
      </c>
      <c r="AC20" s="13">
        <f ca="1">('TUSD BE'!$AF$20+'TUSD BF'!$AF$20+'TUSD CVA'!$AF$20)*1</f>
        <v>0</v>
      </c>
      <c r="AD20" s="13">
        <f>('TUSD BE'!$AH$20+'TUSD BF'!$AH$20+'TUSD CVA'!$AH$20)*1</f>
        <v>22.435532988508729</v>
      </c>
      <c r="AE20" s="13">
        <f>('TUSD BE'!$AI$20+'TUSD BF'!$AI$20+'TUSD CVA'!$AI$20)*1</f>
        <v>0.76972693258922908</v>
      </c>
      <c r="AF20" s="13">
        <f ca="1">('TUSD BE'!$AJ$20+'TUSD BF'!$AJ$20+'TUSD CVA'!$AJ$20)*1</f>
        <v>4.3518279770431629</v>
      </c>
      <c r="AG20" s="13">
        <f ca="1">('TUSD BE'!$AK$20+'TUSD BF'!$AK$20+'TUSD CVA'!$AK$20)*1</f>
        <v>0.24121623013188509</v>
      </c>
      <c r="AI20" s="13">
        <v>0</v>
      </c>
      <c r="AJ20" s="13">
        <v>0.82889782385699695</v>
      </c>
      <c r="AK20" s="13">
        <v>5.5575816402192597</v>
      </c>
      <c r="AL20" s="13">
        <v>0</v>
      </c>
      <c r="AM20" s="13">
        <v>0</v>
      </c>
      <c r="AN20" s="13">
        <v>69.527014554527298</v>
      </c>
      <c r="AO20" s="13">
        <v>10.427299785706101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122.75715231800299</v>
      </c>
      <c r="AV20" s="13">
        <v>0</v>
      </c>
      <c r="AW20" s="13">
        <v>0</v>
      </c>
      <c r="AX20" s="13">
        <v>185.03996278227601</v>
      </c>
      <c r="AY20" s="13">
        <v>-17.3498632303669</v>
      </c>
      <c r="AZ20" s="13">
        <v>0</v>
      </c>
      <c r="BA20" s="13">
        <v>24.519806820088</v>
      </c>
      <c r="BB20" s="13">
        <v>0.76034322911161301</v>
      </c>
      <c r="BC20" s="13">
        <v>4.9573187834929202</v>
      </c>
      <c r="BD20" s="13">
        <v>0.39358216371710297</v>
      </c>
    </row>
    <row r="21" spans="1:56" ht="11.25" customHeight="1" x14ac:dyDescent="0.25">
      <c r="A21" s="142"/>
      <c r="B21" s="142"/>
      <c r="C21" s="142"/>
      <c r="D21" s="23" t="s">
        <v>28</v>
      </c>
      <c r="E21" s="23" t="s">
        <v>25</v>
      </c>
      <c r="F21" s="23" t="s">
        <v>25</v>
      </c>
      <c r="G21" s="24" t="s">
        <v>79</v>
      </c>
      <c r="H21" s="24" t="s">
        <v>75</v>
      </c>
      <c r="I21" s="24">
        <f>'MERCADO TUSD'!$U$18</f>
        <v>204.62</v>
      </c>
      <c r="J21" s="15"/>
      <c r="L21" s="13">
        <f>('TUSD BE'!$L$21+'TUSD BF'!$L$21+'TUSD CVA'!$L$21)*(1 - 0.65)</f>
        <v>0</v>
      </c>
      <c r="M21" s="13">
        <f>('TUSD BE'!$M$21+'TUSD BF'!$M$21+'TUSD CVA'!$M$21)*(1 - 0.65)</f>
        <v>0.30371521536386409</v>
      </c>
      <c r="N21" s="13">
        <f ca="1">('TUSD BE'!$N$21+'TUSD BF'!$N$21+'TUSD CVA'!$N$21)*(1 - 0.65)</f>
        <v>1.188704704587034</v>
      </c>
      <c r="O21" s="13">
        <f>('TUSD BE'!$O$21+'TUSD BF'!$O$21+'TUSD CVA'!$O$21)*(1 - 0.65)</f>
        <v>0</v>
      </c>
      <c r="P21" s="13">
        <v>0</v>
      </c>
      <c r="Q21" s="13">
        <f>('TUSD BE'!$Q$21+'TUSD BF'!$Q$21+'TUSD CVA'!$Q$21)*(1 - 0.65)</f>
        <v>0</v>
      </c>
      <c r="R21" s="13">
        <v>0</v>
      </c>
      <c r="S21" s="13">
        <f>('TUSD BE'!$S$21+'TUSD BF'!$S$21+'TUSD CVA'!$S$21)*(1 - 0.65)</f>
        <v>0</v>
      </c>
      <c r="T21" s="13">
        <f>('TUSD BE'!$U$21+'TUSD BF'!$U$21+'TUSD CVA'!$U$21)*(1 - 0.65)</f>
        <v>0</v>
      </c>
      <c r="U21" s="13">
        <f>('TUSD BE'!$V$21+'TUSD BF'!$V$21+'TUSD CVA'!$V$21)*(1 - 0.65)</f>
        <v>0</v>
      </c>
      <c r="V21" s="13">
        <f>('TUSD BE'!$W$21+'TUSD BF'!$W$21+'TUSD CVA'!$W$21)*(1 - 0.65)</f>
        <v>0</v>
      </c>
      <c r="W21" s="13">
        <f>('TUSD BE'!$X$21+'TUSD BF'!$X$21+'TUSD CVA'!$X$21)*(1 - 0.65)</f>
        <v>0</v>
      </c>
      <c r="X21" s="13">
        <f>('TUSD BE'!$Y$21+'TUSD BF'!$Y$21+'TUSD CVA'!$Y$21)*(1 - 0.65)</f>
        <v>45.042036712441934</v>
      </c>
      <c r="Y21" s="13">
        <f>('TUSD BE'!$Z$21+'TUSD BF'!$Z$21+'TUSD CVA'!$Z$21)*(1 - 0.65)</f>
        <v>0</v>
      </c>
      <c r="Z21" s="13">
        <f>('TUSD BE'!$AA$21+'TUSD BF'!$AA$21+'TUSD CVA'!$AA$21)*(1 - 0.65)</f>
        <v>0</v>
      </c>
      <c r="AA21" s="13">
        <f>('TUSD BE'!$AC$21+'TUSD BF'!$AC$21+'TUSD CVA'!$AC$21)*(1 - 0.65)</f>
        <v>68.191015084177153</v>
      </c>
      <c r="AB21" s="13">
        <f ca="1">('TUSD BE'!$AE$21+'TUSD BF'!$AE$21+'TUSD CVA'!$AE$21)*(1 - 0.65)</f>
        <v>-33.920909103558863</v>
      </c>
      <c r="AC21" s="13">
        <f ca="1">('TUSD BE'!$AF$21+'TUSD BF'!$AF$21+'TUSD CVA'!$AF$21)*(1 - 0.65)</f>
        <v>0</v>
      </c>
      <c r="AD21" s="13">
        <f>('TUSD BE'!$AH$21+'TUSD BF'!$AH$21+'TUSD CVA'!$AH$21)*(1 - 0.65)</f>
        <v>7.8524365459780547</v>
      </c>
      <c r="AE21" s="13">
        <f>('TUSD BE'!$AI$21+'TUSD BF'!$AI$21+'TUSD CVA'!$AI$21)*(1 - 0.65)</f>
        <v>0.26940442640623014</v>
      </c>
      <c r="AF21" s="13">
        <f ca="1">('TUSD BE'!$AJ$21+'TUSD BF'!$AJ$21+'TUSD CVA'!$AJ$21)*(1 - 0.65)</f>
        <v>1.5231397919651068</v>
      </c>
      <c r="AG21" s="13">
        <f ca="1">('TUSD BE'!$AK$21+'TUSD BF'!$AK$21+'TUSD CVA'!$AK$21)*(1 - 0.65)</f>
        <v>8.4425680546159773E-2</v>
      </c>
      <c r="AI21" s="13">
        <v>0</v>
      </c>
      <c r="AJ21" s="13">
        <v>0.29011423834994898</v>
      </c>
      <c r="AK21" s="13">
        <v>1.93922815446981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42.965003311301103</v>
      </c>
      <c r="AV21" s="13">
        <v>0</v>
      </c>
      <c r="AW21" s="13">
        <v>0</v>
      </c>
      <c r="AX21" s="13">
        <v>64.763986973796506</v>
      </c>
      <c r="AY21" s="13">
        <v>-4.9891891512156201</v>
      </c>
      <c r="AZ21" s="13">
        <v>0</v>
      </c>
      <c r="BA21" s="13">
        <v>8.5819323870307898</v>
      </c>
      <c r="BB21" s="13">
        <v>0.266120130189065</v>
      </c>
      <c r="BC21" s="13">
        <v>1.7350615742225199</v>
      </c>
      <c r="BD21" s="13">
        <v>0.13775375730098599</v>
      </c>
    </row>
    <row r="22" spans="1:56" ht="11.25" customHeight="1" x14ac:dyDescent="0.25">
      <c r="A22" s="142"/>
      <c r="B22" s="142"/>
      <c r="C22" s="142"/>
      <c r="D22" s="23" t="s">
        <v>29</v>
      </c>
      <c r="E22" s="23" t="s">
        <v>25</v>
      </c>
      <c r="F22" s="23" t="s">
        <v>25</v>
      </c>
      <c r="G22" s="24" t="s">
        <v>79</v>
      </c>
      <c r="H22" s="24" t="s">
        <v>75</v>
      </c>
      <c r="I22" s="24">
        <f>'MERCADO TUSD'!$U$19</f>
        <v>376.553</v>
      </c>
      <c r="J22" s="15"/>
      <c r="L22" s="13">
        <f>('TUSD BE'!$L$22+'TUSD BF'!$L$22+'TUSD CVA'!$L$22)*(1 - 0.4)</f>
        <v>0</v>
      </c>
      <c r="M22" s="13">
        <f>('TUSD BE'!$M$22+'TUSD BF'!$M$22+'TUSD CVA'!$M$22)*(1 - 0.4)</f>
        <v>0.52065465490948126</v>
      </c>
      <c r="N22" s="13">
        <f ca="1">('TUSD BE'!$N$22+'TUSD BF'!$N$22+'TUSD CVA'!$N$22)*(1 - 0.4)</f>
        <v>2.0377794935777724</v>
      </c>
      <c r="O22" s="13">
        <f>('TUSD BE'!$O$22+'TUSD BF'!$O$22+'TUSD CVA'!$O$22)*(1 - 0.4)</f>
        <v>0</v>
      </c>
      <c r="P22" s="13">
        <v>0</v>
      </c>
      <c r="Q22" s="13">
        <f>('TUSD BE'!$Q$22+'TUSD BF'!$Q$22+'TUSD CVA'!$Q$22)*(1 - 0.4)</f>
        <v>0</v>
      </c>
      <c r="R22" s="13">
        <v>0</v>
      </c>
      <c r="S22" s="13">
        <f>('TUSD BE'!$S$22+'TUSD BF'!$S$22+'TUSD CVA'!$S$22)*(1 - 0.4)</f>
        <v>0</v>
      </c>
      <c r="T22" s="13">
        <f>('TUSD BE'!$U$22+'TUSD BF'!$U$22+'TUSD CVA'!$U$22)*(1 - 0.4)</f>
        <v>0</v>
      </c>
      <c r="U22" s="13">
        <f>('TUSD BE'!$V$22+'TUSD BF'!$V$22+'TUSD CVA'!$V$22)*(1 - 0.4)</f>
        <v>0</v>
      </c>
      <c r="V22" s="13">
        <f>('TUSD BE'!$W$22+'TUSD BF'!$W$22+'TUSD CVA'!$W$22)*(1 - 0.4)</f>
        <v>0</v>
      </c>
      <c r="W22" s="13">
        <f>('TUSD BE'!$X$22+'TUSD BF'!$X$22+'TUSD CVA'!$X$22)*(1 - 0.4)</f>
        <v>0</v>
      </c>
      <c r="X22" s="13">
        <f>('TUSD BE'!$Y$22+'TUSD BF'!$Y$22+'TUSD CVA'!$Y$22)*(1 - 0.4)</f>
        <v>77.214920078471891</v>
      </c>
      <c r="Y22" s="13">
        <f>('TUSD BE'!$Z$22+'TUSD BF'!$Z$22+'TUSD CVA'!$Z$22)*(1 - 0.4)</f>
        <v>0</v>
      </c>
      <c r="Z22" s="13">
        <f>('TUSD BE'!$AA$22+'TUSD BF'!$AA$22+'TUSD CVA'!$AA$22)*(1 - 0.4)</f>
        <v>0</v>
      </c>
      <c r="AA22" s="13">
        <f>('TUSD BE'!$AC$22+'TUSD BF'!$AC$22+'TUSD CVA'!$AC$22)*(1 - 0.4)</f>
        <v>116.89888300144655</v>
      </c>
      <c r="AB22" s="13">
        <f ca="1">('TUSD BE'!$AE$22+'TUSD BF'!$AE$22+'TUSD CVA'!$AE$22)*(1 - 0.4)</f>
        <v>-58.150129891815197</v>
      </c>
      <c r="AC22" s="13">
        <f ca="1">('TUSD BE'!$AF$22+'TUSD BF'!$AF$22+'TUSD CVA'!$AF$22)*(1 - 0.4)</f>
        <v>0</v>
      </c>
      <c r="AD22" s="13">
        <f>('TUSD BE'!$AH$22+'TUSD BF'!$AH$22+'TUSD CVA'!$AH$22)*(1 - 0.4)</f>
        <v>13.461319793105238</v>
      </c>
      <c r="AE22" s="13">
        <f>('TUSD BE'!$AI$22+'TUSD BF'!$AI$22+'TUSD CVA'!$AI$22)*(1 - 0.4)</f>
        <v>0.46183615955353741</v>
      </c>
      <c r="AF22" s="13">
        <f ca="1">('TUSD BE'!$AJ$22+'TUSD BF'!$AJ$22+'TUSD CVA'!$AJ$22)*(1 - 0.4)</f>
        <v>2.6110967862258976</v>
      </c>
      <c r="AG22" s="13">
        <f ca="1">('TUSD BE'!$AK$22+'TUSD BF'!$AK$22+'TUSD CVA'!$AK$22)*(1 - 0.4)</f>
        <v>0.14472973807913106</v>
      </c>
      <c r="AI22" s="13">
        <v>0</v>
      </c>
      <c r="AJ22" s="13">
        <v>0.49733869431419803</v>
      </c>
      <c r="AK22" s="13">
        <v>3.32439112194825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73.654291390801902</v>
      </c>
      <c r="AV22" s="13">
        <v>0</v>
      </c>
      <c r="AW22" s="13">
        <v>0</v>
      </c>
      <c r="AX22" s="13">
        <v>111.023977669365</v>
      </c>
      <c r="AY22" s="13">
        <v>-8.5528956877982107</v>
      </c>
      <c r="AZ22" s="13">
        <v>0</v>
      </c>
      <c r="BA22" s="13">
        <v>14.7118840920528</v>
      </c>
      <c r="BB22" s="13">
        <v>0.45620593746696803</v>
      </c>
      <c r="BC22" s="13">
        <v>2.97439127009575</v>
      </c>
      <c r="BD22" s="13">
        <v>0.23614929823026201</v>
      </c>
    </row>
    <row r="23" spans="1:56" ht="11.25" customHeight="1" x14ac:dyDescent="0.25">
      <c r="A23" s="142"/>
      <c r="B23" s="142"/>
      <c r="C23" s="142"/>
      <c r="D23" s="23" t="s">
        <v>30</v>
      </c>
      <c r="E23" s="23" t="s">
        <v>25</v>
      </c>
      <c r="F23" s="23" t="s">
        <v>25</v>
      </c>
      <c r="G23" s="24" t="s">
        <v>79</v>
      </c>
      <c r="H23" s="24" t="s">
        <v>75</v>
      </c>
      <c r="I23" s="24">
        <f>'MERCADO TUSD'!$U$20</f>
        <v>166.29699999999997</v>
      </c>
      <c r="J23" s="15"/>
      <c r="L23" s="13">
        <f>('TUSD BE'!$L$23+'TUSD BF'!$L$23+'TUSD CVA'!$L$23)*(1 - 0.1)</f>
        <v>0</v>
      </c>
      <c r="M23" s="13">
        <f>('TUSD BE'!$M$23+'TUSD BF'!$M$23+'TUSD CVA'!$M$23)*(1 - 0.1)</f>
        <v>0.78098198236422189</v>
      </c>
      <c r="N23" s="13">
        <f ca="1">('TUSD BE'!$N$23+'TUSD BF'!$N$23+'TUSD CVA'!$N$23)*(1 - 0.1)</f>
        <v>3.0566692403666593</v>
      </c>
      <c r="O23" s="13">
        <f>('TUSD BE'!$O$23+'TUSD BF'!$O$23+'TUSD CVA'!$O$23)*(1 - 0.1)</f>
        <v>0</v>
      </c>
      <c r="P23" s="13">
        <v>0</v>
      </c>
      <c r="Q23" s="13">
        <f>('TUSD BE'!$Q$23+'TUSD BF'!$Q$23+'TUSD CVA'!$Q$23)*(1 - 0.1)</f>
        <v>0</v>
      </c>
      <c r="R23" s="13">
        <v>0</v>
      </c>
      <c r="S23" s="13">
        <f>('TUSD BE'!$S$23+'TUSD BF'!$S$23+'TUSD CVA'!$S$23)*(1 - 0.1)</f>
        <v>0</v>
      </c>
      <c r="T23" s="13">
        <f>('TUSD BE'!$U$23+'TUSD BF'!$U$23+'TUSD CVA'!$U$23)*(1 - 0.1)</f>
        <v>0</v>
      </c>
      <c r="U23" s="13">
        <f>('TUSD BE'!$V$23+'TUSD BF'!$V$23+'TUSD CVA'!$V$23)*(1 - 0.1)</f>
        <v>0</v>
      </c>
      <c r="V23" s="13">
        <f>('TUSD BE'!$W$23+'TUSD BF'!$W$23+'TUSD CVA'!$W$23)*(1 - 0.1)</f>
        <v>0</v>
      </c>
      <c r="W23" s="13">
        <f>('TUSD BE'!$X$23+'TUSD BF'!$X$23+'TUSD CVA'!$X$23)*(1 - 0.1)</f>
        <v>0</v>
      </c>
      <c r="X23" s="13">
        <f>('TUSD BE'!$Y$23+'TUSD BF'!$Y$23+'TUSD CVA'!$Y$23)*(1 - 0.1)</f>
        <v>115.82238011770785</v>
      </c>
      <c r="Y23" s="13">
        <f>('TUSD BE'!$Z$23+'TUSD BF'!$Z$23+'TUSD CVA'!$Z$23)*(1 - 0.1)</f>
        <v>0</v>
      </c>
      <c r="Z23" s="13">
        <f>('TUSD BE'!$AA$23+'TUSD BF'!$AA$23+'TUSD CVA'!$AA$23)*(1 - 0.1)</f>
        <v>0</v>
      </c>
      <c r="AA23" s="13">
        <f>('TUSD BE'!$AC$23+'TUSD BF'!$AC$23+'TUSD CVA'!$AC$23)*(1 - 0.1)</f>
        <v>175.34832450216985</v>
      </c>
      <c r="AB23" s="13">
        <f ca="1">('TUSD BE'!$AE$23+'TUSD BF'!$AE$23+'TUSD CVA'!$AE$23)*(1 - 0.1)</f>
        <v>-87.22519483772281</v>
      </c>
      <c r="AC23" s="13">
        <f ca="1">('TUSD BE'!$AF$23+'TUSD BF'!$AF$23+'TUSD CVA'!$AF$23)*(1 - 0.1)</f>
        <v>0</v>
      </c>
      <c r="AD23" s="13">
        <f>('TUSD BE'!$AH$23+'TUSD BF'!$AH$23+'TUSD CVA'!$AH$23)*(1 - 0.1)</f>
        <v>20.191979689657856</v>
      </c>
      <c r="AE23" s="13">
        <f>('TUSD BE'!$AI$23+'TUSD BF'!$AI$23+'TUSD CVA'!$AI$23)*(1 - 0.1)</f>
        <v>0.69275423933030622</v>
      </c>
      <c r="AF23" s="13">
        <f ca="1">('TUSD BE'!$AJ$23+'TUSD BF'!$AJ$23+'TUSD CVA'!$AJ$23)*(1 - 0.1)</f>
        <v>3.9166451793388468</v>
      </c>
      <c r="AG23" s="13">
        <f ca="1">('TUSD BE'!$AK$23+'TUSD BF'!$AK$23+'TUSD CVA'!$AK$23)*(1 - 0.1)</f>
        <v>0.21709460711869658</v>
      </c>
      <c r="AI23" s="13">
        <v>0</v>
      </c>
      <c r="AJ23" s="13">
        <v>0.74600804147129696</v>
      </c>
      <c r="AK23" s="13">
        <v>4.9865866829223799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110.481437086203</v>
      </c>
      <c r="AV23" s="13">
        <v>0</v>
      </c>
      <c r="AW23" s="13">
        <v>0</v>
      </c>
      <c r="AX23" s="13">
        <v>166.53596650404799</v>
      </c>
      <c r="AY23" s="13">
        <v>-12.829343531697299</v>
      </c>
      <c r="AZ23" s="13">
        <v>0</v>
      </c>
      <c r="BA23" s="13">
        <v>22.067826138079202</v>
      </c>
      <c r="BB23" s="13">
        <v>0.68430890620045204</v>
      </c>
      <c r="BC23" s="13">
        <v>4.4615869051436299</v>
      </c>
      <c r="BD23" s="13">
        <v>0.35422394734539298</v>
      </c>
    </row>
    <row r="24" spans="1:56" ht="11.25" customHeight="1" x14ac:dyDescent="0.25">
      <c r="A24" s="142"/>
      <c r="B24" s="142"/>
      <c r="C24" s="142"/>
      <c r="D24" s="23" t="s">
        <v>31</v>
      </c>
      <c r="E24" s="23" t="s">
        <v>25</v>
      </c>
      <c r="F24" s="23" t="s">
        <v>25</v>
      </c>
      <c r="G24" s="24" t="s">
        <v>79</v>
      </c>
      <c r="H24" s="24" t="s">
        <v>75</v>
      </c>
      <c r="I24" s="24">
        <f>'MERCADO TUSD'!$U$21</f>
        <v>17.806999999999999</v>
      </c>
      <c r="J24" s="15"/>
      <c r="L24" s="13">
        <f>('TUSD BE'!$L$24+'TUSD BF'!$L$24+'TUSD CVA'!$L$24)*1</f>
        <v>0</v>
      </c>
      <c r="M24" s="13">
        <f>('TUSD BE'!$M$24+'TUSD BF'!$M$24+'TUSD CVA'!$M$24)*1</f>
        <v>0.86775775818246881</v>
      </c>
      <c r="N24" s="13">
        <f ca="1">('TUSD BE'!$N$24+'TUSD BF'!$N$24+'TUSD CVA'!$N$24)*1</f>
        <v>3.3962991559629545</v>
      </c>
      <c r="O24" s="13">
        <f>('TUSD BE'!$O$24+'TUSD BF'!$O$24+'TUSD CVA'!$O$24)*1</f>
        <v>0</v>
      </c>
      <c r="P24" s="13">
        <v>0</v>
      </c>
      <c r="Q24" s="13">
        <f>('TUSD BE'!$Q$24+'TUSD BF'!$Q$24+'TUSD CVA'!$Q$24)*1</f>
        <v>0</v>
      </c>
      <c r="R24" s="13">
        <v>0</v>
      </c>
      <c r="S24" s="13">
        <f>('TUSD BE'!$S$24+'TUSD BF'!$S$24+'TUSD CVA'!$S$24)*1</f>
        <v>0</v>
      </c>
      <c r="T24" s="13">
        <f>('TUSD BE'!$U$24+'TUSD BF'!$U$24+'TUSD CVA'!$U$24)*1</f>
        <v>0</v>
      </c>
      <c r="U24" s="13">
        <f>('TUSD BE'!$V$24+'TUSD BF'!$V$24+'TUSD CVA'!$V$24)*1</f>
        <v>0</v>
      </c>
      <c r="V24" s="13">
        <f>('TUSD BE'!$W$24+'TUSD BF'!$W$24+'TUSD CVA'!$W$24)*1</f>
        <v>0</v>
      </c>
      <c r="W24" s="13">
        <f>('TUSD BE'!$X$24+'TUSD BF'!$X$24+'TUSD CVA'!$X$24)*1</f>
        <v>0</v>
      </c>
      <c r="X24" s="13">
        <f>('TUSD BE'!$Y$24+'TUSD BF'!$Y$24+'TUSD CVA'!$Y$24)*1</f>
        <v>128.69153346411983</v>
      </c>
      <c r="Y24" s="13">
        <f>('TUSD BE'!$Z$24+'TUSD BF'!$Z$24+'TUSD CVA'!$Z$24)*1</f>
        <v>0</v>
      </c>
      <c r="Z24" s="13">
        <f>('TUSD BE'!$AA$24+'TUSD BF'!$AA$24+'TUSD CVA'!$AA$24)*1</f>
        <v>0</v>
      </c>
      <c r="AA24" s="13">
        <f>('TUSD BE'!$AC$24+'TUSD BF'!$AC$24+'TUSD CVA'!$AC$24)*1</f>
        <v>194.83147166907759</v>
      </c>
      <c r="AB24" s="13">
        <f ca="1">('TUSD BE'!$AE$24+'TUSD BF'!$AE$24+'TUSD CVA'!$AE$24)*1</f>
        <v>-96.916883153025339</v>
      </c>
      <c r="AC24" s="13">
        <f ca="1">('TUSD BE'!$AF$24+'TUSD BF'!$AF$24+'TUSD CVA'!$AF$24)*1</f>
        <v>0</v>
      </c>
      <c r="AD24" s="13">
        <f>('TUSD BE'!$AH$24+'TUSD BF'!$AH$24+'TUSD CVA'!$AH$24)*1</f>
        <v>22.435532988508729</v>
      </c>
      <c r="AE24" s="13">
        <f>('TUSD BE'!$AI$24+'TUSD BF'!$AI$24+'TUSD CVA'!$AI$24)*1</f>
        <v>0.76972693258922908</v>
      </c>
      <c r="AF24" s="13">
        <f ca="1">('TUSD BE'!$AJ$24+'TUSD BF'!$AJ$24+'TUSD CVA'!$AJ$24)*1</f>
        <v>4.3518279770431629</v>
      </c>
      <c r="AG24" s="13">
        <f ca="1">('TUSD BE'!$AK$24+'TUSD BF'!$AK$24+'TUSD CVA'!$AK$24)*1</f>
        <v>0.24121623013188509</v>
      </c>
      <c r="AI24" s="13">
        <v>0</v>
      </c>
      <c r="AJ24" s="13">
        <v>0.82889782385699695</v>
      </c>
      <c r="AK24" s="13">
        <v>5.5406518699137504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122.75715231800299</v>
      </c>
      <c r="AV24" s="13">
        <v>0</v>
      </c>
      <c r="AW24" s="13">
        <v>0</v>
      </c>
      <c r="AX24" s="13">
        <v>185.03996278227601</v>
      </c>
      <c r="AY24" s="13">
        <v>-14.2548261463304</v>
      </c>
      <c r="AZ24" s="13">
        <v>0</v>
      </c>
      <c r="BA24" s="13">
        <v>24.519806820088</v>
      </c>
      <c r="BB24" s="13">
        <v>0.76034322911161301</v>
      </c>
      <c r="BC24" s="13">
        <v>4.9573187834929202</v>
      </c>
      <c r="BD24" s="13">
        <v>0.39358216371710297</v>
      </c>
    </row>
    <row r="25" spans="1:56" ht="11.25" customHeight="1" x14ac:dyDescent="0.25">
      <c r="A25" s="142"/>
      <c r="B25" s="142" t="s">
        <v>90</v>
      </c>
      <c r="C25" s="142" t="s">
        <v>24</v>
      </c>
      <c r="D25" s="23" t="s">
        <v>24</v>
      </c>
      <c r="E25" s="23" t="s">
        <v>25</v>
      </c>
      <c r="F25" s="23" t="s">
        <v>25</v>
      </c>
      <c r="G25" s="24" t="s">
        <v>79</v>
      </c>
      <c r="H25" s="24" t="s">
        <v>75</v>
      </c>
      <c r="I25" s="24">
        <f>'MERCADO TUSD'!$U$22</f>
        <v>0</v>
      </c>
      <c r="J25" s="15"/>
      <c r="L25" s="13">
        <f>('TUSD BE'!$L$25+'TUSD BF'!$L$25+'TUSD CVA'!$L$25)*1</f>
        <v>0</v>
      </c>
      <c r="M25" s="13">
        <f>('TUSD BE'!$M$25+'TUSD BF'!$M$25+'TUSD CVA'!$M$25)*1</f>
        <v>0.86775775818246881</v>
      </c>
      <c r="N25" s="13">
        <f ca="1">('TUSD BE'!$N$25+'TUSD BF'!$N$25+'TUSD CVA'!$N$25)*1</f>
        <v>3.4066689380423605</v>
      </c>
      <c r="O25" s="13">
        <f>('TUSD BE'!$O$25+'TUSD BF'!$O$25+'TUSD CVA'!$O$25)*1</f>
        <v>0</v>
      </c>
      <c r="P25" s="13">
        <f>('TUSD BE'!$P$25+'TUSD BF'!$P$25+'TUSD CVA'!$P$25)*1</f>
        <v>0</v>
      </c>
      <c r="Q25" s="13">
        <f>('TUSD BE'!$Q$25+'TUSD BF'!$Q$25+'TUSD CVA'!$Q$25)*1</f>
        <v>102.17403405410278</v>
      </c>
      <c r="R25" s="13">
        <f>('TUSD BE'!$R$25+'TUSD BF'!$R$25+'TUSD CVA'!$R$25)*1</f>
        <v>18.0548366013739</v>
      </c>
      <c r="S25" s="13">
        <f>('TUSD BE'!$S$25+'TUSD BF'!$S$25+'TUSD CVA'!$S$25)*1</f>
        <v>0</v>
      </c>
      <c r="T25" s="13">
        <f>('TUSD BE'!$U$25+'TUSD BF'!$U$25+'TUSD CVA'!$U$25)*1</f>
        <v>0</v>
      </c>
      <c r="U25" s="13">
        <f>('TUSD BE'!$V$25+'TUSD BF'!$V$25+'TUSD CVA'!$V$25)*1</f>
        <v>0</v>
      </c>
      <c r="V25" s="13">
        <f>('TUSD BE'!$W$25+'TUSD BF'!$W$25+'TUSD CVA'!$W$25)*1</f>
        <v>0</v>
      </c>
      <c r="W25" s="13">
        <f>('TUSD BE'!$X$25+'TUSD BF'!$X$25+'TUSD CVA'!$X$25)*1</f>
        <v>0</v>
      </c>
      <c r="X25" s="13">
        <f>('TUSD BE'!$Y$25+'TUSD BF'!$Y$25+'TUSD CVA'!$Y$25)*1</f>
        <v>128.69153346411983</v>
      </c>
      <c r="Y25" s="13">
        <f>('TUSD BE'!$Z$25+'TUSD BF'!$Z$25+'TUSD CVA'!$Z$25)*1</f>
        <v>0</v>
      </c>
      <c r="Z25" s="13">
        <f>('TUSD BE'!$AA$25+'TUSD BF'!$AA$25+'TUSD CVA'!$AA$25)*1</f>
        <v>0</v>
      </c>
      <c r="AA25" s="13">
        <f>('TUSD BE'!$AC$25+'TUSD BF'!$AC$25+'TUSD CVA'!$AC$25)*1</f>
        <v>194.83147166907759</v>
      </c>
      <c r="AB25" s="13">
        <f ca="1">('TUSD BE'!$AE$25+'TUSD BF'!$AE$25+'TUSD CVA'!$AE$25)*1</f>
        <v>-125.41337826061903</v>
      </c>
      <c r="AC25" s="13">
        <f ca="1">('TUSD BE'!$AF$25+'TUSD BF'!$AF$25+'TUSD CVA'!$AF$25)*1</f>
        <v>0</v>
      </c>
      <c r="AD25" s="13">
        <f>('TUSD BE'!$AH$25+'TUSD BF'!$AH$25+'TUSD CVA'!$AH$25)*1</f>
        <v>22.435532988508729</v>
      </c>
      <c r="AE25" s="13">
        <f>('TUSD BE'!$AI$25+'TUSD BF'!$AI$25+'TUSD CVA'!$AI$25)*1</f>
        <v>0.76972693258922908</v>
      </c>
      <c r="AF25" s="13">
        <f ca="1">('TUSD BE'!$AJ$25+'TUSD BF'!$AJ$25+'TUSD CVA'!$AJ$25)*1</f>
        <v>4.3518279770431629</v>
      </c>
      <c r="AG25" s="13">
        <f ca="1">('TUSD BE'!$AK$25+'TUSD BF'!$AK$25+'TUSD CVA'!$AK$25)*1</f>
        <v>0.24121623013188509</v>
      </c>
      <c r="AI25" s="13">
        <v>0</v>
      </c>
      <c r="AJ25" s="13">
        <v>0.82889782385699695</v>
      </c>
      <c r="AK25" s="13">
        <v>5.5575816402192597</v>
      </c>
      <c r="AL25" s="13">
        <v>0</v>
      </c>
      <c r="AM25" s="13">
        <v>0</v>
      </c>
      <c r="AN25" s="13">
        <v>69.527014554527298</v>
      </c>
      <c r="AO25" s="13">
        <v>10.427299785706101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122.75715231800299</v>
      </c>
      <c r="AV25" s="13">
        <v>0</v>
      </c>
      <c r="AW25" s="13">
        <v>0</v>
      </c>
      <c r="AX25" s="13">
        <v>185.03996278227601</v>
      </c>
      <c r="AY25" s="13">
        <v>-17.3498632303669</v>
      </c>
      <c r="AZ25" s="13">
        <v>0</v>
      </c>
      <c r="BA25" s="13">
        <v>24.519806820088</v>
      </c>
      <c r="BB25" s="13">
        <v>0.76034322911161301</v>
      </c>
      <c r="BC25" s="13">
        <v>4.9573187834929202</v>
      </c>
      <c r="BD25" s="13">
        <v>0.39358216371710297</v>
      </c>
    </row>
    <row r="26" spans="1:56" ht="11.25" customHeight="1" x14ac:dyDescent="0.25">
      <c r="A26" s="142"/>
      <c r="B26" s="142"/>
      <c r="C26" s="142"/>
      <c r="D26" s="23" t="s">
        <v>28</v>
      </c>
      <c r="E26" s="23" t="s">
        <v>25</v>
      </c>
      <c r="F26" s="23" t="s">
        <v>25</v>
      </c>
      <c r="G26" s="24" t="s">
        <v>79</v>
      </c>
      <c r="H26" s="24" t="s">
        <v>75</v>
      </c>
      <c r="I26" s="24">
        <f>'MERCADO TUSD'!$U$23</f>
        <v>0</v>
      </c>
      <c r="J26" s="15"/>
      <c r="L26" s="13">
        <f>('TUSD BE'!$L$26+'TUSD BF'!$L$26+'TUSD CVA'!$L$26)*(1 - 0.65)</f>
        <v>0</v>
      </c>
      <c r="M26" s="13">
        <f>('TUSD BE'!$M$26+'TUSD BF'!$M$26+'TUSD CVA'!$M$26)*(1 - 0.65)</f>
        <v>0.30371521536386409</v>
      </c>
      <c r="N26" s="13">
        <f ca="1">('TUSD BE'!$N$26+'TUSD BF'!$N$26+'TUSD CVA'!$N$26)*(1 - 0.65)</f>
        <v>1.188704704587034</v>
      </c>
      <c r="O26" s="13">
        <f>('TUSD BE'!$O$26+'TUSD BF'!$O$26+'TUSD CVA'!$O$26)*(1 - 0.65)</f>
        <v>0</v>
      </c>
      <c r="P26" s="13">
        <v>0</v>
      </c>
      <c r="Q26" s="13">
        <f>('TUSD BE'!$Q$26+'TUSD BF'!$Q$26+'TUSD CVA'!$Q$26)*(1 - 0.65)</f>
        <v>0</v>
      </c>
      <c r="R26" s="13">
        <v>0</v>
      </c>
      <c r="S26" s="13">
        <f>('TUSD BE'!$S$26+'TUSD BF'!$S$26+'TUSD CVA'!$S$26)*(1 - 0.65)</f>
        <v>0</v>
      </c>
      <c r="T26" s="13">
        <f>('TUSD BE'!$U$26+'TUSD BF'!$U$26+'TUSD CVA'!$U$26)*(1 - 0.65)</f>
        <v>0</v>
      </c>
      <c r="U26" s="13">
        <f>('TUSD BE'!$V$26+'TUSD BF'!$V$26+'TUSD CVA'!$V$26)*(1 - 0.65)</f>
        <v>0</v>
      </c>
      <c r="V26" s="13">
        <f>('TUSD BE'!$W$26+'TUSD BF'!$W$26+'TUSD CVA'!$W$26)*(1 - 0.65)</f>
        <v>0</v>
      </c>
      <c r="W26" s="13">
        <f>('TUSD BE'!$X$26+'TUSD BF'!$X$26+'TUSD CVA'!$X$26)*(1 - 0.65)</f>
        <v>0</v>
      </c>
      <c r="X26" s="13">
        <f>('TUSD BE'!$Y$26+'TUSD BF'!$Y$26+'TUSD CVA'!$Y$26)*(1 - 0.65)</f>
        <v>45.042036712441934</v>
      </c>
      <c r="Y26" s="13">
        <f>('TUSD BE'!$Z$26+'TUSD BF'!$Z$26+'TUSD CVA'!$Z$26)*(1 - 0.65)</f>
        <v>0</v>
      </c>
      <c r="Z26" s="13">
        <f>('TUSD BE'!$AA$26+'TUSD BF'!$AA$26+'TUSD CVA'!$AA$26)*(1 - 0.65)</f>
        <v>0</v>
      </c>
      <c r="AA26" s="13">
        <f>('TUSD BE'!$AC$26+'TUSD BF'!$AC$26+'TUSD CVA'!$AC$26)*(1 - 0.65)</f>
        <v>68.191015084177153</v>
      </c>
      <c r="AB26" s="13">
        <f ca="1">('TUSD BE'!$AE$26+'TUSD BF'!$AE$26+'TUSD CVA'!$AE$26)*(1 - 0.65)</f>
        <v>-33.920909103558863</v>
      </c>
      <c r="AC26" s="13">
        <f ca="1">('TUSD BE'!$AF$26+'TUSD BF'!$AF$26+'TUSD CVA'!$AF$26)*(1 - 0.65)</f>
        <v>0</v>
      </c>
      <c r="AD26" s="13">
        <f>('TUSD BE'!$AH$26+'TUSD BF'!$AH$26+'TUSD CVA'!$AH$26)*(1 - 0.65)</f>
        <v>7.8524365459780547</v>
      </c>
      <c r="AE26" s="13">
        <f>('TUSD BE'!$AI$26+'TUSD BF'!$AI$26+'TUSD CVA'!$AI$26)*(1 - 0.65)</f>
        <v>0.26940442640623014</v>
      </c>
      <c r="AF26" s="13">
        <f ca="1">('TUSD BE'!$AJ$26+'TUSD BF'!$AJ$26+'TUSD CVA'!$AJ$26)*(1 - 0.65)</f>
        <v>1.5231397919651068</v>
      </c>
      <c r="AG26" s="13">
        <f ca="1">('TUSD BE'!$AK$26+'TUSD BF'!$AK$26+'TUSD CVA'!$AK$26)*(1 - 0.65)</f>
        <v>8.4425680546159773E-2</v>
      </c>
      <c r="AI26" s="13">
        <v>0</v>
      </c>
      <c r="AJ26" s="13">
        <v>0.29011423834994898</v>
      </c>
      <c r="AK26" s="13">
        <v>1.93922815446981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42.965003311301103</v>
      </c>
      <c r="AV26" s="13">
        <v>0</v>
      </c>
      <c r="AW26" s="13">
        <v>0</v>
      </c>
      <c r="AX26" s="13">
        <v>64.763986973796506</v>
      </c>
      <c r="AY26" s="13">
        <v>-4.9891891512156201</v>
      </c>
      <c r="AZ26" s="13">
        <v>0</v>
      </c>
      <c r="BA26" s="13">
        <v>8.5819323870307898</v>
      </c>
      <c r="BB26" s="13">
        <v>0.266120130189065</v>
      </c>
      <c r="BC26" s="13">
        <v>1.7350615742225199</v>
      </c>
      <c r="BD26" s="13">
        <v>0.13775375730098599</v>
      </c>
    </row>
    <row r="27" spans="1:56" ht="11.25" customHeight="1" x14ac:dyDescent="0.25">
      <c r="A27" s="142"/>
      <c r="B27" s="142"/>
      <c r="C27" s="142"/>
      <c r="D27" s="23" t="s">
        <v>29</v>
      </c>
      <c r="E27" s="23" t="s">
        <v>25</v>
      </c>
      <c r="F27" s="23" t="s">
        <v>25</v>
      </c>
      <c r="G27" s="24" t="s">
        <v>79</v>
      </c>
      <c r="H27" s="24" t="s">
        <v>75</v>
      </c>
      <c r="I27" s="24">
        <f>'MERCADO TUSD'!$U$24</f>
        <v>0</v>
      </c>
      <c r="J27" s="15"/>
      <c r="L27" s="13">
        <f>('TUSD BE'!$L$27+'TUSD BF'!$L$27+'TUSD CVA'!$L$27)*(1 - 0.4)</f>
        <v>0</v>
      </c>
      <c r="M27" s="13">
        <f>('TUSD BE'!$M$27+'TUSD BF'!$M$27+'TUSD CVA'!$M$27)*(1 - 0.4)</f>
        <v>0.52065465490948126</v>
      </c>
      <c r="N27" s="13">
        <f ca="1">('TUSD BE'!$N$27+'TUSD BF'!$N$27+'TUSD CVA'!$N$27)*(1 - 0.4)</f>
        <v>2.0377794935777724</v>
      </c>
      <c r="O27" s="13">
        <f>('TUSD BE'!$O$27+'TUSD BF'!$O$27+'TUSD CVA'!$O$27)*(1 - 0.4)</f>
        <v>0</v>
      </c>
      <c r="P27" s="13">
        <v>0</v>
      </c>
      <c r="Q27" s="13">
        <f>('TUSD BE'!$Q$27+'TUSD BF'!$Q$27+'TUSD CVA'!$Q$27)*(1 - 0.4)</f>
        <v>0</v>
      </c>
      <c r="R27" s="13">
        <v>0</v>
      </c>
      <c r="S27" s="13">
        <f>('TUSD BE'!$S$27+'TUSD BF'!$S$27+'TUSD CVA'!$S$27)*(1 - 0.4)</f>
        <v>0</v>
      </c>
      <c r="T27" s="13">
        <f>('TUSD BE'!$U$27+'TUSD BF'!$U$27+'TUSD CVA'!$U$27)*(1 - 0.4)</f>
        <v>0</v>
      </c>
      <c r="U27" s="13">
        <f>('TUSD BE'!$V$27+'TUSD BF'!$V$27+'TUSD CVA'!$V$27)*(1 - 0.4)</f>
        <v>0</v>
      </c>
      <c r="V27" s="13">
        <f>('TUSD BE'!$W$27+'TUSD BF'!$W$27+'TUSD CVA'!$W$27)*(1 - 0.4)</f>
        <v>0</v>
      </c>
      <c r="W27" s="13">
        <f>('TUSD BE'!$X$27+'TUSD BF'!$X$27+'TUSD CVA'!$X$27)*(1 - 0.4)</f>
        <v>0</v>
      </c>
      <c r="X27" s="13">
        <f>('TUSD BE'!$Y$27+'TUSD BF'!$Y$27+'TUSD CVA'!$Y$27)*(1 - 0.4)</f>
        <v>77.214920078471891</v>
      </c>
      <c r="Y27" s="13">
        <f>('TUSD BE'!$Z$27+'TUSD BF'!$Z$27+'TUSD CVA'!$Z$27)*(1 - 0.4)</f>
        <v>0</v>
      </c>
      <c r="Z27" s="13">
        <f>('TUSD BE'!$AA$27+'TUSD BF'!$AA$27+'TUSD CVA'!$AA$27)*(1 - 0.4)</f>
        <v>0</v>
      </c>
      <c r="AA27" s="13">
        <f>('TUSD BE'!$AC$27+'TUSD BF'!$AC$27+'TUSD CVA'!$AC$27)*(1 - 0.4)</f>
        <v>116.89888300144655</v>
      </c>
      <c r="AB27" s="13">
        <f ca="1">('TUSD BE'!$AE$27+'TUSD BF'!$AE$27+'TUSD CVA'!$AE$27)*(1 - 0.4)</f>
        <v>-58.150129891815197</v>
      </c>
      <c r="AC27" s="13">
        <f ca="1">('TUSD BE'!$AF$27+'TUSD BF'!$AF$27+'TUSD CVA'!$AF$27)*(1 - 0.4)</f>
        <v>0</v>
      </c>
      <c r="AD27" s="13">
        <f>('TUSD BE'!$AH$27+'TUSD BF'!$AH$27+'TUSD CVA'!$AH$27)*(1 - 0.4)</f>
        <v>13.461319793105238</v>
      </c>
      <c r="AE27" s="13">
        <f>('TUSD BE'!$AI$27+'TUSD BF'!$AI$27+'TUSD CVA'!$AI$27)*(1 - 0.4)</f>
        <v>0.46183615955353741</v>
      </c>
      <c r="AF27" s="13">
        <f ca="1">('TUSD BE'!$AJ$27+'TUSD BF'!$AJ$27+'TUSD CVA'!$AJ$27)*(1 - 0.4)</f>
        <v>2.6110967862258976</v>
      </c>
      <c r="AG27" s="13">
        <f ca="1">('TUSD BE'!$AK$27+'TUSD BF'!$AK$27+'TUSD CVA'!$AK$27)*(1 - 0.4)</f>
        <v>0.14472973807913106</v>
      </c>
      <c r="AI27" s="13">
        <v>0</v>
      </c>
      <c r="AJ27" s="13">
        <v>0.49733869431419803</v>
      </c>
      <c r="AK27" s="13">
        <v>3.32439112194825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73.654291390801902</v>
      </c>
      <c r="AV27" s="13">
        <v>0</v>
      </c>
      <c r="AW27" s="13">
        <v>0</v>
      </c>
      <c r="AX27" s="13">
        <v>111.023977669365</v>
      </c>
      <c r="AY27" s="13">
        <v>-8.5528956877982107</v>
      </c>
      <c r="AZ27" s="13">
        <v>0</v>
      </c>
      <c r="BA27" s="13">
        <v>14.7118840920528</v>
      </c>
      <c r="BB27" s="13">
        <v>0.45620593746696803</v>
      </c>
      <c r="BC27" s="13">
        <v>2.97439127009575</v>
      </c>
      <c r="BD27" s="13">
        <v>0.23614929823026201</v>
      </c>
    </row>
    <row r="28" spans="1:56" ht="11.25" customHeight="1" x14ac:dyDescent="0.25">
      <c r="A28" s="142"/>
      <c r="B28" s="142"/>
      <c r="C28" s="142"/>
      <c r="D28" s="23" t="s">
        <v>30</v>
      </c>
      <c r="E28" s="23" t="s">
        <v>25</v>
      </c>
      <c r="F28" s="23" t="s">
        <v>25</v>
      </c>
      <c r="G28" s="24" t="s">
        <v>79</v>
      </c>
      <c r="H28" s="24" t="s">
        <v>75</v>
      </c>
      <c r="I28" s="24">
        <f>'MERCADO TUSD'!$U$25</f>
        <v>0</v>
      </c>
      <c r="J28" s="15"/>
      <c r="L28" s="13">
        <f>('TUSD BE'!$L$28+'TUSD BF'!$L$28+'TUSD CVA'!$L$28)*(1 - 0.1)</f>
        <v>0</v>
      </c>
      <c r="M28" s="13">
        <f>('TUSD BE'!$M$28+'TUSD BF'!$M$28+'TUSD CVA'!$M$28)*(1 - 0.1)</f>
        <v>0.78098198236422189</v>
      </c>
      <c r="N28" s="13">
        <f ca="1">('TUSD BE'!$N$28+'TUSD BF'!$N$28+'TUSD CVA'!$N$28)*(1 - 0.1)</f>
        <v>3.0566692403666593</v>
      </c>
      <c r="O28" s="13">
        <f>('TUSD BE'!$O$28+'TUSD BF'!$O$28+'TUSD CVA'!$O$28)*(1 - 0.1)</f>
        <v>0</v>
      </c>
      <c r="P28" s="13">
        <v>0</v>
      </c>
      <c r="Q28" s="13">
        <f>('TUSD BE'!$Q$28+'TUSD BF'!$Q$28+'TUSD CVA'!$Q$28)*(1 - 0.1)</f>
        <v>0</v>
      </c>
      <c r="R28" s="13">
        <v>0</v>
      </c>
      <c r="S28" s="13">
        <f>('TUSD BE'!$S$28+'TUSD BF'!$S$28+'TUSD CVA'!$S$28)*(1 - 0.1)</f>
        <v>0</v>
      </c>
      <c r="T28" s="13">
        <f>('TUSD BE'!$U$28+'TUSD BF'!$U$28+'TUSD CVA'!$U$28)*(1 - 0.1)</f>
        <v>0</v>
      </c>
      <c r="U28" s="13">
        <f>('TUSD BE'!$V$28+'TUSD BF'!$V$28+'TUSD CVA'!$V$28)*(1 - 0.1)</f>
        <v>0</v>
      </c>
      <c r="V28" s="13">
        <f>('TUSD BE'!$W$28+'TUSD BF'!$W$28+'TUSD CVA'!$W$28)*(1 - 0.1)</f>
        <v>0</v>
      </c>
      <c r="W28" s="13">
        <f>('TUSD BE'!$X$28+'TUSD BF'!$X$28+'TUSD CVA'!$X$28)*(1 - 0.1)</f>
        <v>0</v>
      </c>
      <c r="X28" s="13">
        <f>('TUSD BE'!$Y$28+'TUSD BF'!$Y$28+'TUSD CVA'!$Y$28)*(1 - 0.1)</f>
        <v>115.82238011770785</v>
      </c>
      <c r="Y28" s="13">
        <f>('TUSD BE'!$Z$28+'TUSD BF'!$Z$28+'TUSD CVA'!$Z$28)*(1 - 0.1)</f>
        <v>0</v>
      </c>
      <c r="Z28" s="13">
        <f>('TUSD BE'!$AA$28+'TUSD BF'!$AA$28+'TUSD CVA'!$AA$28)*(1 - 0.1)</f>
        <v>0</v>
      </c>
      <c r="AA28" s="13">
        <f>('TUSD BE'!$AC$28+'TUSD BF'!$AC$28+'TUSD CVA'!$AC$28)*(1 - 0.1)</f>
        <v>175.34832450216985</v>
      </c>
      <c r="AB28" s="13">
        <f ca="1">('TUSD BE'!$AE$28+'TUSD BF'!$AE$28+'TUSD CVA'!$AE$28)*(1 - 0.1)</f>
        <v>-87.22519483772281</v>
      </c>
      <c r="AC28" s="13">
        <f ca="1">('TUSD BE'!$AF$28+'TUSD BF'!$AF$28+'TUSD CVA'!$AF$28)*(1 - 0.1)</f>
        <v>0</v>
      </c>
      <c r="AD28" s="13">
        <f>('TUSD BE'!$AH$28+'TUSD BF'!$AH$28+'TUSD CVA'!$AH$28)*(1 - 0.1)</f>
        <v>20.191979689657856</v>
      </c>
      <c r="AE28" s="13">
        <f>('TUSD BE'!$AI$28+'TUSD BF'!$AI$28+'TUSD CVA'!$AI$28)*(1 - 0.1)</f>
        <v>0.69275423933030622</v>
      </c>
      <c r="AF28" s="13">
        <f ca="1">('TUSD BE'!$AJ$28+'TUSD BF'!$AJ$28+'TUSD CVA'!$AJ$28)*(1 - 0.1)</f>
        <v>3.9166451793388468</v>
      </c>
      <c r="AG28" s="13">
        <f ca="1">('TUSD BE'!$AK$28+'TUSD BF'!$AK$28+'TUSD CVA'!$AK$28)*(1 - 0.1)</f>
        <v>0.21709460711869658</v>
      </c>
      <c r="AI28" s="13">
        <v>0</v>
      </c>
      <c r="AJ28" s="13">
        <v>0.74600804147129696</v>
      </c>
      <c r="AK28" s="13">
        <v>4.9865866829223799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110.481437086203</v>
      </c>
      <c r="AV28" s="13">
        <v>0</v>
      </c>
      <c r="AW28" s="13">
        <v>0</v>
      </c>
      <c r="AX28" s="13">
        <v>166.53596650404799</v>
      </c>
      <c r="AY28" s="13">
        <v>-12.829343531697299</v>
      </c>
      <c r="AZ28" s="13">
        <v>0</v>
      </c>
      <c r="BA28" s="13">
        <v>22.067826138079202</v>
      </c>
      <c r="BB28" s="13">
        <v>0.68430890620045204</v>
      </c>
      <c r="BC28" s="13">
        <v>4.4615869051436299</v>
      </c>
      <c r="BD28" s="13">
        <v>0.35422394734539298</v>
      </c>
    </row>
    <row r="29" spans="1:56" ht="11.25" customHeight="1" x14ac:dyDescent="0.25">
      <c r="A29" s="142"/>
      <c r="B29" s="142"/>
      <c r="C29" s="142"/>
      <c r="D29" s="23" t="s">
        <v>31</v>
      </c>
      <c r="E29" s="23" t="s">
        <v>25</v>
      </c>
      <c r="F29" s="23" t="s">
        <v>25</v>
      </c>
      <c r="G29" s="24" t="s">
        <v>79</v>
      </c>
      <c r="H29" s="24" t="s">
        <v>75</v>
      </c>
      <c r="I29" s="24">
        <f>'MERCADO TUSD'!$U$26</f>
        <v>0</v>
      </c>
      <c r="J29" s="15"/>
      <c r="L29" s="13">
        <f>('TUSD BE'!$L$29+'TUSD BF'!$L$29+'TUSD CVA'!$L$29)*1</f>
        <v>0</v>
      </c>
      <c r="M29" s="13">
        <f>('TUSD BE'!$M$29+'TUSD BF'!$M$29+'TUSD CVA'!$M$29)*1</f>
        <v>0.86775775818246881</v>
      </c>
      <c r="N29" s="13">
        <f ca="1">('TUSD BE'!$N$29+'TUSD BF'!$N$29+'TUSD CVA'!$N$29)*1</f>
        <v>3.3962991559629545</v>
      </c>
      <c r="O29" s="13">
        <f>('TUSD BE'!$O$29+'TUSD BF'!$O$29+'TUSD CVA'!$O$29)*1</f>
        <v>0</v>
      </c>
      <c r="P29" s="13">
        <v>0</v>
      </c>
      <c r="Q29" s="13">
        <f>('TUSD BE'!$Q$29+'TUSD BF'!$Q$29+'TUSD CVA'!$Q$29)*1</f>
        <v>0</v>
      </c>
      <c r="R29" s="13">
        <v>0</v>
      </c>
      <c r="S29" s="13">
        <f>('TUSD BE'!$S$29+'TUSD BF'!$S$29+'TUSD CVA'!$S$29)*1</f>
        <v>0</v>
      </c>
      <c r="T29" s="13">
        <f>('TUSD BE'!$U$29+'TUSD BF'!$U$29+'TUSD CVA'!$U$29)*1</f>
        <v>0</v>
      </c>
      <c r="U29" s="13">
        <f>('TUSD BE'!$V$29+'TUSD BF'!$V$29+'TUSD CVA'!$V$29)*1</f>
        <v>0</v>
      </c>
      <c r="V29" s="13">
        <f>('TUSD BE'!$W$29+'TUSD BF'!$W$29+'TUSD CVA'!$W$29)*1</f>
        <v>0</v>
      </c>
      <c r="W29" s="13">
        <f>('TUSD BE'!$X$29+'TUSD BF'!$X$29+'TUSD CVA'!$X$29)*1</f>
        <v>0</v>
      </c>
      <c r="X29" s="13">
        <f>('TUSD BE'!$Y$29+'TUSD BF'!$Y$29+'TUSD CVA'!$Y$29)*1</f>
        <v>128.69153346411983</v>
      </c>
      <c r="Y29" s="13">
        <f>('TUSD BE'!$Z$29+'TUSD BF'!$Z$29+'TUSD CVA'!$Z$29)*1</f>
        <v>0</v>
      </c>
      <c r="Z29" s="13">
        <f>('TUSD BE'!$AA$29+'TUSD BF'!$AA$29+'TUSD CVA'!$AA$29)*1</f>
        <v>0</v>
      </c>
      <c r="AA29" s="13">
        <f>('TUSD BE'!$AC$29+'TUSD BF'!$AC$29+'TUSD CVA'!$AC$29)*1</f>
        <v>194.83147166907759</v>
      </c>
      <c r="AB29" s="13">
        <f ca="1">('TUSD BE'!$AE$29+'TUSD BF'!$AE$29+'TUSD CVA'!$AE$29)*1</f>
        <v>-96.916883153025339</v>
      </c>
      <c r="AC29" s="13">
        <f ca="1">('TUSD BE'!$AF$29+'TUSD BF'!$AF$29+'TUSD CVA'!$AF$29)*1</f>
        <v>0</v>
      </c>
      <c r="AD29" s="13">
        <f>('TUSD BE'!$AH$29+'TUSD BF'!$AH$29+'TUSD CVA'!$AH$29)*1</f>
        <v>22.435532988508729</v>
      </c>
      <c r="AE29" s="13">
        <f>('TUSD BE'!$AI$29+'TUSD BF'!$AI$29+'TUSD CVA'!$AI$29)*1</f>
        <v>0.76972693258922908</v>
      </c>
      <c r="AF29" s="13">
        <f ca="1">('TUSD BE'!$AJ$29+'TUSD BF'!$AJ$29+'TUSD CVA'!$AJ$29)*1</f>
        <v>4.3518279770431629</v>
      </c>
      <c r="AG29" s="13">
        <f ca="1">('TUSD BE'!$AK$29+'TUSD BF'!$AK$29+'TUSD CVA'!$AK$29)*1</f>
        <v>0.24121623013188509</v>
      </c>
      <c r="AI29" s="13">
        <v>0</v>
      </c>
      <c r="AJ29" s="13">
        <v>0.82889782385699695</v>
      </c>
      <c r="AK29" s="13">
        <v>5.5406518699137504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122.75715231800299</v>
      </c>
      <c r="AV29" s="13">
        <v>0</v>
      </c>
      <c r="AW29" s="13">
        <v>0</v>
      </c>
      <c r="AX29" s="13">
        <v>185.03996278227601</v>
      </c>
      <c r="AY29" s="13">
        <v>-14.2548261463304</v>
      </c>
      <c r="AZ29" s="13">
        <v>0</v>
      </c>
      <c r="BA29" s="13">
        <v>24.519806820088</v>
      </c>
      <c r="BB29" s="13">
        <v>0.76034322911161301</v>
      </c>
      <c r="BC29" s="13">
        <v>4.9573187834929202</v>
      </c>
      <c r="BD29" s="13">
        <v>0.39358216371710297</v>
      </c>
    </row>
    <row r="30" spans="1:56" ht="11.25" customHeight="1" x14ac:dyDescent="0.25">
      <c r="A30" s="142" t="s">
        <v>41</v>
      </c>
      <c r="B30" s="142" t="s">
        <v>32</v>
      </c>
      <c r="C30" s="142" t="s">
        <v>42</v>
      </c>
      <c r="D30" s="142" t="s">
        <v>25</v>
      </c>
      <c r="E30" s="142" t="s">
        <v>25</v>
      </c>
      <c r="F30" s="142" t="s">
        <v>25</v>
      </c>
      <c r="G30" s="24" t="s">
        <v>76</v>
      </c>
      <c r="H30" s="24" t="s">
        <v>75</v>
      </c>
      <c r="I30" s="24">
        <f>'MERCADO TUSD'!$U$27</f>
        <v>0</v>
      </c>
      <c r="J30" s="15"/>
      <c r="L30" s="13">
        <f>('TUSD BE'!$L$30+'TUSD BF'!$L$30+'TUSD CVA'!$L$30)*(1 - CUSTOS!$M$38)</f>
        <v>0</v>
      </c>
      <c r="M30" s="13">
        <f>('TUSD BE'!$M$30+'TUSD BF'!$M$30+'TUSD CVA'!$M$30)*(1 - CUSTOS!$M$38)</f>
        <v>0.81569229269152066</v>
      </c>
      <c r="N30" s="13">
        <f ca="1">('TUSD BE'!$N$30+'TUSD BF'!$N$30+'TUSD CVA'!$N$30)*(1 - CUSTOS!$M$38)</f>
        <v>8.3362111733273547</v>
      </c>
      <c r="O30" s="13">
        <f>('TUSD BE'!$O$30+'TUSD BF'!$O$30+'TUSD CVA'!$O$30)*(1 - CUSTOS!$M$38)</f>
        <v>0</v>
      </c>
      <c r="P30" s="13">
        <f>('TUSD BE'!$P$30+'TUSD BF'!$P$30+'TUSD CVA'!$P$30)*(1 - CUSTOS!$M$38)</f>
        <v>0</v>
      </c>
      <c r="Q30" s="13">
        <f>('TUSD BE'!$Q$30+'TUSD BF'!$Q$30+'TUSD CVA'!$Q$30)*(1 - CUSTOS!$M$38)</f>
        <v>96.043592010856599</v>
      </c>
      <c r="R30" s="13">
        <f>('TUSD BE'!$R$30+'TUSD BF'!$R$30+'TUSD CVA'!$R$30)*(1 - CUSTOS!$M$38)</f>
        <v>16.971546405291466</v>
      </c>
      <c r="S30" s="13">
        <f>('TUSD BE'!$S$30+'TUSD BF'!$S$30+'TUSD CVA'!$S$30)*(1 - CUSTOS!$M$38)</f>
        <v>0</v>
      </c>
      <c r="T30" s="13">
        <f>('TUSD BE'!$U$30+'TUSD BF'!$U$30+'TUSD CVA'!$U$30)*(1 - CUSTOS!$M$38)</f>
        <v>0</v>
      </c>
      <c r="U30" s="13">
        <f>('TUSD BE'!$V$30+'TUSD BF'!$V$30+'TUSD CVA'!$V$30)*(1 - CUSTOS!$M$38)</f>
        <v>0</v>
      </c>
      <c r="V30" s="13">
        <f>('TUSD BE'!$W$30+'TUSD BF'!$W$30+'TUSD CVA'!$W$30)*(1 - CUSTOS!$M$38)</f>
        <v>0</v>
      </c>
      <c r="W30" s="13">
        <f>('TUSD BE'!$X$30+'TUSD BF'!$X$30+'TUSD CVA'!$X$30)*(1 - CUSTOS!$M$38)</f>
        <v>0</v>
      </c>
      <c r="X30" s="13">
        <f>('TUSD BE'!$Y$30+'TUSD BF'!$Y$30+'TUSD CVA'!$Y$30)*(1 - CUSTOS!$M$38)</f>
        <v>344.76468803190022</v>
      </c>
      <c r="Y30" s="13">
        <f>('TUSD BE'!$Z$30+'TUSD BF'!$Z$30+'TUSD CVA'!$Z$30)*(1 - CUSTOS!$M$38)</f>
        <v>0</v>
      </c>
      <c r="Z30" s="13">
        <f>('TUSD BE'!$AA$30+'TUSD BF'!$AA$30+'TUSD CVA'!$AA$30)*(1 - CUSTOS!$M$38)</f>
        <v>0</v>
      </c>
      <c r="AA30" s="13">
        <f>('TUSD BE'!$AC$30+'TUSD BF'!$AC$30+'TUSD CVA'!$AC$30)*(1 - CUSTOS!$M$38)</f>
        <v>521.95339613261638</v>
      </c>
      <c r="AB30" s="13">
        <f ca="1">('TUSD BE'!$AE$30+'TUSD BF'!$AE$30+'TUSD CVA'!$AE$30)*(1 - CUSTOS!$M$38)</f>
        <v>-274.19454535424546</v>
      </c>
      <c r="AC30" s="13">
        <f ca="1">('TUSD BE'!$AF$30+'TUSD BF'!$AF$30+'TUSD CVA'!$AF$30)*(1 - CUSTOS!$M$38)</f>
        <v>0</v>
      </c>
      <c r="AD30" s="13">
        <f>('TUSD BE'!$AH$30+'TUSD BF'!$AH$30+'TUSD CVA'!$AH$30)*(1 - CUSTOS!$M$38)</f>
        <v>21.089401009198205</v>
      </c>
      <c r="AE30" s="13">
        <f>('TUSD BE'!$AI$30+'TUSD BF'!$AI$30+'TUSD CVA'!$AI$30)*(1 - CUSTOS!$M$38)</f>
        <v>0.72354331663387528</v>
      </c>
      <c r="AF30" s="13">
        <f ca="1">('TUSD BE'!$AJ$30+'TUSD BF'!$AJ$30+'TUSD CVA'!$AJ$30)*(1 - CUSTOS!$M$38)</f>
        <v>4.0907182984205726</v>
      </c>
      <c r="AG30" s="13">
        <f ca="1">('TUSD BE'!$AK$30+'TUSD BF'!$AK$30+'TUSD CVA'!$AK$30)*(1 - CUSTOS!$M$38)</f>
        <v>0.22674325632397196</v>
      </c>
      <c r="AI30" s="13">
        <v>0</v>
      </c>
      <c r="AJ30" s="13">
        <v>0.72943008499415696</v>
      </c>
      <c r="AK30" s="13">
        <v>12.7373753723618</v>
      </c>
      <c r="AL30" s="13">
        <v>0</v>
      </c>
      <c r="AM30" s="13">
        <v>0</v>
      </c>
      <c r="AN30" s="13">
        <v>61.183772807983999</v>
      </c>
      <c r="AO30" s="13">
        <v>9.1760238114213895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307.87500041777901</v>
      </c>
      <c r="AV30" s="13">
        <v>0</v>
      </c>
      <c r="AW30" s="13">
        <v>0</v>
      </c>
      <c r="AX30" s="13">
        <v>464.08012310296499</v>
      </c>
      <c r="AY30" s="13">
        <v>-36.778430976175301</v>
      </c>
      <c r="AZ30" s="13">
        <v>0</v>
      </c>
      <c r="BA30" s="13">
        <v>21.577430001677399</v>
      </c>
      <c r="BB30" s="13">
        <v>0.66910204161821996</v>
      </c>
      <c r="BC30" s="13">
        <v>4.36244052947377</v>
      </c>
      <c r="BD30" s="13">
        <v>0.346352304071051</v>
      </c>
    </row>
    <row r="31" spans="1:56" ht="11.25" customHeight="1" x14ac:dyDescent="0.25">
      <c r="A31" s="142"/>
      <c r="B31" s="142"/>
      <c r="C31" s="142"/>
      <c r="D31" s="142"/>
      <c r="E31" s="142"/>
      <c r="F31" s="142"/>
      <c r="G31" s="24" t="s">
        <v>88</v>
      </c>
      <c r="H31" s="24" t="s">
        <v>75</v>
      </c>
      <c r="I31" s="24">
        <f>'MERCADO TUSD'!$U$28</f>
        <v>0</v>
      </c>
      <c r="J31" s="15"/>
      <c r="L31" s="13">
        <f>('TUSD BE'!$L$31+'TUSD BF'!$L$31+'TUSD CVA'!$L$31)*(1 - CUSTOS!$M$38)</f>
        <v>0</v>
      </c>
      <c r="M31" s="13">
        <f>('TUSD BE'!$M$31+'TUSD BF'!$M$31+'TUSD CVA'!$M$31)*(1 - CUSTOS!$M$38)</f>
        <v>0.81569229269152066</v>
      </c>
      <c r="N31" s="13">
        <f ca="1">('TUSD BE'!$N$31+'TUSD BF'!$N$31+'TUSD CVA'!$N$31)*(1 - CUSTOS!$M$38)</f>
        <v>5.172592125026747</v>
      </c>
      <c r="O31" s="13">
        <f>('TUSD BE'!$O$31+'TUSD BF'!$O$31+'TUSD CVA'!$O$31)*(1 - CUSTOS!$M$38)</f>
        <v>0</v>
      </c>
      <c r="P31" s="13">
        <f>('TUSD BE'!$P$31+'TUSD BF'!$P$31+'TUSD CVA'!$P$31)*(1 - CUSTOS!$M$38)</f>
        <v>0</v>
      </c>
      <c r="Q31" s="13">
        <f>('TUSD BE'!$Q$31+'TUSD BF'!$Q$31+'TUSD CVA'!$Q$31)*(1 - CUSTOS!$M$38)</f>
        <v>96.043592010856599</v>
      </c>
      <c r="R31" s="13">
        <f>('TUSD BE'!$R$31+'TUSD BF'!$R$31+'TUSD CVA'!$R$31)*(1 - CUSTOS!$M$38)</f>
        <v>16.971546405291466</v>
      </c>
      <c r="S31" s="13">
        <f>('TUSD BE'!$S$31+'TUSD BF'!$S$31+'TUSD CVA'!$S$31)*(1 - CUSTOS!$M$38)</f>
        <v>0</v>
      </c>
      <c r="T31" s="13">
        <f>('TUSD BE'!$U$31+'TUSD BF'!$U$31+'TUSD CVA'!$U$31)*(1 - CUSTOS!$M$38)</f>
        <v>0</v>
      </c>
      <c r="U31" s="13">
        <f>('TUSD BE'!$V$31+'TUSD BF'!$V$31+'TUSD CVA'!$V$31)*(1 - CUSTOS!$M$38)</f>
        <v>0</v>
      </c>
      <c r="V31" s="13">
        <f>('TUSD BE'!$W$31+'TUSD BF'!$W$31+'TUSD CVA'!$W$31)*(1 - CUSTOS!$M$38)</f>
        <v>0</v>
      </c>
      <c r="W31" s="13">
        <f>('TUSD BE'!$X$31+'TUSD BF'!$X$31+'TUSD CVA'!$X$31)*(1 - CUSTOS!$M$38)</f>
        <v>0</v>
      </c>
      <c r="X31" s="13">
        <f>('TUSD BE'!$Y$31+'TUSD BF'!$Y$31+'TUSD CVA'!$Y$31)*(1 - CUSTOS!$M$38)</f>
        <v>206.85874293761688</v>
      </c>
      <c r="Y31" s="13">
        <f>('TUSD BE'!$Z$31+'TUSD BF'!$Z$31+'TUSD CVA'!$Z$31)*(1 - CUSTOS!$M$38)</f>
        <v>0</v>
      </c>
      <c r="Z31" s="13">
        <f>('TUSD BE'!$AA$31+'TUSD BF'!$AA$31+'TUSD CVA'!$AA$31)*(1 - CUSTOS!$M$38)</f>
        <v>0</v>
      </c>
      <c r="AA31" s="13">
        <f>('TUSD BE'!$AC$31+'TUSD BF'!$AC$31+'TUSD CVA'!$AC$31)*(1 - CUSTOS!$M$38)</f>
        <v>313.17205793502069</v>
      </c>
      <c r="AB31" s="13">
        <f ca="1">('TUSD BE'!$AE$31+'TUSD BF'!$AE$31+'TUSD CVA'!$AE$31)*(1 - CUSTOS!$M$38)</f>
        <v>-177.87625556384003</v>
      </c>
      <c r="AC31" s="13">
        <f ca="1">('TUSD BE'!$AF$31+'TUSD BF'!$AF$31+'TUSD CVA'!$AF$31)*(1 - CUSTOS!$M$38)</f>
        <v>0</v>
      </c>
      <c r="AD31" s="13">
        <f>('TUSD BE'!$AH$31+'TUSD BF'!$AH$31+'TUSD CVA'!$AH$31)*(1 - CUSTOS!$M$38)</f>
        <v>21.089401009198205</v>
      </c>
      <c r="AE31" s="13">
        <f>('TUSD BE'!$AI$31+'TUSD BF'!$AI$31+'TUSD CVA'!$AI$31)*(1 - CUSTOS!$M$38)</f>
        <v>0.72354331663387528</v>
      </c>
      <c r="AF31" s="13">
        <f ca="1">('TUSD BE'!$AJ$31+'TUSD BF'!$AJ$31+'TUSD CVA'!$AJ$31)*(1 - CUSTOS!$M$38)</f>
        <v>4.0907182984205726</v>
      </c>
      <c r="AG31" s="13">
        <f ca="1">('TUSD BE'!$AK$31+'TUSD BF'!$AK$31+'TUSD CVA'!$AK$31)*(1 - CUSTOS!$M$38)</f>
        <v>0.22674325632397196</v>
      </c>
      <c r="AI31" s="13">
        <v>0</v>
      </c>
      <c r="AJ31" s="13">
        <v>0.72943008499415696</v>
      </c>
      <c r="AK31" s="13">
        <v>7.9021086408745003</v>
      </c>
      <c r="AL31" s="13">
        <v>0</v>
      </c>
      <c r="AM31" s="13">
        <v>0</v>
      </c>
      <c r="AN31" s="13">
        <v>61.183772807983999</v>
      </c>
      <c r="AO31" s="13">
        <v>9.1760238114213895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184.72493784644001</v>
      </c>
      <c r="AV31" s="13">
        <v>0</v>
      </c>
      <c r="AW31" s="13">
        <v>0</v>
      </c>
      <c r="AX31" s="13">
        <v>278.44809187134098</v>
      </c>
      <c r="AY31" s="13">
        <v>-23.523278169391698</v>
      </c>
      <c r="AZ31" s="13">
        <v>0</v>
      </c>
      <c r="BA31" s="13">
        <v>21.577430001677399</v>
      </c>
      <c r="BB31" s="13">
        <v>0.66910204161821996</v>
      </c>
      <c r="BC31" s="13">
        <v>4.36244052947377</v>
      </c>
      <c r="BD31" s="13">
        <v>0.346352304071051</v>
      </c>
    </row>
    <row r="32" spans="1:56" ht="11.25" customHeight="1" x14ac:dyDescent="0.25">
      <c r="A32" s="142"/>
      <c r="B32" s="142"/>
      <c r="C32" s="142"/>
      <c r="D32" s="142"/>
      <c r="E32" s="142"/>
      <c r="F32" s="142"/>
      <c r="G32" s="24" t="s">
        <v>77</v>
      </c>
      <c r="H32" s="24" t="s">
        <v>75</v>
      </c>
      <c r="I32" s="24">
        <f>'MERCADO TUSD'!$U$29</f>
        <v>0</v>
      </c>
      <c r="J32" s="15"/>
      <c r="L32" s="13">
        <f>('TUSD BE'!$L$32+'TUSD BF'!$L$32+'TUSD CVA'!$L$32)*(1 - CUSTOS!$M$38)</f>
        <v>0</v>
      </c>
      <c r="M32" s="13">
        <f>('TUSD BE'!$M$32+'TUSD BF'!$M$32+'TUSD CVA'!$M$32)*(1 - CUSTOS!$M$38)</f>
        <v>0.81569229269152066</v>
      </c>
      <c r="N32" s="13">
        <f ca="1">('TUSD BE'!$N$32+'TUSD BF'!$N$32+'TUSD CVA'!$N$32)*(1 - CUSTOS!$M$38)</f>
        <v>2.0089740514856529</v>
      </c>
      <c r="O32" s="13">
        <f>('TUSD BE'!$O$32+'TUSD BF'!$O$32+'TUSD CVA'!$O$32)*(1 - CUSTOS!$M$38)</f>
        <v>0</v>
      </c>
      <c r="P32" s="13">
        <f>('TUSD BE'!$P$32+'TUSD BF'!$P$32+'TUSD CVA'!$P$32)*(1 - CUSTOS!$M$38)</f>
        <v>0</v>
      </c>
      <c r="Q32" s="13">
        <f>('TUSD BE'!$Q$32+'TUSD BF'!$Q$32+'TUSD CVA'!$Q$32)*(1 - CUSTOS!$M$38)</f>
        <v>96.043592010856599</v>
      </c>
      <c r="R32" s="13">
        <f>('TUSD BE'!$R$32+'TUSD BF'!$R$32+'TUSD CVA'!$R$32)*(1 - CUSTOS!$M$38)</f>
        <v>16.971546405291466</v>
      </c>
      <c r="S32" s="13">
        <f>('TUSD BE'!$S$32+'TUSD BF'!$S$32+'TUSD CVA'!$S$32)*(1 - CUSTOS!$M$38)</f>
        <v>0</v>
      </c>
      <c r="T32" s="13">
        <f>('TUSD BE'!$U$32+'TUSD BF'!$U$32+'TUSD CVA'!$U$32)*(1 - CUSTOS!$M$38)</f>
        <v>0</v>
      </c>
      <c r="U32" s="13">
        <f>('TUSD BE'!$V$32+'TUSD BF'!$V$32+'TUSD CVA'!$V$32)*(1 - CUSTOS!$M$38)</f>
        <v>0</v>
      </c>
      <c r="V32" s="13">
        <f>('TUSD BE'!$W$32+'TUSD BF'!$W$32+'TUSD CVA'!$W$32)*(1 - CUSTOS!$M$38)</f>
        <v>0</v>
      </c>
      <c r="W32" s="13">
        <f>('TUSD BE'!$X$32+'TUSD BF'!$X$32+'TUSD CVA'!$X$32)*(1 - CUSTOS!$M$38)</f>
        <v>0</v>
      </c>
      <c r="X32" s="13">
        <f>('TUSD BE'!$Y$32+'TUSD BF'!$Y$32+'TUSD CVA'!$Y$32)*(1 - CUSTOS!$M$38)</f>
        <v>68.952914312538951</v>
      </c>
      <c r="Y32" s="13">
        <f>('TUSD BE'!$Z$32+'TUSD BF'!$Z$32+'TUSD CVA'!$Z$32)*(1 - CUSTOS!$M$38)</f>
        <v>0</v>
      </c>
      <c r="Z32" s="13">
        <f>('TUSD BE'!$AA$32+'TUSD BF'!$AA$32+'TUSD CVA'!$AA$32)*(1 - CUSTOS!$M$38)</f>
        <v>0</v>
      </c>
      <c r="AA32" s="13">
        <f>('TUSD BE'!$AC$32+'TUSD BF'!$AC$32+'TUSD CVA'!$AC$32)*(1 - CUSTOS!$M$38)</f>
        <v>104.39071973742503</v>
      </c>
      <c r="AB32" s="13">
        <f ca="1">('TUSD BE'!$AE$32+'TUSD BF'!$AE$32+'TUSD CVA'!$AE$32)*(1 - CUSTOS!$M$38)</f>
        <v>-81.557997970943916</v>
      </c>
      <c r="AC32" s="13">
        <f ca="1">('TUSD BE'!$AF$32+'TUSD BF'!$AF$32+'TUSD CVA'!$AF$32)*(1 - CUSTOS!$M$38)</f>
        <v>0</v>
      </c>
      <c r="AD32" s="13">
        <f>('TUSD BE'!$AH$32+'TUSD BF'!$AH$32+'TUSD CVA'!$AH$32)*(1 - CUSTOS!$M$38)</f>
        <v>21.089401009198205</v>
      </c>
      <c r="AE32" s="13">
        <f>('TUSD BE'!$AI$32+'TUSD BF'!$AI$32+'TUSD CVA'!$AI$32)*(1 - CUSTOS!$M$38)</f>
        <v>0.72354331663387528</v>
      </c>
      <c r="AF32" s="13">
        <f ca="1">('TUSD BE'!$AJ$32+'TUSD BF'!$AJ$32+'TUSD CVA'!$AJ$32)*(1 - CUSTOS!$M$38)</f>
        <v>4.0907182984205726</v>
      </c>
      <c r="AG32" s="13">
        <f ca="1">('TUSD BE'!$AK$32+'TUSD BF'!$AK$32+'TUSD CVA'!$AK$32)*(1 - CUSTOS!$M$38)</f>
        <v>0.22674325632397196</v>
      </c>
      <c r="AI32" s="13">
        <v>0</v>
      </c>
      <c r="AJ32" s="13">
        <v>0.72943008499415696</v>
      </c>
      <c r="AK32" s="13">
        <v>3.0668433992070199</v>
      </c>
      <c r="AL32" s="13">
        <v>0</v>
      </c>
      <c r="AM32" s="13">
        <v>0</v>
      </c>
      <c r="AN32" s="13">
        <v>61.183772807983999</v>
      </c>
      <c r="AO32" s="13">
        <v>9.1760238114213895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61.5749792821467</v>
      </c>
      <c r="AV32" s="13">
        <v>0</v>
      </c>
      <c r="AW32" s="13">
        <v>0</v>
      </c>
      <c r="AX32" s="13">
        <v>92.816060639717406</v>
      </c>
      <c r="AY32" s="13">
        <v>-10.2681297542648</v>
      </c>
      <c r="AZ32" s="13">
        <v>0</v>
      </c>
      <c r="BA32" s="13">
        <v>21.577430001677399</v>
      </c>
      <c r="BB32" s="13">
        <v>0.66910204161821996</v>
      </c>
      <c r="BC32" s="13">
        <v>4.36244052947377</v>
      </c>
      <c r="BD32" s="13">
        <v>0.346352304071051</v>
      </c>
    </row>
    <row r="33" spans="1:56" ht="11.25" customHeight="1" x14ac:dyDescent="0.25">
      <c r="A33" s="142"/>
      <c r="B33" s="23" t="s">
        <v>23</v>
      </c>
      <c r="C33" s="23" t="s">
        <v>42</v>
      </c>
      <c r="D33" s="23" t="s">
        <v>25</v>
      </c>
      <c r="E33" s="23" t="s">
        <v>25</v>
      </c>
      <c r="F33" s="23" t="s">
        <v>25</v>
      </c>
      <c r="G33" s="24" t="s">
        <v>79</v>
      </c>
      <c r="H33" s="24" t="s">
        <v>75</v>
      </c>
      <c r="I33" s="24">
        <f>'MERCADO TUSD'!$U$30</f>
        <v>3335.7969999999996</v>
      </c>
      <c r="J33" s="15"/>
      <c r="L33" s="13">
        <f>('TUSD BE'!$L$33+'TUSD BF'!$L$33+'TUSD CVA'!$L$33)*(1 - CUSTOS!$M$38)</f>
        <v>0</v>
      </c>
      <c r="M33" s="13">
        <f>('TUSD BE'!$M$33+'TUSD BF'!$M$33+'TUSD CVA'!$M$33)*(1 - CUSTOS!$M$38)</f>
        <v>0.81569229269152066</v>
      </c>
      <c r="N33" s="13">
        <f ca="1">('TUSD BE'!$N$33+'TUSD BF'!$N$33+'TUSD CVA'!$N$33)*(1 - CUSTOS!$M$38)</f>
        <v>3.2022688017598187</v>
      </c>
      <c r="O33" s="13">
        <f>('TUSD BE'!$O$33+'TUSD BF'!$O$33+'TUSD CVA'!$O$33)*(1 - CUSTOS!$M$38)</f>
        <v>0</v>
      </c>
      <c r="P33" s="13">
        <f>('TUSD BE'!$P$33+'TUSD BF'!$P$33+'TUSD CVA'!$P$33)*(1 - CUSTOS!$M$38)</f>
        <v>0</v>
      </c>
      <c r="Q33" s="13">
        <f>('TUSD BE'!$Q$33+'TUSD BF'!$Q$33+'TUSD CVA'!$Q$33)*(1 - CUSTOS!$M$38)</f>
        <v>96.043592010856599</v>
      </c>
      <c r="R33" s="13">
        <f>('TUSD BE'!$R$33+'TUSD BF'!$R$33+'TUSD CVA'!$R$33)*(1 - CUSTOS!$M$38)</f>
        <v>16.971546405291466</v>
      </c>
      <c r="S33" s="13">
        <f>('TUSD BE'!$S$33+'TUSD BF'!$S$33+'TUSD CVA'!$S$33)*(1 - CUSTOS!$M$38)</f>
        <v>0</v>
      </c>
      <c r="T33" s="13">
        <f>('TUSD BE'!$U$33+'TUSD BF'!$U$33+'TUSD CVA'!$U$33)*(1 - CUSTOS!$M$38)</f>
        <v>0</v>
      </c>
      <c r="U33" s="13">
        <f>('TUSD BE'!$V$33+'TUSD BF'!$V$33+'TUSD CVA'!$V$33)*(1 - CUSTOS!$M$38)</f>
        <v>0</v>
      </c>
      <c r="V33" s="13">
        <f>('TUSD BE'!$W$33+'TUSD BF'!$W$33+'TUSD CVA'!$W$33)*(1 - CUSTOS!$M$38)</f>
        <v>0</v>
      </c>
      <c r="W33" s="13">
        <f>('TUSD BE'!$X$33+'TUSD BF'!$X$33+'TUSD CVA'!$X$33)*(1 - CUSTOS!$M$38)</f>
        <v>0</v>
      </c>
      <c r="X33" s="13">
        <f>('TUSD BE'!$Y$33+'TUSD BF'!$Y$33+'TUSD CVA'!$Y$33)*(1 - CUSTOS!$M$38)</f>
        <v>120.97004145627263</v>
      </c>
      <c r="Y33" s="13">
        <f>('TUSD BE'!$Z$33+'TUSD BF'!$Z$33+'TUSD CVA'!$Z$33)*(1 - CUSTOS!$M$38)</f>
        <v>0</v>
      </c>
      <c r="Z33" s="13">
        <f>('TUSD BE'!$AA$33+'TUSD BF'!$AA$33+'TUSD CVA'!$AA$33)*(1 - CUSTOS!$M$38)</f>
        <v>0</v>
      </c>
      <c r="AA33" s="13">
        <f>('TUSD BE'!$AC$33+'TUSD BF'!$AC$33+'TUSD CVA'!$AC$33)*(1 - CUSTOS!$M$38)</f>
        <v>183.14158336893291</v>
      </c>
      <c r="AB33" s="13">
        <f ca="1">('TUSD BE'!$AE$33+'TUSD BF'!$AE$33+'TUSD CVA'!$AE$33)*(1 - CUSTOS!$M$38)</f>
        <v>-117.88857556498188</v>
      </c>
      <c r="AC33" s="13">
        <f ca="1">('TUSD BE'!$AF$33+'TUSD BF'!$AF$33+'TUSD CVA'!$AF$33)*(1 - CUSTOS!$M$38)</f>
        <v>0</v>
      </c>
      <c r="AD33" s="13">
        <f>('TUSD BE'!$AH$33+'TUSD BF'!$AH$33+'TUSD CVA'!$AH$33)*(1 - CUSTOS!$M$38)</f>
        <v>21.089401009198205</v>
      </c>
      <c r="AE33" s="13">
        <f>('TUSD BE'!$AI$33+'TUSD BF'!$AI$33+'TUSD CVA'!$AI$33)*(1 - CUSTOS!$M$38)</f>
        <v>0.72354331663387528</v>
      </c>
      <c r="AF33" s="13">
        <f ca="1">('TUSD BE'!$AJ$33+'TUSD BF'!$AJ$33+'TUSD CVA'!$AJ$33)*(1 - CUSTOS!$M$38)</f>
        <v>4.0907182984205726</v>
      </c>
      <c r="AG33" s="13">
        <f ca="1">('TUSD BE'!$AK$33+'TUSD BF'!$AK$33+'TUSD CVA'!$AK$33)*(1 - CUSTOS!$M$38)</f>
        <v>0.22674325632397196</v>
      </c>
      <c r="AI33" s="13">
        <v>0</v>
      </c>
      <c r="AJ33" s="13">
        <v>0.72943008499415696</v>
      </c>
      <c r="AK33" s="13">
        <v>4.8906718433929504</v>
      </c>
      <c r="AL33" s="13">
        <v>0</v>
      </c>
      <c r="AM33" s="13">
        <v>0</v>
      </c>
      <c r="AN33" s="13">
        <v>61.183772807983999</v>
      </c>
      <c r="AO33" s="13">
        <v>9.1760238114213895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108.02629403984299</v>
      </c>
      <c r="AV33" s="13">
        <v>0</v>
      </c>
      <c r="AW33" s="13">
        <v>0</v>
      </c>
      <c r="AX33" s="13">
        <v>162.835167248403</v>
      </c>
      <c r="AY33" s="13">
        <v>-15.2678796427229</v>
      </c>
      <c r="AZ33" s="13">
        <v>0</v>
      </c>
      <c r="BA33" s="13">
        <v>21.577430001677399</v>
      </c>
      <c r="BB33" s="13">
        <v>0.66910204161821996</v>
      </c>
      <c r="BC33" s="13">
        <v>4.36244052947377</v>
      </c>
      <c r="BD33" s="13">
        <v>0.346352304071051</v>
      </c>
    </row>
    <row r="34" spans="1:56" ht="11.25" customHeight="1" x14ac:dyDescent="0.25">
      <c r="A34" s="142"/>
      <c r="B34" s="142" t="s">
        <v>32</v>
      </c>
      <c r="C34" s="142" t="s">
        <v>42</v>
      </c>
      <c r="D34" s="142" t="s">
        <v>91</v>
      </c>
      <c r="E34" s="142" t="s">
        <v>25</v>
      </c>
      <c r="F34" s="142" t="s">
        <v>25</v>
      </c>
      <c r="G34" s="24" t="s">
        <v>76</v>
      </c>
      <c r="H34" s="24" t="s">
        <v>75</v>
      </c>
      <c r="I34" s="24">
        <f>'MERCADO TUSD'!$U$31</f>
        <v>0</v>
      </c>
      <c r="J34" s="15"/>
      <c r="L34" s="13">
        <f>('TUSD BE'!$L$34+'TUSD BF'!$L$34+'TUSD CVA'!$L$34)*(1 - CUSTOS!$M$39)</f>
        <v>0</v>
      </c>
      <c r="M34" s="13">
        <f>('TUSD BE'!$M$34+'TUSD BF'!$M$34+'TUSD CVA'!$M$34)*(1 - CUSTOS!$M$39)</f>
        <v>0.81569229269152066</v>
      </c>
      <c r="N34" s="13">
        <f ca="1">('TUSD BE'!$N$34+'TUSD BF'!$N$34+'TUSD CVA'!$N$34)*(1 - CUSTOS!$M$39)</f>
        <v>8.3362111733273547</v>
      </c>
      <c r="O34" s="13">
        <f>('TUSD BE'!$O$34+'TUSD BF'!$O$34+'TUSD CVA'!$O$34)*(1 - CUSTOS!$M$39)</f>
        <v>0</v>
      </c>
      <c r="P34" s="13">
        <f>('TUSD BE'!$P$34+'TUSD BF'!$P$34+'TUSD CVA'!$P$34)*(1 - CUSTOS!$M$39)</f>
        <v>0</v>
      </c>
      <c r="Q34" s="13">
        <f>('TUSD BE'!$Q$34+'TUSD BF'!$Q$34+'TUSD CVA'!$Q$34)*(1 - CUSTOS!$M$39)</f>
        <v>96.043592010856599</v>
      </c>
      <c r="R34" s="13">
        <f>('TUSD BE'!$R$34+'TUSD BF'!$R$34+'TUSD CVA'!$R$34)*(1 - CUSTOS!$M$39)</f>
        <v>16.971546405291466</v>
      </c>
      <c r="S34" s="13">
        <f>('TUSD BE'!$S$34+'TUSD BF'!$S$34+'TUSD CVA'!$S$34)*(1 - CUSTOS!$M$39)</f>
        <v>0</v>
      </c>
      <c r="T34" s="13">
        <f>('TUSD BE'!$U$34+'TUSD BF'!$U$34+'TUSD CVA'!$U$34)*(1 - CUSTOS!$M$39)</f>
        <v>0</v>
      </c>
      <c r="U34" s="13">
        <f>('TUSD BE'!$V$34+'TUSD BF'!$V$34+'TUSD CVA'!$V$34)*(1 - CUSTOS!$M$39)</f>
        <v>0</v>
      </c>
      <c r="V34" s="13">
        <f>('TUSD BE'!$W$34+'TUSD BF'!$W$34+'TUSD CVA'!$W$34)*(1 - CUSTOS!$M$39)</f>
        <v>0</v>
      </c>
      <c r="W34" s="13">
        <f>('TUSD BE'!$X$34+'TUSD BF'!$X$34+'TUSD CVA'!$X$34)*(1 - CUSTOS!$M$39)</f>
        <v>0</v>
      </c>
      <c r="X34" s="13">
        <f>('TUSD BE'!$Y$34+'TUSD BF'!$Y$34+'TUSD CVA'!$Y$34)*(1 - CUSTOS!$M$39)</f>
        <v>344.76468803190022</v>
      </c>
      <c r="Y34" s="13">
        <f>('TUSD BE'!$Z$34+'TUSD BF'!$Z$34+'TUSD CVA'!$Z$34)*(1 - CUSTOS!$M$39)</f>
        <v>0</v>
      </c>
      <c r="Z34" s="13">
        <f>('TUSD BE'!$AA$34+'TUSD BF'!$AA$34+'TUSD CVA'!$AA$34)*(1 - CUSTOS!$M$39)</f>
        <v>0</v>
      </c>
      <c r="AA34" s="13">
        <f>('TUSD BE'!$AC$34+'TUSD BF'!$AC$34+'TUSD CVA'!$AC$34)*(1 - CUSTOS!$M$39)</f>
        <v>521.95339613261638</v>
      </c>
      <c r="AB34" s="13">
        <f ca="1">('TUSD BE'!$AE$34+'TUSD BF'!$AE$34+'TUSD CVA'!$AE$34)*(1 - CUSTOS!$M$39)</f>
        <v>-274.19454535424546</v>
      </c>
      <c r="AC34" s="13">
        <f ca="1">('TUSD BE'!$AF$34+'TUSD BF'!$AF$34+'TUSD CVA'!$AF$34)*(1 - CUSTOS!$M$39)</f>
        <v>0</v>
      </c>
      <c r="AD34" s="13">
        <f>('TUSD BE'!$AH$34+'TUSD BF'!$AH$34+'TUSD CVA'!$AH$34)*(1 - CUSTOS!$M$39)</f>
        <v>21.089401009198205</v>
      </c>
      <c r="AE34" s="13">
        <f>('TUSD BE'!$AI$34+'TUSD BF'!$AI$34+'TUSD CVA'!$AI$34)*(1 - CUSTOS!$M$39)</f>
        <v>0.72354331663387528</v>
      </c>
      <c r="AF34" s="13">
        <f ca="1">('TUSD BE'!$AJ$34+'TUSD BF'!$AJ$34+'TUSD CVA'!$AJ$34)*(1 - CUSTOS!$M$39)</f>
        <v>4.0907182984205726</v>
      </c>
      <c r="AG34" s="13">
        <f ca="1">('TUSD BE'!$AK$34+'TUSD BF'!$AK$34+'TUSD CVA'!$AK$34)*(1 - CUSTOS!$M$39)</f>
        <v>0.22674325632397196</v>
      </c>
      <c r="AI34" s="13">
        <v>0</v>
      </c>
      <c r="AJ34" s="13">
        <v>0.72943008499415696</v>
      </c>
      <c r="AK34" s="13">
        <v>12.7373753723618</v>
      </c>
      <c r="AL34" s="13">
        <v>0</v>
      </c>
      <c r="AM34" s="13">
        <v>0</v>
      </c>
      <c r="AN34" s="13">
        <v>61.183772807983999</v>
      </c>
      <c r="AO34" s="13">
        <v>9.1760238114213895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307.87500041777901</v>
      </c>
      <c r="AV34" s="13">
        <v>0</v>
      </c>
      <c r="AW34" s="13">
        <v>0</v>
      </c>
      <c r="AX34" s="13">
        <v>464.08012310296499</v>
      </c>
      <c r="AY34" s="13">
        <v>-36.778430976175301</v>
      </c>
      <c r="AZ34" s="13">
        <v>0</v>
      </c>
      <c r="BA34" s="13">
        <v>21.577430001677399</v>
      </c>
      <c r="BB34" s="13">
        <v>0.66910204161821996</v>
      </c>
      <c r="BC34" s="13">
        <v>4.36244052947377</v>
      </c>
      <c r="BD34" s="13">
        <v>0.346352304071051</v>
      </c>
    </row>
    <row r="35" spans="1:56" ht="11.25" customHeight="1" x14ac:dyDescent="0.25">
      <c r="A35" s="142"/>
      <c r="B35" s="142"/>
      <c r="C35" s="142"/>
      <c r="D35" s="142"/>
      <c r="E35" s="142"/>
      <c r="F35" s="142"/>
      <c r="G35" s="24" t="s">
        <v>88</v>
      </c>
      <c r="H35" s="24" t="s">
        <v>75</v>
      </c>
      <c r="I35" s="24">
        <f>'MERCADO TUSD'!$U$32</f>
        <v>0</v>
      </c>
      <c r="J35" s="15"/>
      <c r="L35" s="13">
        <f>('TUSD BE'!$L$35+'TUSD BF'!$L$35+'TUSD CVA'!$L$35)*(1 - CUSTOS!$M$39)</f>
        <v>0</v>
      </c>
      <c r="M35" s="13">
        <f>('TUSD BE'!$M$35+'TUSD BF'!$M$35+'TUSD CVA'!$M$35)*(1 - CUSTOS!$M$39)</f>
        <v>0.81569229269152066</v>
      </c>
      <c r="N35" s="13">
        <f ca="1">('TUSD BE'!$N$35+'TUSD BF'!$N$35+'TUSD CVA'!$N$35)*(1 - CUSTOS!$M$39)</f>
        <v>5.172592125026747</v>
      </c>
      <c r="O35" s="13">
        <f>('TUSD BE'!$O$35+'TUSD BF'!$O$35+'TUSD CVA'!$O$35)*(1 - CUSTOS!$M$39)</f>
        <v>0</v>
      </c>
      <c r="P35" s="13">
        <f>('TUSD BE'!$P$35+'TUSD BF'!$P$35+'TUSD CVA'!$P$35)*(1 - CUSTOS!$M$39)</f>
        <v>0</v>
      </c>
      <c r="Q35" s="13">
        <f>('TUSD BE'!$Q$35+'TUSD BF'!$Q$35+'TUSD CVA'!$Q$35)*(1 - CUSTOS!$M$39)</f>
        <v>96.043592010856599</v>
      </c>
      <c r="R35" s="13">
        <f>('TUSD BE'!$R$35+'TUSD BF'!$R$35+'TUSD CVA'!$R$35)*(1 - CUSTOS!$M$39)</f>
        <v>16.971546405291466</v>
      </c>
      <c r="S35" s="13">
        <f>('TUSD BE'!$S$35+'TUSD BF'!$S$35+'TUSD CVA'!$S$35)*(1 - CUSTOS!$M$39)</f>
        <v>0</v>
      </c>
      <c r="T35" s="13">
        <f>('TUSD BE'!$U$35+'TUSD BF'!$U$35+'TUSD CVA'!$U$35)*(1 - CUSTOS!$M$39)</f>
        <v>0</v>
      </c>
      <c r="U35" s="13">
        <f>('TUSD BE'!$V$35+'TUSD BF'!$V$35+'TUSD CVA'!$V$35)*(1 - CUSTOS!$M$39)</f>
        <v>0</v>
      </c>
      <c r="V35" s="13">
        <f>('TUSD BE'!$W$35+'TUSD BF'!$W$35+'TUSD CVA'!$W$35)*(1 - CUSTOS!$M$39)</f>
        <v>0</v>
      </c>
      <c r="W35" s="13">
        <f>('TUSD BE'!$X$35+'TUSD BF'!$X$35+'TUSD CVA'!$X$35)*(1 - CUSTOS!$M$39)</f>
        <v>0</v>
      </c>
      <c r="X35" s="13">
        <f>('TUSD BE'!$Y$35+'TUSD BF'!$Y$35+'TUSD CVA'!$Y$35)*(1 - CUSTOS!$M$39)</f>
        <v>206.85874293761688</v>
      </c>
      <c r="Y35" s="13">
        <f>('TUSD BE'!$Z$35+'TUSD BF'!$Z$35+'TUSD CVA'!$Z$35)*(1 - CUSTOS!$M$39)</f>
        <v>0</v>
      </c>
      <c r="Z35" s="13">
        <f>('TUSD BE'!$AA$35+'TUSD BF'!$AA$35+'TUSD CVA'!$AA$35)*(1 - CUSTOS!$M$39)</f>
        <v>0</v>
      </c>
      <c r="AA35" s="13">
        <f>('TUSD BE'!$AC$35+'TUSD BF'!$AC$35+'TUSD CVA'!$AC$35)*(1 - CUSTOS!$M$39)</f>
        <v>313.17205793502069</v>
      </c>
      <c r="AB35" s="13">
        <f ca="1">('TUSD BE'!$AE$35+'TUSD BF'!$AE$35+'TUSD CVA'!$AE$35)*(1 - CUSTOS!$M$39)</f>
        <v>-177.87625556384003</v>
      </c>
      <c r="AC35" s="13">
        <f ca="1">('TUSD BE'!$AF$35+'TUSD BF'!$AF$35+'TUSD CVA'!$AF$35)*(1 - CUSTOS!$M$39)</f>
        <v>0</v>
      </c>
      <c r="AD35" s="13">
        <f>('TUSD BE'!$AH$35+'TUSD BF'!$AH$35+'TUSD CVA'!$AH$35)*(1 - CUSTOS!$M$39)</f>
        <v>21.089401009198205</v>
      </c>
      <c r="AE35" s="13">
        <f>('TUSD BE'!$AI$35+'TUSD BF'!$AI$35+'TUSD CVA'!$AI$35)*(1 - CUSTOS!$M$39)</f>
        <v>0.72354331663387528</v>
      </c>
      <c r="AF35" s="13">
        <f ca="1">('TUSD BE'!$AJ$35+'TUSD BF'!$AJ$35+'TUSD CVA'!$AJ$35)*(1 - CUSTOS!$M$39)</f>
        <v>4.0907182984205726</v>
      </c>
      <c r="AG35" s="13">
        <f ca="1">('TUSD BE'!$AK$35+'TUSD BF'!$AK$35+'TUSD CVA'!$AK$35)*(1 - CUSTOS!$M$39)</f>
        <v>0.22674325632397196</v>
      </c>
      <c r="AI35" s="13">
        <v>0</v>
      </c>
      <c r="AJ35" s="13">
        <v>0.72943008499415696</v>
      </c>
      <c r="AK35" s="13">
        <v>7.9021086408745003</v>
      </c>
      <c r="AL35" s="13">
        <v>0</v>
      </c>
      <c r="AM35" s="13">
        <v>0</v>
      </c>
      <c r="AN35" s="13">
        <v>61.183772807983999</v>
      </c>
      <c r="AO35" s="13">
        <v>9.1760238114213895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184.72493784644001</v>
      </c>
      <c r="AV35" s="13">
        <v>0</v>
      </c>
      <c r="AW35" s="13">
        <v>0</v>
      </c>
      <c r="AX35" s="13">
        <v>278.44809187134098</v>
      </c>
      <c r="AY35" s="13">
        <v>-23.523278169391698</v>
      </c>
      <c r="AZ35" s="13">
        <v>0</v>
      </c>
      <c r="BA35" s="13">
        <v>21.577430001677399</v>
      </c>
      <c r="BB35" s="13">
        <v>0.66910204161821996</v>
      </c>
      <c r="BC35" s="13">
        <v>4.36244052947377</v>
      </c>
      <c r="BD35" s="13">
        <v>0.346352304071051</v>
      </c>
    </row>
    <row r="36" spans="1:56" ht="11.25" customHeight="1" x14ac:dyDescent="0.25">
      <c r="A36" s="142"/>
      <c r="B36" s="142"/>
      <c r="C36" s="142"/>
      <c r="D36" s="142"/>
      <c r="E36" s="142"/>
      <c r="F36" s="142"/>
      <c r="G36" s="24" t="s">
        <v>77</v>
      </c>
      <c r="H36" s="24" t="s">
        <v>75</v>
      </c>
      <c r="I36" s="24">
        <f>'MERCADO TUSD'!$U$33</f>
        <v>0</v>
      </c>
      <c r="J36" s="15"/>
      <c r="L36" s="13">
        <f>('TUSD BE'!$L$36+'TUSD BF'!$L$36+'TUSD CVA'!$L$36)*(1 - CUSTOS!$M$39)</f>
        <v>0</v>
      </c>
      <c r="M36" s="13">
        <f>('TUSD BE'!$M$36+'TUSD BF'!$M$36+'TUSD CVA'!$M$36)*(1 - CUSTOS!$M$39)</f>
        <v>0.81569229269152066</v>
      </c>
      <c r="N36" s="13">
        <f ca="1">('TUSD BE'!$N$36+'TUSD BF'!$N$36+'TUSD CVA'!$N$36)*(1 - CUSTOS!$M$39)</f>
        <v>2.0089740514856529</v>
      </c>
      <c r="O36" s="13">
        <f>('TUSD BE'!$O$36+'TUSD BF'!$O$36+'TUSD CVA'!$O$36)*(1 - CUSTOS!$M$39)</f>
        <v>0</v>
      </c>
      <c r="P36" s="13">
        <f>('TUSD BE'!$P$36+'TUSD BF'!$P$36+'TUSD CVA'!$P$36)*(1 - CUSTOS!$M$39)</f>
        <v>0</v>
      </c>
      <c r="Q36" s="13">
        <f>('TUSD BE'!$Q$36+'TUSD BF'!$Q$36+'TUSD CVA'!$Q$36)*(1 - CUSTOS!$M$39)</f>
        <v>96.043592010856599</v>
      </c>
      <c r="R36" s="13">
        <f>('TUSD BE'!$R$36+'TUSD BF'!$R$36+'TUSD CVA'!$R$36)*(1 - CUSTOS!$M$39)</f>
        <v>16.971546405291466</v>
      </c>
      <c r="S36" s="13">
        <f>('TUSD BE'!$S$36+'TUSD BF'!$S$36+'TUSD CVA'!$S$36)*(1 - CUSTOS!$M$39)</f>
        <v>0</v>
      </c>
      <c r="T36" s="13">
        <f>('TUSD BE'!$U$36+'TUSD BF'!$U$36+'TUSD CVA'!$U$36)*(1 - CUSTOS!$M$39)</f>
        <v>0</v>
      </c>
      <c r="U36" s="13">
        <f>('TUSD BE'!$V$36+'TUSD BF'!$V$36+'TUSD CVA'!$V$36)*(1 - CUSTOS!$M$39)</f>
        <v>0</v>
      </c>
      <c r="V36" s="13">
        <f>('TUSD BE'!$W$36+'TUSD BF'!$W$36+'TUSD CVA'!$W$36)*(1 - CUSTOS!$M$39)</f>
        <v>0</v>
      </c>
      <c r="W36" s="13">
        <f>('TUSD BE'!$X$36+'TUSD BF'!$X$36+'TUSD CVA'!$X$36)*(1 - CUSTOS!$M$39)</f>
        <v>0</v>
      </c>
      <c r="X36" s="13">
        <f>('TUSD BE'!$Y$36+'TUSD BF'!$Y$36+'TUSD CVA'!$Y$36)*(1 - CUSTOS!$M$39)</f>
        <v>68.952914312538951</v>
      </c>
      <c r="Y36" s="13">
        <f>('TUSD BE'!$Z$36+'TUSD BF'!$Z$36+'TUSD CVA'!$Z$36)*(1 - CUSTOS!$M$39)</f>
        <v>0</v>
      </c>
      <c r="Z36" s="13">
        <f>('TUSD BE'!$AA$36+'TUSD BF'!$AA$36+'TUSD CVA'!$AA$36)*(1 - CUSTOS!$M$39)</f>
        <v>0</v>
      </c>
      <c r="AA36" s="13">
        <f>('TUSD BE'!$AC$36+'TUSD BF'!$AC$36+'TUSD CVA'!$AC$36)*(1 - CUSTOS!$M$39)</f>
        <v>104.39071973742503</v>
      </c>
      <c r="AB36" s="13">
        <f ca="1">('TUSD BE'!$AE$36+'TUSD BF'!$AE$36+'TUSD CVA'!$AE$36)*(1 - CUSTOS!$M$39)</f>
        <v>-81.557997970943916</v>
      </c>
      <c r="AC36" s="13">
        <f ca="1">('TUSD BE'!$AF$36+'TUSD BF'!$AF$36+'TUSD CVA'!$AF$36)*(1 - CUSTOS!$M$39)</f>
        <v>0</v>
      </c>
      <c r="AD36" s="13">
        <f>('TUSD BE'!$AH$36+'TUSD BF'!$AH$36+'TUSD CVA'!$AH$36)*(1 - CUSTOS!$M$39)</f>
        <v>21.089401009198205</v>
      </c>
      <c r="AE36" s="13">
        <f>('TUSD BE'!$AI$36+'TUSD BF'!$AI$36+'TUSD CVA'!$AI$36)*(1 - CUSTOS!$M$39)</f>
        <v>0.72354331663387528</v>
      </c>
      <c r="AF36" s="13">
        <f ca="1">('TUSD BE'!$AJ$36+'TUSD BF'!$AJ$36+'TUSD CVA'!$AJ$36)*(1 - CUSTOS!$M$39)</f>
        <v>4.0907182984205726</v>
      </c>
      <c r="AG36" s="13">
        <f ca="1">('TUSD BE'!$AK$36+'TUSD BF'!$AK$36+'TUSD CVA'!$AK$36)*(1 - CUSTOS!$M$39)</f>
        <v>0.22674325632397196</v>
      </c>
      <c r="AI36" s="13">
        <v>0</v>
      </c>
      <c r="AJ36" s="13">
        <v>0.72943008499415696</v>
      </c>
      <c r="AK36" s="13">
        <v>3.0668433992070199</v>
      </c>
      <c r="AL36" s="13">
        <v>0</v>
      </c>
      <c r="AM36" s="13">
        <v>0</v>
      </c>
      <c r="AN36" s="13">
        <v>61.183772807983999</v>
      </c>
      <c r="AO36" s="13">
        <v>9.1760238114213895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61.5749792821467</v>
      </c>
      <c r="AV36" s="13">
        <v>0</v>
      </c>
      <c r="AW36" s="13">
        <v>0</v>
      </c>
      <c r="AX36" s="13">
        <v>92.816060639717406</v>
      </c>
      <c r="AY36" s="13">
        <v>-10.2681297542648</v>
      </c>
      <c r="AZ36" s="13">
        <v>0</v>
      </c>
      <c r="BA36" s="13">
        <v>21.577430001677399</v>
      </c>
      <c r="BB36" s="13">
        <v>0.66910204161821996</v>
      </c>
      <c r="BC36" s="13">
        <v>4.36244052947377</v>
      </c>
      <c r="BD36" s="13">
        <v>0.346352304071051</v>
      </c>
    </row>
    <row r="37" spans="1:56" ht="11.25" customHeight="1" x14ac:dyDescent="0.25">
      <c r="A37" s="142"/>
      <c r="B37" s="23" t="s">
        <v>23</v>
      </c>
      <c r="C37" s="23" t="s">
        <v>42</v>
      </c>
      <c r="D37" s="23" t="s">
        <v>91</v>
      </c>
      <c r="E37" s="23" t="s">
        <v>25</v>
      </c>
      <c r="F37" s="23" t="s">
        <v>25</v>
      </c>
      <c r="G37" s="24" t="s">
        <v>79</v>
      </c>
      <c r="H37" s="24" t="s">
        <v>75</v>
      </c>
      <c r="I37" s="24">
        <f>'MERCADO TUSD'!$U$34</f>
        <v>0</v>
      </c>
      <c r="J37" s="15"/>
      <c r="L37" s="13">
        <f>('TUSD BE'!$L$37+'TUSD BF'!$L$37+'TUSD CVA'!$L$37)*(1 - CUSTOS!$M$39)</f>
        <v>0</v>
      </c>
      <c r="M37" s="13">
        <f>('TUSD BE'!$M$37+'TUSD BF'!$M$37+'TUSD CVA'!$M$37)*(1 - CUSTOS!$M$39)</f>
        <v>0.81569229269152066</v>
      </c>
      <c r="N37" s="13">
        <f ca="1">('TUSD BE'!$N$37+'TUSD BF'!$N$37+'TUSD CVA'!$N$37)*(1 - CUSTOS!$M$39)</f>
        <v>3.2022688017598187</v>
      </c>
      <c r="O37" s="13">
        <f>('TUSD BE'!$O$37+'TUSD BF'!$O$37+'TUSD CVA'!$O$37)*(1 - CUSTOS!$M$39)</f>
        <v>0</v>
      </c>
      <c r="P37" s="13">
        <f>('TUSD BE'!$P$37+'TUSD BF'!$P$37+'TUSD CVA'!$P$37)*(1 - CUSTOS!$M$39)</f>
        <v>0</v>
      </c>
      <c r="Q37" s="13">
        <f>('TUSD BE'!$Q$37+'TUSD BF'!$Q$37+'TUSD CVA'!$Q$37)*(1 - CUSTOS!$M$39)</f>
        <v>96.043592010856599</v>
      </c>
      <c r="R37" s="13">
        <f>('TUSD BE'!$R$37+'TUSD BF'!$R$37+'TUSD CVA'!$R$37)*(1 - CUSTOS!$M$39)</f>
        <v>16.971546405291466</v>
      </c>
      <c r="S37" s="13">
        <f>('TUSD BE'!$S$37+'TUSD BF'!$S$37+'TUSD CVA'!$S$37)*(1 - CUSTOS!$M$39)</f>
        <v>0</v>
      </c>
      <c r="T37" s="13">
        <f>('TUSD BE'!$U$37+'TUSD BF'!$U$37+'TUSD CVA'!$U$37)*(1 - CUSTOS!$M$39)</f>
        <v>0</v>
      </c>
      <c r="U37" s="13">
        <f>('TUSD BE'!$V$37+'TUSD BF'!$V$37+'TUSD CVA'!$V$37)*(1 - CUSTOS!$M$39)</f>
        <v>0</v>
      </c>
      <c r="V37" s="13">
        <f>('TUSD BE'!$W$37+'TUSD BF'!$W$37+'TUSD CVA'!$W$37)*(1 - CUSTOS!$M$39)</f>
        <v>0</v>
      </c>
      <c r="W37" s="13">
        <f>('TUSD BE'!$X$37+'TUSD BF'!$X$37+'TUSD CVA'!$X$37)*(1 - CUSTOS!$M$39)</f>
        <v>0</v>
      </c>
      <c r="X37" s="13">
        <f>('TUSD BE'!$Y$37+'TUSD BF'!$Y$37+'TUSD CVA'!$Y$37)*(1 - CUSTOS!$M$39)</f>
        <v>120.97004145627263</v>
      </c>
      <c r="Y37" s="13">
        <f>('TUSD BE'!$Z$37+'TUSD BF'!$Z$37+'TUSD CVA'!$Z$37)*(1 - CUSTOS!$M$39)</f>
        <v>0</v>
      </c>
      <c r="Z37" s="13">
        <f>('TUSD BE'!$AA$37+'TUSD BF'!$AA$37+'TUSD CVA'!$AA$37)*(1 - CUSTOS!$M$39)</f>
        <v>0</v>
      </c>
      <c r="AA37" s="13">
        <f>('TUSD BE'!$AC$37+'TUSD BF'!$AC$37+'TUSD CVA'!$AC$37)*(1 - CUSTOS!$M$39)</f>
        <v>183.14158336893291</v>
      </c>
      <c r="AB37" s="13">
        <f ca="1">('TUSD BE'!$AE$37+'TUSD BF'!$AE$37+'TUSD CVA'!$AE$37)*(1 - CUSTOS!$M$39)</f>
        <v>-117.88857556498188</v>
      </c>
      <c r="AC37" s="13">
        <f ca="1">('TUSD BE'!$AF$37+'TUSD BF'!$AF$37+'TUSD CVA'!$AF$37)*(1 - CUSTOS!$M$39)</f>
        <v>0</v>
      </c>
      <c r="AD37" s="13">
        <f>('TUSD BE'!$AH$37+'TUSD BF'!$AH$37+'TUSD CVA'!$AH$37)*(1 - CUSTOS!$M$39)</f>
        <v>21.089401009198205</v>
      </c>
      <c r="AE37" s="13">
        <f>('TUSD BE'!$AI$37+'TUSD BF'!$AI$37+'TUSD CVA'!$AI$37)*(1 - CUSTOS!$M$39)</f>
        <v>0.72354331663387528</v>
      </c>
      <c r="AF37" s="13">
        <f ca="1">('TUSD BE'!$AJ$37+'TUSD BF'!$AJ$37+'TUSD CVA'!$AJ$37)*(1 - CUSTOS!$M$39)</f>
        <v>4.0907182984205726</v>
      </c>
      <c r="AG37" s="13">
        <f ca="1">('TUSD BE'!$AK$37+'TUSD BF'!$AK$37+'TUSD CVA'!$AK$37)*(1 - CUSTOS!$M$39)</f>
        <v>0.22674325632397196</v>
      </c>
      <c r="AI37" s="13">
        <v>0</v>
      </c>
      <c r="AJ37" s="13">
        <v>0.72943008499415696</v>
      </c>
      <c r="AK37" s="13">
        <v>4.8906718433929504</v>
      </c>
      <c r="AL37" s="13">
        <v>0</v>
      </c>
      <c r="AM37" s="13">
        <v>0</v>
      </c>
      <c r="AN37" s="13">
        <v>61.183772807983999</v>
      </c>
      <c r="AO37" s="13">
        <v>9.1760238114213895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108.02629403984299</v>
      </c>
      <c r="AV37" s="13">
        <v>0</v>
      </c>
      <c r="AW37" s="13">
        <v>0</v>
      </c>
      <c r="AX37" s="13">
        <v>162.835167248403</v>
      </c>
      <c r="AY37" s="13">
        <v>-15.2678796427229</v>
      </c>
      <c r="AZ37" s="13">
        <v>0</v>
      </c>
      <c r="BA37" s="13">
        <v>21.577430001677399</v>
      </c>
      <c r="BB37" s="13">
        <v>0.66910204161821996</v>
      </c>
      <c r="BC37" s="13">
        <v>4.36244052947377</v>
      </c>
      <c r="BD37" s="13">
        <v>0.346352304071051</v>
      </c>
    </row>
    <row r="38" spans="1:56" ht="11.25" customHeight="1" x14ac:dyDescent="0.25">
      <c r="A38" s="142"/>
      <c r="B38" s="142" t="s">
        <v>32</v>
      </c>
      <c r="C38" s="142" t="s">
        <v>42</v>
      </c>
      <c r="D38" s="142" t="s">
        <v>92</v>
      </c>
      <c r="E38" s="142" t="s">
        <v>25</v>
      </c>
      <c r="F38" s="142" t="s">
        <v>25</v>
      </c>
      <c r="G38" s="24" t="s">
        <v>76</v>
      </c>
      <c r="H38" s="24" t="s">
        <v>75</v>
      </c>
      <c r="I38" s="24">
        <f>'MERCADO TUSD'!$U$35</f>
        <v>0</v>
      </c>
      <c r="J38" s="15"/>
      <c r="L38" s="13">
        <f>('TUSD BE'!$L$38+'TUSD BF'!$L$38+'TUSD CVA'!$L$38)*(1 - CUSTOS!$M$40)</f>
        <v>0</v>
      </c>
      <c r="M38" s="13">
        <f>('TUSD BE'!$M$38+'TUSD BF'!$M$38+'TUSD CVA'!$M$38)*(1 - CUSTOS!$M$40)</f>
        <v>0.79833713752787139</v>
      </c>
      <c r="N38" s="13">
        <f ca="1">('TUSD BE'!$N$38+'TUSD BF'!$N$38+'TUSD CVA'!$N$38)*(1 - CUSTOS!$M$40)</f>
        <v>8.158844978150178</v>
      </c>
      <c r="O38" s="13">
        <f>('TUSD BE'!$O$38+'TUSD BF'!$O$38+'TUSD CVA'!$O$38)*(1 - CUSTOS!$M$40)</f>
        <v>0</v>
      </c>
      <c r="P38" s="13">
        <f>('TUSD BE'!$P$38+'TUSD BF'!$P$38+'TUSD CVA'!$P$38)*(1 - CUSTOS!$M$40)</f>
        <v>0</v>
      </c>
      <c r="Q38" s="13">
        <f>('TUSD BE'!$Q$38+'TUSD BF'!$Q$38+'TUSD CVA'!$Q$38)*(1 - CUSTOS!$M$40)</f>
        <v>94.000111329774555</v>
      </c>
      <c r="R38" s="13">
        <f>('TUSD BE'!$R$38+'TUSD BF'!$R$38+'TUSD CVA'!$R$38)*(1 - CUSTOS!$M$40)</f>
        <v>16.610449673263989</v>
      </c>
      <c r="S38" s="13">
        <f>('TUSD BE'!$S$38+'TUSD BF'!$S$38+'TUSD CVA'!$S$38)*(1 - CUSTOS!$M$40)</f>
        <v>0</v>
      </c>
      <c r="T38" s="13">
        <f>('TUSD BE'!$U$38+'TUSD BF'!$U$38+'TUSD CVA'!$U$38)*(1 - CUSTOS!$M$40)</f>
        <v>0</v>
      </c>
      <c r="U38" s="13">
        <f>('TUSD BE'!$V$38+'TUSD BF'!$V$38+'TUSD CVA'!$V$38)*(1 - CUSTOS!$M$40)</f>
        <v>0</v>
      </c>
      <c r="V38" s="13">
        <f>('TUSD BE'!$W$38+'TUSD BF'!$W$38+'TUSD CVA'!$W$38)*(1 - CUSTOS!$M$40)</f>
        <v>0</v>
      </c>
      <c r="W38" s="13">
        <f>('TUSD BE'!$X$38+'TUSD BF'!$X$38+'TUSD CVA'!$X$38)*(1 - CUSTOS!$M$40)</f>
        <v>0</v>
      </c>
      <c r="X38" s="13">
        <f>('TUSD BE'!$Y$38+'TUSD BF'!$Y$38+'TUSD CVA'!$Y$38)*(1 - CUSTOS!$M$40)</f>
        <v>337.42926913760454</v>
      </c>
      <c r="Y38" s="13">
        <f>('TUSD BE'!$Z$38+'TUSD BF'!$Z$38+'TUSD CVA'!$Z$38)*(1 - CUSTOS!$M$40)</f>
        <v>0</v>
      </c>
      <c r="Z38" s="13">
        <f>('TUSD BE'!$AA$38+'TUSD BF'!$AA$38+'TUSD CVA'!$AA$38)*(1 - CUSTOS!$M$40)</f>
        <v>0</v>
      </c>
      <c r="AA38" s="13">
        <f>('TUSD BE'!$AC$38+'TUSD BF'!$AC$38+'TUSD CVA'!$AC$38)*(1 - CUSTOS!$M$40)</f>
        <v>510.84800472553951</v>
      </c>
      <c r="AB38" s="13">
        <f ca="1">('TUSD BE'!$AE$38+'TUSD BF'!$AE$38+'TUSD CVA'!$AE$38)*(1 - CUSTOS!$M$40)</f>
        <v>-268.36061885734665</v>
      </c>
      <c r="AC38" s="13">
        <f ca="1">('TUSD BE'!$AF$38+'TUSD BF'!$AF$38+'TUSD CVA'!$AF$38)*(1 - CUSTOS!$M$40)</f>
        <v>0</v>
      </c>
      <c r="AD38" s="13">
        <f>('TUSD BE'!$AH$38+'TUSD BF'!$AH$38+'TUSD CVA'!$AH$38)*(1 - CUSTOS!$M$40)</f>
        <v>20.640690349428031</v>
      </c>
      <c r="AE38" s="13">
        <f>('TUSD BE'!$AI$38+'TUSD BF'!$AI$38+'TUSD CVA'!$AI$38)*(1 - CUSTOS!$M$40)</f>
        <v>0.70814877798209075</v>
      </c>
      <c r="AF38" s="13">
        <f ca="1">('TUSD BE'!$AJ$38+'TUSD BF'!$AJ$38+'TUSD CVA'!$AJ$38)*(1 - CUSTOS!$M$40)</f>
        <v>4.0036817388797097</v>
      </c>
      <c r="AG38" s="13">
        <f ca="1">('TUSD BE'!$AK$38+'TUSD BF'!$AK$38+'TUSD CVA'!$AK$38)*(1 - CUSTOS!$M$40)</f>
        <v>0.22191893172133428</v>
      </c>
      <c r="AI38" s="13">
        <v>0</v>
      </c>
      <c r="AJ38" s="13">
        <v>0.69627417203987796</v>
      </c>
      <c r="AK38" s="13">
        <v>12.158403764527201</v>
      </c>
      <c r="AL38" s="13">
        <v>0</v>
      </c>
      <c r="AM38" s="13">
        <v>0</v>
      </c>
      <c r="AN38" s="13">
        <v>58.402692225802902</v>
      </c>
      <c r="AO38" s="13">
        <v>8.7589318199931494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293.88068221697102</v>
      </c>
      <c r="AV38" s="13">
        <v>0</v>
      </c>
      <c r="AW38" s="13">
        <v>0</v>
      </c>
      <c r="AX38" s="13">
        <v>442.98557205282998</v>
      </c>
      <c r="AY38" s="13">
        <v>-35.106684113621803</v>
      </c>
      <c r="AZ38" s="13">
        <v>0</v>
      </c>
      <c r="BA38" s="13">
        <v>20.596637728873901</v>
      </c>
      <c r="BB38" s="13">
        <v>0.63868831245375501</v>
      </c>
      <c r="BC38" s="13">
        <v>4.1641477781340503</v>
      </c>
      <c r="BD38" s="13">
        <v>0.33060901752236599</v>
      </c>
    </row>
    <row r="39" spans="1:56" ht="11.25" customHeight="1" x14ac:dyDescent="0.25">
      <c r="A39" s="142"/>
      <c r="B39" s="142"/>
      <c r="C39" s="142"/>
      <c r="D39" s="142"/>
      <c r="E39" s="142"/>
      <c r="F39" s="142"/>
      <c r="G39" s="24" t="s">
        <v>88</v>
      </c>
      <c r="H39" s="24" t="s">
        <v>75</v>
      </c>
      <c r="I39" s="24">
        <f>'MERCADO TUSD'!$U$36</f>
        <v>0</v>
      </c>
      <c r="J39" s="15"/>
      <c r="L39" s="13">
        <f>('TUSD BE'!$L$39+'TUSD BF'!$L$39+'TUSD CVA'!$L$39)*(1 - CUSTOS!$M$40)</f>
        <v>0</v>
      </c>
      <c r="M39" s="13">
        <f>('TUSD BE'!$M$39+'TUSD BF'!$M$39+'TUSD CVA'!$M$39)*(1 - CUSTOS!$M$40)</f>
        <v>0.79833713752787139</v>
      </c>
      <c r="N39" s="13">
        <f ca="1">('TUSD BE'!$N$39+'TUSD BF'!$N$39+'TUSD CVA'!$N$39)*(1 - CUSTOS!$M$40)</f>
        <v>5.0625369734304337</v>
      </c>
      <c r="O39" s="13">
        <f>('TUSD BE'!$O$39+'TUSD BF'!$O$39+'TUSD CVA'!$O$39)*(1 - CUSTOS!$M$40)</f>
        <v>0</v>
      </c>
      <c r="P39" s="13">
        <f>('TUSD BE'!$P$39+'TUSD BF'!$P$39+'TUSD CVA'!$P$39)*(1 - CUSTOS!$M$40)</f>
        <v>0</v>
      </c>
      <c r="Q39" s="13">
        <f>('TUSD BE'!$Q$39+'TUSD BF'!$Q$39+'TUSD CVA'!$Q$39)*(1 - CUSTOS!$M$40)</f>
        <v>94.000111329774555</v>
      </c>
      <c r="R39" s="13">
        <f>('TUSD BE'!$R$39+'TUSD BF'!$R$39+'TUSD CVA'!$R$39)*(1 - CUSTOS!$M$40)</f>
        <v>16.610449673263989</v>
      </c>
      <c r="S39" s="13">
        <f>('TUSD BE'!$S$39+'TUSD BF'!$S$39+'TUSD CVA'!$S$39)*(1 - CUSTOS!$M$40)</f>
        <v>0</v>
      </c>
      <c r="T39" s="13">
        <f>('TUSD BE'!$U$39+'TUSD BF'!$U$39+'TUSD CVA'!$U$39)*(1 - CUSTOS!$M$40)</f>
        <v>0</v>
      </c>
      <c r="U39" s="13">
        <f>('TUSD BE'!$V$39+'TUSD BF'!$V$39+'TUSD CVA'!$V$39)*(1 - CUSTOS!$M$40)</f>
        <v>0</v>
      </c>
      <c r="V39" s="13">
        <f>('TUSD BE'!$W$39+'TUSD BF'!$W$39+'TUSD CVA'!$W$39)*(1 - CUSTOS!$M$40)</f>
        <v>0</v>
      </c>
      <c r="W39" s="13">
        <f>('TUSD BE'!$X$39+'TUSD BF'!$X$39+'TUSD CVA'!$X$39)*(1 - CUSTOS!$M$40)</f>
        <v>0</v>
      </c>
      <c r="X39" s="13">
        <f>('TUSD BE'!$Y$39+'TUSD BF'!$Y$39+'TUSD CVA'!$Y$39)*(1 - CUSTOS!$M$40)</f>
        <v>202.45749308788035</v>
      </c>
      <c r="Y39" s="13">
        <f>('TUSD BE'!$Z$39+'TUSD BF'!$Z$39+'TUSD CVA'!$Z$39)*(1 - CUSTOS!$M$40)</f>
        <v>0</v>
      </c>
      <c r="Z39" s="13">
        <f>('TUSD BE'!$AA$39+'TUSD BF'!$AA$39+'TUSD CVA'!$AA$39)*(1 - CUSTOS!$M$40)</f>
        <v>0</v>
      </c>
      <c r="AA39" s="13">
        <f>('TUSD BE'!$AC$39+'TUSD BF'!$AC$39+'TUSD CVA'!$AC$39)*(1 - CUSTOS!$M$40)</f>
        <v>306.50882265980755</v>
      </c>
      <c r="AB39" s="13">
        <f ca="1">('TUSD BE'!$AE$39+'TUSD BF'!$AE$39+'TUSD CVA'!$AE$39)*(1 - CUSTOS!$M$40)</f>
        <v>-174.09165438163069</v>
      </c>
      <c r="AC39" s="13">
        <f ca="1">('TUSD BE'!$AF$39+'TUSD BF'!$AF$39+'TUSD CVA'!$AF$39)*(1 - CUSTOS!$M$40)</f>
        <v>0</v>
      </c>
      <c r="AD39" s="13">
        <f>('TUSD BE'!$AH$39+'TUSD BF'!$AH$39+'TUSD CVA'!$AH$39)*(1 - CUSTOS!$M$40)</f>
        <v>20.640690349428031</v>
      </c>
      <c r="AE39" s="13">
        <f>('TUSD BE'!$AI$39+'TUSD BF'!$AI$39+'TUSD CVA'!$AI$39)*(1 - CUSTOS!$M$40)</f>
        <v>0.70814877798209075</v>
      </c>
      <c r="AF39" s="13">
        <f ca="1">('TUSD BE'!$AJ$39+'TUSD BF'!$AJ$39+'TUSD CVA'!$AJ$39)*(1 - CUSTOS!$M$40)</f>
        <v>4.0036817388797097</v>
      </c>
      <c r="AG39" s="13">
        <f ca="1">('TUSD BE'!$AK$39+'TUSD BF'!$AK$39+'TUSD CVA'!$AK$39)*(1 - CUSTOS!$M$40)</f>
        <v>0.22191893172133428</v>
      </c>
      <c r="AI39" s="13">
        <v>0</v>
      </c>
      <c r="AJ39" s="13">
        <v>0.69627417203987796</v>
      </c>
      <c r="AK39" s="13">
        <v>7.5429218844711201</v>
      </c>
      <c r="AL39" s="13">
        <v>0</v>
      </c>
      <c r="AM39" s="13">
        <v>0</v>
      </c>
      <c r="AN39" s="13">
        <v>58.402692225802902</v>
      </c>
      <c r="AO39" s="13">
        <v>8.7589318199931494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176.32834976251101</v>
      </c>
      <c r="AV39" s="13">
        <v>0</v>
      </c>
      <c r="AW39" s="13">
        <v>0</v>
      </c>
      <c r="AX39" s="13">
        <v>265.791360422644</v>
      </c>
      <c r="AY39" s="13">
        <v>-22.454038252601201</v>
      </c>
      <c r="AZ39" s="13">
        <v>0</v>
      </c>
      <c r="BA39" s="13">
        <v>20.596637728873901</v>
      </c>
      <c r="BB39" s="13">
        <v>0.63868831245375501</v>
      </c>
      <c r="BC39" s="13">
        <v>4.1641477781340503</v>
      </c>
      <c r="BD39" s="13">
        <v>0.33060901752236599</v>
      </c>
    </row>
    <row r="40" spans="1:56" ht="11.25" customHeight="1" x14ac:dyDescent="0.25">
      <c r="A40" s="142"/>
      <c r="B40" s="142"/>
      <c r="C40" s="142"/>
      <c r="D40" s="142"/>
      <c r="E40" s="142"/>
      <c r="F40" s="142"/>
      <c r="G40" s="24" t="s">
        <v>77</v>
      </c>
      <c r="H40" s="24" t="s">
        <v>75</v>
      </c>
      <c r="I40" s="24">
        <f>'MERCADO TUSD'!$U$37</f>
        <v>0</v>
      </c>
      <c r="J40" s="15"/>
      <c r="L40" s="13">
        <f>('TUSD BE'!$L$40+'TUSD BF'!$L$40+'TUSD CVA'!$L$40)*(1 - CUSTOS!$M$40)</f>
        <v>0</v>
      </c>
      <c r="M40" s="13">
        <f>('TUSD BE'!$M$40+'TUSD BF'!$M$40+'TUSD CVA'!$M$40)*(1 - CUSTOS!$M$40)</f>
        <v>0.79833713752787139</v>
      </c>
      <c r="N40" s="13">
        <f ca="1">('TUSD BE'!$N$40+'TUSD BF'!$N$40+'TUSD CVA'!$N$40)*(1 - CUSTOS!$M$40)</f>
        <v>1.9662299227306392</v>
      </c>
      <c r="O40" s="13">
        <f>('TUSD BE'!$O$40+'TUSD BF'!$O$40+'TUSD CVA'!$O$40)*(1 - CUSTOS!$M$40)</f>
        <v>0</v>
      </c>
      <c r="P40" s="13">
        <f>('TUSD BE'!$P$40+'TUSD BF'!$P$40+'TUSD CVA'!$P$40)*(1 - CUSTOS!$M$40)</f>
        <v>0</v>
      </c>
      <c r="Q40" s="13">
        <f>('TUSD BE'!$Q$40+'TUSD BF'!$Q$40+'TUSD CVA'!$Q$40)*(1 - CUSTOS!$M$40)</f>
        <v>94.000111329774555</v>
      </c>
      <c r="R40" s="13">
        <f>('TUSD BE'!$R$40+'TUSD BF'!$R$40+'TUSD CVA'!$R$40)*(1 - CUSTOS!$M$40)</f>
        <v>16.610449673263989</v>
      </c>
      <c r="S40" s="13">
        <f>('TUSD BE'!$S$40+'TUSD BF'!$S$40+'TUSD CVA'!$S$40)*(1 - CUSTOS!$M$40)</f>
        <v>0</v>
      </c>
      <c r="T40" s="13">
        <f>('TUSD BE'!$U$40+'TUSD BF'!$U$40+'TUSD CVA'!$U$40)*(1 - CUSTOS!$M$40)</f>
        <v>0</v>
      </c>
      <c r="U40" s="13">
        <f>('TUSD BE'!$V$40+'TUSD BF'!$V$40+'TUSD CVA'!$V$40)*(1 - CUSTOS!$M$40)</f>
        <v>0</v>
      </c>
      <c r="V40" s="13">
        <f>('TUSD BE'!$W$40+'TUSD BF'!$W$40+'TUSD CVA'!$W$40)*(1 - CUSTOS!$M$40)</f>
        <v>0</v>
      </c>
      <c r="W40" s="13">
        <f>('TUSD BE'!$X$40+'TUSD BF'!$X$40+'TUSD CVA'!$X$40)*(1 - CUSTOS!$M$40)</f>
        <v>0</v>
      </c>
      <c r="X40" s="13">
        <f>('TUSD BE'!$Y$40+'TUSD BF'!$Y$40+'TUSD CVA'!$Y$40)*(1 - CUSTOS!$M$40)</f>
        <v>67.48583102929345</v>
      </c>
      <c r="Y40" s="13">
        <f>('TUSD BE'!$Z$40+'TUSD BF'!$Z$40+'TUSD CVA'!$Z$40)*(1 - CUSTOS!$M$40)</f>
        <v>0</v>
      </c>
      <c r="Z40" s="13">
        <f>('TUSD BE'!$AA$40+'TUSD BF'!$AA$40+'TUSD CVA'!$AA$40)*(1 - CUSTOS!$M$40)</f>
        <v>0</v>
      </c>
      <c r="AA40" s="13">
        <f>('TUSD BE'!$AC$40+'TUSD BF'!$AC$40+'TUSD CVA'!$AC$40)*(1 - CUSTOS!$M$40)</f>
        <v>102.16964059407557</v>
      </c>
      <c r="AB40" s="13">
        <f ca="1">('TUSD BE'!$AE$40+'TUSD BF'!$AE$40+'TUSD CVA'!$AE$40)*(1 - CUSTOS!$M$40)</f>
        <v>-79.822721418370648</v>
      </c>
      <c r="AC40" s="13">
        <f ca="1">('TUSD BE'!$AF$40+'TUSD BF'!$AF$40+'TUSD CVA'!$AF$40)*(1 - CUSTOS!$M$40)</f>
        <v>0</v>
      </c>
      <c r="AD40" s="13">
        <f>('TUSD BE'!$AH$40+'TUSD BF'!$AH$40+'TUSD CVA'!$AH$40)*(1 - CUSTOS!$M$40)</f>
        <v>20.640690349428031</v>
      </c>
      <c r="AE40" s="13">
        <f>('TUSD BE'!$AI$40+'TUSD BF'!$AI$40+'TUSD CVA'!$AI$40)*(1 - CUSTOS!$M$40)</f>
        <v>0.70814877798209075</v>
      </c>
      <c r="AF40" s="13">
        <f ca="1">('TUSD BE'!$AJ$40+'TUSD BF'!$AJ$40+'TUSD CVA'!$AJ$40)*(1 - CUSTOS!$M$40)</f>
        <v>4.0036817388797097</v>
      </c>
      <c r="AG40" s="13">
        <f ca="1">('TUSD BE'!$AK$40+'TUSD BF'!$AK$40+'TUSD CVA'!$AK$40)*(1 - CUSTOS!$M$40)</f>
        <v>0.22191893172133428</v>
      </c>
      <c r="AI40" s="13">
        <v>0</v>
      </c>
      <c r="AJ40" s="13">
        <v>0.69627417203987796</v>
      </c>
      <c r="AK40" s="13">
        <v>2.9274414265157902</v>
      </c>
      <c r="AL40" s="13">
        <v>0</v>
      </c>
      <c r="AM40" s="13">
        <v>0</v>
      </c>
      <c r="AN40" s="13">
        <v>58.402692225802902</v>
      </c>
      <c r="AO40" s="13">
        <v>8.7589318199931494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58.776116587503701</v>
      </c>
      <c r="AV40" s="13">
        <v>0</v>
      </c>
      <c r="AW40" s="13">
        <v>0</v>
      </c>
      <c r="AX40" s="13">
        <v>88.597148792457503</v>
      </c>
      <c r="AY40" s="13">
        <v>-9.8013965836164196</v>
      </c>
      <c r="AZ40" s="13">
        <v>0</v>
      </c>
      <c r="BA40" s="13">
        <v>20.596637728873901</v>
      </c>
      <c r="BB40" s="13">
        <v>0.63868831245375501</v>
      </c>
      <c r="BC40" s="13">
        <v>4.1641477781340503</v>
      </c>
      <c r="BD40" s="13">
        <v>0.33060901752236599</v>
      </c>
    </row>
    <row r="41" spans="1:56" ht="11.25" customHeight="1" x14ac:dyDescent="0.25">
      <c r="A41" s="142"/>
      <c r="B41" s="23" t="s">
        <v>23</v>
      </c>
      <c r="C41" s="23" t="s">
        <v>42</v>
      </c>
      <c r="D41" s="23" t="s">
        <v>92</v>
      </c>
      <c r="E41" s="23" t="s">
        <v>25</v>
      </c>
      <c r="F41" s="23" t="s">
        <v>25</v>
      </c>
      <c r="G41" s="24" t="s">
        <v>79</v>
      </c>
      <c r="H41" s="24" t="s">
        <v>75</v>
      </c>
      <c r="I41" s="24">
        <f>'MERCADO TUSD'!$U$38</f>
        <v>0</v>
      </c>
      <c r="J41" s="15"/>
      <c r="L41" s="13">
        <f>('TUSD BE'!$L$41+'TUSD BF'!$L$41+'TUSD CVA'!$L$41)*(1 - CUSTOS!$M$40)</f>
        <v>0</v>
      </c>
      <c r="M41" s="13">
        <f>('TUSD BE'!$M$41+'TUSD BF'!$M$41+'TUSD CVA'!$M$41)*(1 - CUSTOS!$M$40)</f>
        <v>0.79833713752787139</v>
      </c>
      <c r="N41" s="13">
        <f ca="1">('TUSD BE'!$N$41+'TUSD BF'!$N$41+'TUSD CVA'!$N$41)*(1 - CUSTOS!$M$40)</f>
        <v>3.134135422998972</v>
      </c>
      <c r="O41" s="13">
        <f>('TUSD BE'!$O$41+'TUSD BF'!$O$41+'TUSD CVA'!$O$41)*(1 - CUSTOS!$M$40)</f>
        <v>0</v>
      </c>
      <c r="P41" s="13">
        <f>('TUSD BE'!$P$41+'TUSD BF'!$P$41+'TUSD CVA'!$P$41)*(1 - CUSTOS!$M$40)</f>
        <v>0</v>
      </c>
      <c r="Q41" s="13">
        <f>('TUSD BE'!$Q$41+'TUSD BF'!$Q$41+'TUSD CVA'!$Q$41)*(1 - CUSTOS!$M$40)</f>
        <v>94.000111329774555</v>
      </c>
      <c r="R41" s="13">
        <f>('TUSD BE'!$R$41+'TUSD BF'!$R$41+'TUSD CVA'!$R$41)*(1 - CUSTOS!$M$40)</f>
        <v>16.610449673263989</v>
      </c>
      <c r="S41" s="13">
        <f>('TUSD BE'!$S$41+'TUSD BF'!$S$41+'TUSD CVA'!$S$41)*(1 - CUSTOS!$M$40)</f>
        <v>0</v>
      </c>
      <c r="T41" s="13">
        <f>('TUSD BE'!$U$41+'TUSD BF'!$U$41+'TUSD CVA'!$U$41)*(1 - CUSTOS!$M$40)</f>
        <v>0</v>
      </c>
      <c r="U41" s="13">
        <f>('TUSD BE'!$V$41+'TUSD BF'!$V$41+'TUSD CVA'!$V$41)*(1 - CUSTOS!$M$40)</f>
        <v>0</v>
      </c>
      <c r="V41" s="13">
        <f>('TUSD BE'!$W$41+'TUSD BF'!$W$41+'TUSD CVA'!$W$41)*(1 - CUSTOS!$M$40)</f>
        <v>0</v>
      </c>
      <c r="W41" s="13">
        <f>('TUSD BE'!$X$41+'TUSD BF'!$X$41+'TUSD CVA'!$X$41)*(1 - CUSTOS!$M$40)</f>
        <v>0</v>
      </c>
      <c r="X41" s="13">
        <f>('TUSD BE'!$Y$41+'TUSD BF'!$Y$41+'TUSD CVA'!$Y$41)*(1 - CUSTOS!$M$40)</f>
        <v>118.39621078699025</v>
      </c>
      <c r="Y41" s="13">
        <f>('TUSD BE'!$Z$41+'TUSD BF'!$Z$41+'TUSD CVA'!$Z$41)*(1 - CUSTOS!$M$40)</f>
        <v>0</v>
      </c>
      <c r="Z41" s="13">
        <f>('TUSD BE'!$AA$41+'TUSD BF'!$AA$41+'TUSD CVA'!$AA$41)*(1 - CUSTOS!$M$40)</f>
        <v>0</v>
      </c>
      <c r="AA41" s="13">
        <f>('TUSD BE'!$AC$41+'TUSD BF'!$AC$41+'TUSD CVA'!$AC$41)*(1 - CUSTOS!$M$40)</f>
        <v>179.24495393555139</v>
      </c>
      <c r="AB41" s="13">
        <f ca="1">('TUSD BE'!$AE$41+'TUSD BF'!$AE$41+'TUSD CVA'!$AE$41)*(1 - CUSTOS!$M$40)</f>
        <v>-115.38030799976951</v>
      </c>
      <c r="AC41" s="13">
        <f ca="1">('TUSD BE'!$AF$41+'TUSD BF'!$AF$41+'TUSD CVA'!$AF$41)*(1 - CUSTOS!$M$40)</f>
        <v>0</v>
      </c>
      <c r="AD41" s="13">
        <f>('TUSD BE'!$AH$41+'TUSD BF'!$AH$41+'TUSD CVA'!$AH$41)*(1 - CUSTOS!$M$40)</f>
        <v>20.640690349428031</v>
      </c>
      <c r="AE41" s="13">
        <f>('TUSD BE'!$AI$41+'TUSD BF'!$AI$41+'TUSD CVA'!$AI$41)*(1 - CUSTOS!$M$40)</f>
        <v>0.70814877798209075</v>
      </c>
      <c r="AF41" s="13">
        <f ca="1">('TUSD BE'!$AJ$41+'TUSD BF'!$AJ$41+'TUSD CVA'!$AJ$41)*(1 - CUSTOS!$M$40)</f>
        <v>4.0036817388797097</v>
      </c>
      <c r="AG41" s="13">
        <f ca="1">('TUSD BE'!$AK$41+'TUSD BF'!$AK$41+'TUSD CVA'!$AK$41)*(1 - CUSTOS!$M$40)</f>
        <v>0.22191893172133428</v>
      </c>
      <c r="AI41" s="13">
        <v>0</v>
      </c>
      <c r="AJ41" s="13">
        <v>0.69627417203987796</v>
      </c>
      <c r="AK41" s="13">
        <v>4.6683685777841797</v>
      </c>
      <c r="AL41" s="13">
        <v>0</v>
      </c>
      <c r="AM41" s="13">
        <v>0</v>
      </c>
      <c r="AN41" s="13">
        <v>58.402692225802902</v>
      </c>
      <c r="AO41" s="13">
        <v>8.7589318199931494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103.11600794712299</v>
      </c>
      <c r="AV41" s="13">
        <v>0</v>
      </c>
      <c r="AW41" s="13">
        <v>0</v>
      </c>
      <c r="AX41" s="13">
        <v>155.43356873711201</v>
      </c>
      <c r="AY41" s="13">
        <v>-14.573885113508201</v>
      </c>
      <c r="AZ41" s="13">
        <v>0</v>
      </c>
      <c r="BA41" s="13">
        <v>20.596637728873901</v>
      </c>
      <c r="BB41" s="13">
        <v>0.63868831245375501</v>
      </c>
      <c r="BC41" s="13">
        <v>4.1641477781340503</v>
      </c>
      <c r="BD41" s="13">
        <v>0.33060901752236599</v>
      </c>
    </row>
    <row r="42" spans="1:56" ht="11.25" customHeight="1" x14ac:dyDescent="0.25">
      <c r="A42" s="142"/>
      <c r="B42" s="142" t="s">
        <v>90</v>
      </c>
      <c r="C42" s="142" t="s">
        <v>42</v>
      </c>
      <c r="D42" s="23" t="s">
        <v>25</v>
      </c>
      <c r="E42" s="23" t="s">
        <v>25</v>
      </c>
      <c r="F42" s="23" t="s">
        <v>25</v>
      </c>
      <c r="G42" s="24" t="s">
        <v>79</v>
      </c>
      <c r="H42" s="24" t="s">
        <v>75</v>
      </c>
      <c r="I42" s="24">
        <f>'MERCADO TUSD'!$U$39</f>
        <v>0</v>
      </c>
      <c r="J42" s="15"/>
      <c r="L42" s="13">
        <f>('TUSD BE'!$L$42+'TUSD BF'!$L$42+'TUSD CVA'!$L$42)*(1 - CUSTOS!$M$38)</f>
        <v>0</v>
      </c>
      <c r="M42" s="13">
        <f>('TUSD BE'!$M$42+'TUSD BF'!$M$42+'TUSD CVA'!$M$42)*(1 - CUSTOS!$M$38)</f>
        <v>0.81569229269152066</v>
      </c>
      <c r="N42" s="13">
        <f ca="1">('TUSD BE'!$N$42+'TUSD BF'!$N$42+'TUSD CVA'!$N$42)*(1 - CUSTOS!$M$38)</f>
        <v>3.2022688017598187</v>
      </c>
      <c r="O42" s="13">
        <f>('TUSD BE'!$O$42+'TUSD BF'!$O$42+'TUSD CVA'!$O$42)*(1 - CUSTOS!$M$38)</f>
        <v>0</v>
      </c>
      <c r="P42" s="13">
        <f>('TUSD BE'!$P$42+'TUSD BF'!$P$42+'TUSD CVA'!$P$42)*(1 - CUSTOS!$M$38)</f>
        <v>0</v>
      </c>
      <c r="Q42" s="13">
        <f>('TUSD BE'!$Q$42+'TUSD BF'!$Q$42+'TUSD CVA'!$Q$42)*(1 - CUSTOS!$M$38)</f>
        <v>96.043592010856599</v>
      </c>
      <c r="R42" s="13">
        <f>('TUSD BE'!$R$42+'TUSD BF'!$R$42+'TUSD CVA'!$R$42)*(1 - CUSTOS!$M$38)</f>
        <v>16.971546405291466</v>
      </c>
      <c r="S42" s="13">
        <f>('TUSD BE'!$S$42+'TUSD BF'!$S$42+'TUSD CVA'!$S$42)*(1 - CUSTOS!$M$38)</f>
        <v>0</v>
      </c>
      <c r="T42" s="13">
        <f>('TUSD BE'!$U$42+'TUSD BF'!$U$42+'TUSD CVA'!$U$42)*(1 - CUSTOS!$M$38)</f>
        <v>0</v>
      </c>
      <c r="U42" s="13">
        <f>('TUSD BE'!$V$42+'TUSD BF'!$V$42+'TUSD CVA'!$V$42)*(1 - CUSTOS!$M$38)</f>
        <v>0</v>
      </c>
      <c r="V42" s="13">
        <f>('TUSD BE'!$W$42+'TUSD BF'!$W$42+'TUSD CVA'!$W$42)*(1 - CUSTOS!$M$38)</f>
        <v>0</v>
      </c>
      <c r="W42" s="13">
        <f>('TUSD BE'!$X$42+'TUSD BF'!$X$42+'TUSD CVA'!$X$42)*(1 - CUSTOS!$M$38)</f>
        <v>0</v>
      </c>
      <c r="X42" s="13">
        <f>('TUSD BE'!$Y$42+'TUSD BF'!$Y$42+'TUSD CVA'!$Y$42)*(1 - CUSTOS!$M$38)</f>
        <v>120.97004145627263</v>
      </c>
      <c r="Y42" s="13">
        <f>('TUSD BE'!$Z$42+'TUSD BF'!$Z$42+'TUSD CVA'!$Z$42)*(1 - CUSTOS!$M$38)</f>
        <v>0</v>
      </c>
      <c r="Z42" s="13">
        <f>('TUSD BE'!$AA$42+'TUSD BF'!$AA$42+'TUSD CVA'!$AA$42)*(1 - CUSTOS!$M$38)</f>
        <v>0</v>
      </c>
      <c r="AA42" s="13">
        <f>('TUSD BE'!$AC$42+'TUSD BF'!$AC$42+'TUSD CVA'!$AC$42)*(1 - CUSTOS!$M$38)</f>
        <v>183.14158336893291</v>
      </c>
      <c r="AB42" s="13">
        <f ca="1">('TUSD BE'!$AE$42+'TUSD BF'!$AE$42+'TUSD CVA'!$AE$42)*(1 - CUSTOS!$M$38)</f>
        <v>-117.88857556498188</v>
      </c>
      <c r="AC42" s="13">
        <f ca="1">('TUSD BE'!$AF$42+'TUSD BF'!$AF$42+'TUSD CVA'!$AF$42)*(1 - CUSTOS!$M$38)</f>
        <v>0</v>
      </c>
      <c r="AD42" s="13">
        <f>('TUSD BE'!$AH$42+'TUSD BF'!$AH$42+'TUSD CVA'!$AH$42)*(1 - CUSTOS!$M$38)</f>
        <v>21.089401009198205</v>
      </c>
      <c r="AE42" s="13">
        <f>('TUSD BE'!$AI$42+'TUSD BF'!$AI$42+'TUSD CVA'!$AI$42)*(1 - CUSTOS!$M$38)</f>
        <v>0.72354331663387528</v>
      </c>
      <c r="AF42" s="13">
        <f ca="1">('TUSD BE'!$AJ$42+'TUSD BF'!$AJ$42+'TUSD CVA'!$AJ$42)*(1 - CUSTOS!$M$38)</f>
        <v>4.0907182984205726</v>
      </c>
      <c r="AG42" s="13">
        <f ca="1">('TUSD BE'!$AK$42+'TUSD BF'!$AK$42+'TUSD CVA'!$AK$42)*(1 - CUSTOS!$M$38)</f>
        <v>0.22674325632397196</v>
      </c>
      <c r="AI42" s="13">
        <v>0</v>
      </c>
      <c r="AJ42" s="13">
        <v>0.72943008499415696</v>
      </c>
      <c r="AK42" s="13">
        <v>4.8906718433929504</v>
      </c>
      <c r="AL42" s="13">
        <v>0</v>
      </c>
      <c r="AM42" s="13">
        <v>0</v>
      </c>
      <c r="AN42" s="13">
        <v>61.183772807983999</v>
      </c>
      <c r="AO42" s="13">
        <v>9.1760238114213895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108.02629403984299</v>
      </c>
      <c r="AV42" s="13">
        <v>0</v>
      </c>
      <c r="AW42" s="13">
        <v>0</v>
      </c>
      <c r="AX42" s="13">
        <v>162.835167248403</v>
      </c>
      <c r="AY42" s="13">
        <v>-15.2678796427229</v>
      </c>
      <c r="AZ42" s="13">
        <v>0</v>
      </c>
      <c r="BA42" s="13">
        <v>21.577430001677399</v>
      </c>
      <c r="BB42" s="13">
        <v>0.66910204161821996</v>
      </c>
      <c r="BC42" s="13">
        <v>4.36244052947377</v>
      </c>
      <c r="BD42" s="13">
        <v>0.346352304071051</v>
      </c>
    </row>
    <row r="43" spans="1:56" ht="11.25" customHeight="1" x14ac:dyDescent="0.25">
      <c r="A43" s="142"/>
      <c r="B43" s="142"/>
      <c r="C43" s="142"/>
      <c r="D43" s="23" t="s">
        <v>91</v>
      </c>
      <c r="E43" s="23" t="s">
        <v>25</v>
      </c>
      <c r="F43" s="23" t="s">
        <v>25</v>
      </c>
      <c r="G43" s="24" t="s">
        <v>79</v>
      </c>
      <c r="H43" s="24" t="s">
        <v>75</v>
      </c>
      <c r="I43" s="24">
        <f>'MERCADO TUSD'!$U$40</f>
        <v>0</v>
      </c>
      <c r="J43" s="15"/>
      <c r="L43" s="13">
        <f>('TUSD BE'!$L$43+'TUSD BF'!$L$43+'TUSD CVA'!$L$43)*(1 - CUSTOS!$M$39)</f>
        <v>0</v>
      </c>
      <c r="M43" s="13">
        <f>('TUSD BE'!$M$43+'TUSD BF'!$M$43+'TUSD CVA'!$M$43)*(1 - CUSTOS!$M$39)</f>
        <v>0.81569229269152066</v>
      </c>
      <c r="N43" s="13">
        <f ca="1">('TUSD BE'!$N$43+'TUSD BF'!$N$43+'TUSD CVA'!$N$43)*(1 - CUSTOS!$M$39)</f>
        <v>3.2022688017598187</v>
      </c>
      <c r="O43" s="13">
        <f>('TUSD BE'!$O$43+'TUSD BF'!$O$43+'TUSD CVA'!$O$43)*(1 - CUSTOS!$M$39)</f>
        <v>0</v>
      </c>
      <c r="P43" s="13">
        <f>('TUSD BE'!$P$43+'TUSD BF'!$P$43+'TUSD CVA'!$P$43)*(1 - CUSTOS!$M$39)</f>
        <v>0</v>
      </c>
      <c r="Q43" s="13">
        <f>('TUSD BE'!$Q$43+'TUSD BF'!$Q$43+'TUSD CVA'!$Q$43)*(1 - CUSTOS!$M$39)</f>
        <v>96.043592010856599</v>
      </c>
      <c r="R43" s="13">
        <f>('TUSD BE'!$R$43+'TUSD BF'!$R$43+'TUSD CVA'!$R$43)*(1 - CUSTOS!$M$39)</f>
        <v>16.971546405291466</v>
      </c>
      <c r="S43" s="13">
        <f>('TUSD BE'!$S$43+'TUSD BF'!$S$43+'TUSD CVA'!$S$43)*(1 - CUSTOS!$M$39)</f>
        <v>0</v>
      </c>
      <c r="T43" s="13">
        <f>('TUSD BE'!$U$43+'TUSD BF'!$U$43+'TUSD CVA'!$U$43)*(1 - CUSTOS!$M$39)</f>
        <v>0</v>
      </c>
      <c r="U43" s="13">
        <f>('TUSD BE'!$V$43+'TUSD BF'!$V$43+'TUSD CVA'!$V$43)*(1 - CUSTOS!$M$39)</f>
        <v>0</v>
      </c>
      <c r="V43" s="13">
        <f>('TUSD BE'!$W$43+'TUSD BF'!$W$43+'TUSD CVA'!$W$43)*(1 - CUSTOS!$M$39)</f>
        <v>0</v>
      </c>
      <c r="W43" s="13">
        <f>('TUSD BE'!$X$43+'TUSD BF'!$X$43+'TUSD CVA'!$X$43)*(1 - CUSTOS!$M$39)</f>
        <v>0</v>
      </c>
      <c r="X43" s="13">
        <f>('TUSD BE'!$Y$43+'TUSD BF'!$Y$43+'TUSD CVA'!$Y$43)*(1 - CUSTOS!$M$39)</f>
        <v>120.97004145627263</v>
      </c>
      <c r="Y43" s="13">
        <f>('TUSD BE'!$Z$43+'TUSD BF'!$Z$43+'TUSD CVA'!$Z$43)*(1 - CUSTOS!$M$39)</f>
        <v>0</v>
      </c>
      <c r="Z43" s="13">
        <f>('TUSD BE'!$AA$43+'TUSD BF'!$AA$43+'TUSD CVA'!$AA$43)*(1 - CUSTOS!$M$39)</f>
        <v>0</v>
      </c>
      <c r="AA43" s="13">
        <f>('TUSD BE'!$AC$43+'TUSD BF'!$AC$43+'TUSD CVA'!$AC$43)*(1 - CUSTOS!$M$39)</f>
        <v>183.14158336893291</v>
      </c>
      <c r="AB43" s="13">
        <f ca="1">('TUSD BE'!$AE$43+'TUSD BF'!$AE$43+'TUSD CVA'!$AE$43)*(1 - CUSTOS!$M$39)</f>
        <v>-117.88857556498188</v>
      </c>
      <c r="AC43" s="13">
        <f ca="1">('TUSD BE'!$AF$43+'TUSD BF'!$AF$43+'TUSD CVA'!$AF$43)*(1 - CUSTOS!$M$39)</f>
        <v>0</v>
      </c>
      <c r="AD43" s="13">
        <f>('TUSD BE'!$AH$43+'TUSD BF'!$AH$43+'TUSD CVA'!$AH$43)*(1 - CUSTOS!$M$39)</f>
        <v>21.089401009198205</v>
      </c>
      <c r="AE43" s="13">
        <f>('TUSD BE'!$AI$43+'TUSD BF'!$AI$43+'TUSD CVA'!$AI$43)*(1 - CUSTOS!$M$39)</f>
        <v>0.72354331663387528</v>
      </c>
      <c r="AF43" s="13">
        <f ca="1">('TUSD BE'!$AJ$43+'TUSD BF'!$AJ$43+'TUSD CVA'!$AJ$43)*(1 - CUSTOS!$M$39)</f>
        <v>4.0907182984205726</v>
      </c>
      <c r="AG43" s="13">
        <f ca="1">('TUSD BE'!$AK$43+'TUSD BF'!$AK$43+'TUSD CVA'!$AK$43)*(1 - CUSTOS!$M$39)</f>
        <v>0.22674325632397196</v>
      </c>
      <c r="AI43" s="13">
        <v>0</v>
      </c>
      <c r="AJ43" s="13">
        <v>0.72943008499415696</v>
      </c>
      <c r="AK43" s="13">
        <v>4.8906718433929504</v>
      </c>
      <c r="AL43" s="13">
        <v>0</v>
      </c>
      <c r="AM43" s="13">
        <v>0</v>
      </c>
      <c r="AN43" s="13">
        <v>61.183772807983999</v>
      </c>
      <c r="AO43" s="13">
        <v>9.1760238114213895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108.02629403984299</v>
      </c>
      <c r="AV43" s="13">
        <v>0</v>
      </c>
      <c r="AW43" s="13">
        <v>0</v>
      </c>
      <c r="AX43" s="13">
        <v>162.835167248403</v>
      </c>
      <c r="AY43" s="13">
        <v>-15.2678796427229</v>
      </c>
      <c r="AZ43" s="13">
        <v>0</v>
      </c>
      <c r="BA43" s="13">
        <v>21.577430001677399</v>
      </c>
      <c r="BB43" s="13">
        <v>0.66910204161821996</v>
      </c>
      <c r="BC43" s="13">
        <v>4.36244052947377</v>
      </c>
      <c r="BD43" s="13">
        <v>0.346352304071051</v>
      </c>
    </row>
    <row r="44" spans="1:56" ht="11.25" customHeight="1" x14ac:dyDescent="0.25">
      <c r="A44" s="142"/>
      <c r="B44" s="142"/>
      <c r="C44" s="142"/>
      <c r="D44" s="23" t="s">
        <v>92</v>
      </c>
      <c r="E44" s="23" t="s">
        <v>25</v>
      </c>
      <c r="F44" s="23" t="s">
        <v>25</v>
      </c>
      <c r="G44" s="24" t="s">
        <v>79</v>
      </c>
      <c r="H44" s="24" t="s">
        <v>75</v>
      </c>
      <c r="I44" s="24">
        <f>'MERCADO TUSD'!$U$41</f>
        <v>0</v>
      </c>
      <c r="J44" s="15"/>
      <c r="L44" s="13">
        <f>('TUSD BE'!$L$44+'TUSD BF'!$L$44+'TUSD CVA'!$L$44)*(1 - CUSTOS!$M$40)</f>
        <v>0</v>
      </c>
      <c r="M44" s="13">
        <f>('TUSD BE'!$M$44+'TUSD BF'!$M$44+'TUSD CVA'!$M$44)*(1 - CUSTOS!$M$40)</f>
        <v>0.79833713752787139</v>
      </c>
      <c r="N44" s="13">
        <f ca="1">('TUSD BE'!$N$44+'TUSD BF'!$N$44+'TUSD CVA'!$N$44)*(1 - CUSTOS!$M$40)</f>
        <v>3.134135422998972</v>
      </c>
      <c r="O44" s="13">
        <f>('TUSD BE'!$O$44+'TUSD BF'!$O$44+'TUSD CVA'!$O$44)*(1 - CUSTOS!$M$40)</f>
        <v>0</v>
      </c>
      <c r="P44" s="13">
        <f>('TUSD BE'!$P$44+'TUSD BF'!$P$44+'TUSD CVA'!$P$44)*(1 - CUSTOS!$M$40)</f>
        <v>0</v>
      </c>
      <c r="Q44" s="13">
        <f>('TUSD BE'!$Q$44+'TUSD BF'!$Q$44+'TUSD CVA'!$Q$44)*(1 - CUSTOS!$M$40)</f>
        <v>94.000111329774555</v>
      </c>
      <c r="R44" s="13">
        <f>('TUSD BE'!$R$44+'TUSD BF'!$R$44+'TUSD CVA'!$R$44)*(1 - CUSTOS!$M$40)</f>
        <v>16.610449673263989</v>
      </c>
      <c r="S44" s="13">
        <f>('TUSD BE'!$S$44+'TUSD BF'!$S$44+'TUSD CVA'!$S$44)*(1 - CUSTOS!$M$40)</f>
        <v>0</v>
      </c>
      <c r="T44" s="13">
        <f>('TUSD BE'!$U$44+'TUSD BF'!$U$44+'TUSD CVA'!$U$44)*(1 - CUSTOS!$M$40)</f>
        <v>0</v>
      </c>
      <c r="U44" s="13">
        <f>('TUSD BE'!$V$44+'TUSD BF'!$V$44+'TUSD CVA'!$V$44)*(1 - CUSTOS!$M$40)</f>
        <v>0</v>
      </c>
      <c r="V44" s="13">
        <f>('TUSD BE'!$W$44+'TUSD BF'!$W$44+'TUSD CVA'!$W$44)*(1 - CUSTOS!$M$40)</f>
        <v>0</v>
      </c>
      <c r="W44" s="13">
        <f>('TUSD BE'!$X$44+'TUSD BF'!$X$44+'TUSD CVA'!$X$44)*(1 - CUSTOS!$M$40)</f>
        <v>0</v>
      </c>
      <c r="X44" s="13">
        <f>('TUSD BE'!$Y$44+'TUSD BF'!$Y$44+'TUSD CVA'!$Y$44)*(1 - CUSTOS!$M$40)</f>
        <v>118.39621078699025</v>
      </c>
      <c r="Y44" s="13">
        <f>('TUSD BE'!$Z$44+'TUSD BF'!$Z$44+'TUSD CVA'!$Z$44)*(1 - CUSTOS!$M$40)</f>
        <v>0</v>
      </c>
      <c r="Z44" s="13">
        <f>('TUSD BE'!$AA$44+'TUSD BF'!$AA$44+'TUSD CVA'!$AA$44)*(1 - CUSTOS!$M$40)</f>
        <v>0</v>
      </c>
      <c r="AA44" s="13">
        <f>('TUSD BE'!$AC$44+'TUSD BF'!$AC$44+'TUSD CVA'!$AC$44)*(1 - CUSTOS!$M$40)</f>
        <v>179.24495393555139</v>
      </c>
      <c r="AB44" s="13">
        <f ca="1">('TUSD BE'!$AE$44+'TUSD BF'!$AE$44+'TUSD CVA'!$AE$44)*(1 - CUSTOS!$M$40)</f>
        <v>-115.38030799976951</v>
      </c>
      <c r="AC44" s="13">
        <f ca="1">('TUSD BE'!$AF$44+'TUSD BF'!$AF$44+'TUSD CVA'!$AF$44)*(1 - CUSTOS!$M$40)</f>
        <v>0</v>
      </c>
      <c r="AD44" s="13">
        <f>('TUSD BE'!$AH$44+'TUSD BF'!$AH$44+'TUSD CVA'!$AH$44)*(1 - CUSTOS!$M$40)</f>
        <v>20.640690349428031</v>
      </c>
      <c r="AE44" s="13">
        <f>('TUSD BE'!$AI$44+'TUSD BF'!$AI$44+'TUSD CVA'!$AI$44)*(1 - CUSTOS!$M$40)</f>
        <v>0.70814877798209075</v>
      </c>
      <c r="AF44" s="13">
        <f ca="1">('TUSD BE'!$AJ$44+'TUSD BF'!$AJ$44+'TUSD CVA'!$AJ$44)*(1 - CUSTOS!$M$40)</f>
        <v>4.0036817388797097</v>
      </c>
      <c r="AG44" s="13">
        <f ca="1">('TUSD BE'!$AK$44+'TUSD BF'!$AK$44+'TUSD CVA'!$AK$44)*(1 - CUSTOS!$M$40)</f>
        <v>0.22191893172133428</v>
      </c>
      <c r="AI44" s="13">
        <v>0</v>
      </c>
      <c r="AJ44" s="13">
        <v>0.69627417203987796</v>
      </c>
      <c r="AK44" s="13">
        <v>4.6683685777841797</v>
      </c>
      <c r="AL44" s="13">
        <v>0</v>
      </c>
      <c r="AM44" s="13">
        <v>0</v>
      </c>
      <c r="AN44" s="13">
        <v>58.402692225802902</v>
      </c>
      <c r="AO44" s="13">
        <v>8.7589318199931494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103.11600794712299</v>
      </c>
      <c r="AV44" s="13">
        <v>0</v>
      </c>
      <c r="AW44" s="13">
        <v>0</v>
      </c>
      <c r="AX44" s="13">
        <v>155.43356873711201</v>
      </c>
      <c r="AY44" s="13">
        <v>-14.573885113508201</v>
      </c>
      <c r="AZ44" s="13">
        <v>0</v>
      </c>
      <c r="BA44" s="13">
        <v>20.596637728873901</v>
      </c>
      <c r="BB44" s="13">
        <v>0.63868831245375501</v>
      </c>
      <c r="BC44" s="13">
        <v>4.1641477781340503</v>
      </c>
      <c r="BD44" s="13">
        <v>0.33060901752236599</v>
      </c>
    </row>
    <row r="45" spans="1:56" ht="11.25" customHeight="1" x14ac:dyDescent="0.25">
      <c r="A45" s="142" t="s">
        <v>36</v>
      </c>
      <c r="B45" s="142" t="s">
        <v>32</v>
      </c>
      <c r="C45" s="142" t="s">
        <v>25</v>
      </c>
      <c r="D45" s="142" t="s">
        <v>25</v>
      </c>
      <c r="E45" s="142" t="s">
        <v>25</v>
      </c>
      <c r="F45" s="142" t="s">
        <v>25</v>
      </c>
      <c r="G45" s="24" t="s">
        <v>76</v>
      </c>
      <c r="H45" s="24" t="s">
        <v>75</v>
      </c>
      <c r="I45" s="24">
        <f>'MERCADO TUSD'!$U$42</f>
        <v>0.33600000000000008</v>
      </c>
      <c r="J45" s="15"/>
      <c r="L45" s="13">
        <f>('TUSD BE'!$L$45+'TUSD BF'!$L$45+'TUSD CVA'!$L$45)*1</f>
        <v>0</v>
      </c>
      <c r="M45" s="13">
        <f>('TUSD BE'!$M$45+'TUSD BF'!$M$45+'TUSD CVA'!$M$45)*1</f>
        <v>0.86775775818246881</v>
      </c>
      <c r="N45" s="13">
        <f ca="1">('TUSD BE'!$N$45+'TUSD BF'!$N$45+'TUSD CVA'!$N$45)*1</f>
        <v>10.196817798310693</v>
      </c>
      <c r="O45" s="13">
        <f>('TUSD BE'!$O$45+'TUSD BF'!$O$45+'TUSD CVA'!$O$45)*1</f>
        <v>0</v>
      </c>
      <c r="P45" s="13">
        <f>('TUSD BE'!$P$45+'TUSD BF'!$P$45+'TUSD CVA'!$P$45)*1</f>
        <v>0</v>
      </c>
      <c r="Q45" s="13">
        <f>('TUSD BE'!$Q$45+'TUSD BF'!$Q$45+'TUSD CVA'!$Q$45)*1</f>
        <v>102.17403405410278</v>
      </c>
      <c r="R45" s="13">
        <f>('TUSD BE'!$R$45+'TUSD BF'!$R$45+'TUSD CVA'!$R$45)*1</f>
        <v>18.0548366013739</v>
      </c>
      <c r="S45" s="13">
        <f>('TUSD BE'!$S$45+'TUSD BF'!$S$45+'TUSD CVA'!$S$45)*1</f>
        <v>0</v>
      </c>
      <c r="T45" s="13">
        <f>('TUSD BE'!$U$45+'TUSD BF'!$U$45+'TUSD CVA'!$U$45)*1</f>
        <v>0</v>
      </c>
      <c r="U45" s="13">
        <f>('TUSD BE'!$V$45+'TUSD BF'!$V$45+'TUSD CVA'!$V$45)*1</f>
        <v>0</v>
      </c>
      <c r="V45" s="13">
        <f>('TUSD BE'!$W$45+'TUSD BF'!$W$45+'TUSD CVA'!$W$45)*1</f>
        <v>0</v>
      </c>
      <c r="W45" s="13">
        <f>('TUSD BE'!$X$45+'TUSD BF'!$X$45+'TUSD CVA'!$X$45)*1</f>
        <v>0</v>
      </c>
      <c r="X45" s="13">
        <f>('TUSD BE'!$Y$45+'TUSD BF'!$Y$45+'TUSD CVA'!$Y$45)*1</f>
        <v>424.68215955432345</v>
      </c>
      <c r="Y45" s="13">
        <f>('TUSD BE'!$Z$45+'TUSD BF'!$Z$45+'TUSD CVA'!$Z$45)*1</f>
        <v>0</v>
      </c>
      <c r="Z45" s="13">
        <f>('TUSD BE'!$AA$45+'TUSD BF'!$AA$45+'TUSD CVA'!$AA$45)*1</f>
        <v>0</v>
      </c>
      <c r="AA45" s="13">
        <f>('TUSD BE'!$AC$45+'TUSD BF'!$AC$45+'TUSD CVA'!$AC$45)*1</f>
        <v>642.94378108872411</v>
      </c>
      <c r="AB45" s="13">
        <f ca="1">('TUSD BE'!$AE$45+'TUSD BF'!$AE$45+'TUSD CVA'!$AE$45)*1</f>
        <v>-332.14355183445696</v>
      </c>
      <c r="AC45" s="13">
        <f ca="1">('TUSD BE'!$AF$45+'TUSD BF'!$AF$45+'TUSD CVA'!$AF$45)*1</f>
        <v>0</v>
      </c>
      <c r="AD45" s="13">
        <f>('TUSD BE'!$AH$45+'TUSD BF'!$AH$45+'TUSD CVA'!$AH$45)*1</f>
        <v>22.435532988508729</v>
      </c>
      <c r="AE45" s="13">
        <f>('TUSD BE'!$AI$45+'TUSD BF'!$AI$45+'TUSD CVA'!$AI$45)*1</f>
        <v>0.76972693258922908</v>
      </c>
      <c r="AF45" s="13">
        <f ca="1">('TUSD BE'!$AJ$45+'TUSD BF'!$AJ$45+'TUSD CVA'!$AJ$45)*1</f>
        <v>4.3518279770431629</v>
      </c>
      <c r="AG45" s="13">
        <f ca="1">('TUSD BE'!$AK$45+'TUSD BF'!$AK$45+'TUSD CVA'!$AK$45)*1</f>
        <v>0.24121623013188509</v>
      </c>
      <c r="AI45" s="13">
        <v>0</v>
      </c>
      <c r="AJ45" s="13">
        <v>0.82889782385699695</v>
      </c>
      <c r="AK45" s="13">
        <v>16.6432206309238</v>
      </c>
      <c r="AL45" s="13">
        <v>0</v>
      </c>
      <c r="AM45" s="13">
        <v>0</v>
      </c>
      <c r="AN45" s="13">
        <v>69.527014554527298</v>
      </c>
      <c r="AO45" s="13">
        <v>10.427299785706101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405.09869720127</v>
      </c>
      <c r="AV45" s="13">
        <v>0</v>
      </c>
      <c r="AW45" s="13">
        <v>0</v>
      </c>
      <c r="AX45" s="13">
        <v>610.63180555256997</v>
      </c>
      <c r="AY45" s="13">
        <v>-47.739466290068997</v>
      </c>
      <c r="AZ45" s="13">
        <v>0</v>
      </c>
      <c r="BA45" s="13">
        <v>24.519806820088</v>
      </c>
      <c r="BB45" s="13">
        <v>0.76034322911161301</v>
      </c>
      <c r="BC45" s="13">
        <v>4.9573187834929202</v>
      </c>
      <c r="BD45" s="13">
        <v>0.39358216371710297</v>
      </c>
    </row>
    <row r="46" spans="1:56" ht="11.25" customHeight="1" x14ac:dyDescent="0.25">
      <c r="A46" s="142"/>
      <c r="B46" s="142"/>
      <c r="C46" s="142"/>
      <c r="D46" s="142"/>
      <c r="E46" s="142"/>
      <c r="F46" s="142"/>
      <c r="G46" s="24" t="s">
        <v>88</v>
      </c>
      <c r="H46" s="24" t="s">
        <v>75</v>
      </c>
      <c r="I46" s="24">
        <f>'MERCADO TUSD'!$U$43</f>
        <v>0.45900000000000007</v>
      </c>
      <c r="J46" s="15"/>
      <c r="L46" s="13">
        <f>('TUSD BE'!$L$46+'TUSD BF'!$L$46+'TUSD CVA'!$L$46)*1</f>
        <v>0</v>
      </c>
      <c r="M46" s="13">
        <f>('TUSD BE'!$M$46+'TUSD BF'!$M$46+'TUSD CVA'!$M$46)*1</f>
        <v>0.86775775818246881</v>
      </c>
      <c r="N46" s="13">
        <f ca="1">('TUSD BE'!$N$46+'TUSD BF'!$N$46+'TUSD CVA'!$N$46)*1</f>
        <v>6.2998619886954881</v>
      </c>
      <c r="O46" s="13">
        <f>('TUSD BE'!$O$46+'TUSD BF'!$O$46+'TUSD CVA'!$O$46)*1</f>
        <v>0</v>
      </c>
      <c r="P46" s="13">
        <f>('TUSD BE'!$P$46+'TUSD BF'!$P$46+'TUSD CVA'!$P$46)*1</f>
        <v>0</v>
      </c>
      <c r="Q46" s="13">
        <f>('TUSD BE'!$Q$46+'TUSD BF'!$Q$46+'TUSD CVA'!$Q$46)*1</f>
        <v>102.17403405410278</v>
      </c>
      <c r="R46" s="13">
        <f>('TUSD BE'!$R$46+'TUSD BF'!$R$46+'TUSD CVA'!$R$46)*1</f>
        <v>18.0548366013739</v>
      </c>
      <c r="S46" s="13">
        <f>('TUSD BE'!$S$46+'TUSD BF'!$S$46+'TUSD CVA'!$S$46)*1</f>
        <v>0</v>
      </c>
      <c r="T46" s="13">
        <f>('TUSD BE'!$U$46+'TUSD BF'!$U$46+'TUSD CVA'!$U$46)*1</f>
        <v>0</v>
      </c>
      <c r="U46" s="13">
        <f>('TUSD BE'!$V$46+'TUSD BF'!$V$46+'TUSD CVA'!$V$46)*1</f>
        <v>0</v>
      </c>
      <c r="V46" s="13">
        <f>('TUSD BE'!$W$46+'TUSD BF'!$W$46+'TUSD CVA'!$W$46)*1</f>
        <v>0</v>
      </c>
      <c r="W46" s="13">
        <f>('TUSD BE'!$X$46+'TUSD BF'!$X$46+'TUSD CVA'!$X$46)*1</f>
        <v>0</v>
      </c>
      <c r="X46" s="13">
        <f>('TUSD BE'!$Y$46+'TUSD BF'!$Y$46+'TUSD CVA'!$Y$46)*1</f>
        <v>254.809221390548</v>
      </c>
      <c r="Y46" s="13">
        <f>('TUSD BE'!$Z$46+'TUSD BF'!$Z$46+'TUSD CVA'!$Z$46)*1</f>
        <v>0</v>
      </c>
      <c r="Z46" s="13">
        <f>('TUSD BE'!$AA$46+'TUSD BF'!$AA$46+'TUSD CVA'!$AA$46)*1</f>
        <v>0</v>
      </c>
      <c r="AA46" s="13">
        <f>('TUSD BE'!$AC$46+'TUSD BF'!$AC$46+'TUSD CVA'!$AC$46)*1</f>
        <v>385.76624710488244</v>
      </c>
      <c r="AB46" s="13">
        <f ca="1">('TUSD BE'!$AE$46+'TUSD BF'!$AE$46+'TUSD CVA'!$AE$46)*1</f>
        <v>-213.49838329161696</v>
      </c>
      <c r="AC46" s="13">
        <f ca="1">('TUSD BE'!$AF$46+'TUSD BF'!$AF$46+'TUSD CVA'!$AF$46)*1</f>
        <v>0</v>
      </c>
      <c r="AD46" s="13">
        <f>('TUSD BE'!$AH$46+'TUSD BF'!$AH$46+'TUSD CVA'!$AH$46)*1</f>
        <v>22.435532988508729</v>
      </c>
      <c r="AE46" s="13">
        <f>('TUSD BE'!$AI$46+'TUSD BF'!$AI$46+'TUSD CVA'!$AI$46)*1</f>
        <v>0.76972693258922908</v>
      </c>
      <c r="AF46" s="13">
        <f ca="1">('TUSD BE'!$AJ$46+'TUSD BF'!$AJ$46+'TUSD CVA'!$AJ$46)*1</f>
        <v>4.3518279770431629</v>
      </c>
      <c r="AG46" s="13">
        <f ca="1">('TUSD BE'!$AK$46+'TUSD BF'!$AK$46+'TUSD CVA'!$AK$46)*1</f>
        <v>0.24121623013188509</v>
      </c>
      <c r="AI46" s="13">
        <v>0</v>
      </c>
      <c r="AJ46" s="13">
        <v>0.82889782385699695</v>
      </c>
      <c r="AK46" s="13">
        <v>10.281026493928699</v>
      </c>
      <c r="AL46" s="13">
        <v>0</v>
      </c>
      <c r="AM46" s="13">
        <v>0</v>
      </c>
      <c r="AN46" s="13">
        <v>69.527014554527298</v>
      </c>
      <c r="AO46" s="13">
        <v>10.427299785706101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243.059147406867</v>
      </c>
      <c r="AV46" s="13">
        <v>0</v>
      </c>
      <c r="AW46" s="13">
        <v>0</v>
      </c>
      <c r="AX46" s="13">
        <v>366.37906286613003</v>
      </c>
      <c r="AY46" s="13">
        <v>-30.298472979379198</v>
      </c>
      <c r="AZ46" s="13">
        <v>0</v>
      </c>
      <c r="BA46" s="13">
        <v>24.519806820088</v>
      </c>
      <c r="BB46" s="13">
        <v>0.76034322911161301</v>
      </c>
      <c r="BC46" s="13">
        <v>4.9573187834929202</v>
      </c>
      <c r="BD46" s="13">
        <v>0.39358216371710297</v>
      </c>
    </row>
    <row r="47" spans="1:56" ht="11.25" customHeight="1" x14ac:dyDescent="0.25">
      <c r="A47" s="142"/>
      <c r="B47" s="142"/>
      <c r="C47" s="142"/>
      <c r="D47" s="142"/>
      <c r="E47" s="142"/>
      <c r="F47" s="142"/>
      <c r="G47" s="24" t="s">
        <v>77</v>
      </c>
      <c r="H47" s="24" t="s">
        <v>75</v>
      </c>
      <c r="I47" s="24">
        <f>'MERCADO TUSD'!$U$44</f>
        <v>10.576000000000001</v>
      </c>
      <c r="J47" s="15"/>
      <c r="L47" s="13">
        <f>('TUSD BE'!$L$47+'TUSD BF'!$L$47+'TUSD CVA'!$L$47)*1</f>
        <v>0</v>
      </c>
      <c r="M47" s="13">
        <f>('TUSD BE'!$M$47+'TUSD BF'!$M$47+'TUSD CVA'!$M$47)*1</f>
        <v>0.86775775818246881</v>
      </c>
      <c r="N47" s="13">
        <f ca="1">('TUSD BE'!$N$47+'TUSD BF'!$N$47+'TUSD CVA'!$N$47)*1</f>
        <v>2.4029072160584892</v>
      </c>
      <c r="O47" s="13">
        <f>('TUSD BE'!$O$47+'TUSD BF'!$O$47+'TUSD CVA'!$O$47)*1</f>
        <v>0</v>
      </c>
      <c r="P47" s="13">
        <f>('TUSD BE'!$P$47+'TUSD BF'!$P$47+'TUSD CVA'!$P$47)*1</f>
        <v>0</v>
      </c>
      <c r="Q47" s="13">
        <f>('TUSD BE'!$Q$47+'TUSD BF'!$Q$47+'TUSD CVA'!$Q$47)*1</f>
        <v>102.17403405410278</v>
      </c>
      <c r="R47" s="13">
        <f>('TUSD BE'!$R$47+'TUSD BF'!$R$47+'TUSD CVA'!$R$47)*1</f>
        <v>18.0548366013739</v>
      </c>
      <c r="S47" s="13">
        <f>('TUSD BE'!$S$47+'TUSD BF'!$S$47+'TUSD CVA'!$S$47)*1</f>
        <v>0</v>
      </c>
      <c r="T47" s="13">
        <f>('TUSD BE'!$U$47+'TUSD BF'!$U$47+'TUSD CVA'!$U$47)*1</f>
        <v>0</v>
      </c>
      <c r="U47" s="13">
        <f>('TUSD BE'!$V$47+'TUSD BF'!$V$47+'TUSD CVA'!$V$47)*1</f>
        <v>0</v>
      </c>
      <c r="V47" s="13">
        <f>('TUSD BE'!$W$47+'TUSD BF'!$W$47+'TUSD CVA'!$W$47)*1</f>
        <v>0</v>
      </c>
      <c r="W47" s="13">
        <f>('TUSD BE'!$X$47+'TUSD BF'!$X$47+'TUSD CVA'!$X$47)*1</f>
        <v>0</v>
      </c>
      <c r="X47" s="13">
        <f>('TUSD BE'!$Y$47+'TUSD BF'!$Y$47+'TUSD CVA'!$Y$47)*1</f>
        <v>84.936407130182673</v>
      </c>
      <c r="Y47" s="13">
        <f>('TUSD BE'!$Z$47+'TUSD BF'!$Z$47+'TUSD CVA'!$Z$47)*1</f>
        <v>0</v>
      </c>
      <c r="Z47" s="13">
        <f>('TUSD BE'!$AA$47+'TUSD BF'!$AA$47+'TUSD CVA'!$AA$47)*1</f>
        <v>0</v>
      </c>
      <c r="AA47" s="13">
        <f>('TUSD BE'!$AC$47+'TUSD BF'!$AC$47+'TUSD CVA'!$AC$47)*1</f>
        <v>128.58871312104083</v>
      </c>
      <c r="AB47" s="13">
        <f ca="1">('TUSD BE'!$AE$47+'TUSD BF'!$AE$47+'TUSD CVA'!$AE$47)*1</f>
        <v>-94.8532490014465</v>
      </c>
      <c r="AC47" s="13">
        <f ca="1">('TUSD BE'!$AF$47+'TUSD BF'!$AF$47+'TUSD CVA'!$AF$47)*1</f>
        <v>0</v>
      </c>
      <c r="AD47" s="13">
        <f>('TUSD BE'!$AH$47+'TUSD BF'!$AH$47+'TUSD CVA'!$AH$47)*1</f>
        <v>22.435532988508729</v>
      </c>
      <c r="AE47" s="13">
        <f>('TUSD BE'!$AI$47+'TUSD BF'!$AI$47+'TUSD CVA'!$AI$47)*1</f>
        <v>0.76972693258922908</v>
      </c>
      <c r="AF47" s="13">
        <f ca="1">('TUSD BE'!$AJ$47+'TUSD BF'!$AJ$47+'TUSD CVA'!$AJ$47)*1</f>
        <v>4.3518279770431629</v>
      </c>
      <c r="AG47" s="13">
        <f ca="1">('TUSD BE'!$AK$47+'TUSD BF'!$AK$47+'TUSD CVA'!$AK$47)*1</f>
        <v>0.24121623013188509</v>
      </c>
      <c r="AI47" s="13">
        <v>0</v>
      </c>
      <c r="AJ47" s="13">
        <v>0.82889782385699695</v>
      </c>
      <c r="AK47" s="13">
        <v>3.9188340499106999</v>
      </c>
      <c r="AL47" s="13">
        <v>0</v>
      </c>
      <c r="AM47" s="13">
        <v>0</v>
      </c>
      <c r="AN47" s="13">
        <v>69.527014554527298</v>
      </c>
      <c r="AO47" s="13">
        <v>10.427299785706101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81.019715802289099</v>
      </c>
      <c r="AV47" s="13">
        <v>0</v>
      </c>
      <c r="AW47" s="13">
        <v>0</v>
      </c>
      <c r="AX47" s="13">
        <v>122.12632017969101</v>
      </c>
      <c r="AY47" s="13">
        <v>-12.8574846592083</v>
      </c>
      <c r="AZ47" s="13">
        <v>0</v>
      </c>
      <c r="BA47" s="13">
        <v>24.519806820088</v>
      </c>
      <c r="BB47" s="13">
        <v>0.76034322911161301</v>
      </c>
      <c r="BC47" s="13">
        <v>4.9573187834929202</v>
      </c>
      <c r="BD47" s="13">
        <v>0.39358216371710297</v>
      </c>
    </row>
    <row r="48" spans="1:56" ht="11.25" customHeight="1" x14ac:dyDescent="0.25">
      <c r="A48" s="142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79</v>
      </c>
      <c r="H48" s="24" t="s">
        <v>75</v>
      </c>
      <c r="I48" s="24">
        <f>'MERCADO TUSD'!$U$45</f>
        <v>6532.424</v>
      </c>
      <c r="J48" s="15"/>
      <c r="L48" s="13">
        <f>('TUSD BE'!$L$48+'TUSD BF'!$L$48+'TUSD CVA'!$L$48)*1</f>
        <v>0</v>
      </c>
      <c r="M48" s="13">
        <f>('TUSD BE'!$M$48+'TUSD BF'!$M$48+'TUSD CVA'!$M$48)*1</f>
        <v>0.86775775818246881</v>
      </c>
      <c r="N48" s="13">
        <f ca="1">('TUSD BE'!$N$48+'TUSD BF'!$N$48+'TUSD CVA'!$N$48)*1</f>
        <v>3.4066689380423605</v>
      </c>
      <c r="O48" s="13">
        <f>('TUSD BE'!$O$48+'TUSD BF'!$O$48+'TUSD CVA'!$O$48)*1</f>
        <v>0</v>
      </c>
      <c r="P48" s="13">
        <f>('TUSD BE'!$P$48+'TUSD BF'!$P$48+'TUSD CVA'!$P$48)*1</f>
        <v>0</v>
      </c>
      <c r="Q48" s="13">
        <f>('TUSD BE'!$Q$48+'TUSD BF'!$Q$48+'TUSD CVA'!$Q$48)*1</f>
        <v>102.17403405410278</v>
      </c>
      <c r="R48" s="13">
        <f>('TUSD BE'!$R$48+'TUSD BF'!$R$48+'TUSD CVA'!$R$48)*1</f>
        <v>18.0548366013739</v>
      </c>
      <c r="S48" s="13">
        <f>('TUSD BE'!$S$48+'TUSD BF'!$S$48+'TUSD CVA'!$S$48)*1</f>
        <v>0</v>
      </c>
      <c r="T48" s="13">
        <f>('TUSD BE'!$U$48+'TUSD BF'!$U$48+'TUSD CVA'!$U$48)*1</f>
        <v>0</v>
      </c>
      <c r="U48" s="13">
        <f>('TUSD BE'!$V$48+'TUSD BF'!$V$48+'TUSD CVA'!$V$48)*1</f>
        <v>0</v>
      </c>
      <c r="V48" s="13">
        <f>('TUSD BE'!$W$48+'TUSD BF'!$W$48+'TUSD CVA'!$W$48)*1</f>
        <v>0</v>
      </c>
      <c r="W48" s="13">
        <f>('TUSD BE'!$X$48+'TUSD BF'!$X$48+'TUSD CVA'!$X$48)*1</f>
        <v>0</v>
      </c>
      <c r="X48" s="13">
        <f>('TUSD BE'!$Y$48+'TUSD BF'!$Y$48+'TUSD CVA'!$Y$48)*1</f>
        <v>128.69153346411983</v>
      </c>
      <c r="Y48" s="13">
        <f>('TUSD BE'!$Z$48+'TUSD BF'!$Z$48+'TUSD CVA'!$Z$48)*1</f>
        <v>0</v>
      </c>
      <c r="Z48" s="13">
        <f>('TUSD BE'!$AA$48+'TUSD BF'!$AA$48+'TUSD CVA'!$AA$48)*1</f>
        <v>0</v>
      </c>
      <c r="AA48" s="13">
        <f>('TUSD BE'!$AC$48+'TUSD BF'!$AC$48+'TUSD CVA'!$AC$48)*1</f>
        <v>194.83147166907759</v>
      </c>
      <c r="AB48" s="13">
        <f ca="1">('TUSD BE'!$AE$48+'TUSD BF'!$AE$48+'TUSD CVA'!$AE$48)*1</f>
        <v>-125.41337826061903</v>
      </c>
      <c r="AC48" s="13">
        <f ca="1">('TUSD BE'!$AF$48+'TUSD BF'!$AF$48+'TUSD CVA'!$AF$48)*1</f>
        <v>0</v>
      </c>
      <c r="AD48" s="13">
        <f>('TUSD BE'!$AH$48+'TUSD BF'!$AH$48+'TUSD CVA'!$AH$48)*1</f>
        <v>22.435532988508729</v>
      </c>
      <c r="AE48" s="13">
        <f>('TUSD BE'!$AI$48+'TUSD BF'!$AI$48+'TUSD CVA'!$AI$48)*1</f>
        <v>0.76972693258922908</v>
      </c>
      <c r="AF48" s="13">
        <f ca="1">('TUSD BE'!$AJ$48+'TUSD BF'!$AJ$48+'TUSD CVA'!$AJ$48)*1</f>
        <v>4.3518279770431629</v>
      </c>
      <c r="AG48" s="13">
        <f ca="1">('TUSD BE'!$AK$48+'TUSD BF'!$AK$48+'TUSD CVA'!$AK$48)*1</f>
        <v>0.24121623013188509</v>
      </c>
      <c r="AI48" s="13">
        <v>0</v>
      </c>
      <c r="AJ48" s="13">
        <v>0.82889782385699695</v>
      </c>
      <c r="AK48" s="13">
        <v>5.5575816402192597</v>
      </c>
      <c r="AL48" s="13">
        <v>0</v>
      </c>
      <c r="AM48" s="13">
        <v>0</v>
      </c>
      <c r="AN48" s="13">
        <v>69.527014554527298</v>
      </c>
      <c r="AO48" s="13">
        <v>10.427299785706101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122.75715231800299</v>
      </c>
      <c r="AV48" s="13">
        <v>0</v>
      </c>
      <c r="AW48" s="13">
        <v>0</v>
      </c>
      <c r="AX48" s="13">
        <v>185.03996278227601</v>
      </c>
      <c r="AY48" s="13">
        <v>-17.3498632303669</v>
      </c>
      <c r="AZ48" s="13">
        <v>0</v>
      </c>
      <c r="BA48" s="13">
        <v>24.519806820088</v>
      </c>
      <c r="BB48" s="13">
        <v>0.76034322911161301</v>
      </c>
      <c r="BC48" s="13">
        <v>4.9573187834929202</v>
      </c>
      <c r="BD48" s="13">
        <v>0.39358216371710297</v>
      </c>
    </row>
    <row r="49" spans="1:56" ht="11.25" customHeight="1" x14ac:dyDescent="0.25">
      <c r="A49" s="142"/>
      <c r="B49" s="23" t="s">
        <v>90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79</v>
      </c>
      <c r="H49" s="24" t="s">
        <v>75</v>
      </c>
      <c r="I49" s="24">
        <f>'MERCADO TUSD'!$U$46</f>
        <v>0</v>
      </c>
      <c r="J49" s="15"/>
      <c r="L49" s="13">
        <f>('TUSD BE'!$L$49+'TUSD BF'!$L$49+'TUSD CVA'!$L$49)*1</f>
        <v>0</v>
      </c>
      <c r="M49" s="13">
        <f>('TUSD BE'!$M$49+'TUSD BF'!$M$49+'TUSD CVA'!$M$49)*1</f>
        <v>0.86775775818246881</v>
      </c>
      <c r="N49" s="13">
        <f ca="1">('TUSD BE'!$N$49+'TUSD BF'!$N$49+'TUSD CVA'!$N$49)*1</f>
        <v>3.4066689380423605</v>
      </c>
      <c r="O49" s="13">
        <f>('TUSD BE'!$O$49+'TUSD BF'!$O$49+'TUSD CVA'!$O$49)*1</f>
        <v>0</v>
      </c>
      <c r="P49" s="13">
        <f>('TUSD BE'!$P$49+'TUSD BF'!$P$49+'TUSD CVA'!$P$49)*1</f>
        <v>0</v>
      </c>
      <c r="Q49" s="13">
        <f>('TUSD BE'!$Q$49+'TUSD BF'!$Q$49+'TUSD CVA'!$Q$49)*1</f>
        <v>102.17403405410278</v>
      </c>
      <c r="R49" s="13">
        <f>('TUSD BE'!$R$49+'TUSD BF'!$R$49+'TUSD CVA'!$R$49)*1</f>
        <v>18.0548366013739</v>
      </c>
      <c r="S49" s="13">
        <f>('TUSD BE'!$S$49+'TUSD BF'!$S$49+'TUSD CVA'!$S$49)*1</f>
        <v>0</v>
      </c>
      <c r="T49" s="13">
        <f>('TUSD BE'!$U$49+'TUSD BF'!$U$49+'TUSD CVA'!$U$49)*1</f>
        <v>0</v>
      </c>
      <c r="U49" s="13">
        <f>('TUSD BE'!$V$49+'TUSD BF'!$V$49+'TUSD CVA'!$V$49)*1</f>
        <v>0</v>
      </c>
      <c r="V49" s="13">
        <f>('TUSD BE'!$W$49+'TUSD BF'!$W$49+'TUSD CVA'!$W$49)*1</f>
        <v>0</v>
      </c>
      <c r="W49" s="13">
        <f>('TUSD BE'!$X$49+'TUSD BF'!$X$49+'TUSD CVA'!$X$49)*1</f>
        <v>0</v>
      </c>
      <c r="X49" s="13">
        <f>('TUSD BE'!$Y$49+'TUSD BF'!$Y$49+'TUSD CVA'!$Y$49)*1</f>
        <v>128.69153346411983</v>
      </c>
      <c r="Y49" s="13">
        <f>('TUSD BE'!$Z$49+'TUSD BF'!$Z$49+'TUSD CVA'!$Z$49)*1</f>
        <v>0</v>
      </c>
      <c r="Z49" s="13">
        <f>('TUSD BE'!$AA$49+'TUSD BF'!$AA$49+'TUSD CVA'!$AA$49)*1</f>
        <v>0</v>
      </c>
      <c r="AA49" s="13">
        <f>('TUSD BE'!$AC$49+'TUSD BF'!$AC$49+'TUSD CVA'!$AC$49)*1</f>
        <v>194.83147166907759</v>
      </c>
      <c r="AB49" s="13">
        <f ca="1">('TUSD BE'!$AE$49+'TUSD BF'!$AE$49+'TUSD CVA'!$AE$49)*1</f>
        <v>-125.41337826061903</v>
      </c>
      <c r="AC49" s="13">
        <f ca="1">('TUSD BE'!$AF$49+'TUSD BF'!$AF$49+'TUSD CVA'!$AF$49)*1</f>
        <v>0</v>
      </c>
      <c r="AD49" s="13">
        <f>('TUSD BE'!$AH$49+'TUSD BF'!$AH$49+'TUSD CVA'!$AH$49)*1</f>
        <v>22.435532988508729</v>
      </c>
      <c r="AE49" s="13">
        <f>('TUSD BE'!$AI$49+'TUSD BF'!$AI$49+'TUSD CVA'!$AI$49)*1</f>
        <v>0.76972693258922908</v>
      </c>
      <c r="AF49" s="13">
        <f ca="1">('TUSD BE'!$AJ$49+'TUSD BF'!$AJ$49+'TUSD CVA'!$AJ$49)*1</f>
        <v>4.3518279770431629</v>
      </c>
      <c r="AG49" s="13">
        <f ca="1">('TUSD BE'!$AK$49+'TUSD BF'!$AK$49+'TUSD CVA'!$AK$49)*1</f>
        <v>0.24121623013188509</v>
      </c>
      <c r="AI49" s="13">
        <v>0</v>
      </c>
      <c r="AJ49" s="13">
        <v>0.82889782385699695</v>
      </c>
      <c r="AK49" s="13">
        <v>5.5575816402192597</v>
      </c>
      <c r="AL49" s="13">
        <v>0</v>
      </c>
      <c r="AM49" s="13">
        <v>0</v>
      </c>
      <c r="AN49" s="13">
        <v>69.527014554527298</v>
      </c>
      <c r="AO49" s="13">
        <v>10.427299785706101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122.75715231800299</v>
      </c>
      <c r="AV49" s="13">
        <v>0</v>
      </c>
      <c r="AW49" s="13">
        <v>0</v>
      </c>
      <c r="AX49" s="13">
        <v>185.03996278227601</v>
      </c>
      <c r="AY49" s="13">
        <v>-17.3498632303669</v>
      </c>
      <c r="AZ49" s="13">
        <v>0</v>
      </c>
      <c r="BA49" s="13">
        <v>24.519806820088</v>
      </c>
      <c r="BB49" s="13">
        <v>0.76034322911161301</v>
      </c>
      <c r="BC49" s="13">
        <v>4.9573187834929202</v>
      </c>
      <c r="BD49" s="13">
        <v>0.39358216371710297</v>
      </c>
    </row>
    <row r="50" spans="1:56" ht="11.25" customHeight="1" x14ac:dyDescent="0.25">
      <c r="A50" s="142" t="s">
        <v>44</v>
      </c>
      <c r="B50" s="142" t="s">
        <v>23</v>
      </c>
      <c r="C50" s="142" t="s">
        <v>45</v>
      </c>
      <c r="D50" s="23" t="s">
        <v>93</v>
      </c>
      <c r="E50" s="23" t="s">
        <v>25</v>
      </c>
      <c r="F50" s="23" t="s">
        <v>25</v>
      </c>
      <c r="G50" s="24" t="s">
        <v>79</v>
      </c>
      <c r="H50" s="24" t="s">
        <v>75</v>
      </c>
      <c r="I50" s="24">
        <f>'MERCADO TUSD'!$U$47</f>
        <v>0</v>
      </c>
      <c r="J50" s="15"/>
      <c r="L50" s="13">
        <f>('TUSD BE'!$L$50+'TUSD BF'!$L$50+'TUSD CVA'!$L$50)*1</f>
        <v>0</v>
      </c>
      <c r="M50" s="13">
        <f>('TUSD BE'!$M$50+'TUSD BF'!$M$50+'TUSD CVA'!$M$50)*1</f>
        <v>0.47726676700035786</v>
      </c>
      <c r="N50" s="13">
        <f ca="1">('TUSD BE'!$N$50+'TUSD BF'!$N$50+'TUSD CVA'!$N$50)*1</f>
        <v>1.8736679159232981</v>
      </c>
      <c r="O50" s="13">
        <f>('TUSD BE'!$O$50+'TUSD BF'!$O$50+'TUSD CVA'!$O$50)*1</f>
        <v>0</v>
      </c>
      <c r="P50" s="13">
        <f>('TUSD BE'!$P$50+'TUSD BF'!$P$50+'TUSD CVA'!$P$50)*1</f>
        <v>0</v>
      </c>
      <c r="Q50" s="13">
        <f>('TUSD BE'!$Q$50+'TUSD BF'!$Q$50+'TUSD CVA'!$Q$50)*1</f>
        <v>56.195718729756528</v>
      </c>
      <c r="R50" s="13">
        <f>('TUSD BE'!$R$50+'TUSD BF'!$R$50+'TUSD CVA'!$R$50)*1</f>
        <v>9.9301601307556471</v>
      </c>
      <c r="S50" s="13">
        <f>('TUSD BE'!$S$50+'TUSD BF'!$S$50+'TUSD CVA'!$S$50)*1</f>
        <v>0</v>
      </c>
      <c r="T50" s="13">
        <f>('TUSD BE'!$U$50+'TUSD BF'!$U$50+'TUSD CVA'!$U$50)*1</f>
        <v>0</v>
      </c>
      <c r="U50" s="13">
        <f>('TUSD BE'!$V$50+'TUSD BF'!$V$50+'TUSD CVA'!$V$50)*1</f>
        <v>0</v>
      </c>
      <c r="V50" s="13">
        <f>('TUSD BE'!$W$50+'TUSD BF'!$W$50+'TUSD CVA'!$W$50)*1</f>
        <v>0</v>
      </c>
      <c r="W50" s="13">
        <f>('TUSD BE'!$X$50+'TUSD BF'!$X$50+'TUSD CVA'!$X$50)*1</f>
        <v>0</v>
      </c>
      <c r="X50" s="13">
        <f>('TUSD BE'!$Y$50+'TUSD BF'!$Y$50+'TUSD CVA'!$Y$50)*1</f>
        <v>70.78034340526591</v>
      </c>
      <c r="Y50" s="13">
        <f>('TUSD BE'!$Z$50+'TUSD BF'!$Z$50+'TUSD CVA'!$Z$50)*1</f>
        <v>0</v>
      </c>
      <c r="Z50" s="13">
        <f>('TUSD BE'!$AA$50+'TUSD BF'!$AA$50+'TUSD CVA'!$AA$50)*1</f>
        <v>0</v>
      </c>
      <c r="AA50" s="13">
        <f>('TUSD BE'!$AC$50+'TUSD BF'!$AC$50+'TUSD CVA'!$AC$50)*1</f>
        <v>107.15730941799268</v>
      </c>
      <c r="AB50" s="13">
        <f ca="1">('TUSD BE'!$AE$50+'TUSD BF'!$AE$50+'TUSD CVA'!$AE$50)*1</f>
        <v>-68.977358043340459</v>
      </c>
      <c r="AC50" s="13">
        <f ca="1">('TUSD BE'!$AF$50+'TUSD BF'!$AF$50+'TUSD CVA'!$AF$50)*1</f>
        <v>0</v>
      </c>
      <c r="AD50" s="13">
        <f>('TUSD BE'!$AH$50+'TUSD BF'!$AH$50+'TUSD CVA'!$AH$50)*1</f>
        <v>12.339543143679803</v>
      </c>
      <c r="AE50" s="13">
        <f>('TUSD BE'!$AI$50+'TUSD BF'!$AI$50+'TUSD CVA'!$AI$50)*1</f>
        <v>0.42334981292407614</v>
      </c>
      <c r="AF50" s="13">
        <f ca="1">('TUSD BE'!$AJ$50+'TUSD BF'!$AJ$50+'TUSD CVA'!$AJ$50)*1</f>
        <v>2.3935053873737395</v>
      </c>
      <c r="AG50" s="13">
        <f ca="1">('TUSD BE'!$AK$50+'TUSD BF'!$AK$50+'TUSD CVA'!$AK$50)*1</f>
        <v>0.13266892657253679</v>
      </c>
      <c r="AI50" s="13">
        <v>0</v>
      </c>
      <c r="AJ50" s="13">
        <v>0.45589380312134797</v>
      </c>
      <c r="AK50" s="13">
        <v>3.0566699021205901</v>
      </c>
      <c r="AL50" s="13">
        <v>0</v>
      </c>
      <c r="AM50" s="13">
        <v>0</v>
      </c>
      <c r="AN50" s="13">
        <v>38.239858004989998</v>
      </c>
      <c r="AO50" s="13">
        <v>5.73501488213837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67.516433774901799</v>
      </c>
      <c r="AV50" s="13">
        <v>0</v>
      </c>
      <c r="AW50" s="13">
        <v>0</v>
      </c>
      <c r="AX50" s="13">
        <v>101.771979530252</v>
      </c>
      <c r="AY50" s="13">
        <v>-9.5424247767018198</v>
      </c>
      <c r="AZ50" s="13">
        <v>0</v>
      </c>
      <c r="BA50" s="13">
        <v>13.485893751048399</v>
      </c>
      <c r="BB50" s="13">
        <v>0.41818877601138699</v>
      </c>
      <c r="BC50" s="13">
        <v>2.7265253309210999</v>
      </c>
      <c r="BD50" s="13">
        <v>0.21647019004440701</v>
      </c>
    </row>
    <row r="51" spans="1:56" ht="11.25" customHeight="1" x14ac:dyDescent="0.25">
      <c r="A51" s="142"/>
      <c r="B51" s="142"/>
      <c r="C51" s="142"/>
      <c r="D51" s="24" t="s">
        <v>46</v>
      </c>
      <c r="E51" s="24" t="s">
        <v>25</v>
      </c>
      <c r="F51" s="24" t="s">
        <v>25</v>
      </c>
      <c r="G51" s="24" t="s">
        <v>79</v>
      </c>
      <c r="H51" s="24" t="s">
        <v>75</v>
      </c>
      <c r="I51" s="24">
        <f>'MERCADO TUSD'!$U$48</f>
        <v>1655.8650000000002</v>
      </c>
      <c r="J51" s="15"/>
      <c r="L51" s="13">
        <f>('TUSD BE'!$L$51+'TUSD BF'!$L$51+'TUSD CVA'!$L$51)*1</f>
        <v>0</v>
      </c>
      <c r="M51" s="13">
        <f>('TUSD BE'!$M$51+'TUSD BF'!$M$51+'TUSD CVA'!$M$51)*1</f>
        <v>0.52065465490948137</v>
      </c>
      <c r="N51" s="13">
        <f ca="1">('TUSD BE'!$N$51+'TUSD BF'!$N$51+'TUSD CVA'!$N$51)*1</f>
        <v>2.0440013628254166</v>
      </c>
      <c r="O51" s="13">
        <f>('TUSD BE'!$O$51+'TUSD BF'!$O$51+'TUSD CVA'!$O$51)*1</f>
        <v>0</v>
      </c>
      <c r="P51" s="13">
        <f>('TUSD BE'!$P$51+'TUSD BF'!$P$51+'TUSD CVA'!$P$51)*1</f>
        <v>0</v>
      </c>
      <c r="Q51" s="13">
        <f>('TUSD BE'!$Q$51+'TUSD BF'!$Q$51+'TUSD CVA'!$Q$51)*1</f>
        <v>61.304420432461669</v>
      </c>
      <c r="R51" s="13">
        <f>('TUSD BE'!$R$51+'TUSD BF'!$R$51+'TUSD CVA'!$R$51)*1</f>
        <v>10.832901960824341</v>
      </c>
      <c r="S51" s="13">
        <f>('TUSD BE'!$S$51+'TUSD BF'!$S$51+'TUSD CVA'!$S$51)*1</f>
        <v>0</v>
      </c>
      <c r="T51" s="13">
        <f>('TUSD BE'!$U$51+'TUSD BF'!$U$51+'TUSD CVA'!$U$51)*1</f>
        <v>0</v>
      </c>
      <c r="U51" s="13">
        <f>('TUSD BE'!$V$51+'TUSD BF'!$V$51+'TUSD CVA'!$V$51)*1</f>
        <v>0</v>
      </c>
      <c r="V51" s="13">
        <f>('TUSD BE'!$W$51+'TUSD BF'!$W$51+'TUSD CVA'!$W$51)*1</f>
        <v>0</v>
      </c>
      <c r="W51" s="13">
        <f>('TUSD BE'!$X$51+'TUSD BF'!$X$51+'TUSD CVA'!$X$51)*1</f>
        <v>0</v>
      </c>
      <c r="X51" s="13">
        <f>('TUSD BE'!$Y$51+'TUSD BF'!$Y$51+'TUSD CVA'!$Y$51)*1</f>
        <v>77.214920078471891</v>
      </c>
      <c r="Y51" s="13">
        <f>('TUSD BE'!$Z$51+'TUSD BF'!$Z$51+'TUSD CVA'!$Z$51)*1</f>
        <v>0</v>
      </c>
      <c r="Z51" s="13">
        <f>('TUSD BE'!$AA$51+'TUSD BF'!$AA$51+'TUSD CVA'!$AA$51)*1</f>
        <v>0</v>
      </c>
      <c r="AA51" s="13">
        <f>('TUSD BE'!$AC$51+'TUSD BF'!$AC$51+'TUSD CVA'!$AC$51)*1</f>
        <v>116.89888300144656</v>
      </c>
      <c r="AB51" s="13">
        <f ca="1">('TUSD BE'!$AE$51+'TUSD BF'!$AE$51+'TUSD CVA'!$AE$51)*1</f>
        <v>-75.248026956371419</v>
      </c>
      <c r="AC51" s="13">
        <f ca="1">('TUSD BE'!$AF$51+'TUSD BF'!$AF$51+'TUSD CVA'!$AF$51)*1</f>
        <v>0</v>
      </c>
      <c r="AD51" s="13">
        <f>('TUSD BE'!$AH$51+'TUSD BF'!$AH$51+'TUSD CVA'!$AH$51)*1</f>
        <v>13.461319793105236</v>
      </c>
      <c r="AE51" s="13">
        <f>('TUSD BE'!$AI$51+'TUSD BF'!$AI$51+'TUSD CVA'!$AI$51)*1</f>
        <v>0.46183615955353752</v>
      </c>
      <c r="AF51" s="13">
        <f ca="1">('TUSD BE'!$AJ$51+'TUSD BF'!$AJ$51+'TUSD CVA'!$AJ$51)*1</f>
        <v>2.6110967862258976</v>
      </c>
      <c r="AG51" s="13">
        <f ca="1">('TUSD BE'!$AK$51+'TUSD BF'!$AK$51+'TUSD CVA'!$AK$51)*1</f>
        <v>0.14472973807913103</v>
      </c>
      <c r="AI51" s="13">
        <v>0</v>
      </c>
      <c r="AJ51" s="13">
        <v>0.49733869431419803</v>
      </c>
      <c r="AK51" s="13">
        <v>3.3345489841315601</v>
      </c>
      <c r="AL51" s="13">
        <v>0</v>
      </c>
      <c r="AM51" s="13">
        <v>0</v>
      </c>
      <c r="AN51" s="13">
        <v>41.716208732716403</v>
      </c>
      <c r="AO51" s="13">
        <v>6.2563798714236798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73.654291390801902</v>
      </c>
      <c r="AV51" s="13">
        <v>0</v>
      </c>
      <c r="AW51" s="13">
        <v>0</v>
      </c>
      <c r="AX51" s="13">
        <v>111.023977669365</v>
      </c>
      <c r="AY51" s="13">
        <v>-10.4099179382202</v>
      </c>
      <c r="AZ51" s="13">
        <v>0</v>
      </c>
      <c r="BA51" s="13">
        <v>14.7118840920528</v>
      </c>
      <c r="BB51" s="13">
        <v>0.45620593746696803</v>
      </c>
      <c r="BC51" s="13">
        <v>2.97439127009575</v>
      </c>
      <c r="BD51" s="13">
        <v>0.23614929823026201</v>
      </c>
    </row>
    <row r="53" spans="1:56" ht="11.25" customHeight="1" x14ac:dyDescent="0.25">
      <c r="L53" s="139" t="s">
        <v>914</v>
      </c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I53" s="139" t="s">
        <v>915</v>
      </c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</row>
    <row r="54" spans="1:56" ht="11.25" customHeight="1" x14ac:dyDescent="0.25">
      <c r="L54" s="139" t="s">
        <v>533</v>
      </c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I54" s="139" t="s">
        <v>533</v>
      </c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</row>
    <row r="55" spans="1:56" ht="11.25" customHeight="1" x14ac:dyDescent="0.25">
      <c r="L55" s="139" t="s">
        <v>534</v>
      </c>
      <c r="M55" s="139"/>
      <c r="N55" s="139"/>
      <c r="O55" s="139"/>
      <c r="P55" s="139"/>
      <c r="Q55" s="139"/>
      <c r="R55" s="139"/>
      <c r="S55" s="139"/>
      <c r="T55" s="139" t="s">
        <v>543</v>
      </c>
      <c r="U55" s="139"/>
      <c r="V55" s="139"/>
      <c r="W55" s="139"/>
      <c r="X55" s="139"/>
      <c r="Y55" s="139"/>
      <c r="Z55" s="139"/>
      <c r="AA55" s="10" t="s">
        <v>551</v>
      </c>
      <c r="AB55" s="139" t="s">
        <v>553</v>
      </c>
      <c r="AC55" s="139"/>
      <c r="AD55" s="139" t="s">
        <v>556</v>
      </c>
      <c r="AE55" s="139"/>
      <c r="AF55" s="139"/>
      <c r="AG55" s="139"/>
      <c r="AI55" s="139" t="s">
        <v>534</v>
      </c>
      <c r="AJ55" s="139"/>
      <c r="AK55" s="139"/>
      <c r="AL55" s="139"/>
      <c r="AM55" s="139"/>
      <c r="AN55" s="139"/>
      <c r="AO55" s="139"/>
      <c r="AP55" s="139"/>
      <c r="AQ55" s="139" t="s">
        <v>543</v>
      </c>
      <c r="AR55" s="139"/>
      <c r="AS55" s="139"/>
      <c r="AT55" s="139"/>
      <c r="AU55" s="139"/>
      <c r="AV55" s="139"/>
      <c r="AW55" s="139"/>
      <c r="AX55" s="10" t="s">
        <v>551</v>
      </c>
      <c r="AY55" s="139" t="s">
        <v>553</v>
      </c>
      <c r="AZ55" s="139"/>
      <c r="BA55" s="139" t="s">
        <v>556</v>
      </c>
      <c r="BB55" s="139"/>
      <c r="BC55" s="139"/>
      <c r="BD55" s="139"/>
    </row>
    <row r="56" spans="1:56" ht="11.25" customHeight="1" x14ac:dyDescent="0.25">
      <c r="L56" s="10" t="s">
        <v>619</v>
      </c>
      <c r="M56" s="10" t="s">
        <v>535</v>
      </c>
      <c r="N56" s="10" t="s">
        <v>536</v>
      </c>
      <c r="O56" s="10" t="s">
        <v>537</v>
      </c>
      <c r="P56" s="10" t="s">
        <v>538</v>
      </c>
      <c r="Q56" s="10" t="s">
        <v>539</v>
      </c>
      <c r="R56" s="10" t="s">
        <v>540</v>
      </c>
      <c r="S56" s="10" t="s">
        <v>541</v>
      </c>
      <c r="T56" s="10" t="s">
        <v>544</v>
      </c>
      <c r="U56" s="10" t="s">
        <v>545</v>
      </c>
      <c r="V56" s="10" t="s">
        <v>546</v>
      </c>
      <c r="W56" s="10" t="s">
        <v>547</v>
      </c>
      <c r="X56" s="10" t="s">
        <v>548</v>
      </c>
      <c r="Y56" s="10" t="s">
        <v>549</v>
      </c>
      <c r="Z56" s="10" t="s">
        <v>550</v>
      </c>
      <c r="AA56" s="10" t="s">
        <v>552</v>
      </c>
      <c r="AB56" s="10" t="s">
        <v>554</v>
      </c>
      <c r="AC56" s="10" t="s">
        <v>555</v>
      </c>
      <c r="AD56" s="10" t="s">
        <v>557</v>
      </c>
      <c r="AE56" s="10" t="s">
        <v>558</v>
      </c>
      <c r="AF56" s="10" t="s">
        <v>559</v>
      </c>
      <c r="AG56" s="10" t="s">
        <v>560</v>
      </c>
      <c r="AI56" s="10" t="s">
        <v>619</v>
      </c>
      <c r="AJ56" s="10" t="s">
        <v>535</v>
      </c>
      <c r="AK56" s="10" t="s">
        <v>536</v>
      </c>
      <c r="AL56" s="10" t="s">
        <v>537</v>
      </c>
      <c r="AM56" s="10" t="s">
        <v>538</v>
      </c>
      <c r="AN56" s="10" t="s">
        <v>539</v>
      </c>
      <c r="AO56" s="10" t="s">
        <v>540</v>
      </c>
      <c r="AP56" s="10" t="s">
        <v>541</v>
      </c>
      <c r="AQ56" s="10" t="s">
        <v>544</v>
      </c>
      <c r="AR56" s="10" t="s">
        <v>545</v>
      </c>
      <c r="AS56" s="10" t="s">
        <v>546</v>
      </c>
      <c r="AT56" s="10" t="s">
        <v>547</v>
      </c>
      <c r="AU56" s="10" t="s">
        <v>548</v>
      </c>
      <c r="AV56" s="10" t="s">
        <v>549</v>
      </c>
      <c r="AW56" s="10" t="s">
        <v>550</v>
      </c>
      <c r="AX56" s="10" t="s">
        <v>552</v>
      </c>
      <c r="AY56" s="10" t="s">
        <v>554</v>
      </c>
      <c r="AZ56" s="10" t="s">
        <v>555</v>
      </c>
      <c r="BA56" s="10" t="s">
        <v>557</v>
      </c>
      <c r="BB56" s="10" t="s">
        <v>558</v>
      </c>
      <c r="BC56" s="10" t="s">
        <v>559</v>
      </c>
      <c r="BD56" s="10" t="s">
        <v>560</v>
      </c>
    </row>
    <row r="57" spans="1:56" ht="11.25" customHeight="1" x14ac:dyDescent="0.25">
      <c r="A57" s="9" t="s">
        <v>38</v>
      </c>
      <c r="B57" s="9" t="s">
        <v>916</v>
      </c>
      <c r="C57" s="9" t="s">
        <v>917</v>
      </c>
      <c r="D57" s="9" t="s">
        <v>918</v>
      </c>
      <c r="E57" s="9" t="s">
        <v>919</v>
      </c>
      <c r="F57" s="9" t="s">
        <v>920</v>
      </c>
      <c r="G57" s="9" t="s">
        <v>921</v>
      </c>
      <c r="L57" s="13">
        <f>$I$5*$L$5</f>
        <v>0</v>
      </c>
      <c r="M57" s="13">
        <f>$I$5*$M$5</f>
        <v>0</v>
      </c>
      <c r="N57" s="13">
        <f ca="1">$I$5*$N$5</f>
        <v>0</v>
      </c>
      <c r="O57" s="13">
        <f>$I$5*$O$5</f>
        <v>0</v>
      </c>
      <c r="P57" s="13">
        <f>$I$5*$P$5</f>
        <v>0</v>
      </c>
      <c r="Q57" s="13">
        <f>$I$5*$Q$5</f>
        <v>0</v>
      </c>
      <c r="R57" s="13">
        <f>$I$5*$R$5</f>
        <v>0</v>
      </c>
      <c r="S57" s="13">
        <f>$I$5*$S$5</f>
        <v>0</v>
      </c>
      <c r="T57" s="13">
        <f>$I$5*$T$5</f>
        <v>0</v>
      </c>
      <c r="U57" s="13">
        <f>$I$5*$U$5</f>
        <v>0</v>
      </c>
      <c r="V57" s="13">
        <f>$I$5*$V$5</f>
        <v>0</v>
      </c>
      <c r="W57" s="13">
        <f>$I$5*$W$5</f>
        <v>0</v>
      </c>
      <c r="X57" s="13">
        <f>$I$5*$X$5</f>
        <v>1337096.8693160315</v>
      </c>
      <c r="Y57" s="13">
        <f>$I$5*$Y$5</f>
        <v>0</v>
      </c>
      <c r="Z57" s="13">
        <f>$I$5*$Z$5</f>
        <v>0</v>
      </c>
      <c r="AA57" s="13">
        <f>$I$5*$AA$5</f>
        <v>858467.684280699</v>
      </c>
      <c r="AB57" s="13">
        <f ca="1">$I$5*$AB$5</f>
        <v>-603550.2799745641</v>
      </c>
      <c r="AC57" s="13">
        <f ca="1">$I$5*$AC$5</f>
        <v>0</v>
      </c>
      <c r="AD57" s="13">
        <f>$I$5*$AD$5</f>
        <v>0</v>
      </c>
      <c r="AE57" s="13">
        <f>$I$5*$AE$5</f>
        <v>0</v>
      </c>
      <c r="AF57" s="13">
        <f ca="1">$I$5*$AF$5</f>
        <v>0</v>
      </c>
      <c r="AG57" s="13">
        <f ca="1">$I$5*$AG$5</f>
        <v>0</v>
      </c>
      <c r="AI57" s="13">
        <f>$I$5*$AI$5</f>
        <v>0</v>
      </c>
      <c r="AJ57" s="13">
        <f>$I$5*$AJ$5</f>
        <v>0</v>
      </c>
      <c r="AK57" s="13">
        <f>$I$5*$AK$5</f>
        <v>0</v>
      </c>
      <c r="AL57" s="13">
        <f>$I$5*$AL$5</f>
        <v>0</v>
      </c>
      <c r="AM57" s="13">
        <f>$I$5*$AM$5</f>
        <v>0</v>
      </c>
      <c r="AN57" s="13">
        <f>$I$5*$AN$5</f>
        <v>0</v>
      </c>
      <c r="AO57" s="13">
        <f>$I$5*$AO$5</f>
        <v>0</v>
      </c>
      <c r="AP57" s="13">
        <f>$I$5*$AP$5</f>
        <v>0</v>
      </c>
      <c r="AQ57" s="13">
        <f>$I$5*$AQ$5</f>
        <v>0</v>
      </c>
      <c r="AR57" s="13">
        <f>$I$5*$AR$5</f>
        <v>0</v>
      </c>
      <c r="AS57" s="13">
        <f>$I$5*$AS$5</f>
        <v>0</v>
      </c>
      <c r="AT57" s="13">
        <f>$I$5*$AT$5</f>
        <v>0</v>
      </c>
      <c r="AU57" s="13">
        <f>$I$5*$AU$5</f>
        <v>1275439.0256474509</v>
      </c>
      <c r="AV57" s="13">
        <f>$I$5*$AV$5</f>
        <v>0</v>
      </c>
      <c r="AW57" s="13">
        <f>$I$5*$AW$5</f>
        <v>0</v>
      </c>
      <c r="AX57" s="13">
        <f>$I$5*$AX$5</f>
        <v>815324.27481170173</v>
      </c>
      <c r="AY57" s="13">
        <f>$I$5*$AY$5</f>
        <v>-87878.863087528007</v>
      </c>
      <c r="AZ57" s="13">
        <f>$I$5*$AZ$5</f>
        <v>0</v>
      </c>
      <c r="BA57" s="13">
        <f>$I$5*$BA$5</f>
        <v>0</v>
      </c>
      <c r="BB57" s="13">
        <f>$I$5*$BB$5</f>
        <v>0</v>
      </c>
      <c r="BC57" s="13">
        <f>$I$5*$BC$5</f>
        <v>0</v>
      </c>
      <c r="BD57" s="13">
        <f>$I$5*$BD$5</f>
        <v>0</v>
      </c>
    </row>
    <row r="58" spans="1:56" ht="11.25" customHeight="1" x14ac:dyDescent="0.25">
      <c r="A58" s="9" t="s">
        <v>38</v>
      </c>
      <c r="B58" s="9" t="s">
        <v>916</v>
      </c>
      <c r="C58" s="9" t="s">
        <v>917</v>
      </c>
      <c r="D58" s="9" t="s">
        <v>918</v>
      </c>
      <c r="E58" s="9" t="s">
        <v>919</v>
      </c>
      <c r="F58" s="9" t="s">
        <v>920</v>
      </c>
      <c r="G58" s="9" t="s">
        <v>922</v>
      </c>
      <c r="L58" s="13">
        <f>$I$6*$L$6</f>
        <v>0</v>
      </c>
      <c r="M58" s="13">
        <f>$I$6*$M$6</f>
        <v>0</v>
      </c>
      <c r="N58" s="13">
        <f ca="1">$I$6*$N$6</f>
        <v>0</v>
      </c>
      <c r="O58" s="13">
        <f>$I$6*$O$6</f>
        <v>0</v>
      </c>
      <c r="P58" s="13">
        <f>$I$6*$P$6</f>
        <v>0</v>
      </c>
      <c r="Q58" s="13">
        <f>$I$6*$Q$6</f>
        <v>0</v>
      </c>
      <c r="R58" s="13">
        <f>$I$6*$R$6</f>
        <v>0</v>
      </c>
      <c r="S58" s="13">
        <f>$I$6*$S$6</f>
        <v>0</v>
      </c>
      <c r="T58" s="13">
        <f>$I$6*$T$6</f>
        <v>0</v>
      </c>
      <c r="U58" s="13">
        <f>$I$6*$U$6</f>
        <v>0</v>
      </c>
      <c r="V58" s="13">
        <f>$I$6*$V$6</f>
        <v>0</v>
      </c>
      <c r="W58" s="13">
        <f>$I$6*$W$6</f>
        <v>0</v>
      </c>
      <c r="X58" s="13">
        <f>$I$6*$X$6</f>
        <v>1146304.6430301503</v>
      </c>
      <c r="Y58" s="13">
        <f>$I$6*$Y$6</f>
        <v>0</v>
      </c>
      <c r="Z58" s="13">
        <f>$I$6*$Z$6</f>
        <v>0</v>
      </c>
      <c r="AA58" s="13">
        <f>$I$6*$AA$6</f>
        <v>497959.10556944483</v>
      </c>
      <c r="AB58" s="13">
        <f ca="1">$I$6*$AB$6</f>
        <v>-451718.83086613991</v>
      </c>
      <c r="AC58" s="13">
        <f ca="1">$I$6*$AC$6</f>
        <v>0</v>
      </c>
      <c r="AD58" s="13">
        <f>$I$6*$AD$6</f>
        <v>0</v>
      </c>
      <c r="AE58" s="13">
        <f>$I$6*$AE$6</f>
        <v>0</v>
      </c>
      <c r="AF58" s="13">
        <f ca="1">$I$6*$AF$6</f>
        <v>0</v>
      </c>
      <c r="AG58" s="13">
        <f ca="1">$I$6*$AG$6</f>
        <v>0</v>
      </c>
      <c r="AI58" s="13">
        <f>$I$6*$AI$6</f>
        <v>0</v>
      </c>
      <c r="AJ58" s="13">
        <f>$I$6*$AJ$6</f>
        <v>0</v>
      </c>
      <c r="AK58" s="13">
        <f>$I$6*$AK$6</f>
        <v>0</v>
      </c>
      <c r="AL58" s="13">
        <f>$I$6*$AL$6</f>
        <v>0</v>
      </c>
      <c r="AM58" s="13">
        <f>$I$6*$AM$6</f>
        <v>0</v>
      </c>
      <c r="AN58" s="13">
        <f>$I$6*$AN$6</f>
        <v>0</v>
      </c>
      <c r="AO58" s="13">
        <f>$I$6*$AO$6</f>
        <v>0</v>
      </c>
      <c r="AP58" s="13">
        <f>$I$6*$AP$6</f>
        <v>0</v>
      </c>
      <c r="AQ58" s="13">
        <f>$I$6*$AQ$6</f>
        <v>0</v>
      </c>
      <c r="AR58" s="13">
        <f>$I$6*$AR$6</f>
        <v>0</v>
      </c>
      <c r="AS58" s="13">
        <f>$I$6*$AS$6</f>
        <v>0</v>
      </c>
      <c r="AT58" s="13">
        <f>$I$6*$AT$6</f>
        <v>0</v>
      </c>
      <c r="AU58" s="13">
        <f>$I$6*$AU$6</f>
        <v>1093444.8434909626</v>
      </c>
      <c r="AV58" s="13">
        <f>$I$6*$AV$6</f>
        <v>0</v>
      </c>
      <c r="AW58" s="13">
        <f>$I$6*$AW$6</f>
        <v>0</v>
      </c>
      <c r="AX58" s="13">
        <f>$I$6*$AX$6</f>
        <v>472933.52337947569</v>
      </c>
      <c r="AY58" s="13">
        <f>$I$6*$AY$6</f>
        <v>-65689.847493104826</v>
      </c>
      <c r="AZ58" s="13">
        <f>$I$6*$AZ$6</f>
        <v>0</v>
      </c>
      <c r="BA58" s="13">
        <f>$I$6*$BA$6</f>
        <v>0</v>
      </c>
      <c r="BB58" s="13">
        <f>$I$6*$BB$6</f>
        <v>0</v>
      </c>
      <c r="BC58" s="13">
        <f>$I$6*$BC$6</f>
        <v>0</v>
      </c>
      <c r="BD58" s="13">
        <f>$I$6*$BD$6</f>
        <v>0</v>
      </c>
    </row>
    <row r="59" spans="1:56" ht="11.25" customHeight="1" x14ac:dyDescent="0.25">
      <c r="A59" s="9" t="s">
        <v>38</v>
      </c>
      <c r="B59" s="9" t="s">
        <v>916</v>
      </c>
      <c r="C59" s="9" t="s">
        <v>917</v>
      </c>
      <c r="D59" s="9" t="s">
        <v>918</v>
      </c>
      <c r="E59" s="9" t="s">
        <v>919</v>
      </c>
      <c r="F59" s="9" t="s">
        <v>920</v>
      </c>
      <c r="G59" s="9" t="s">
        <v>923</v>
      </c>
      <c r="L59" s="13">
        <f>$I$7*$L$7</f>
        <v>0</v>
      </c>
      <c r="M59" s="13">
        <f>$I$7*$M$7</f>
        <v>6394.1574080014043</v>
      </c>
      <c r="N59" s="13">
        <f ca="1">$I$7*$N$7</f>
        <v>4081.1276984877572</v>
      </c>
      <c r="O59" s="13">
        <f>$I$7*$O$7</f>
        <v>0</v>
      </c>
      <c r="P59" s="13">
        <f>$I$7*$P$7</f>
        <v>0</v>
      </c>
      <c r="Q59" s="13">
        <f>$I$7*$Q$7</f>
        <v>3480849.6415282972</v>
      </c>
      <c r="R59" s="13">
        <f>$I$7*$R$7</f>
        <v>732249.35806780355</v>
      </c>
      <c r="S59" s="13">
        <f>$I$7*$S$7</f>
        <v>0</v>
      </c>
      <c r="T59" s="13">
        <f>$I$7*$T$7</f>
        <v>0</v>
      </c>
      <c r="U59" s="13">
        <f>$I$7*$U$7</f>
        <v>0</v>
      </c>
      <c r="V59" s="13">
        <f>$I$7*$V$7</f>
        <v>0</v>
      </c>
      <c r="W59" s="13">
        <f>$I$7*$W$7</f>
        <v>0</v>
      </c>
      <c r="X59" s="13">
        <f>$I$7*$X$7</f>
        <v>0</v>
      </c>
      <c r="Y59" s="13">
        <f>$I$7*$Y$7</f>
        <v>0</v>
      </c>
      <c r="Z59" s="13">
        <f>$I$7*$Z$7</f>
        <v>0</v>
      </c>
      <c r="AA59" s="13">
        <f>$I$7*$AA$7</f>
        <v>0</v>
      </c>
      <c r="AB59" s="13">
        <f ca="1">$I$7*$AB$7</f>
        <v>-1047997.1736162329</v>
      </c>
      <c r="AC59" s="13">
        <f ca="1">$I$7*$AC$7</f>
        <v>0</v>
      </c>
      <c r="AD59" s="13">
        <f>$I$7*$AD$7</f>
        <v>115049.54894354429</v>
      </c>
      <c r="AE59" s="13">
        <f>$I$7*$AE$7</f>
        <v>3947.1643686578195</v>
      </c>
      <c r="AF59" s="13">
        <f ca="1">$I$7*$AF$7</f>
        <v>78478.396761942276</v>
      </c>
      <c r="AG59" s="13">
        <f ca="1">$I$7*$AG$7</f>
        <v>4349.9566420298088</v>
      </c>
      <c r="AI59" s="13">
        <f>$I$7*$AI$7</f>
        <v>0</v>
      </c>
      <c r="AJ59" s="13">
        <f>$I$7*$AJ$7</f>
        <v>6398.9095963562477</v>
      </c>
      <c r="AK59" s="13">
        <f>$I$7*$AK$7</f>
        <v>6523.8793389414377</v>
      </c>
      <c r="AL59" s="13">
        <f>$I$7*$AL$7</f>
        <v>0</v>
      </c>
      <c r="AM59" s="13">
        <f>$I$7*$AM$7</f>
        <v>0</v>
      </c>
      <c r="AN59" s="13">
        <f>$I$7*$AN$7</f>
        <v>2453230.0248944303</v>
      </c>
      <c r="AO59" s="13">
        <f>$I$7*$AO$7</f>
        <v>422899.62202609004</v>
      </c>
      <c r="AP59" s="13">
        <f>$I$7*$AP$7</f>
        <v>0</v>
      </c>
      <c r="AQ59" s="13">
        <f>$I$7*$AQ$7</f>
        <v>0</v>
      </c>
      <c r="AR59" s="13">
        <f>$I$7*$AR$7</f>
        <v>0</v>
      </c>
      <c r="AS59" s="13">
        <f>$I$7*$AS$7</f>
        <v>0</v>
      </c>
      <c r="AT59" s="13">
        <f>$I$7*$AT$7</f>
        <v>0</v>
      </c>
      <c r="AU59" s="13">
        <f>$I$7*$AU$7</f>
        <v>0</v>
      </c>
      <c r="AV59" s="13">
        <f>$I$7*$AV$7</f>
        <v>0</v>
      </c>
      <c r="AW59" s="13">
        <f>$I$7*$AW$7</f>
        <v>0</v>
      </c>
      <c r="AX59" s="13">
        <f>$I$7*$AX$7</f>
        <v>0</v>
      </c>
      <c r="AY59" s="13">
        <f>$I$7*$AY$7</f>
        <v>-118980.66423611976</v>
      </c>
      <c r="AZ59" s="13">
        <f>$I$7*$AZ$7</f>
        <v>0</v>
      </c>
      <c r="BA59" s="13">
        <f>$I$7*$BA$7</f>
        <v>125737.71776578035</v>
      </c>
      <c r="BB59" s="13">
        <f>$I$7*$BB$7</f>
        <v>3899.0446804350076</v>
      </c>
      <c r="BC59" s="13">
        <f>$I$7*$BC$7</f>
        <v>86285.876932883795</v>
      </c>
      <c r="BD59" s="13">
        <f>$I$7*$BD$7</f>
        <v>6850.5947720278618</v>
      </c>
    </row>
    <row r="60" spans="1:56" ht="11.25" customHeight="1" x14ac:dyDescent="0.25">
      <c r="A60" s="9" t="s">
        <v>38</v>
      </c>
      <c r="B60" s="9" t="s">
        <v>916</v>
      </c>
      <c r="C60" s="9" t="s">
        <v>917</v>
      </c>
      <c r="D60" s="9" t="s">
        <v>918</v>
      </c>
      <c r="E60" s="9" t="s">
        <v>924</v>
      </c>
      <c r="F60" s="9" t="s">
        <v>925</v>
      </c>
      <c r="G60" s="9" t="s">
        <v>926</v>
      </c>
      <c r="L60" s="13">
        <f>$I$8*$L$8</f>
        <v>0</v>
      </c>
      <c r="M60" s="13">
        <f>$I$8*$M$8</f>
        <v>0</v>
      </c>
      <c r="N60" s="13">
        <f ca="1">$I$8*$N$8</f>
        <v>0</v>
      </c>
      <c r="O60" s="13">
        <f>$I$8*$O$8</f>
        <v>0</v>
      </c>
      <c r="P60" s="13">
        <f>$I$8*$P$8</f>
        <v>0</v>
      </c>
      <c r="Q60" s="13">
        <f>$I$8*$Q$8</f>
        <v>0</v>
      </c>
      <c r="R60" s="13">
        <f>$I$8*$R$8</f>
        <v>0</v>
      </c>
      <c r="S60" s="13">
        <f>$I$8*$S$8</f>
        <v>0</v>
      </c>
      <c r="T60" s="13">
        <f>$I$8*$T$8</f>
        <v>0</v>
      </c>
      <c r="U60" s="13">
        <f>$I$8*$U$8</f>
        <v>0</v>
      </c>
      <c r="V60" s="13">
        <f>$I$8*$V$8</f>
        <v>0</v>
      </c>
      <c r="W60" s="13">
        <f>$I$8*$W$8</f>
        <v>0</v>
      </c>
      <c r="X60" s="13">
        <f>$I$8*$X$8</f>
        <v>0</v>
      </c>
      <c r="Y60" s="13">
        <f>$I$8*$Y$8</f>
        <v>0</v>
      </c>
      <c r="Z60" s="13">
        <f>$I$8*$Z$8</f>
        <v>0</v>
      </c>
      <c r="AA60" s="13">
        <f>$I$8*$AA$8</f>
        <v>0</v>
      </c>
      <c r="AB60" s="13">
        <f ca="1">$I$8*$AB$8</f>
        <v>0</v>
      </c>
      <c r="AC60" s="13">
        <f ca="1">$I$8*$AC$8</f>
        <v>0</v>
      </c>
      <c r="AD60" s="13">
        <f>$I$8*$AD$8</f>
        <v>0</v>
      </c>
      <c r="AE60" s="13">
        <f>$I$8*$AE$8</f>
        <v>0</v>
      </c>
      <c r="AF60" s="13">
        <f ca="1">$I$8*$AF$8</f>
        <v>0</v>
      </c>
      <c r="AG60" s="13">
        <f ca="1">$I$8*$AG$8</f>
        <v>0</v>
      </c>
      <c r="AI60" s="13">
        <f>$I$8*$AI$8</f>
        <v>0</v>
      </c>
      <c r="AJ60" s="13">
        <f>$I$8*$AJ$8</f>
        <v>0</v>
      </c>
      <c r="AK60" s="13">
        <f>$I$8*$AK$8</f>
        <v>0</v>
      </c>
      <c r="AL60" s="13">
        <f>$I$8*$AL$8</f>
        <v>0</v>
      </c>
      <c r="AM60" s="13">
        <f>$I$8*$AM$8</f>
        <v>0</v>
      </c>
      <c r="AN60" s="13">
        <f>$I$8*$AN$8</f>
        <v>0</v>
      </c>
      <c r="AO60" s="13">
        <f>$I$8*$AO$8</f>
        <v>0</v>
      </c>
      <c r="AP60" s="13">
        <f>$I$8*$AP$8</f>
        <v>0</v>
      </c>
      <c r="AQ60" s="13">
        <f>$I$8*$AQ$8</f>
        <v>0</v>
      </c>
      <c r="AR60" s="13">
        <f>$I$8*$AR$8</f>
        <v>0</v>
      </c>
      <c r="AS60" s="13">
        <f>$I$8*$AS$8</f>
        <v>0</v>
      </c>
      <c r="AT60" s="13">
        <f>$I$8*$AT$8</f>
        <v>0</v>
      </c>
      <c r="AU60" s="13">
        <f>$I$8*$AU$8</f>
        <v>0</v>
      </c>
      <c r="AV60" s="13">
        <f>$I$8*$AV$8</f>
        <v>0</v>
      </c>
      <c r="AW60" s="13">
        <f>$I$8*$AW$8</f>
        <v>0</v>
      </c>
      <c r="AX60" s="13">
        <f>$I$8*$AX$8</f>
        <v>0</v>
      </c>
      <c r="AY60" s="13">
        <f>$I$8*$AY$8</f>
        <v>0</v>
      </c>
      <c r="AZ60" s="13">
        <f>$I$8*$AZ$8</f>
        <v>0</v>
      </c>
      <c r="BA60" s="13">
        <f>$I$8*$BA$8</f>
        <v>0</v>
      </c>
      <c r="BB60" s="13">
        <f>$I$8*$BB$8</f>
        <v>0</v>
      </c>
      <c r="BC60" s="13">
        <f>$I$8*$BC$8</f>
        <v>0</v>
      </c>
      <c r="BD60" s="13">
        <f>$I$8*$BD$8</f>
        <v>0</v>
      </c>
    </row>
    <row r="61" spans="1:56" ht="11.25" customHeight="1" x14ac:dyDescent="0.25">
      <c r="A61" s="9" t="s">
        <v>38</v>
      </c>
      <c r="B61" s="9" t="s">
        <v>927</v>
      </c>
      <c r="C61" s="9" t="s">
        <v>928</v>
      </c>
      <c r="D61" s="9" t="s">
        <v>929</v>
      </c>
      <c r="E61" s="9" t="s">
        <v>930</v>
      </c>
      <c r="F61" s="9" t="s">
        <v>931</v>
      </c>
      <c r="G61" s="9" t="s">
        <v>932</v>
      </c>
      <c r="L61" s="13">
        <f>$I$9*$L$9</f>
        <v>0</v>
      </c>
      <c r="M61" s="13">
        <f>$I$9*$M$9</f>
        <v>0</v>
      </c>
      <c r="N61" s="13">
        <f ca="1">$I$9*$N$9</f>
        <v>0</v>
      </c>
      <c r="O61" s="13">
        <f>$I$9*$O$9</f>
        <v>0</v>
      </c>
      <c r="P61" s="13">
        <f>$I$9*$P$9</f>
        <v>0</v>
      </c>
      <c r="Q61" s="13">
        <f>$I$9*$Q$9</f>
        <v>0</v>
      </c>
      <c r="R61" s="13">
        <f>$I$9*$R$9</f>
        <v>0</v>
      </c>
      <c r="S61" s="13">
        <f>$I$9*$S$9</f>
        <v>0</v>
      </c>
      <c r="T61" s="13">
        <f>$I$9*$T$9</f>
        <v>0</v>
      </c>
      <c r="U61" s="13">
        <f>$I$9*$U$9</f>
        <v>0</v>
      </c>
      <c r="V61" s="13">
        <f>$I$9*$V$9</f>
        <v>0</v>
      </c>
      <c r="W61" s="13">
        <f>$I$9*$W$9</f>
        <v>0</v>
      </c>
      <c r="X61" s="13">
        <f>$I$9*$X$9</f>
        <v>0</v>
      </c>
      <c r="Y61" s="13">
        <f>$I$9*$Y$9</f>
        <v>0</v>
      </c>
      <c r="Z61" s="13">
        <f>$I$9*$Z$9</f>
        <v>0</v>
      </c>
      <c r="AA61" s="13">
        <f>$I$9*$AA$9</f>
        <v>0</v>
      </c>
      <c r="AB61" s="13">
        <f ca="1">$I$9*$AB$9</f>
        <v>0</v>
      </c>
      <c r="AC61" s="13">
        <f ca="1">$I$9*$AC$9</f>
        <v>0</v>
      </c>
      <c r="AD61" s="13">
        <f>$I$9*$AD$9</f>
        <v>0</v>
      </c>
      <c r="AE61" s="13">
        <f>$I$9*$AE$9</f>
        <v>0</v>
      </c>
      <c r="AF61" s="13">
        <f ca="1">$I$9*$AF$9</f>
        <v>0</v>
      </c>
      <c r="AG61" s="13">
        <f ca="1">$I$9*$AG$9</f>
        <v>0</v>
      </c>
      <c r="AI61" s="13">
        <f>$I$9*$AI$9</f>
        <v>0</v>
      </c>
      <c r="AJ61" s="13">
        <f>$I$9*$AJ$9</f>
        <v>0</v>
      </c>
      <c r="AK61" s="13">
        <f>$I$9*$AK$9</f>
        <v>0</v>
      </c>
      <c r="AL61" s="13">
        <f>$I$9*$AL$9</f>
        <v>0</v>
      </c>
      <c r="AM61" s="13">
        <f>$I$9*$AM$9</f>
        <v>0</v>
      </c>
      <c r="AN61" s="13">
        <f>$I$9*$AN$9</f>
        <v>0</v>
      </c>
      <c r="AO61" s="13">
        <f>$I$9*$AO$9</f>
        <v>0</v>
      </c>
      <c r="AP61" s="13">
        <f>$I$9*$AP$9</f>
        <v>0</v>
      </c>
      <c r="AQ61" s="13">
        <f>$I$9*$AQ$9</f>
        <v>0</v>
      </c>
      <c r="AR61" s="13">
        <f>$I$9*$AR$9</f>
        <v>0</v>
      </c>
      <c r="AS61" s="13">
        <f>$I$9*$AS$9</f>
        <v>0</v>
      </c>
      <c r="AT61" s="13">
        <f>$I$9*$AT$9</f>
        <v>0</v>
      </c>
      <c r="AU61" s="13">
        <f>$I$9*$AU$9</f>
        <v>0</v>
      </c>
      <c r="AV61" s="13">
        <f>$I$9*$AV$9</f>
        <v>0</v>
      </c>
      <c r="AW61" s="13">
        <f>$I$9*$AW$9</f>
        <v>0</v>
      </c>
      <c r="AX61" s="13">
        <f>$I$9*$AX$9</f>
        <v>0</v>
      </c>
      <c r="AY61" s="13">
        <f>$I$9*$AY$9</f>
        <v>0</v>
      </c>
      <c r="AZ61" s="13">
        <f>$I$9*$AZ$9</f>
        <v>0</v>
      </c>
      <c r="BA61" s="13">
        <f>$I$9*$BA$9</f>
        <v>0</v>
      </c>
      <c r="BB61" s="13">
        <f>$I$9*$BB$9</f>
        <v>0</v>
      </c>
      <c r="BC61" s="13">
        <f>$I$9*$BC$9</f>
        <v>0</v>
      </c>
      <c r="BD61" s="13">
        <f>$I$9*$BD$9</f>
        <v>0</v>
      </c>
    </row>
    <row r="62" spans="1:56" ht="11.25" customHeight="1" x14ac:dyDescent="0.25">
      <c r="A62" s="9" t="s">
        <v>38</v>
      </c>
      <c r="B62" s="9" t="s">
        <v>933</v>
      </c>
      <c r="C62" s="9" t="s">
        <v>934</v>
      </c>
      <c r="D62" s="9" t="s">
        <v>935</v>
      </c>
      <c r="E62" s="9" t="s">
        <v>936</v>
      </c>
      <c r="F62" s="9" t="s">
        <v>937</v>
      </c>
      <c r="G62" s="9" t="s">
        <v>938</v>
      </c>
      <c r="L62" s="13">
        <f>$I$10*$L$10</f>
        <v>0</v>
      </c>
      <c r="M62" s="13">
        <f>$I$10*$M$10</f>
        <v>0</v>
      </c>
      <c r="N62" s="13">
        <f ca="1">$I$10*$N$10</f>
        <v>0</v>
      </c>
      <c r="O62" s="13">
        <f>$I$10*$O$10</f>
        <v>0</v>
      </c>
      <c r="P62" s="13">
        <f>$I$10*$P$10</f>
        <v>0</v>
      </c>
      <c r="Q62" s="13">
        <f>$I$10*$Q$10</f>
        <v>0</v>
      </c>
      <c r="R62" s="13">
        <f>$I$10*$R$10</f>
        <v>0</v>
      </c>
      <c r="S62" s="13">
        <f>$I$10*$S$10</f>
        <v>0</v>
      </c>
      <c r="T62" s="13">
        <f>$I$10*$T$10</f>
        <v>0</v>
      </c>
      <c r="U62" s="13">
        <f>$I$10*$U$10</f>
        <v>0</v>
      </c>
      <c r="V62" s="13">
        <f>$I$10*$V$10</f>
        <v>0</v>
      </c>
      <c r="W62" s="13">
        <f>$I$10*$W$10</f>
        <v>0</v>
      </c>
      <c r="X62" s="13">
        <f>$I$10*$X$10</f>
        <v>487427.9734466857</v>
      </c>
      <c r="Y62" s="13">
        <f>$I$10*$Y$10</f>
        <v>0</v>
      </c>
      <c r="Z62" s="13">
        <f>$I$10*$Z$10</f>
        <v>0</v>
      </c>
      <c r="AA62" s="13">
        <f>$I$10*$AA$10</f>
        <v>211740.56928307726</v>
      </c>
      <c r="AB62" s="13">
        <f ca="1">$I$10*$AB$10</f>
        <v>-192078.42839645332</v>
      </c>
      <c r="AC62" s="13">
        <f ca="1">$I$10*$AC$10</f>
        <v>0</v>
      </c>
      <c r="AD62" s="13">
        <f>$I$10*$AD$10</f>
        <v>0</v>
      </c>
      <c r="AE62" s="13">
        <f>$I$10*$AE$10</f>
        <v>0</v>
      </c>
      <c r="AF62" s="13">
        <f ca="1">$I$10*$AF$10</f>
        <v>0</v>
      </c>
      <c r="AG62" s="13">
        <f ca="1">$I$10*$AG$10</f>
        <v>0</v>
      </c>
      <c r="AI62" s="13">
        <f>$I$10*$AI$10</f>
        <v>0</v>
      </c>
      <c r="AJ62" s="13">
        <f>$I$10*$AJ$10</f>
        <v>0</v>
      </c>
      <c r="AK62" s="13">
        <f>$I$10*$AK$10</f>
        <v>0</v>
      </c>
      <c r="AL62" s="13">
        <f>$I$10*$AL$10</f>
        <v>0</v>
      </c>
      <c r="AM62" s="13">
        <f>$I$10*$AM$10</f>
        <v>0</v>
      </c>
      <c r="AN62" s="13">
        <f>$I$10*$AN$10</f>
        <v>0</v>
      </c>
      <c r="AO62" s="13">
        <f>$I$10*$AO$10</f>
        <v>0</v>
      </c>
      <c r="AP62" s="13">
        <f>$I$10*$AP$10</f>
        <v>0</v>
      </c>
      <c r="AQ62" s="13">
        <f>$I$10*$AQ$10</f>
        <v>0</v>
      </c>
      <c r="AR62" s="13">
        <f>$I$10*$AR$10</f>
        <v>0</v>
      </c>
      <c r="AS62" s="13">
        <f>$I$10*$AS$10</f>
        <v>0</v>
      </c>
      <c r="AT62" s="13">
        <f>$I$10*$AT$10</f>
        <v>0</v>
      </c>
      <c r="AU62" s="13">
        <f>$I$10*$AU$10</f>
        <v>464951.09949974256</v>
      </c>
      <c r="AV62" s="13">
        <f>$I$10*$AV$10</f>
        <v>0</v>
      </c>
      <c r="AW62" s="13">
        <f>$I$10*$AW$10</f>
        <v>0</v>
      </c>
      <c r="AX62" s="13">
        <f>$I$10*$AX$10</f>
        <v>201099.27171410347</v>
      </c>
      <c r="AY62" s="13">
        <f>$I$10*$AY$10</f>
        <v>-27932.425672591256</v>
      </c>
      <c r="AZ62" s="13">
        <f>$I$10*$AZ$10</f>
        <v>0</v>
      </c>
      <c r="BA62" s="13">
        <f>$I$10*$BA$10</f>
        <v>0</v>
      </c>
      <c r="BB62" s="13">
        <f>$I$10*$BB$10</f>
        <v>0</v>
      </c>
      <c r="BC62" s="13">
        <f>$I$10*$BC$10</f>
        <v>0</v>
      </c>
      <c r="BD62" s="13">
        <f>$I$10*$BD$10</f>
        <v>0</v>
      </c>
    </row>
    <row r="63" spans="1:56" ht="11.25" customHeight="1" x14ac:dyDescent="0.25">
      <c r="A63" s="9" t="s">
        <v>38</v>
      </c>
      <c r="B63" s="9" t="s">
        <v>933</v>
      </c>
      <c r="C63" s="9" t="s">
        <v>934</v>
      </c>
      <c r="D63" s="9" t="s">
        <v>935</v>
      </c>
      <c r="E63" s="9" t="s">
        <v>936</v>
      </c>
      <c r="F63" s="9" t="s">
        <v>937</v>
      </c>
      <c r="G63" s="9" t="s">
        <v>939</v>
      </c>
      <c r="L63" s="13">
        <f>$I$11*$L$11</f>
        <v>0</v>
      </c>
      <c r="M63" s="13">
        <f>$I$11*$M$11</f>
        <v>44.223890367484749</v>
      </c>
      <c r="N63" s="13">
        <f ca="1">$I$11*$N$11</f>
        <v>3307.7995955514157</v>
      </c>
      <c r="O63" s="13">
        <f>$I$11*$O$11</f>
        <v>0</v>
      </c>
      <c r="P63" s="13">
        <f>$I$11*$P$11</f>
        <v>0</v>
      </c>
      <c r="Q63" s="13">
        <f>$I$11*$Q$11</f>
        <v>24074.589208582114</v>
      </c>
      <c r="R63" s="13">
        <f>$I$11*$R$11</f>
        <v>5064.4538860317834</v>
      </c>
      <c r="S63" s="13">
        <f>$I$11*$S$11</f>
        <v>0</v>
      </c>
      <c r="T63" s="13">
        <f>$I$11*$T$11</f>
        <v>0</v>
      </c>
      <c r="U63" s="13">
        <f>$I$11*$U$11</f>
        <v>0</v>
      </c>
      <c r="V63" s="13">
        <f>$I$11*$V$11</f>
        <v>0</v>
      </c>
      <c r="W63" s="13">
        <f>$I$11*$W$11</f>
        <v>0</v>
      </c>
      <c r="X63" s="13">
        <f>$I$11*$X$11</f>
        <v>225421.31395004762</v>
      </c>
      <c r="Y63" s="13">
        <f>$I$11*$Y$11</f>
        <v>0</v>
      </c>
      <c r="Z63" s="13">
        <f>$I$11*$Z$11</f>
        <v>0</v>
      </c>
      <c r="AA63" s="13">
        <f>$I$11*$AA$11</f>
        <v>144728.8710393892</v>
      </c>
      <c r="AB63" s="13">
        <f ca="1">$I$11*$AB$11</f>
        <v>-109906.20562756278</v>
      </c>
      <c r="AC63" s="13">
        <f ca="1">$I$11*$AC$11</f>
        <v>0</v>
      </c>
      <c r="AD63" s="13">
        <f>$I$11*$AD$11</f>
        <v>795.71682626095833</v>
      </c>
      <c r="AE63" s="13">
        <f>$I$11*$AE$11</f>
        <v>27.299760259816118</v>
      </c>
      <c r="AF63" s="13">
        <f ca="1">$I$11*$AF$11</f>
        <v>542.77988375342522</v>
      </c>
      <c r="AG63" s="13">
        <f ca="1">$I$11*$AG$11</f>
        <v>30.085591167917041</v>
      </c>
      <c r="AI63" s="13">
        <f>$I$11*$AI$11</f>
        <v>0</v>
      </c>
      <c r="AJ63" s="13">
        <f>$I$11*$AJ$11</f>
        <v>44.256757912557575</v>
      </c>
      <c r="AK63" s="13">
        <f>$I$11*$AK$11</f>
        <v>5399.3727306661904</v>
      </c>
      <c r="AL63" s="13">
        <f>$I$11*$AL$11</f>
        <v>0</v>
      </c>
      <c r="AM63" s="13">
        <f>$I$11*$AM$11</f>
        <v>0</v>
      </c>
      <c r="AN63" s="13">
        <f>$I$11*$AN$11</f>
        <v>16967.266950824702</v>
      </c>
      <c r="AO63" s="13">
        <f>$I$11*$AO$11</f>
        <v>2924.8992990897036</v>
      </c>
      <c r="AP63" s="13">
        <f>$I$11*$AP$11</f>
        <v>0</v>
      </c>
      <c r="AQ63" s="13">
        <f>$I$11*$AQ$11</f>
        <v>0</v>
      </c>
      <c r="AR63" s="13">
        <f>$I$11*$AR$11</f>
        <v>0</v>
      </c>
      <c r="AS63" s="13">
        <f>$I$11*$AS$11</f>
        <v>0</v>
      </c>
      <c r="AT63" s="13">
        <f>$I$11*$AT$11</f>
        <v>0</v>
      </c>
      <c r="AU63" s="13">
        <f>$I$11*$AU$11</f>
        <v>215026.41104207217</v>
      </c>
      <c r="AV63" s="13">
        <f>$I$11*$AV$11</f>
        <v>0</v>
      </c>
      <c r="AW63" s="13">
        <f>$I$11*$AW$11</f>
        <v>0</v>
      </c>
      <c r="AX63" s="13">
        <f>$I$11*$AX$11</f>
        <v>137455.33347988271</v>
      </c>
      <c r="AY63" s="13">
        <f>$I$11*$AY$11</f>
        <v>-15866.954332116544</v>
      </c>
      <c r="AZ63" s="13">
        <f>$I$11*$AZ$11</f>
        <v>0</v>
      </c>
      <c r="BA63" s="13">
        <f>$I$11*$BA$11</f>
        <v>869.63937399684175</v>
      </c>
      <c r="BB63" s="13">
        <f>$I$11*$BB$11</f>
        <v>26.966950214536308</v>
      </c>
      <c r="BC63" s="13">
        <f>$I$11*$BC$11</f>
        <v>596.77873381206825</v>
      </c>
      <c r="BD63" s="13">
        <f>$I$11*$BD$11</f>
        <v>47.380746643977176</v>
      </c>
    </row>
    <row r="64" spans="1:56" ht="11.25" customHeight="1" x14ac:dyDescent="0.25">
      <c r="A64" s="9" t="s">
        <v>38</v>
      </c>
      <c r="B64" s="9" t="s">
        <v>933</v>
      </c>
      <c r="C64" s="9" t="s">
        <v>934</v>
      </c>
      <c r="D64" s="9" t="s">
        <v>935</v>
      </c>
      <c r="E64" s="9" t="s">
        <v>936</v>
      </c>
      <c r="F64" s="9" t="s">
        <v>937</v>
      </c>
      <c r="G64" s="9" t="s">
        <v>940</v>
      </c>
      <c r="L64" s="13">
        <f>$I$12*$L$12</f>
        <v>0</v>
      </c>
      <c r="M64" s="13">
        <f>$I$12*$M$12</f>
        <v>1191.6885156325138</v>
      </c>
      <c r="N64" s="13">
        <f ca="1">$I$12*$N$12</f>
        <v>760.60576848353753</v>
      </c>
      <c r="O64" s="13">
        <f>$I$12*$O$12</f>
        <v>0</v>
      </c>
      <c r="P64" s="13">
        <f>$I$12*$P$12</f>
        <v>0</v>
      </c>
      <c r="Q64" s="13">
        <f>$I$12*$Q$12</f>
        <v>648731.06459063163</v>
      </c>
      <c r="R64" s="13">
        <f>$I$12*$R$12</f>
        <v>136470.38928017745</v>
      </c>
      <c r="S64" s="13">
        <f>$I$12*$S$12</f>
        <v>0</v>
      </c>
      <c r="T64" s="13">
        <f>$I$12*$T$12</f>
        <v>0</v>
      </c>
      <c r="U64" s="13">
        <f>$I$12*$U$12</f>
        <v>0</v>
      </c>
      <c r="V64" s="13">
        <f>$I$12*$V$12</f>
        <v>0</v>
      </c>
      <c r="W64" s="13">
        <f>$I$12*$W$12</f>
        <v>0</v>
      </c>
      <c r="X64" s="13">
        <f>$I$12*$X$12</f>
        <v>0</v>
      </c>
      <c r="Y64" s="13">
        <f>$I$12*$Y$12</f>
        <v>0</v>
      </c>
      <c r="Z64" s="13">
        <f>$I$12*$Z$12</f>
        <v>0</v>
      </c>
      <c r="AA64" s="13">
        <f>$I$12*$AA$12</f>
        <v>0</v>
      </c>
      <c r="AB64" s="13">
        <f ca="1">$I$12*$AB$12</f>
        <v>-195316.77381776529</v>
      </c>
      <c r="AC64" s="13">
        <f ca="1">$I$12*$AC$12</f>
        <v>0</v>
      </c>
      <c r="AD64" s="13">
        <f>$I$12*$AD$12</f>
        <v>21441.95356109889</v>
      </c>
      <c r="AE64" s="13">
        <f>$I$12*$AE$12</f>
        <v>735.63882577511185</v>
      </c>
      <c r="AF64" s="13">
        <f ca="1">$I$12*$AF$12</f>
        <v>14626.134168894383</v>
      </c>
      <c r="AG64" s="13">
        <f ca="1">$I$12*$AG$12</f>
        <v>810.7078138738807</v>
      </c>
      <c r="AI64" s="13">
        <f>$I$12*$AI$12</f>
        <v>0</v>
      </c>
      <c r="AJ64" s="13">
        <f>$I$12*$AJ$12</f>
        <v>1192.5741879619914</v>
      </c>
      <c r="AK64" s="13">
        <f>$I$12*$AK$12</f>
        <v>1215.8649825949108</v>
      </c>
      <c r="AL64" s="13">
        <f>$I$12*$AL$12</f>
        <v>0</v>
      </c>
      <c r="AM64" s="13">
        <f>$I$12*$AM$12</f>
        <v>0</v>
      </c>
      <c r="AN64" s="13">
        <f>$I$12*$AN$12</f>
        <v>457212.08602297155</v>
      </c>
      <c r="AO64" s="13">
        <f>$I$12*$AO$12</f>
        <v>78816.424225525057</v>
      </c>
      <c r="AP64" s="13">
        <f>$I$12*$AP$12</f>
        <v>0</v>
      </c>
      <c r="AQ64" s="13">
        <f>$I$12*$AQ$12</f>
        <v>0</v>
      </c>
      <c r="AR64" s="13">
        <f>$I$12*$AR$12</f>
        <v>0</v>
      </c>
      <c r="AS64" s="13">
        <f>$I$12*$AS$12</f>
        <v>0</v>
      </c>
      <c r="AT64" s="13">
        <f>$I$12*$AT$12</f>
        <v>0</v>
      </c>
      <c r="AU64" s="13">
        <f>$I$12*$AU$12</f>
        <v>0</v>
      </c>
      <c r="AV64" s="13">
        <f>$I$12*$AV$12</f>
        <v>0</v>
      </c>
      <c r="AW64" s="13">
        <f>$I$12*$AW$12</f>
        <v>0</v>
      </c>
      <c r="AX64" s="13">
        <f>$I$12*$AX$12</f>
        <v>0</v>
      </c>
      <c r="AY64" s="13">
        <f>$I$12*$AY$12</f>
        <v>-22174.60129697216</v>
      </c>
      <c r="AZ64" s="13">
        <f>$I$12*$AZ$12</f>
        <v>0</v>
      </c>
      <c r="BA64" s="13">
        <f>$I$12*$BA$12</f>
        <v>23433.923296260815</v>
      </c>
      <c r="BB64" s="13">
        <f>$I$12*$BB$12</f>
        <v>726.67068874439315</v>
      </c>
      <c r="BC64" s="13">
        <f>$I$12*$BC$12</f>
        <v>16081.225725460821</v>
      </c>
      <c r="BD64" s="13">
        <f>$I$12*$BD$12</f>
        <v>1276.7554181356102</v>
      </c>
    </row>
    <row r="65" spans="1:56" ht="11.25" customHeight="1" x14ac:dyDescent="0.25">
      <c r="A65" s="9" t="s">
        <v>38</v>
      </c>
      <c r="B65" s="9" t="s">
        <v>933</v>
      </c>
      <c r="C65" s="9" t="s">
        <v>934</v>
      </c>
      <c r="D65" s="9" t="s">
        <v>935</v>
      </c>
      <c r="E65" s="9" t="s">
        <v>941</v>
      </c>
      <c r="F65" s="9" t="s">
        <v>942</v>
      </c>
      <c r="G65" s="9" t="s">
        <v>943</v>
      </c>
      <c r="L65" s="13">
        <f>$I$13*$L$13</f>
        <v>0</v>
      </c>
      <c r="M65" s="13">
        <f>$I$13*$M$13</f>
        <v>0</v>
      </c>
      <c r="N65" s="13">
        <f ca="1">$I$13*$N$13</f>
        <v>0</v>
      </c>
      <c r="O65" s="13">
        <f>$I$13*$O$13</f>
        <v>0</v>
      </c>
      <c r="P65" s="13">
        <f>$I$13*$P$13</f>
        <v>0</v>
      </c>
      <c r="Q65" s="13">
        <f>$I$13*$Q$13</f>
        <v>0</v>
      </c>
      <c r="R65" s="13">
        <f>$I$13*$R$13</f>
        <v>0</v>
      </c>
      <c r="S65" s="13">
        <f>$I$13*$S$13</f>
        <v>0</v>
      </c>
      <c r="T65" s="13">
        <f>$I$13*$T$13</f>
        <v>0</v>
      </c>
      <c r="U65" s="13">
        <f>$I$13*$U$13</f>
        <v>0</v>
      </c>
      <c r="V65" s="13">
        <f>$I$13*$V$13</f>
        <v>0</v>
      </c>
      <c r="W65" s="13">
        <f>$I$13*$W$13</f>
        <v>0</v>
      </c>
      <c r="X65" s="13">
        <f>$I$13*$X$13</f>
        <v>0</v>
      </c>
      <c r="Y65" s="13">
        <f>$I$13*$Y$13</f>
        <v>0</v>
      </c>
      <c r="Z65" s="13">
        <f>$I$13*$Z$13</f>
        <v>0</v>
      </c>
      <c r="AA65" s="13">
        <f>$I$13*$AA$13</f>
        <v>0</v>
      </c>
      <c r="AB65" s="13">
        <f ca="1">$I$13*$AB$13</f>
        <v>0</v>
      </c>
      <c r="AC65" s="13">
        <f ca="1">$I$13*$AC$13</f>
        <v>0</v>
      </c>
      <c r="AD65" s="13">
        <f>$I$13*$AD$13</f>
        <v>0</v>
      </c>
      <c r="AE65" s="13">
        <f>$I$13*$AE$13</f>
        <v>0</v>
      </c>
      <c r="AF65" s="13">
        <f ca="1">$I$13*$AF$13</f>
        <v>0</v>
      </c>
      <c r="AG65" s="13">
        <f ca="1">$I$13*$AG$13</f>
        <v>0</v>
      </c>
      <c r="AI65" s="13">
        <f>$I$13*$AI$13</f>
        <v>0</v>
      </c>
      <c r="AJ65" s="13">
        <f>$I$13*$AJ$13</f>
        <v>0</v>
      </c>
      <c r="AK65" s="13">
        <f>$I$13*$AK$13</f>
        <v>0</v>
      </c>
      <c r="AL65" s="13">
        <f>$I$13*$AL$13</f>
        <v>0</v>
      </c>
      <c r="AM65" s="13">
        <f>$I$13*$AM$13</f>
        <v>0</v>
      </c>
      <c r="AN65" s="13">
        <f>$I$13*$AN$13</f>
        <v>0</v>
      </c>
      <c r="AO65" s="13">
        <f>$I$13*$AO$13</f>
        <v>0</v>
      </c>
      <c r="AP65" s="13">
        <f>$I$13*$AP$13</f>
        <v>0</v>
      </c>
      <c r="AQ65" s="13">
        <f>$I$13*$AQ$13</f>
        <v>0</v>
      </c>
      <c r="AR65" s="13">
        <f>$I$13*$AR$13</f>
        <v>0</v>
      </c>
      <c r="AS65" s="13">
        <f>$I$13*$AS$13</f>
        <v>0</v>
      </c>
      <c r="AT65" s="13">
        <f>$I$13*$AT$13</f>
        <v>0</v>
      </c>
      <c r="AU65" s="13">
        <f>$I$13*$AU$13</f>
        <v>0</v>
      </c>
      <c r="AV65" s="13">
        <f>$I$13*$AV$13</f>
        <v>0</v>
      </c>
      <c r="AW65" s="13">
        <f>$I$13*$AW$13</f>
        <v>0</v>
      </c>
      <c r="AX65" s="13">
        <f>$I$13*$AX$13</f>
        <v>0</v>
      </c>
      <c r="AY65" s="13">
        <f>$I$13*$AY$13</f>
        <v>0</v>
      </c>
      <c r="AZ65" s="13">
        <f>$I$13*$AZ$13</f>
        <v>0</v>
      </c>
      <c r="BA65" s="13">
        <f>$I$13*$BA$13</f>
        <v>0</v>
      </c>
      <c r="BB65" s="13">
        <f>$I$13*$BB$13</f>
        <v>0</v>
      </c>
      <c r="BC65" s="13">
        <f>$I$13*$BC$13</f>
        <v>0</v>
      </c>
      <c r="BD65" s="13">
        <f>$I$13*$BD$13</f>
        <v>0</v>
      </c>
    </row>
    <row r="66" spans="1:56" ht="11.25" customHeight="1" x14ac:dyDescent="0.25">
      <c r="A66" s="9" t="s">
        <v>38</v>
      </c>
      <c r="B66" s="9" t="s">
        <v>933</v>
      </c>
      <c r="C66" s="9" t="s">
        <v>934</v>
      </c>
      <c r="D66" s="9" t="s">
        <v>935</v>
      </c>
      <c r="E66" s="9" t="s">
        <v>941</v>
      </c>
      <c r="F66" s="9" t="s">
        <v>942</v>
      </c>
      <c r="G66" s="9" t="s">
        <v>944</v>
      </c>
      <c r="L66" s="13">
        <f>$I$14*$L$14</f>
        <v>0</v>
      </c>
      <c r="M66" s="13">
        <f>$I$14*$M$14</f>
        <v>0</v>
      </c>
      <c r="N66" s="13">
        <f ca="1">$I$14*$N$14</f>
        <v>0</v>
      </c>
      <c r="O66" s="13">
        <f>$I$14*$O$14</f>
        <v>0</v>
      </c>
      <c r="P66" s="13">
        <f>$I$14*$P$14</f>
        <v>0</v>
      </c>
      <c r="Q66" s="13">
        <f>$I$14*$Q$14</f>
        <v>0</v>
      </c>
      <c r="R66" s="13">
        <f>$I$14*$R$14</f>
        <v>0</v>
      </c>
      <c r="S66" s="13">
        <f>$I$14*$S$14</f>
        <v>0</v>
      </c>
      <c r="T66" s="13">
        <f>$I$14*$T$14</f>
        <v>0</v>
      </c>
      <c r="U66" s="13">
        <f>$I$14*$U$14</f>
        <v>0</v>
      </c>
      <c r="V66" s="13">
        <f>$I$14*$V$14</f>
        <v>0</v>
      </c>
      <c r="W66" s="13">
        <f>$I$14*$W$14</f>
        <v>0</v>
      </c>
      <c r="X66" s="13">
        <f>$I$14*$X$14</f>
        <v>0</v>
      </c>
      <c r="Y66" s="13">
        <f>$I$14*$Y$14</f>
        <v>0</v>
      </c>
      <c r="Z66" s="13">
        <f>$I$14*$Z$14</f>
        <v>0</v>
      </c>
      <c r="AA66" s="13">
        <f>$I$14*$AA$14</f>
        <v>0</v>
      </c>
      <c r="AB66" s="13">
        <f ca="1">$I$14*$AB$14</f>
        <v>0</v>
      </c>
      <c r="AC66" s="13">
        <f ca="1">$I$14*$AC$14</f>
        <v>0</v>
      </c>
      <c r="AD66" s="13">
        <f>$I$14*$AD$14</f>
        <v>0</v>
      </c>
      <c r="AE66" s="13">
        <f>$I$14*$AE$14</f>
        <v>0</v>
      </c>
      <c r="AF66" s="13">
        <f ca="1">$I$14*$AF$14</f>
        <v>0</v>
      </c>
      <c r="AG66" s="13">
        <f ca="1">$I$14*$AG$14</f>
        <v>0</v>
      </c>
      <c r="AI66" s="13">
        <f>$I$14*$AI$14</f>
        <v>0</v>
      </c>
      <c r="AJ66" s="13">
        <f>$I$14*$AJ$14</f>
        <v>0</v>
      </c>
      <c r="AK66" s="13">
        <f>$I$14*$AK$14</f>
        <v>0</v>
      </c>
      <c r="AL66" s="13">
        <f>$I$14*$AL$14</f>
        <v>0</v>
      </c>
      <c r="AM66" s="13">
        <f>$I$14*$AM$14</f>
        <v>0</v>
      </c>
      <c r="AN66" s="13">
        <f>$I$14*$AN$14</f>
        <v>0</v>
      </c>
      <c r="AO66" s="13">
        <f>$I$14*$AO$14</f>
        <v>0</v>
      </c>
      <c r="AP66" s="13">
        <f>$I$14*$AP$14</f>
        <v>0</v>
      </c>
      <c r="AQ66" s="13">
        <f>$I$14*$AQ$14</f>
        <v>0</v>
      </c>
      <c r="AR66" s="13">
        <f>$I$14*$AR$14</f>
        <v>0</v>
      </c>
      <c r="AS66" s="13">
        <f>$I$14*$AS$14</f>
        <v>0</v>
      </c>
      <c r="AT66" s="13">
        <f>$I$14*$AT$14</f>
        <v>0</v>
      </c>
      <c r="AU66" s="13">
        <f>$I$14*$AU$14</f>
        <v>0</v>
      </c>
      <c r="AV66" s="13">
        <f>$I$14*$AV$14</f>
        <v>0</v>
      </c>
      <c r="AW66" s="13">
        <f>$I$14*$AW$14</f>
        <v>0</v>
      </c>
      <c r="AX66" s="13">
        <f>$I$14*$AX$14</f>
        <v>0</v>
      </c>
      <c r="AY66" s="13">
        <f>$I$14*$AY$14</f>
        <v>0</v>
      </c>
      <c r="AZ66" s="13">
        <f>$I$14*$AZ$14</f>
        <v>0</v>
      </c>
      <c r="BA66" s="13">
        <f>$I$14*$BA$14</f>
        <v>0</v>
      </c>
      <c r="BB66" s="13">
        <f>$I$14*$BB$14</f>
        <v>0</v>
      </c>
      <c r="BC66" s="13">
        <f>$I$14*$BC$14</f>
        <v>0</v>
      </c>
      <c r="BD66" s="13">
        <f>$I$14*$BD$14</f>
        <v>0</v>
      </c>
    </row>
    <row r="67" spans="1:56" ht="11.25" customHeight="1" x14ac:dyDescent="0.25">
      <c r="A67" s="9" t="s">
        <v>85</v>
      </c>
      <c r="B67" s="9" t="s">
        <v>945</v>
      </c>
      <c r="C67" s="9" t="s">
        <v>946</v>
      </c>
      <c r="D67" s="9" t="s">
        <v>947</v>
      </c>
      <c r="E67" s="9" t="s">
        <v>948</v>
      </c>
      <c r="F67" s="9" t="s">
        <v>949</v>
      </c>
      <c r="G67" s="9" t="s">
        <v>950</v>
      </c>
      <c r="L67" s="13">
        <f>$I$15*$L$15</f>
        <v>0</v>
      </c>
      <c r="M67" s="13">
        <f>$I$15*$M$15</f>
        <v>2.2194518914431265E-10</v>
      </c>
      <c r="N67" s="13">
        <f ca="1">$I$15*$N$15</f>
        <v>5.7344894899116576E-10</v>
      </c>
      <c r="O67" s="13">
        <f>$I$15*$O$15</f>
        <v>0</v>
      </c>
      <c r="P67" s="13">
        <f>$I$15*$P$15</f>
        <v>0</v>
      </c>
      <c r="Q67" s="13">
        <f>$I$15*$Q$15</f>
        <v>0</v>
      </c>
      <c r="R67" s="13">
        <f>$I$15*$R$15</f>
        <v>0</v>
      </c>
      <c r="S67" s="13">
        <f>$I$15*$S$15</f>
        <v>0</v>
      </c>
      <c r="T67" s="13">
        <f>$I$15*$T$15</f>
        <v>0</v>
      </c>
      <c r="U67" s="13">
        <f>$I$15*$U$15</f>
        <v>0</v>
      </c>
      <c r="V67" s="13">
        <f>$I$15*$V$15</f>
        <v>0</v>
      </c>
      <c r="W67" s="13">
        <f>$I$15*$W$15</f>
        <v>0</v>
      </c>
      <c r="X67" s="13">
        <f>$I$15*$X$15</f>
        <v>0</v>
      </c>
      <c r="Y67" s="13">
        <f>$I$15*$Y$15</f>
        <v>0</v>
      </c>
      <c r="Z67" s="13">
        <f>$I$15*$Z$15</f>
        <v>0</v>
      </c>
      <c r="AA67" s="13">
        <f>$I$15*$AA$15</f>
        <v>5.9395877442934077E-8</v>
      </c>
      <c r="AB67" s="13">
        <f ca="1">$I$15*$AB$15</f>
        <v>-1.6618519195985643E-8</v>
      </c>
      <c r="AC67" s="13">
        <f ca="1">$I$15*$AC$15</f>
        <v>0</v>
      </c>
      <c r="AD67" s="13">
        <f>$I$15*$AD$15</f>
        <v>0</v>
      </c>
      <c r="AE67" s="13">
        <f>$I$15*$AE$15</f>
        <v>0</v>
      </c>
      <c r="AF67" s="13">
        <f ca="1">$I$15*$AF$15</f>
        <v>0</v>
      </c>
      <c r="AG67" s="13">
        <f ca="1">$I$15*$AG$15</f>
        <v>0</v>
      </c>
      <c r="AI67" s="13">
        <f>$I$15*$AI$15</f>
        <v>0</v>
      </c>
      <c r="AJ67" s="13">
        <f>$I$15*$AJ$15</f>
        <v>2.2382620705926799E-10</v>
      </c>
      <c r="AK67" s="13">
        <f>$I$15*$AK$15</f>
        <v>9.3621629789479904E-10</v>
      </c>
      <c r="AL67" s="13">
        <f>$I$15*$AL$15</f>
        <v>0</v>
      </c>
      <c r="AM67" s="13">
        <f>$I$15*$AM$15</f>
        <v>0</v>
      </c>
      <c r="AN67" s="13">
        <f>$I$15*$AN$15</f>
        <v>0</v>
      </c>
      <c r="AO67" s="13">
        <f>$I$15*$AO$15</f>
        <v>0</v>
      </c>
      <c r="AP67" s="13">
        <f>$I$15*$AP$15</f>
        <v>0</v>
      </c>
      <c r="AQ67" s="13">
        <f>$I$15*$AQ$15</f>
        <v>0</v>
      </c>
      <c r="AR67" s="13">
        <f>$I$15*$AR$15</f>
        <v>0</v>
      </c>
      <c r="AS67" s="13">
        <f>$I$15*$AS$15</f>
        <v>0</v>
      </c>
      <c r="AT67" s="13">
        <f>$I$15*$AT$15</f>
        <v>0</v>
      </c>
      <c r="AU67" s="13">
        <f>$I$15*$AU$15</f>
        <v>0</v>
      </c>
      <c r="AV67" s="13">
        <f>$I$15*$AV$15</f>
        <v>0</v>
      </c>
      <c r="AW67" s="13">
        <f>$I$15*$AW$15</f>
        <v>0</v>
      </c>
      <c r="AX67" s="13">
        <f>$I$15*$AX$15</f>
        <v>5.6410860408264795E-8</v>
      </c>
      <c r="AY67" s="13">
        <f>$I$15*$AY$15</f>
        <v>-2.45763356712905E-9</v>
      </c>
      <c r="AZ67" s="13">
        <f>$I$15*$AZ$15</f>
        <v>0</v>
      </c>
      <c r="BA67" s="13">
        <f>$I$15*$BA$15</f>
        <v>0</v>
      </c>
      <c r="BB67" s="13">
        <f>$I$15*$BB$15</f>
        <v>0</v>
      </c>
      <c r="BC67" s="13">
        <f>$I$15*$BC$15</f>
        <v>0</v>
      </c>
      <c r="BD67" s="13">
        <f>$I$15*$BD$15</f>
        <v>0</v>
      </c>
    </row>
    <row r="68" spans="1:56" ht="11.25" customHeight="1" x14ac:dyDescent="0.25">
      <c r="A68" s="9" t="s">
        <v>85</v>
      </c>
      <c r="B68" s="9" t="s">
        <v>945</v>
      </c>
      <c r="C68" s="9" t="s">
        <v>946</v>
      </c>
      <c r="D68" s="9" t="s">
        <v>947</v>
      </c>
      <c r="E68" s="9" t="s">
        <v>951</v>
      </c>
      <c r="F68" s="9" t="s">
        <v>952</v>
      </c>
      <c r="G68" s="9" t="s">
        <v>953</v>
      </c>
      <c r="L68" s="13">
        <f>$I$16*$L$16</f>
        <v>0</v>
      </c>
      <c r="M68" s="13">
        <f>$I$16*$M$16</f>
        <v>2.2194518914431265E-10</v>
      </c>
      <c r="N68" s="13">
        <f ca="1">$I$16*$N$16</f>
        <v>5.7344894899116576E-10</v>
      </c>
      <c r="O68" s="13">
        <f>$I$16*$O$16</f>
        <v>0</v>
      </c>
      <c r="P68" s="13">
        <f>$I$16*$P$16</f>
        <v>0</v>
      </c>
      <c r="Q68" s="13">
        <f>$I$16*$Q$16</f>
        <v>0</v>
      </c>
      <c r="R68" s="13">
        <f>$I$16*$R$16</f>
        <v>0</v>
      </c>
      <c r="S68" s="13">
        <f>$I$16*$S$16</f>
        <v>0</v>
      </c>
      <c r="T68" s="13">
        <f>$I$16*$T$16</f>
        <v>0</v>
      </c>
      <c r="U68" s="13">
        <f>$I$16*$U$16</f>
        <v>0</v>
      </c>
      <c r="V68" s="13">
        <f>$I$16*$V$16</f>
        <v>0</v>
      </c>
      <c r="W68" s="13">
        <f>$I$16*$W$16</f>
        <v>0</v>
      </c>
      <c r="X68" s="13">
        <f>$I$16*$X$16</f>
        <v>0</v>
      </c>
      <c r="Y68" s="13">
        <f>$I$16*$Y$16</f>
        <v>0</v>
      </c>
      <c r="Z68" s="13">
        <f>$I$16*$Z$16</f>
        <v>0</v>
      </c>
      <c r="AA68" s="13">
        <f>$I$16*$AA$16</f>
        <v>1.4318772159861586E-7</v>
      </c>
      <c r="AB68" s="13">
        <f ca="1">$I$16*$AB$16</f>
        <v>-3.9751591692998712E-8</v>
      </c>
      <c r="AC68" s="13">
        <f ca="1">$I$16*$AC$16</f>
        <v>0</v>
      </c>
      <c r="AD68" s="13">
        <f>$I$16*$AD$16</f>
        <v>0</v>
      </c>
      <c r="AE68" s="13">
        <f>$I$16*$AE$16</f>
        <v>0</v>
      </c>
      <c r="AF68" s="13">
        <f ca="1">$I$16*$AF$16</f>
        <v>0</v>
      </c>
      <c r="AG68" s="13">
        <f ca="1">$I$16*$AG$16</f>
        <v>0</v>
      </c>
      <c r="AI68" s="13">
        <f>$I$16*$AI$16</f>
        <v>0</v>
      </c>
      <c r="AJ68" s="13">
        <f>$I$16*$AJ$16</f>
        <v>2.2382620705926799E-10</v>
      </c>
      <c r="AK68" s="13">
        <f>$I$16*$AK$16</f>
        <v>9.3621629789479904E-10</v>
      </c>
      <c r="AL68" s="13">
        <f>$I$16*$AL$16</f>
        <v>0</v>
      </c>
      <c r="AM68" s="13">
        <f>$I$16*$AM$16</f>
        <v>0</v>
      </c>
      <c r="AN68" s="13">
        <f>$I$16*$AN$16</f>
        <v>0</v>
      </c>
      <c r="AO68" s="13">
        <f>$I$16*$AO$16</f>
        <v>0</v>
      </c>
      <c r="AP68" s="13">
        <f>$I$16*$AP$16</f>
        <v>0</v>
      </c>
      <c r="AQ68" s="13">
        <f>$I$16*$AQ$16</f>
        <v>0</v>
      </c>
      <c r="AR68" s="13">
        <f>$I$16*$AR$16</f>
        <v>0</v>
      </c>
      <c r="AS68" s="13">
        <f>$I$16*$AS$16</f>
        <v>0</v>
      </c>
      <c r="AT68" s="13">
        <f>$I$16*$AT$16</f>
        <v>0</v>
      </c>
      <c r="AU68" s="13">
        <f>$I$16*$AU$16</f>
        <v>0</v>
      </c>
      <c r="AV68" s="13">
        <f>$I$16*$AV$16</f>
        <v>0</v>
      </c>
      <c r="AW68" s="13">
        <f>$I$16*$AW$16</f>
        <v>0</v>
      </c>
      <c r="AX68" s="13">
        <f>$I$16*$AX$16</f>
        <v>1.35991636507727E-7</v>
      </c>
      <c r="AY68" s="13">
        <f>$I$16*$AY$16</f>
        <v>-5.85470482137881E-9</v>
      </c>
      <c r="AZ68" s="13">
        <f>$I$16*$AZ$16</f>
        <v>0</v>
      </c>
      <c r="BA68" s="13">
        <f>$I$16*$BA$16</f>
        <v>0</v>
      </c>
      <c r="BB68" s="13">
        <f>$I$16*$BB$16</f>
        <v>0</v>
      </c>
      <c r="BC68" s="13">
        <f>$I$16*$BC$16</f>
        <v>0</v>
      </c>
      <c r="BD68" s="13">
        <f>$I$16*$BD$16</f>
        <v>0</v>
      </c>
    </row>
    <row r="69" spans="1:56" ht="11.25" customHeight="1" x14ac:dyDescent="0.25">
      <c r="A69" s="9" t="s">
        <v>22</v>
      </c>
      <c r="B69" s="9" t="s">
        <v>954</v>
      </c>
      <c r="C69" s="9" t="s">
        <v>955</v>
      </c>
      <c r="D69" s="9" t="s">
        <v>956</v>
      </c>
      <c r="E69" s="9" t="s">
        <v>957</v>
      </c>
      <c r="F69" s="9" t="s">
        <v>958</v>
      </c>
      <c r="G69" s="9" t="s">
        <v>959</v>
      </c>
      <c r="L69" s="13">
        <f>$I$17*$L$17</f>
        <v>0</v>
      </c>
      <c r="M69" s="13">
        <f>$I$17*$M$17</f>
        <v>0.14751881889101973</v>
      </c>
      <c r="N69" s="13">
        <f ca="1">$I$17*$N$17</f>
        <v>1.4825186574355431</v>
      </c>
      <c r="O69" s="13">
        <f>$I$17*$O$17</f>
        <v>0</v>
      </c>
      <c r="P69" s="13">
        <f>$I$17*$P$17</f>
        <v>0</v>
      </c>
      <c r="Q69" s="13">
        <f>$I$17*$Q$17</f>
        <v>17.369585789197476</v>
      </c>
      <c r="R69" s="13">
        <f>$I$17*$R$17</f>
        <v>3.0693222222335637</v>
      </c>
      <c r="S69" s="13">
        <f>$I$17*$S$17</f>
        <v>0</v>
      </c>
      <c r="T69" s="13">
        <f>$I$17*$T$17</f>
        <v>0</v>
      </c>
      <c r="U69" s="13">
        <f>$I$17*$U$17</f>
        <v>0</v>
      </c>
      <c r="V69" s="13">
        <f>$I$17*$V$17</f>
        <v>0</v>
      </c>
      <c r="W69" s="13">
        <f>$I$17*$W$17</f>
        <v>0</v>
      </c>
      <c r="X69" s="13">
        <f>$I$17*$X$17</f>
        <v>61.25718677978481</v>
      </c>
      <c r="Y69" s="13">
        <f>$I$17*$Y$17</f>
        <v>0</v>
      </c>
      <c r="Z69" s="13">
        <f>$I$17*$Z$17</f>
        <v>0</v>
      </c>
      <c r="AA69" s="13">
        <f>$I$17*$AA$17</f>
        <v>92.739758535161926</v>
      </c>
      <c r="AB69" s="13">
        <f ca="1">$I$17*$AB$17</f>
        <v>-48.824373341161269</v>
      </c>
      <c r="AC69" s="13">
        <f ca="1">$I$17*$AC$17</f>
        <v>0</v>
      </c>
      <c r="AD69" s="13">
        <f>$I$17*$AD$17</f>
        <v>3.814040608046485</v>
      </c>
      <c r="AE69" s="13">
        <f>$I$17*$AE$17</f>
        <v>0.13085357854016896</v>
      </c>
      <c r="AF69" s="13">
        <f ca="1">$I$17*$AF$17</f>
        <v>0.73981075609733782</v>
      </c>
      <c r="AG69" s="13">
        <f ca="1">$I$17*$AG$17</f>
        <v>4.1006759122420473E-2</v>
      </c>
      <c r="AI69" s="13">
        <f>$I$17*$AI$17</f>
        <v>0</v>
      </c>
      <c r="AJ69" s="13">
        <f>$I$17*$AJ$17</f>
        <v>0.14091263005568952</v>
      </c>
      <c r="AK69" s="13">
        <f>$I$17*$AK$17</f>
        <v>2.4196607112585369</v>
      </c>
      <c r="AL69" s="13">
        <f>$I$17*$AL$17</f>
        <v>0</v>
      </c>
      <c r="AM69" s="13">
        <f>$I$17*$AM$17</f>
        <v>0</v>
      </c>
      <c r="AN69" s="13">
        <f>$I$17*$AN$17</f>
        <v>11.819592474269644</v>
      </c>
      <c r="AO69" s="13">
        <f>$I$17*$AO$17</f>
        <v>1.7726409635700375</v>
      </c>
      <c r="AP69" s="13">
        <f>$I$17*$AP$17</f>
        <v>0</v>
      </c>
      <c r="AQ69" s="13">
        <f>$I$17*$AQ$17</f>
        <v>0</v>
      </c>
      <c r="AR69" s="13">
        <f>$I$17*$AR$17</f>
        <v>0</v>
      </c>
      <c r="AS69" s="13">
        <f>$I$17*$AS$17</f>
        <v>0</v>
      </c>
      <c r="AT69" s="13">
        <f>$I$17*$AT$17</f>
        <v>0</v>
      </c>
      <c r="AU69" s="13">
        <f>$I$17*$AU$17</f>
        <v>58.432420577185745</v>
      </c>
      <c r="AV69" s="13">
        <f>$I$17*$AV$17</f>
        <v>0</v>
      </c>
      <c r="AW69" s="13">
        <f>$I$17*$AW$17</f>
        <v>0</v>
      </c>
      <c r="AX69" s="13">
        <f>$I$17*$AX$17</f>
        <v>88.079001409643539</v>
      </c>
      <c r="AY69" s="13">
        <f>$I$17*$AY$17</f>
        <v>-6.9926148984427821</v>
      </c>
      <c r="AZ69" s="13">
        <f>$I$17*$AZ$17</f>
        <v>0</v>
      </c>
      <c r="BA69" s="13">
        <f>$I$17*$BA$17</f>
        <v>4.1683671594149612</v>
      </c>
      <c r="BB69" s="13">
        <f>$I$17*$BB$17</f>
        <v>0.12925834894897423</v>
      </c>
      <c r="BC69" s="13">
        <f>$I$17*$BC$17</f>
        <v>0.84274419319379668</v>
      </c>
      <c r="BD69" s="13">
        <f>$I$17*$BD$17</f>
        <v>6.6908967831907515E-2</v>
      </c>
    </row>
    <row r="70" spans="1:56" ht="11.25" customHeight="1" x14ac:dyDescent="0.25">
      <c r="A70" s="9" t="s">
        <v>22</v>
      </c>
      <c r="B70" s="9" t="s">
        <v>954</v>
      </c>
      <c r="C70" s="9" t="s">
        <v>955</v>
      </c>
      <c r="D70" s="9" t="s">
        <v>956</v>
      </c>
      <c r="E70" s="9" t="s">
        <v>957</v>
      </c>
      <c r="F70" s="9" t="s">
        <v>958</v>
      </c>
      <c r="G70" s="9" t="s">
        <v>960</v>
      </c>
      <c r="L70" s="13">
        <f>$I$18*$L$18</f>
        <v>0</v>
      </c>
      <c r="M70" s="13">
        <f>$I$18*$M$18</f>
        <v>0.11280850856372097</v>
      </c>
      <c r="N70" s="13">
        <f ca="1">$I$18*$N$18</f>
        <v>0.70384474004697972</v>
      </c>
      <c r="O70" s="13">
        <f>$I$18*$O$18</f>
        <v>0</v>
      </c>
      <c r="P70" s="13">
        <f>$I$18*$P$18</f>
        <v>0</v>
      </c>
      <c r="Q70" s="13">
        <f>$I$18*$Q$18</f>
        <v>13.282624427033364</v>
      </c>
      <c r="R70" s="13">
        <f>$I$18*$R$18</f>
        <v>2.3471287581786076</v>
      </c>
      <c r="S70" s="13">
        <f>$I$18*$S$18</f>
        <v>0</v>
      </c>
      <c r="T70" s="13">
        <f>$I$18*$T$18</f>
        <v>0</v>
      </c>
      <c r="U70" s="13">
        <f>$I$18*$U$18</f>
        <v>0</v>
      </c>
      <c r="V70" s="13">
        <f>$I$18*$V$18</f>
        <v>0</v>
      </c>
      <c r="W70" s="13">
        <f>$I$18*$W$18</f>
        <v>0</v>
      </c>
      <c r="X70" s="13">
        <f>$I$18*$X$18</f>
        <v>28.10623219715924</v>
      </c>
      <c r="Y70" s="13">
        <f>$I$18*$Y$18</f>
        <v>0</v>
      </c>
      <c r="Z70" s="13">
        <f>$I$18*$Z$18</f>
        <v>0</v>
      </c>
      <c r="AA70" s="13">
        <f>$I$18*$AA$18</f>
        <v>42.551180526612065</v>
      </c>
      <c r="AB70" s="13">
        <f ca="1">$I$18*$AB$18</f>
        <v>-24.249364973101262</v>
      </c>
      <c r="AC70" s="13">
        <f ca="1">$I$18*$AC$18</f>
        <v>0</v>
      </c>
      <c r="AD70" s="13">
        <f>$I$18*$AD$18</f>
        <v>2.9166192885061357</v>
      </c>
      <c r="AE70" s="13">
        <f>$I$18*$AE$18</f>
        <v>0.10006450123659981</v>
      </c>
      <c r="AF70" s="13">
        <f ca="1">$I$18*$AF$18</f>
        <v>0.56573763701561131</v>
      </c>
      <c r="AG70" s="13">
        <f ca="1">$I$18*$AG$18</f>
        <v>3.135810991714507E-2</v>
      </c>
      <c r="AI70" s="13">
        <f>$I$18*$AI$18</f>
        <v>0</v>
      </c>
      <c r="AJ70" s="13">
        <f>$I$18*$AJ$18</f>
        <v>0.10775671710140963</v>
      </c>
      <c r="AK70" s="13">
        <f>$I$18*$AK$18</f>
        <v>1.1485595465347005</v>
      </c>
      <c r="AL70" s="13">
        <f>$I$18*$AL$18</f>
        <v>0</v>
      </c>
      <c r="AM70" s="13">
        <f>$I$18*$AM$18</f>
        <v>0</v>
      </c>
      <c r="AN70" s="13">
        <f>$I$18*$AN$18</f>
        <v>9.0385118920885503</v>
      </c>
      <c r="AO70" s="13">
        <f>$I$18*$AO$18</f>
        <v>1.3555489721417935</v>
      </c>
      <c r="AP70" s="13">
        <f>$I$18*$AP$18</f>
        <v>0</v>
      </c>
      <c r="AQ70" s="13">
        <f>$I$18*$AQ$18</f>
        <v>0</v>
      </c>
      <c r="AR70" s="13">
        <f>$I$18*$AR$18</f>
        <v>0</v>
      </c>
      <c r="AS70" s="13">
        <f>$I$18*$AS$18</f>
        <v>0</v>
      </c>
      <c r="AT70" s="13">
        <f>$I$18*$AT$18</f>
        <v>0</v>
      </c>
      <c r="AU70" s="13">
        <f>$I$18*$AU$18</f>
        <v>26.810163295426037</v>
      </c>
      <c r="AV70" s="13">
        <f>$I$18*$AV$18</f>
        <v>0</v>
      </c>
      <c r="AW70" s="13">
        <f>$I$18*$AW$18</f>
        <v>0</v>
      </c>
      <c r="AX70" s="13">
        <f>$I$18*$AX$18</f>
        <v>40.412715633332908</v>
      </c>
      <c r="AY70" s="13">
        <f>$I$18*$AY$18</f>
        <v>-3.4234994939682166</v>
      </c>
      <c r="AZ70" s="13">
        <f>$I$18*$AZ$18</f>
        <v>0</v>
      </c>
      <c r="BA70" s="13">
        <f>$I$18*$BA$18</f>
        <v>3.1875748866114408</v>
      </c>
      <c r="BB70" s="13">
        <f>$I$18*$BB$18</f>
        <v>9.8844619784509716E-2</v>
      </c>
      <c r="BC70" s="13">
        <f>$I$18*$BC$18</f>
        <v>0.64445144185407977</v>
      </c>
      <c r="BD70" s="13">
        <f>$I$18*$BD$18</f>
        <v>5.1165681283223401E-2</v>
      </c>
    </row>
    <row r="71" spans="1:56" ht="11.25" customHeight="1" x14ac:dyDescent="0.25">
      <c r="A71" s="9" t="s">
        <v>22</v>
      </c>
      <c r="B71" s="9" t="s">
        <v>954</v>
      </c>
      <c r="C71" s="9" t="s">
        <v>955</v>
      </c>
      <c r="D71" s="9" t="s">
        <v>956</v>
      </c>
      <c r="E71" s="9" t="s">
        <v>957</v>
      </c>
      <c r="F71" s="9" t="s">
        <v>958</v>
      </c>
      <c r="G71" s="9" t="s">
        <v>961</v>
      </c>
      <c r="L71" s="13">
        <f>$I$19*$L$19</f>
        <v>0</v>
      </c>
      <c r="M71" s="13">
        <f>$I$19*$M$19</f>
        <v>2.1294775385797782</v>
      </c>
      <c r="N71" s="13">
        <f ca="1">$I$19*$N$19</f>
        <v>5.1722557216907123</v>
      </c>
      <c r="O71" s="13">
        <f>$I$19*$O$19</f>
        <v>0</v>
      </c>
      <c r="P71" s="13">
        <f>$I$19*$P$19</f>
        <v>0</v>
      </c>
      <c r="Q71" s="13">
        <f>$I$19*$Q$19</f>
        <v>250.73507956876819</v>
      </c>
      <c r="R71" s="13">
        <f>$I$19*$R$19</f>
        <v>44.306569019771544</v>
      </c>
      <c r="S71" s="13">
        <f>$I$19*$S$19</f>
        <v>0</v>
      </c>
      <c r="T71" s="13">
        <f>$I$19*$T$19</f>
        <v>0</v>
      </c>
      <c r="U71" s="13">
        <f>$I$19*$U$19</f>
        <v>0</v>
      </c>
      <c r="V71" s="13">
        <f>$I$19*$V$19</f>
        <v>0</v>
      </c>
      <c r="W71" s="13">
        <f>$I$19*$W$19</f>
        <v>0</v>
      </c>
      <c r="X71" s="13">
        <f>$I$19*$X$19</f>
        <v>176.85316240896057</v>
      </c>
      <c r="Y71" s="13">
        <f>$I$19*$Y$19</f>
        <v>0</v>
      </c>
      <c r="Z71" s="13">
        <f>$I$19*$Z$19</f>
        <v>0</v>
      </c>
      <c r="AA71" s="13">
        <f>$I$19*$AA$19</f>
        <v>267.7450324116146</v>
      </c>
      <c r="AB71" s="13">
        <f ca="1">$I$19*$AB$19</f>
        <v>-210.71268928951241</v>
      </c>
      <c r="AC71" s="13">
        <f ca="1">$I$19*$AC$19</f>
        <v>0</v>
      </c>
      <c r="AD71" s="13">
        <f>$I$19*$AD$19</f>
        <v>55.056797953800412</v>
      </c>
      <c r="AE71" s="13">
        <f>$I$19*$AE$19</f>
        <v>1.888909892573968</v>
      </c>
      <c r="AF71" s="13">
        <f ca="1">$I$19*$AF$19</f>
        <v>10.67938585566392</v>
      </c>
      <c r="AG71" s="13">
        <f ca="1">$I$19*$AG$19</f>
        <v>0.59194462874364595</v>
      </c>
      <c r="AI71" s="13">
        <f>$I$19*$AI$19</f>
        <v>0</v>
      </c>
      <c r="AJ71" s="13">
        <f>$I$19*$AJ$19</f>
        <v>2.0341152597450702</v>
      </c>
      <c r="AK71" s="13">
        <f>$I$19*$AK$19</f>
        <v>8.4340305410361118</v>
      </c>
      <c r="AL71" s="13">
        <f>$I$19*$AL$19</f>
        <v>0</v>
      </c>
      <c r="AM71" s="13">
        <f>$I$19*$AM$19</f>
        <v>0</v>
      </c>
      <c r="AN71" s="13">
        <f>$I$19*$AN$19</f>
        <v>170.61929371680998</v>
      </c>
      <c r="AO71" s="13">
        <f>$I$19*$AO$19</f>
        <v>25.58859367412277</v>
      </c>
      <c r="AP71" s="13">
        <f>$I$19*$AP$19</f>
        <v>0</v>
      </c>
      <c r="AQ71" s="13">
        <f>$I$19*$AQ$19</f>
        <v>0</v>
      </c>
      <c r="AR71" s="13">
        <f>$I$19*$AR$19</f>
        <v>0</v>
      </c>
      <c r="AS71" s="13">
        <f>$I$19*$AS$19</f>
        <v>0</v>
      </c>
      <c r="AT71" s="13">
        <f>$I$19*$AT$19</f>
        <v>0</v>
      </c>
      <c r="AU71" s="13">
        <f>$I$19*$AU$19</f>
        <v>168.69789341511145</v>
      </c>
      <c r="AV71" s="13">
        <f>$I$19*$AV$19</f>
        <v>0</v>
      </c>
      <c r="AW71" s="13">
        <f>$I$19*$AW$19</f>
        <v>0</v>
      </c>
      <c r="AX71" s="13">
        <f>$I$19*$AX$19</f>
        <v>254.28915774312966</v>
      </c>
      <c r="AY71" s="13">
        <f>$I$19*$AY$19</f>
        <v>-28.309832739317059</v>
      </c>
      <c r="AZ71" s="13">
        <f>$I$19*$AZ$19</f>
        <v>0</v>
      </c>
      <c r="BA71" s="13">
        <f>$I$19*$BA$19</f>
        <v>60.171605936495943</v>
      </c>
      <c r="BB71" s="13">
        <f>$I$19*$BB$19</f>
        <v>1.8658822842398981</v>
      </c>
      <c r="BC71" s="13">
        <f>$I$19*$BC$19</f>
        <v>12.165260294691626</v>
      </c>
      <c r="BD71" s="13">
        <f>$I$19*$BD$19</f>
        <v>0.96585062976177061</v>
      </c>
    </row>
    <row r="72" spans="1:56" ht="11.25" customHeight="1" x14ac:dyDescent="0.25">
      <c r="A72" s="9" t="s">
        <v>22</v>
      </c>
      <c r="B72" s="9" t="s">
        <v>962</v>
      </c>
      <c r="C72" s="9" t="s">
        <v>963</v>
      </c>
      <c r="D72" s="9" t="s">
        <v>964</v>
      </c>
      <c r="E72" s="9" t="s">
        <v>965</v>
      </c>
      <c r="F72" s="9" t="s">
        <v>966</v>
      </c>
      <c r="G72" s="9" t="s">
        <v>967</v>
      </c>
      <c r="L72" s="13">
        <f>$I$20*$L$20</f>
        <v>0</v>
      </c>
      <c r="M72" s="13">
        <f>$I$20*$M$20</f>
        <v>9176.5218053822027</v>
      </c>
      <c r="N72" s="13">
        <f ca="1">$I$20*$N$20</f>
        <v>36025.459293088148</v>
      </c>
      <c r="O72" s="13">
        <f>$I$20*$O$20</f>
        <v>0</v>
      </c>
      <c r="P72" s="13">
        <f>$I$20*$P$20</f>
        <v>0</v>
      </c>
      <c r="Q72" s="13">
        <f>$I$20*$Q$20</f>
        <v>1080488.4688154899</v>
      </c>
      <c r="R72" s="13">
        <f>$I$20*$R$20</f>
        <v>190929.55401763361</v>
      </c>
      <c r="S72" s="13">
        <f>$I$20*$S$20</f>
        <v>0</v>
      </c>
      <c r="T72" s="13">
        <f>$I$20*$T$20</f>
        <v>0</v>
      </c>
      <c r="U72" s="13">
        <f>$I$20*$U$20</f>
        <v>0</v>
      </c>
      <c r="V72" s="13">
        <f>$I$20*$V$20</f>
        <v>0</v>
      </c>
      <c r="W72" s="13">
        <f>$I$20*$W$20</f>
        <v>0</v>
      </c>
      <c r="X72" s="13">
        <f>$I$20*$X$20</f>
        <v>1360910.5212439315</v>
      </c>
      <c r="Y72" s="13">
        <f>$I$20*$Y$20</f>
        <v>0</v>
      </c>
      <c r="Z72" s="13">
        <f>$I$20*$Z$20</f>
        <v>0</v>
      </c>
      <c r="AA72" s="13">
        <f>$I$20*$AA$20</f>
        <v>2060339.111102534</v>
      </c>
      <c r="AB72" s="13">
        <f ca="1">$I$20*$AB$20</f>
        <v>-1326244.0922518594</v>
      </c>
      <c r="AC72" s="13">
        <f ca="1">$I$20*$AC$20</f>
        <v>0</v>
      </c>
      <c r="AD72" s="13">
        <f>$I$20*$AD$20</f>
        <v>237255.33507835306</v>
      </c>
      <c r="AE72" s="13">
        <f>$I$20*$AE$20</f>
        <v>8139.8476873193795</v>
      </c>
      <c r="AF72" s="13">
        <f ca="1">$I$20*$AF$20</f>
        <v>46020.498172499894</v>
      </c>
      <c r="AG72" s="13">
        <f ca="1">$I$20*$AG$20</f>
        <v>2550.8570505363127</v>
      </c>
      <c r="AI72" s="13">
        <f>$I$20*$AI$20</f>
        <v>0</v>
      </c>
      <c r="AJ72" s="13">
        <f>$I$20*$AJ$20</f>
        <v>8765.578738229091</v>
      </c>
      <c r="AK72" s="13">
        <f>$I$20*$AK$20</f>
        <v>58771.320251267513</v>
      </c>
      <c r="AL72" s="13">
        <f>$I$20*$AL$20</f>
        <v>0</v>
      </c>
      <c r="AM72" s="13">
        <f>$I$20*$AM$20</f>
        <v>0</v>
      </c>
      <c r="AN72" s="13">
        <f>$I$20*$AN$20</f>
        <v>735246.85790084978</v>
      </c>
      <c r="AO72" s="13">
        <f>$I$20*$AO$20</f>
        <v>110268.49711514611</v>
      </c>
      <c r="AP72" s="13">
        <f>$I$20*$AP$20</f>
        <v>0</v>
      </c>
      <c r="AQ72" s="13">
        <f>$I$20*$AQ$20</f>
        <v>0</v>
      </c>
      <c r="AR72" s="13">
        <f>$I$20*$AR$20</f>
        <v>0</v>
      </c>
      <c r="AS72" s="13">
        <f>$I$20*$AS$20</f>
        <v>0</v>
      </c>
      <c r="AT72" s="13">
        <f>$I$20*$AT$20</f>
        <v>0</v>
      </c>
      <c r="AU72" s="13">
        <f>$I$20*$AU$20</f>
        <v>1298154.5533769878</v>
      </c>
      <c r="AV72" s="13">
        <f>$I$20*$AV$20</f>
        <v>0</v>
      </c>
      <c r="AW72" s="13">
        <f>$I$20*$AW$20</f>
        <v>0</v>
      </c>
      <c r="AX72" s="13">
        <f>$I$20*$AX$20</f>
        <v>1956794.0906632761</v>
      </c>
      <c r="AY72" s="13">
        <f>$I$20*$AY$20</f>
        <v>-183474.47401372861</v>
      </c>
      <c r="AZ72" s="13">
        <f>$I$20*$AZ$20</f>
        <v>0</v>
      </c>
      <c r="BA72" s="13">
        <f>$I$20*$BA$20</f>
        <v>259296.49124610107</v>
      </c>
      <c r="BB72" s="13">
        <f>$I$20*$BB$20</f>
        <v>8040.6152013339561</v>
      </c>
      <c r="BC72" s="13">
        <f>$I$20*$BC$20</f>
        <v>52423.55194638075</v>
      </c>
      <c r="BD72" s="13">
        <f>$I$20*$BD$20</f>
        <v>4162.123903247254</v>
      </c>
    </row>
    <row r="73" spans="1:56" ht="11.25" customHeight="1" x14ac:dyDescent="0.25">
      <c r="A73" s="9" t="s">
        <v>22</v>
      </c>
      <c r="B73" s="9" t="s">
        <v>962</v>
      </c>
      <c r="C73" s="9" t="s">
        <v>963</v>
      </c>
      <c r="D73" s="9" t="s">
        <v>968</v>
      </c>
      <c r="E73" s="9" t="s">
        <v>969</v>
      </c>
      <c r="F73" s="9" t="s">
        <v>970</v>
      </c>
      <c r="G73" s="9" t="s">
        <v>971</v>
      </c>
      <c r="L73" s="13">
        <f>$I$21*$L$21</f>
        <v>0</v>
      </c>
      <c r="M73" s="13">
        <f>$I$21*$M$21</f>
        <v>62.146207367753874</v>
      </c>
      <c r="N73" s="13">
        <f ca="1">$I$21*$N$21</f>
        <v>243.23275665259891</v>
      </c>
      <c r="O73" s="13">
        <f>$I$21*$O$21</f>
        <v>0</v>
      </c>
      <c r="P73" s="13">
        <f>$I$21*$P$21</f>
        <v>0</v>
      </c>
      <c r="Q73" s="13">
        <f>$I$21*$Q$21</f>
        <v>0</v>
      </c>
      <c r="R73" s="13">
        <f>$I$21*$R$21</f>
        <v>0</v>
      </c>
      <c r="S73" s="13">
        <f>$I$21*$S$21</f>
        <v>0</v>
      </c>
      <c r="T73" s="13">
        <f>$I$21*$T$21</f>
        <v>0</v>
      </c>
      <c r="U73" s="13">
        <f>$I$21*$U$21</f>
        <v>0</v>
      </c>
      <c r="V73" s="13">
        <f>$I$21*$V$21</f>
        <v>0</v>
      </c>
      <c r="W73" s="13">
        <f>$I$21*$W$21</f>
        <v>0</v>
      </c>
      <c r="X73" s="13">
        <f>$I$21*$X$21</f>
        <v>9216.5015520998695</v>
      </c>
      <c r="Y73" s="13">
        <f>$I$21*$Y$21</f>
        <v>0</v>
      </c>
      <c r="Z73" s="13">
        <f>$I$21*$Z$21</f>
        <v>0</v>
      </c>
      <c r="AA73" s="13">
        <f>$I$21*$AA$21</f>
        <v>13953.245506524328</v>
      </c>
      <c r="AB73" s="13">
        <f ca="1">$I$21*$AB$21</f>
        <v>-6940.8964207702147</v>
      </c>
      <c r="AC73" s="13">
        <f ca="1">$I$21*$AC$21</f>
        <v>0</v>
      </c>
      <c r="AD73" s="13">
        <f>$I$21*$AD$21</f>
        <v>1606.7655660380296</v>
      </c>
      <c r="AE73" s="13">
        <f>$I$21*$AE$21</f>
        <v>55.125533731242811</v>
      </c>
      <c r="AF73" s="13">
        <f ca="1">$I$21*$AF$21</f>
        <v>311.6648642319002</v>
      </c>
      <c r="AG73" s="13">
        <f ca="1">$I$21*$AG$21</f>
        <v>17.275182753355214</v>
      </c>
      <c r="AI73" s="13">
        <f>$I$21*$AI$21</f>
        <v>0</v>
      </c>
      <c r="AJ73" s="13">
        <f>$I$21*$AJ$21</f>
        <v>59.363175451166562</v>
      </c>
      <c r="AK73" s="13">
        <f>$I$21*$AK$21</f>
        <v>396.80486496761256</v>
      </c>
      <c r="AL73" s="13">
        <f>$I$21*$AL$21</f>
        <v>0</v>
      </c>
      <c r="AM73" s="13">
        <f>$I$21*$AM$21</f>
        <v>0</v>
      </c>
      <c r="AN73" s="13">
        <f>$I$21*$AN$21</f>
        <v>0</v>
      </c>
      <c r="AO73" s="13">
        <f>$I$21*$AO$21</f>
        <v>0</v>
      </c>
      <c r="AP73" s="13">
        <f>$I$21*$AP$21</f>
        <v>0</v>
      </c>
      <c r="AQ73" s="13">
        <f>$I$21*$AQ$21</f>
        <v>0</v>
      </c>
      <c r="AR73" s="13">
        <f>$I$21*$AR$21</f>
        <v>0</v>
      </c>
      <c r="AS73" s="13">
        <f>$I$21*$AS$21</f>
        <v>0</v>
      </c>
      <c r="AT73" s="13">
        <f>$I$21*$AT$21</f>
        <v>0</v>
      </c>
      <c r="AU73" s="13">
        <f>$I$21*$AU$21</f>
        <v>8791.4989775584327</v>
      </c>
      <c r="AV73" s="13">
        <f>$I$21*$AV$21</f>
        <v>0</v>
      </c>
      <c r="AW73" s="13">
        <f>$I$21*$AW$21</f>
        <v>0</v>
      </c>
      <c r="AX73" s="13">
        <f>$I$21*$AX$21</f>
        <v>13252.007014578241</v>
      </c>
      <c r="AY73" s="13">
        <f>$I$21*$AY$21</f>
        <v>-1020.8878841217402</v>
      </c>
      <c r="AZ73" s="13">
        <f>$I$21*$AZ$21</f>
        <v>0</v>
      </c>
      <c r="BA73" s="13">
        <f>$I$21*$BA$21</f>
        <v>1756.0350050342402</v>
      </c>
      <c r="BB73" s="13">
        <f>$I$21*$BB$21</f>
        <v>54.453501039286479</v>
      </c>
      <c r="BC73" s="13">
        <f>$I$21*$BC$21</f>
        <v>355.02829931741206</v>
      </c>
      <c r="BD73" s="13">
        <f>$I$21*$BD$21</f>
        <v>28.187173818927754</v>
      </c>
    </row>
    <row r="74" spans="1:56" ht="11.25" customHeight="1" x14ac:dyDescent="0.25">
      <c r="A74" s="9" t="s">
        <v>22</v>
      </c>
      <c r="B74" s="9" t="s">
        <v>962</v>
      </c>
      <c r="C74" s="9" t="s">
        <v>963</v>
      </c>
      <c r="D74" s="9" t="s">
        <v>972</v>
      </c>
      <c r="E74" s="9" t="s">
        <v>973</v>
      </c>
      <c r="F74" s="9" t="s">
        <v>974</v>
      </c>
      <c r="G74" s="9" t="s">
        <v>975</v>
      </c>
      <c r="L74" s="13">
        <f>$I$22*$L$22</f>
        <v>0</v>
      </c>
      <c r="M74" s="13">
        <f>$I$22*$M$22</f>
        <v>196.05407227012989</v>
      </c>
      <c r="N74" s="13">
        <f ca="1">$I$22*$N$22</f>
        <v>767.33198164519092</v>
      </c>
      <c r="O74" s="13">
        <f>$I$22*$O$22</f>
        <v>0</v>
      </c>
      <c r="P74" s="13">
        <f>$I$22*$P$22</f>
        <v>0</v>
      </c>
      <c r="Q74" s="13">
        <f>$I$22*$Q$22</f>
        <v>0</v>
      </c>
      <c r="R74" s="13">
        <f>$I$22*$R$22</f>
        <v>0</v>
      </c>
      <c r="S74" s="13">
        <f>$I$22*$S$22</f>
        <v>0</v>
      </c>
      <c r="T74" s="13">
        <f>$I$22*$T$22</f>
        <v>0</v>
      </c>
      <c r="U74" s="13">
        <f>$I$22*$U$22</f>
        <v>0</v>
      </c>
      <c r="V74" s="13">
        <f>$I$22*$V$22</f>
        <v>0</v>
      </c>
      <c r="W74" s="13">
        <f>$I$22*$W$22</f>
        <v>0</v>
      </c>
      <c r="X74" s="13">
        <f>$I$22*$X$22</f>
        <v>29075.509800308824</v>
      </c>
      <c r="Y74" s="13">
        <f>$I$22*$Y$22</f>
        <v>0</v>
      </c>
      <c r="Z74" s="13">
        <f>$I$22*$Z$22</f>
        <v>0</v>
      </c>
      <c r="AA74" s="13">
        <f>$I$22*$AA$22</f>
        <v>44018.6250908437</v>
      </c>
      <c r="AB74" s="13">
        <f ca="1">$I$22*$AB$22</f>
        <v>-21896.60586115269</v>
      </c>
      <c r="AC74" s="13">
        <f ca="1">$I$22*$AC$22</f>
        <v>0</v>
      </c>
      <c r="AD74" s="13">
        <f>$I$22*$AD$22</f>
        <v>5068.9003520531569</v>
      </c>
      <c r="AE74" s="13">
        <f>$I$22*$AE$22</f>
        <v>173.90579138836316</v>
      </c>
      <c r="AF74" s="13">
        <f ca="1">$I$22*$AF$22</f>
        <v>983.21632814372038</v>
      </c>
      <c r="AG74" s="13">
        <f ca="1">$I$22*$AG$22</f>
        <v>54.498417062911038</v>
      </c>
      <c r="AI74" s="13">
        <f>$I$22*$AI$22</f>
        <v>0</v>
      </c>
      <c r="AJ74" s="13">
        <f>$I$22*$AJ$22</f>
        <v>187.27437736009421</v>
      </c>
      <c r="AK74" s="13">
        <f>$I$22*$AK$22</f>
        <v>1251.8094501429794</v>
      </c>
      <c r="AL74" s="13">
        <f>$I$22*$AL$22</f>
        <v>0</v>
      </c>
      <c r="AM74" s="13">
        <f>$I$22*$AM$22</f>
        <v>0</v>
      </c>
      <c r="AN74" s="13">
        <f>$I$22*$AN$22</f>
        <v>0</v>
      </c>
      <c r="AO74" s="13">
        <f>$I$22*$AO$22</f>
        <v>0</v>
      </c>
      <c r="AP74" s="13">
        <f>$I$22*$AP$22</f>
        <v>0</v>
      </c>
      <c r="AQ74" s="13">
        <f>$I$22*$AQ$22</f>
        <v>0</v>
      </c>
      <c r="AR74" s="13">
        <f>$I$22*$AR$22</f>
        <v>0</v>
      </c>
      <c r="AS74" s="13">
        <f>$I$22*$AS$22</f>
        <v>0</v>
      </c>
      <c r="AT74" s="13">
        <f>$I$22*$AT$22</f>
        <v>0</v>
      </c>
      <c r="AU74" s="13">
        <f>$I$22*$AU$22</f>
        <v>27734.744386080627</v>
      </c>
      <c r="AV74" s="13">
        <f>$I$22*$AV$22</f>
        <v>0</v>
      </c>
      <c r="AW74" s="13">
        <f>$I$22*$AW$22</f>
        <v>0</v>
      </c>
      <c r="AX74" s="13">
        <f>$I$22*$AX$22</f>
        <v>41806.411863332396</v>
      </c>
      <c r="AY74" s="13">
        <f>$I$22*$AY$22</f>
        <v>-3220.6185299274798</v>
      </c>
      <c r="AZ74" s="13">
        <f>$I$22*$AZ$22</f>
        <v>0</v>
      </c>
      <c r="BA74" s="13">
        <f>$I$22*$BA$22</f>
        <v>5539.8040905147582</v>
      </c>
      <c r="BB74" s="13">
        <f>$I$22*$BB$22</f>
        <v>171.78571437099922</v>
      </c>
      <c r="BC74" s="13">
        <f>$I$22*$BC$22</f>
        <v>1120.015955928365</v>
      </c>
      <c r="BD74" s="13">
        <f>$I$22*$BD$22</f>
        <v>88.922726696499851</v>
      </c>
    </row>
    <row r="75" spans="1:56" ht="11.25" customHeight="1" x14ac:dyDescent="0.25">
      <c r="A75" s="9" t="s">
        <v>22</v>
      </c>
      <c r="B75" s="9" t="s">
        <v>962</v>
      </c>
      <c r="C75" s="9" t="s">
        <v>963</v>
      </c>
      <c r="D75" s="9" t="s">
        <v>976</v>
      </c>
      <c r="E75" s="9" t="s">
        <v>977</v>
      </c>
      <c r="F75" s="9" t="s">
        <v>978</v>
      </c>
      <c r="G75" s="9" t="s">
        <v>979</v>
      </c>
      <c r="L75" s="13">
        <f>$I$23*$L$23</f>
        <v>0</v>
      </c>
      <c r="M75" s="13">
        <f>$I$23*$M$23</f>
        <v>129.87496072122298</v>
      </c>
      <c r="N75" s="13">
        <f ca="1">$I$23*$N$23</f>
        <v>508.31492466525424</v>
      </c>
      <c r="O75" s="13">
        <f>$I$23*$O$23</f>
        <v>0</v>
      </c>
      <c r="P75" s="13">
        <f>$I$23*$P$23</f>
        <v>0</v>
      </c>
      <c r="Q75" s="13">
        <f>$I$23*$Q$23</f>
        <v>0</v>
      </c>
      <c r="R75" s="13">
        <f>$I$23*$R$23</f>
        <v>0</v>
      </c>
      <c r="S75" s="13">
        <f>$I$23*$S$23</f>
        <v>0</v>
      </c>
      <c r="T75" s="13">
        <f>$I$23*$T$23</f>
        <v>0</v>
      </c>
      <c r="U75" s="13">
        <f>$I$23*$U$23</f>
        <v>0</v>
      </c>
      <c r="V75" s="13">
        <f>$I$23*$V$23</f>
        <v>0</v>
      </c>
      <c r="W75" s="13">
        <f>$I$23*$W$23</f>
        <v>0</v>
      </c>
      <c r="X75" s="13">
        <f>$I$23*$X$23</f>
        <v>19260.91434643446</v>
      </c>
      <c r="Y75" s="13">
        <f>$I$23*$Y$23</f>
        <v>0</v>
      </c>
      <c r="Z75" s="13">
        <f>$I$23*$Z$23</f>
        <v>0</v>
      </c>
      <c r="AA75" s="13">
        <f>$I$23*$AA$23</f>
        <v>29159.900319737335</v>
      </c>
      <c r="AB75" s="13">
        <f ca="1">$I$23*$AB$23</f>
        <v>-14505.288225928787</v>
      </c>
      <c r="AC75" s="13">
        <f ca="1">$I$23*$AC$23</f>
        <v>0</v>
      </c>
      <c r="AD75" s="13">
        <f>$I$23*$AD$23</f>
        <v>3357.8656464510318</v>
      </c>
      <c r="AE75" s="13">
        <f>$I$23*$AE$23</f>
        <v>115.20295173791192</v>
      </c>
      <c r="AF75" s="13">
        <f ca="1">$I$23*$AF$23</f>
        <v>651.3263433885121</v>
      </c>
      <c r="AG75" s="13">
        <f ca="1">$I$23*$AG$23</f>
        <v>36.102181880017881</v>
      </c>
      <c r="AI75" s="13">
        <f>$I$23*$AI$23</f>
        <v>0</v>
      </c>
      <c r="AJ75" s="13">
        <f>$I$23*$AJ$23</f>
        <v>124.05889927255225</v>
      </c>
      <c r="AK75" s="13">
        <f>$I$23*$AK$23</f>
        <v>829.25440560994286</v>
      </c>
      <c r="AL75" s="13">
        <f>$I$23*$AL$23</f>
        <v>0</v>
      </c>
      <c r="AM75" s="13">
        <f>$I$23*$AM$23</f>
        <v>0</v>
      </c>
      <c r="AN75" s="13">
        <f>$I$23*$AN$23</f>
        <v>0</v>
      </c>
      <c r="AO75" s="13">
        <f>$I$23*$AO$23</f>
        <v>0</v>
      </c>
      <c r="AP75" s="13">
        <f>$I$23*$AP$23</f>
        <v>0</v>
      </c>
      <c r="AQ75" s="13">
        <f>$I$23*$AQ$23</f>
        <v>0</v>
      </c>
      <c r="AR75" s="13">
        <f>$I$23*$AR$23</f>
        <v>0</v>
      </c>
      <c r="AS75" s="13">
        <f>$I$23*$AS$23</f>
        <v>0</v>
      </c>
      <c r="AT75" s="13">
        <f>$I$23*$AT$23</f>
        <v>0</v>
      </c>
      <c r="AU75" s="13">
        <f>$I$23*$AU$23</f>
        <v>18372.731543124297</v>
      </c>
      <c r="AV75" s="13">
        <f>$I$23*$AV$23</f>
        <v>0</v>
      </c>
      <c r="AW75" s="13">
        <f>$I$23*$AW$23</f>
        <v>0</v>
      </c>
      <c r="AX75" s="13">
        <f>$I$23*$AX$23</f>
        <v>27694.431621723663</v>
      </c>
      <c r="AY75" s="13">
        <f>$I$23*$AY$23</f>
        <v>-2133.4813412906656</v>
      </c>
      <c r="AZ75" s="13">
        <f>$I$23*$AZ$23</f>
        <v>0</v>
      </c>
      <c r="BA75" s="13">
        <f>$I$23*$BA$23</f>
        <v>3669.8132832841561</v>
      </c>
      <c r="BB75" s="13">
        <f>$I$23*$BB$23</f>
        <v>113.79851817441656</v>
      </c>
      <c r="BC75" s="13">
        <f>$I$23*$BC$23</f>
        <v>741.94851756467006</v>
      </c>
      <c r="BD75" s="13">
        <f>$I$23*$BD$23</f>
        <v>58.906379771696805</v>
      </c>
    </row>
    <row r="76" spans="1:56" ht="11.25" customHeight="1" x14ac:dyDescent="0.25">
      <c r="A76" s="9" t="s">
        <v>22</v>
      </c>
      <c r="B76" s="9" t="s">
        <v>962</v>
      </c>
      <c r="C76" s="9" t="s">
        <v>963</v>
      </c>
      <c r="D76" s="9" t="s">
        <v>980</v>
      </c>
      <c r="E76" s="9" t="s">
        <v>981</v>
      </c>
      <c r="F76" s="9" t="s">
        <v>982</v>
      </c>
      <c r="G76" s="9" t="s">
        <v>983</v>
      </c>
      <c r="L76" s="13">
        <f>$I$24*$L$24</f>
        <v>0</v>
      </c>
      <c r="M76" s="13">
        <f>$I$24*$M$24</f>
        <v>15.45216239995522</v>
      </c>
      <c r="N76" s="13">
        <f ca="1">$I$24*$N$24</f>
        <v>60.477899070232326</v>
      </c>
      <c r="O76" s="13">
        <f>$I$24*$O$24</f>
        <v>0</v>
      </c>
      <c r="P76" s="13">
        <f>$I$24*$P$24</f>
        <v>0</v>
      </c>
      <c r="Q76" s="13">
        <f>$I$24*$Q$24</f>
        <v>0</v>
      </c>
      <c r="R76" s="13">
        <f>$I$24*$R$24</f>
        <v>0</v>
      </c>
      <c r="S76" s="13">
        <f>$I$24*$S$24</f>
        <v>0</v>
      </c>
      <c r="T76" s="13">
        <f>$I$24*$T$24</f>
        <v>0</v>
      </c>
      <c r="U76" s="13">
        <f>$I$24*$U$24</f>
        <v>0</v>
      </c>
      <c r="V76" s="13">
        <f>$I$24*$V$24</f>
        <v>0</v>
      </c>
      <c r="W76" s="13">
        <f>$I$24*$W$24</f>
        <v>0</v>
      </c>
      <c r="X76" s="13">
        <f>$I$24*$X$24</f>
        <v>2291.6101363955818</v>
      </c>
      <c r="Y76" s="13">
        <f>$I$24*$Y$24</f>
        <v>0</v>
      </c>
      <c r="Z76" s="13">
        <f>$I$24*$Z$24</f>
        <v>0</v>
      </c>
      <c r="AA76" s="13">
        <f>$I$24*$AA$24</f>
        <v>3469.3640160112645</v>
      </c>
      <c r="AB76" s="13">
        <f ca="1">$I$24*$AB$24</f>
        <v>-1725.7989383059221</v>
      </c>
      <c r="AC76" s="13">
        <f ca="1">$I$24*$AC$24</f>
        <v>0</v>
      </c>
      <c r="AD76" s="13">
        <f>$I$24*$AD$24</f>
        <v>399.50953592637489</v>
      </c>
      <c r="AE76" s="13">
        <f>$I$24*$AE$24</f>
        <v>13.706527488616402</v>
      </c>
      <c r="AF76" s="13">
        <f ca="1">$I$24*$AF$24</f>
        <v>77.493000787207592</v>
      </c>
      <c r="AG76" s="13">
        <f ca="1">$I$24*$AG$24</f>
        <v>4.2953374099584778</v>
      </c>
      <c r="AI76" s="13">
        <f>$I$24*$AI$24</f>
        <v>0</v>
      </c>
      <c r="AJ76" s="13">
        <f>$I$24*$AJ$24</f>
        <v>14.760183549421544</v>
      </c>
      <c r="AK76" s="13">
        <f>$I$24*$AK$24</f>
        <v>98.662387847554143</v>
      </c>
      <c r="AL76" s="13">
        <f>$I$24*$AL$24</f>
        <v>0</v>
      </c>
      <c r="AM76" s="13">
        <f>$I$24*$AM$24</f>
        <v>0</v>
      </c>
      <c r="AN76" s="13">
        <f>$I$24*$AN$24</f>
        <v>0</v>
      </c>
      <c r="AO76" s="13">
        <f>$I$24*$AO$24</f>
        <v>0</v>
      </c>
      <c r="AP76" s="13">
        <f>$I$24*$AP$24</f>
        <v>0</v>
      </c>
      <c r="AQ76" s="13">
        <f>$I$24*$AQ$24</f>
        <v>0</v>
      </c>
      <c r="AR76" s="13">
        <f>$I$24*$AR$24</f>
        <v>0</v>
      </c>
      <c r="AS76" s="13">
        <f>$I$24*$AS$24</f>
        <v>0</v>
      </c>
      <c r="AT76" s="13">
        <f>$I$24*$AT$24</f>
        <v>0</v>
      </c>
      <c r="AU76" s="13">
        <f>$I$24*$AU$24</f>
        <v>2185.9366113266792</v>
      </c>
      <c r="AV76" s="13">
        <f>$I$24*$AV$24</f>
        <v>0</v>
      </c>
      <c r="AW76" s="13">
        <f>$I$24*$AW$24</f>
        <v>0</v>
      </c>
      <c r="AX76" s="13">
        <f>$I$24*$AX$24</f>
        <v>3295.0066172639886</v>
      </c>
      <c r="AY76" s="13">
        <f>$I$24*$AY$24</f>
        <v>-253.83568918770541</v>
      </c>
      <c r="AZ76" s="13">
        <f>$I$24*$AZ$24</f>
        <v>0</v>
      </c>
      <c r="BA76" s="13">
        <f>$I$24*$BA$24</f>
        <v>436.62420004530696</v>
      </c>
      <c r="BB76" s="13">
        <f>$I$24*$BB$24</f>
        <v>13.539431880790492</v>
      </c>
      <c r="BC76" s="13">
        <f>$I$24*$BC$24</f>
        <v>88.274975577658424</v>
      </c>
      <c r="BD76" s="13">
        <f>$I$24*$BD$24</f>
        <v>7.0085175893104523</v>
      </c>
    </row>
    <row r="77" spans="1:56" ht="11.25" customHeight="1" x14ac:dyDescent="0.25">
      <c r="A77" s="9" t="s">
        <v>22</v>
      </c>
      <c r="B77" s="9" t="s">
        <v>984</v>
      </c>
      <c r="C77" s="9" t="s">
        <v>985</v>
      </c>
      <c r="D77" s="9" t="s">
        <v>986</v>
      </c>
      <c r="E77" s="9" t="s">
        <v>987</v>
      </c>
      <c r="F77" s="9" t="s">
        <v>988</v>
      </c>
      <c r="G77" s="9" t="s">
        <v>989</v>
      </c>
      <c r="L77" s="13">
        <f>$I$25*$L$25</f>
        <v>0</v>
      </c>
      <c r="M77" s="13">
        <f>$I$25*$M$25</f>
        <v>0</v>
      </c>
      <c r="N77" s="13">
        <f ca="1">$I$25*$N$25</f>
        <v>0</v>
      </c>
      <c r="O77" s="13">
        <f>$I$25*$O$25</f>
        <v>0</v>
      </c>
      <c r="P77" s="13">
        <f>$I$25*$P$25</f>
        <v>0</v>
      </c>
      <c r="Q77" s="13">
        <f>$I$25*$Q$25</f>
        <v>0</v>
      </c>
      <c r="R77" s="13">
        <f>$I$25*$R$25</f>
        <v>0</v>
      </c>
      <c r="S77" s="13">
        <f>$I$25*$S$25</f>
        <v>0</v>
      </c>
      <c r="T77" s="13">
        <f>$I$25*$T$25</f>
        <v>0</v>
      </c>
      <c r="U77" s="13">
        <f>$I$25*$U$25</f>
        <v>0</v>
      </c>
      <c r="V77" s="13">
        <f>$I$25*$V$25</f>
        <v>0</v>
      </c>
      <c r="W77" s="13">
        <f>$I$25*$W$25</f>
        <v>0</v>
      </c>
      <c r="X77" s="13">
        <f>$I$25*$X$25</f>
        <v>0</v>
      </c>
      <c r="Y77" s="13">
        <f>$I$25*$Y$25</f>
        <v>0</v>
      </c>
      <c r="Z77" s="13">
        <f>$I$25*$Z$25</f>
        <v>0</v>
      </c>
      <c r="AA77" s="13">
        <f>$I$25*$AA$25</f>
        <v>0</v>
      </c>
      <c r="AB77" s="13">
        <f ca="1">$I$25*$AB$25</f>
        <v>0</v>
      </c>
      <c r="AC77" s="13">
        <f ca="1">$I$25*$AC$25</f>
        <v>0</v>
      </c>
      <c r="AD77" s="13">
        <f>$I$25*$AD$25</f>
        <v>0</v>
      </c>
      <c r="AE77" s="13">
        <f>$I$25*$AE$25</f>
        <v>0</v>
      </c>
      <c r="AF77" s="13">
        <f ca="1">$I$25*$AF$25</f>
        <v>0</v>
      </c>
      <c r="AG77" s="13">
        <f ca="1">$I$25*$AG$25</f>
        <v>0</v>
      </c>
      <c r="AI77" s="13">
        <f>$I$25*$AI$25</f>
        <v>0</v>
      </c>
      <c r="AJ77" s="13">
        <f>$I$25*$AJ$25</f>
        <v>0</v>
      </c>
      <c r="AK77" s="13">
        <f>$I$25*$AK$25</f>
        <v>0</v>
      </c>
      <c r="AL77" s="13">
        <f>$I$25*$AL$25</f>
        <v>0</v>
      </c>
      <c r="AM77" s="13">
        <f>$I$25*$AM$25</f>
        <v>0</v>
      </c>
      <c r="AN77" s="13">
        <f>$I$25*$AN$25</f>
        <v>0</v>
      </c>
      <c r="AO77" s="13">
        <f>$I$25*$AO$25</f>
        <v>0</v>
      </c>
      <c r="AP77" s="13">
        <f>$I$25*$AP$25</f>
        <v>0</v>
      </c>
      <c r="AQ77" s="13">
        <f>$I$25*$AQ$25</f>
        <v>0</v>
      </c>
      <c r="AR77" s="13">
        <f>$I$25*$AR$25</f>
        <v>0</v>
      </c>
      <c r="AS77" s="13">
        <f>$I$25*$AS$25</f>
        <v>0</v>
      </c>
      <c r="AT77" s="13">
        <f>$I$25*$AT$25</f>
        <v>0</v>
      </c>
      <c r="AU77" s="13">
        <f>$I$25*$AU$25</f>
        <v>0</v>
      </c>
      <c r="AV77" s="13">
        <f>$I$25*$AV$25</f>
        <v>0</v>
      </c>
      <c r="AW77" s="13">
        <f>$I$25*$AW$25</f>
        <v>0</v>
      </c>
      <c r="AX77" s="13">
        <f>$I$25*$AX$25</f>
        <v>0</v>
      </c>
      <c r="AY77" s="13">
        <f>$I$25*$AY$25</f>
        <v>0</v>
      </c>
      <c r="AZ77" s="13">
        <f>$I$25*$AZ$25</f>
        <v>0</v>
      </c>
      <c r="BA77" s="13">
        <f>$I$25*$BA$25</f>
        <v>0</v>
      </c>
      <c r="BB77" s="13">
        <f>$I$25*$BB$25</f>
        <v>0</v>
      </c>
      <c r="BC77" s="13">
        <f>$I$25*$BC$25</f>
        <v>0</v>
      </c>
      <c r="BD77" s="13">
        <f>$I$25*$BD$25</f>
        <v>0</v>
      </c>
    </row>
    <row r="78" spans="1:56" ht="11.25" customHeight="1" x14ac:dyDescent="0.25">
      <c r="A78" s="9" t="s">
        <v>22</v>
      </c>
      <c r="B78" s="9" t="s">
        <v>984</v>
      </c>
      <c r="C78" s="9" t="s">
        <v>985</v>
      </c>
      <c r="D78" s="9" t="s">
        <v>990</v>
      </c>
      <c r="E78" s="9" t="s">
        <v>991</v>
      </c>
      <c r="F78" s="9" t="s">
        <v>992</v>
      </c>
      <c r="G78" s="9" t="s">
        <v>993</v>
      </c>
      <c r="L78" s="13">
        <f>$I$26*$L$26</f>
        <v>0</v>
      </c>
      <c r="M78" s="13">
        <f>$I$26*$M$26</f>
        <v>0</v>
      </c>
      <c r="N78" s="13">
        <f ca="1">$I$26*$N$26</f>
        <v>0</v>
      </c>
      <c r="O78" s="13">
        <f>$I$26*$O$26</f>
        <v>0</v>
      </c>
      <c r="P78" s="13">
        <f>$I$26*$P$26</f>
        <v>0</v>
      </c>
      <c r="Q78" s="13">
        <f>$I$26*$Q$26</f>
        <v>0</v>
      </c>
      <c r="R78" s="13">
        <f>$I$26*$R$26</f>
        <v>0</v>
      </c>
      <c r="S78" s="13">
        <f>$I$26*$S$26</f>
        <v>0</v>
      </c>
      <c r="T78" s="13">
        <f>$I$26*$T$26</f>
        <v>0</v>
      </c>
      <c r="U78" s="13">
        <f>$I$26*$U$26</f>
        <v>0</v>
      </c>
      <c r="V78" s="13">
        <f>$I$26*$V$26</f>
        <v>0</v>
      </c>
      <c r="W78" s="13">
        <f>$I$26*$W$26</f>
        <v>0</v>
      </c>
      <c r="X78" s="13">
        <f>$I$26*$X$26</f>
        <v>0</v>
      </c>
      <c r="Y78" s="13">
        <f>$I$26*$Y$26</f>
        <v>0</v>
      </c>
      <c r="Z78" s="13">
        <f>$I$26*$Z$26</f>
        <v>0</v>
      </c>
      <c r="AA78" s="13">
        <f>$I$26*$AA$26</f>
        <v>0</v>
      </c>
      <c r="AB78" s="13">
        <f ca="1">$I$26*$AB$26</f>
        <v>0</v>
      </c>
      <c r="AC78" s="13">
        <f ca="1">$I$26*$AC$26</f>
        <v>0</v>
      </c>
      <c r="AD78" s="13">
        <f>$I$26*$AD$26</f>
        <v>0</v>
      </c>
      <c r="AE78" s="13">
        <f>$I$26*$AE$26</f>
        <v>0</v>
      </c>
      <c r="AF78" s="13">
        <f ca="1">$I$26*$AF$26</f>
        <v>0</v>
      </c>
      <c r="AG78" s="13">
        <f ca="1">$I$26*$AG$26</f>
        <v>0</v>
      </c>
      <c r="AI78" s="13">
        <f>$I$26*$AI$26</f>
        <v>0</v>
      </c>
      <c r="AJ78" s="13">
        <f>$I$26*$AJ$26</f>
        <v>0</v>
      </c>
      <c r="AK78" s="13">
        <f>$I$26*$AK$26</f>
        <v>0</v>
      </c>
      <c r="AL78" s="13">
        <f>$I$26*$AL$26</f>
        <v>0</v>
      </c>
      <c r="AM78" s="13">
        <f>$I$26*$AM$26</f>
        <v>0</v>
      </c>
      <c r="AN78" s="13">
        <f>$I$26*$AN$26</f>
        <v>0</v>
      </c>
      <c r="AO78" s="13">
        <f>$I$26*$AO$26</f>
        <v>0</v>
      </c>
      <c r="AP78" s="13">
        <f>$I$26*$AP$26</f>
        <v>0</v>
      </c>
      <c r="AQ78" s="13">
        <f>$I$26*$AQ$26</f>
        <v>0</v>
      </c>
      <c r="AR78" s="13">
        <f>$I$26*$AR$26</f>
        <v>0</v>
      </c>
      <c r="AS78" s="13">
        <f>$I$26*$AS$26</f>
        <v>0</v>
      </c>
      <c r="AT78" s="13">
        <f>$I$26*$AT$26</f>
        <v>0</v>
      </c>
      <c r="AU78" s="13">
        <f>$I$26*$AU$26</f>
        <v>0</v>
      </c>
      <c r="AV78" s="13">
        <f>$I$26*$AV$26</f>
        <v>0</v>
      </c>
      <c r="AW78" s="13">
        <f>$I$26*$AW$26</f>
        <v>0</v>
      </c>
      <c r="AX78" s="13">
        <f>$I$26*$AX$26</f>
        <v>0</v>
      </c>
      <c r="AY78" s="13">
        <f>$I$26*$AY$26</f>
        <v>0</v>
      </c>
      <c r="AZ78" s="13">
        <f>$I$26*$AZ$26</f>
        <v>0</v>
      </c>
      <c r="BA78" s="13">
        <f>$I$26*$BA$26</f>
        <v>0</v>
      </c>
      <c r="BB78" s="13">
        <f>$I$26*$BB$26</f>
        <v>0</v>
      </c>
      <c r="BC78" s="13">
        <f>$I$26*$BC$26</f>
        <v>0</v>
      </c>
      <c r="BD78" s="13">
        <f>$I$26*$BD$26</f>
        <v>0</v>
      </c>
    </row>
    <row r="79" spans="1:56" ht="11.25" customHeight="1" x14ac:dyDescent="0.25">
      <c r="A79" s="9" t="s">
        <v>22</v>
      </c>
      <c r="B79" s="9" t="s">
        <v>984</v>
      </c>
      <c r="C79" s="9" t="s">
        <v>985</v>
      </c>
      <c r="D79" s="9" t="s">
        <v>994</v>
      </c>
      <c r="E79" s="9" t="s">
        <v>995</v>
      </c>
      <c r="F79" s="9" t="s">
        <v>996</v>
      </c>
      <c r="G79" s="9" t="s">
        <v>997</v>
      </c>
      <c r="L79" s="13">
        <f>$I$27*$L$27</f>
        <v>0</v>
      </c>
      <c r="M79" s="13">
        <f>$I$27*$M$27</f>
        <v>0</v>
      </c>
      <c r="N79" s="13">
        <f ca="1">$I$27*$N$27</f>
        <v>0</v>
      </c>
      <c r="O79" s="13">
        <f>$I$27*$O$27</f>
        <v>0</v>
      </c>
      <c r="P79" s="13">
        <f>$I$27*$P$27</f>
        <v>0</v>
      </c>
      <c r="Q79" s="13">
        <f>$I$27*$Q$27</f>
        <v>0</v>
      </c>
      <c r="R79" s="13">
        <f>$I$27*$R$27</f>
        <v>0</v>
      </c>
      <c r="S79" s="13">
        <f>$I$27*$S$27</f>
        <v>0</v>
      </c>
      <c r="T79" s="13">
        <f>$I$27*$T$27</f>
        <v>0</v>
      </c>
      <c r="U79" s="13">
        <f>$I$27*$U$27</f>
        <v>0</v>
      </c>
      <c r="V79" s="13">
        <f>$I$27*$V$27</f>
        <v>0</v>
      </c>
      <c r="W79" s="13">
        <f>$I$27*$W$27</f>
        <v>0</v>
      </c>
      <c r="X79" s="13">
        <f>$I$27*$X$27</f>
        <v>0</v>
      </c>
      <c r="Y79" s="13">
        <f>$I$27*$Y$27</f>
        <v>0</v>
      </c>
      <c r="Z79" s="13">
        <f>$I$27*$Z$27</f>
        <v>0</v>
      </c>
      <c r="AA79" s="13">
        <f>$I$27*$AA$27</f>
        <v>0</v>
      </c>
      <c r="AB79" s="13">
        <f ca="1">$I$27*$AB$27</f>
        <v>0</v>
      </c>
      <c r="AC79" s="13">
        <f ca="1">$I$27*$AC$27</f>
        <v>0</v>
      </c>
      <c r="AD79" s="13">
        <f>$I$27*$AD$27</f>
        <v>0</v>
      </c>
      <c r="AE79" s="13">
        <f>$I$27*$AE$27</f>
        <v>0</v>
      </c>
      <c r="AF79" s="13">
        <f ca="1">$I$27*$AF$27</f>
        <v>0</v>
      </c>
      <c r="AG79" s="13">
        <f ca="1">$I$27*$AG$27</f>
        <v>0</v>
      </c>
      <c r="AI79" s="13">
        <f>$I$27*$AI$27</f>
        <v>0</v>
      </c>
      <c r="AJ79" s="13">
        <f>$I$27*$AJ$27</f>
        <v>0</v>
      </c>
      <c r="AK79" s="13">
        <f>$I$27*$AK$27</f>
        <v>0</v>
      </c>
      <c r="AL79" s="13">
        <f>$I$27*$AL$27</f>
        <v>0</v>
      </c>
      <c r="AM79" s="13">
        <f>$I$27*$AM$27</f>
        <v>0</v>
      </c>
      <c r="AN79" s="13">
        <f>$I$27*$AN$27</f>
        <v>0</v>
      </c>
      <c r="AO79" s="13">
        <f>$I$27*$AO$27</f>
        <v>0</v>
      </c>
      <c r="AP79" s="13">
        <f>$I$27*$AP$27</f>
        <v>0</v>
      </c>
      <c r="AQ79" s="13">
        <f>$I$27*$AQ$27</f>
        <v>0</v>
      </c>
      <c r="AR79" s="13">
        <f>$I$27*$AR$27</f>
        <v>0</v>
      </c>
      <c r="AS79" s="13">
        <f>$I$27*$AS$27</f>
        <v>0</v>
      </c>
      <c r="AT79" s="13">
        <f>$I$27*$AT$27</f>
        <v>0</v>
      </c>
      <c r="AU79" s="13">
        <f>$I$27*$AU$27</f>
        <v>0</v>
      </c>
      <c r="AV79" s="13">
        <f>$I$27*$AV$27</f>
        <v>0</v>
      </c>
      <c r="AW79" s="13">
        <f>$I$27*$AW$27</f>
        <v>0</v>
      </c>
      <c r="AX79" s="13">
        <f>$I$27*$AX$27</f>
        <v>0</v>
      </c>
      <c r="AY79" s="13">
        <f>$I$27*$AY$27</f>
        <v>0</v>
      </c>
      <c r="AZ79" s="13">
        <f>$I$27*$AZ$27</f>
        <v>0</v>
      </c>
      <c r="BA79" s="13">
        <f>$I$27*$BA$27</f>
        <v>0</v>
      </c>
      <c r="BB79" s="13">
        <f>$I$27*$BB$27</f>
        <v>0</v>
      </c>
      <c r="BC79" s="13">
        <f>$I$27*$BC$27</f>
        <v>0</v>
      </c>
      <c r="BD79" s="13">
        <f>$I$27*$BD$27</f>
        <v>0</v>
      </c>
    </row>
    <row r="80" spans="1:56" ht="11.25" customHeight="1" x14ac:dyDescent="0.25">
      <c r="A80" s="9" t="s">
        <v>22</v>
      </c>
      <c r="B80" s="9" t="s">
        <v>984</v>
      </c>
      <c r="C80" s="9" t="s">
        <v>985</v>
      </c>
      <c r="D80" s="9" t="s">
        <v>998</v>
      </c>
      <c r="E80" s="9" t="s">
        <v>999</v>
      </c>
      <c r="F80" s="9" t="s">
        <v>1000</v>
      </c>
      <c r="G80" s="9" t="s">
        <v>1001</v>
      </c>
      <c r="L80" s="13">
        <f>$I$28*$L$28</f>
        <v>0</v>
      </c>
      <c r="M80" s="13">
        <f>$I$28*$M$28</f>
        <v>0</v>
      </c>
      <c r="N80" s="13">
        <f ca="1">$I$28*$N$28</f>
        <v>0</v>
      </c>
      <c r="O80" s="13">
        <f>$I$28*$O$28</f>
        <v>0</v>
      </c>
      <c r="P80" s="13">
        <f>$I$28*$P$28</f>
        <v>0</v>
      </c>
      <c r="Q80" s="13">
        <f>$I$28*$Q$28</f>
        <v>0</v>
      </c>
      <c r="R80" s="13">
        <f>$I$28*$R$28</f>
        <v>0</v>
      </c>
      <c r="S80" s="13">
        <f>$I$28*$S$28</f>
        <v>0</v>
      </c>
      <c r="T80" s="13">
        <f>$I$28*$T$28</f>
        <v>0</v>
      </c>
      <c r="U80" s="13">
        <f>$I$28*$U$28</f>
        <v>0</v>
      </c>
      <c r="V80" s="13">
        <f>$I$28*$V$28</f>
        <v>0</v>
      </c>
      <c r="W80" s="13">
        <f>$I$28*$W$28</f>
        <v>0</v>
      </c>
      <c r="X80" s="13">
        <f>$I$28*$X$28</f>
        <v>0</v>
      </c>
      <c r="Y80" s="13">
        <f>$I$28*$Y$28</f>
        <v>0</v>
      </c>
      <c r="Z80" s="13">
        <f>$I$28*$Z$28</f>
        <v>0</v>
      </c>
      <c r="AA80" s="13">
        <f>$I$28*$AA$28</f>
        <v>0</v>
      </c>
      <c r="AB80" s="13">
        <f ca="1">$I$28*$AB$28</f>
        <v>0</v>
      </c>
      <c r="AC80" s="13">
        <f ca="1">$I$28*$AC$28</f>
        <v>0</v>
      </c>
      <c r="AD80" s="13">
        <f>$I$28*$AD$28</f>
        <v>0</v>
      </c>
      <c r="AE80" s="13">
        <f>$I$28*$AE$28</f>
        <v>0</v>
      </c>
      <c r="AF80" s="13">
        <f ca="1">$I$28*$AF$28</f>
        <v>0</v>
      </c>
      <c r="AG80" s="13">
        <f ca="1">$I$28*$AG$28</f>
        <v>0</v>
      </c>
      <c r="AI80" s="13">
        <f>$I$28*$AI$28</f>
        <v>0</v>
      </c>
      <c r="AJ80" s="13">
        <f>$I$28*$AJ$28</f>
        <v>0</v>
      </c>
      <c r="AK80" s="13">
        <f>$I$28*$AK$28</f>
        <v>0</v>
      </c>
      <c r="AL80" s="13">
        <f>$I$28*$AL$28</f>
        <v>0</v>
      </c>
      <c r="AM80" s="13">
        <f>$I$28*$AM$28</f>
        <v>0</v>
      </c>
      <c r="AN80" s="13">
        <f>$I$28*$AN$28</f>
        <v>0</v>
      </c>
      <c r="AO80" s="13">
        <f>$I$28*$AO$28</f>
        <v>0</v>
      </c>
      <c r="AP80" s="13">
        <f>$I$28*$AP$28</f>
        <v>0</v>
      </c>
      <c r="AQ80" s="13">
        <f>$I$28*$AQ$28</f>
        <v>0</v>
      </c>
      <c r="AR80" s="13">
        <f>$I$28*$AR$28</f>
        <v>0</v>
      </c>
      <c r="AS80" s="13">
        <f>$I$28*$AS$28</f>
        <v>0</v>
      </c>
      <c r="AT80" s="13">
        <f>$I$28*$AT$28</f>
        <v>0</v>
      </c>
      <c r="AU80" s="13">
        <f>$I$28*$AU$28</f>
        <v>0</v>
      </c>
      <c r="AV80" s="13">
        <f>$I$28*$AV$28</f>
        <v>0</v>
      </c>
      <c r="AW80" s="13">
        <f>$I$28*$AW$28</f>
        <v>0</v>
      </c>
      <c r="AX80" s="13">
        <f>$I$28*$AX$28</f>
        <v>0</v>
      </c>
      <c r="AY80" s="13">
        <f>$I$28*$AY$28</f>
        <v>0</v>
      </c>
      <c r="AZ80" s="13">
        <f>$I$28*$AZ$28</f>
        <v>0</v>
      </c>
      <c r="BA80" s="13">
        <f>$I$28*$BA$28</f>
        <v>0</v>
      </c>
      <c r="BB80" s="13">
        <f>$I$28*$BB$28</f>
        <v>0</v>
      </c>
      <c r="BC80" s="13">
        <f>$I$28*$BC$28</f>
        <v>0</v>
      </c>
      <c r="BD80" s="13">
        <f>$I$28*$BD$28</f>
        <v>0</v>
      </c>
    </row>
    <row r="81" spans="1:56" ht="11.25" customHeight="1" x14ac:dyDescent="0.25">
      <c r="A81" s="9" t="s">
        <v>22</v>
      </c>
      <c r="B81" s="9" t="s">
        <v>984</v>
      </c>
      <c r="C81" s="9" t="s">
        <v>985</v>
      </c>
      <c r="D81" s="9" t="s">
        <v>1002</v>
      </c>
      <c r="E81" s="9" t="s">
        <v>1003</v>
      </c>
      <c r="F81" s="9" t="s">
        <v>1004</v>
      </c>
      <c r="G81" s="9" t="s">
        <v>1005</v>
      </c>
      <c r="L81" s="13">
        <f>$I$29*$L$29</f>
        <v>0</v>
      </c>
      <c r="M81" s="13">
        <f>$I$29*$M$29</f>
        <v>0</v>
      </c>
      <c r="N81" s="13">
        <f ca="1">$I$29*$N$29</f>
        <v>0</v>
      </c>
      <c r="O81" s="13">
        <f>$I$29*$O$29</f>
        <v>0</v>
      </c>
      <c r="P81" s="13">
        <f>$I$29*$P$29</f>
        <v>0</v>
      </c>
      <c r="Q81" s="13">
        <f>$I$29*$Q$29</f>
        <v>0</v>
      </c>
      <c r="R81" s="13">
        <f>$I$29*$R$29</f>
        <v>0</v>
      </c>
      <c r="S81" s="13">
        <f>$I$29*$S$29</f>
        <v>0</v>
      </c>
      <c r="T81" s="13">
        <f>$I$29*$T$29</f>
        <v>0</v>
      </c>
      <c r="U81" s="13">
        <f>$I$29*$U$29</f>
        <v>0</v>
      </c>
      <c r="V81" s="13">
        <f>$I$29*$V$29</f>
        <v>0</v>
      </c>
      <c r="W81" s="13">
        <f>$I$29*$W$29</f>
        <v>0</v>
      </c>
      <c r="X81" s="13">
        <f>$I$29*$X$29</f>
        <v>0</v>
      </c>
      <c r="Y81" s="13">
        <f>$I$29*$Y$29</f>
        <v>0</v>
      </c>
      <c r="Z81" s="13">
        <f>$I$29*$Z$29</f>
        <v>0</v>
      </c>
      <c r="AA81" s="13">
        <f>$I$29*$AA$29</f>
        <v>0</v>
      </c>
      <c r="AB81" s="13">
        <f ca="1">$I$29*$AB$29</f>
        <v>0</v>
      </c>
      <c r="AC81" s="13">
        <f ca="1">$I$29*$AC$29</f>
        <v>0</v>
      </c>
      <c r="AD81" s="13">
        <f>$I$29*$AD$29</f>
        <v>0</v>
      </c>
      <c r="AE81" s="13">
        <f>$I$29*$AE$29</f>
        <v>0</v>
      </c>
      <c r="AF81" s="13">
        <f ca="1">$I$29*$AF$29</f>
        <v>0</v>
      </c>
      <c r="AG81" s="13">
        <f ca="1">$I$29*$AG$29</f>
        <v>0</v>
      </c>
      <c r="AI81" s="13">
        <f>$I$29*$AI$29</f>
        <v>0</v>
      </c>
      <c r="AJ81" s="13">
        <f>$I$29*$AJ$29</f>
        <v>0</v>
      </c>
      <c r="AK81" s="13">
        <f>$I$29*$AK$29</f>
        <v>0</v>
      </c>
      <c r="AL81" s="13">
        <f>$I$29*$AL$29</f>
        <v>0</v>
      </c>
      <c r="AM81" s="13">
        <f>$I$29*$AM$29</f>
        <v>0</v>
      </c>
      <c r="AN81" s="13">
        <f>$I$29*$AN$29</f>
        <v>0</v>
      </c>
      <c r="AO81" s="13">
        <f>$I$29*$AO$29</f>
        <v>0</v>
      </c>
      <c r="AP81" s="13">
        <f>$I$29*$AP$29</f>
        <v>0</v>
      </c>
      <c r="AQ81" s="13">
        <f>$I$29*$AQ$29</f>
        <v>0</v>
      </c>
      <c r="AR81" s="13">
        <f>$I$29*$AR$29</f>
        <v>0</v>
      </c>
      <c r="AS81" s="13">
        <f>$I$29*$AS$29</f>
        <v>0</v>
      </c>
      <c r="AT81" s="13">
        <f>$I$29*$AT$29</f>
        <v>0</v>
      </c>
      <c r="AU81" s="13">
        <f>$I$29*$AU$29</f>
        <v>0</v>
      </c>
      <c r="AV81" s="13">
        <f>$I$29*$AV$29</f>
        <v>0</v>
      </c>
      <c r="AW81" s="13">
        <f>$I$29*$AW$29</f>
        <v>0</v>
      </c>
      <c r="AX81" s="13">
        <f>$I$29*$AX$29</f>
        <v>0</v>
      </c>
      <c r="AY81" s="13">
        <f>$I$29*$AY$29</f>
        <v>0</v>
      </c>
      <c r="AZ81" s="13">
        <f>$I$29*$AZ$29</f>
        <v>0</v>
      </c>
      <c r="BA81" s="13">
        <f>$I$29*$BA$29</f>
        <v>0</v>
      </c>
      <c r="BB81" s="13">
        <f>$I$29*$BB$29</f>
        <v>0</v>
      </c>
      <c r="BC81" s="13">
        <f>$I$29*$BC$29</f>
        <v>0</v>
      </c>
      <c r="BD81" s="13">
        <f>$I$29*$BD$29</f>
        <v>0</v>
      </c>
    </row>
    <row r="82" spans="1:56" ht="11.25" customHeight="1" x14ac:dyDescent="0.25">
      <c r="A82" s="9" t="s">
        <v>41</v>
      </c>
      <c r="B82" s="9" t="s">
        <v>1006</v>
      </c>
      <c r="C82" s="9" t="s">
        <v>1007</v>
      </c>
      <c r="D82" s="9" t="s">
        <v>1008</v>
      </c>
      <c r="E82" s="9" t="s">
        <v>1009</v>
      </c>
      <c r="F82" s="9" t="s">
        <v>1010</v>
      </c>
      <c r="G82" s="9" t="s">
        <v>1011</v>
      </c>
      <c r="L82" s="13">
        <f>$I$30*$L$30</f>
        <v>0</v>
      </c>
      <c r="M82" s="13">
        <f>$I$30*$M$30</f>
        <v>0</v>
      </c>
      <c r="N82" s="13">
        <f ca="1">$I$30*$N$30</f>
        <v>0</v>
      </c>
      <c r="O82" s="13">
        <f>$I$30*$O$30</f>
        <v>0</v>
      </c>
      <c r="P82" s="13">
        <f>$I$30*$P$30</f>
        <v>0</v>
      </c>
      <c r="Q82" s="13">
        <f>$I$30*$Q$30</f>
        <v>0</v>
      </c>
      <c r="R82" s="13">
        <f>$I$30*$R$30</f>
        <v>0</v>
      </c>
      <c r="S82" s="13">
        <f>$I$30*$S$30</f>
        <v>0</v>
      </c>
      <c r="T82" s="13">
        <f>$I$30*$T$30</f>
        <v>0</v>
      </c>
      <c r="U82" s="13">
        <f>$I$30*$U$30</f>
        <v>0</v>
      </c>
      <c r="V82" s="13">
        <f>$I$30*$V$30</f>
        <v>0</v>
      </c>
      <c r="W82" s="13">
        <f>$I$30*$W$30</f>
        <v>0</v>
      </c>
      <c r="X82" s="13">
        <f>$I$30*$X$30</f>
        <v>0</v>
      </c>
      <c r="Y82" s="13">
        <f>$I$30*$Y$30</f>
        <v>0</v>
      </c>
      <c r="Z82" s="13">
        <f>$I$30*$Z$30</f>
        <v>0</v>
      </c>
      <c r="AA82" s="13">
        <f>$I$30*$AA$30</f>
        <v>0</v>
      </c>
      <c r="AB82" s="13">
        <f ca="1">$I$30*$AB$30</f>
        <v>0</v>
      </c>
      <c r="AC82" s="13">
        <f ca="1">$I$30*$AC$30</f>
        <v>0</v>
      </c>
      <c r="AD82" s="13">
        <f>$I$30*$AD$30</f>
        <v>0</v>
      </c>
      <c r="AE82" s="13">
        <f>$I$30*$AE$30</f>
        <v>0</v>
      </c>
      <c r="AF82" s="13">
        <f ca="1">$I$30*$AF$30</f>
        <v>0</v>
      </c>
      <c r="AG82" s="13">
        <f ca="1">$I$30*$AG$30</f>
        <v>0</v>
      </c>
      <c r="AI82" s="13">
        <f>$I$30*$AI$30</f>
        <v>0</v>
      </c>
      <c r="AJ82" s="13">
        <f>$I$30*$AJ$30</f>
        <v>0</v>
      </c>
      <c r="AK82" s="13">
        <f>$I$30*$AK$30</f>
        <v>0</v>
      </c>
      <c r="AL82" s="13">
        <f>$I$30*$AL$30</f>
        <v>0</v>
      </c>
      <c r="AM82" s="13">
        <f>$I$30*$AM$30</f>
        <v>0</v>
      </c>
      <c r="AN82" s="13">
        <f>$I$30*$AN$30</f>
        <v>0</v>
      </c>
      <c r="AO82" s="13">
        <f>$I$30*$AO$30</f>
        <v>0</v>
      </c>
      <c r="AP82" s="13">
        <f>$I$30*$AP$30</f>
        <v>0</v>
      </c>
      <c r="AQ82" s="13">
        <f>$I$30*$AQ$30</f>
        <v>0</v>
      </c>
      <c r="AR82" s="13">
        <f>$I$30*$AR$30</f>
        <v>0</v>
      </c>
      <c r="AS82" s="13">
        <f>$I$30*$AS$30</f>
        <v>0</v>
      </c>
      <c r="AT82" s="13">
        <f>$I$30*$AT$30</f>
        <v>0</v>
      </c>
      <c r="AU82" s="13">
        <f>$I$30*$AU$30</f>
        <v>0</v>
      </c>
      <c r="AV82" s="13">
        <f>$I$30*$AV$30</f>
        <v>0</v>
      </c>
      <c r="AW82" s="13">
        <f>$I$30*$AW$30</f>
        <v>0</v>
      </c>
      <c r="AX82" s="13">
        <f>$I$30*$AX$30</f>
        <v>0</v>
      </c>
      <c r="AY82" s="13">
        <f>$I$30*$AY$30</f>
        <v>0</v>
      </c>
      <c r="AZ82" s="13">
        <f>$I$30*$AZ$30</f>
        <v>0</v>
      </c>
      <c r="BA82" s="13">
        <f>$I$30*$BA$30</f>
        <v>0</v>
      </c>
      <c r="BB82" s="13">
        <f>$I$30*$BB$30</f>
        <v>0</v>
      </c>
      <c r="BC82" s="13">
        <f>$I$30*$BC$30</f>
        <v>0</v>
      </c>
      <c r="BD82" s="13">
        <f>$I$30*$BD$30</f>
        <v>0</v>
      </c>
    </row>
    <row r="83" spans="1:56" ht="11.25" customHeight="1" x14ac:dyDescent="0.25">
      <c r="A83" s="9" t="s">
        <v>41</v>
      </c>
      <c r="B83" s="9" t="s">
        <v>1006</v>
      </c>
      <c r="C83" s="9" t="s">
        <v>1007</v>
      </c>
      <c r="D83" s="9" t="s">
        <v>1008</v>
      </c>
      <c r="E83" s="9" t="s">
        <v>1009</v>
      </c>
      <c r="F83" s="9" t="s">
        <v>1010</v>
      </c>
      <c r="G83" s="9" t="s">
        <v>1012</v>
      </c>
      <c r="L83" s="13">
        <f>$I$31*$L$31</f>
        <v>0</v>
      </c>
      <c r="M83" s="13">
        <f>$I$31*$M$31</f>
        <v>0</v>
      </c>
      <c r="N83" s="13">
        <f ca="1">$I$31*$N$31</f>
        <v>0</v>
      </c>
      <c r="O83" s="13">
        <f>$I$31*$O$31</f>
        <v>0</v>
      </c>
      <c r="P83" s="13">
        <f>$I$31*$P$31</f>
        <v>0</v>
      </c>
      <c r="Q83" s="13">
        <f>$I$31*$Q$31</f>
        <v>0</v>
      </c>
      <c r="R83" s="13">
        <f>$I$31*$R$31</f>
        <v>0</v>
      </c>
      <c r="S83" s="13">
        <f>$I$31*$S$31</f>
        <v>0</v>
      </c>
      <c r="T83" s="13">
        <f>$I$31*$T$31</f>
        <v>0</v>
      </c>
      <c r="U83" s="13">
        <f>$I$31*$U$31</f>
        <v>0</v>
      </c>
      <c r="V83" s="13">
        <f>$I$31*$V$31</f>
        <v>0</v>
      </c>
      <c r="W83" s="13">
        <f>$I$31*$W$31</f>
        <v>0</v>
      </c>
      <c r="X83" s="13">
        <f>$I$31*$X$31</f>
        <v>0</v>
      </c>
      <c r="Y83" s="13">
        <f>$I$31*$Y$31</f>
        <v>0</v>
      </c>
      <c r="Z83" s="13">
        <f>$I$31*$Z$31</f>
        <v>0</v>
      </c>
      <c r="AA83" s="13">
        <f>$I$31*$AA$31</f>
        <v>0</v>
      </c>
      <c r="AB83" s="13">
        <f ca="1">$I$31*$AB$31</f>
        <v>0</v>
      </c>
      <c r="AC83" s="13">
        <f ca="1">$I$31*$AC$31</f>
        <v>0</v>
      </c>
      <c r="AD83" s="13">
        <f>$I$31*$AD$31</f>
        <v>0</v>
      </c>
      <c r="AE83" s="13">
        <f>$I$31*$AE$31</f>
        <v>0</v>
      </c>
      <c r="AF83" s="13">
        <f ca="1">$I$31*$AF$31</f>
        <v>0</v>
      </c>
      <c r="AG83" s="13">
        <f ca="1">$I$31*$AG$31</f>
        <v>0</v>
      </c>
      <c r="AI83" s="13">
        <f>$I$31*$AI$31</f>
        <v>0</v>
      </c>
      <c r="AJ83" s="13">
        <f>$I$31*$AJ$31</f>
        <v>0</v>
      </c>
      <c r="AK83" s="13">
        <f>$I$31*$AK$31</f>
        <v>0</v>
      </c>
      <c r="AL83" s="13">
        <f>$I$31*$AL$31</f>
        <v>0</v>
      </c>
      <c r="AM83" s="13">
        <f>$I$31*$AM$31</f>
        <v>0</v>
      </c>
      <c r="AN83" s="13">
        <f>$I$31*$AN$31</f>
        <v>0</v>
      </c>
      <c r="AO83" s="13">
        <f>$I$31*$AO$31</f>
        <v>0</v>
      </c>
      <c r="AP83" s="13">
        <f>$I$31*$AP$31</f>
        <v>0</v>
      </c>
      <c r="AQ83" s="13">
        <f>$I$31*$AQ$31</f>
        <v>0</v>
      </c>
      <c r="AR83" s="13">
        <f>$I$31*$AR$31</f>
        <v>0</v>
      </c>
      <c r="AS83" s="13">
        <f>$I$31*$AS$31</f>
        <v>0</v>
      </c>
      <c r="AT83" s="13">
        <f>$I$31*$AT$31</f>
        <v>0</v>
      </c>
      <c r="AU83" s="13">
        <f>$I$31*$AU$31</f>
        <v>0</v>
      </c>
      <c r="AV83" s="13">
        <f>$I$31*$AV$31</f>
        <v>0</v>
      </c>
      <c r="AW83" s="13">
        <f>$I$31*$AW$31</f>
        <v>0</v>
      </c>
      <c r="AX83" s="13">
        <f>$I$31*$AX$31</f>
        <v>0</v>
      </c>
      <c r="AY83" s="13">
        <f>$I$31*$AY$31</f>
        <v>0</v>
      </c>
      <c r="AZ83" s="13">
        <f>$I$31*$AZ$31</f>
        <v>0</v>
      </c>
      <c r="BA83" s="13">
        <f>$I$31*$BA$31</f>
        <v>0</v>
      </c>
      <c r="BB83" s="13">
        <f>$I$31*$BB$31</f>
        <v>0</v>
      </c>
      <c r="BC83" s="13">
        <f>$I$31*$BC$31</f>
        <v>0</v>
      </c>
      <c r="BD83" s="13">
        <f>$I$31*$BD$31</f>
        <v>0</v>
      </c>
    </row>
    <row r="84" spans="1:56" ht="11.25" customHeight="1" x14ac:dyDescent="0.25">
      <c r="A84" s="9" t="s">
        <v>41</v>
      </c>
      <c r="B84" s="9" t="s">
        <v>1006</v>
      </c>
      <c r="C84" s="9" t="s">
        <v>1007</v>
      </c>
      <c r="D84" s="9" t="s">
        <v>1008</v>
      </c>
      <c r="E84" s="9" t="s">
        <v>1009</v>
      </c>
      <c r="F84" s="9" t="s">
        <v>1010</v>
      </c>
      <c r="G84" s="9" t="s">
        <v>1013</v>
      </c>
      <c r="L84" s="13">
        <f>$I$32*$L$32</f>
        <v>0</v>
      </c>
      <c r="M84" s="13">
        <f>$I$32*$M$32</f>
        <v>0</v>
      </c>
      <c r="N84" s="13">
        <f ca="1">$I$32*$N$32</f>
        <v>0</v>
      </c>
      <c r="O84" s="13">
        <f>$I$32*$O$32</f>
        <v>0</v>
      </c>
      <c r="P84" s="13">
        <f>$I$32*$P$32</f>
        <v>0</v>
      </c>
      <c r="Q84" s="13">
        <f>$I$32*$Q$32</f>
        <v>0</v>
      </c>
      <c r="R84" s="13">
        <f>$I$32*$R$32</f>
        <v>0</v>
      </c>
      <c r="S84" s="13">
        <f>$I$32*$S$32</f>
        <v>0</v>
      </c>
      <c r="T84" s="13">
        <f>$I$32*$T$32</f>
        <v>0</v>
      </c>
      <c r="U84" s="13">
        <f>$I$32*$U$32</f>
        <v>0</v>
      </c>
      <c r="V84" s="13">
        <f>$I$32*$V$32</f>
        <v>0</v>
      </c>
      <c r="W84" s="13">
        <f>$I$32*$W$32</f>
        <v>0</v>
      </c>
      <c r="X84" s="13">
        <f>$I$32*$X$32</f>
        <v>0</v>
      </c>
      <c r="Y84" s="13">
        <f>$I$32*$Y$32</f>
        <v>0</v>
      </c>
      <c r="Z84" s="13">
        <f>$I$32*$Z$32</f>
        <v>0</v>
      </c>
      <c r="AA84" s="13">
        <f>$I$32*$AA$32</f>
        <v>0</v>
      </c>
      <c r="AB84" s="13">
        <f ca="1">$I$32*$AB$32</f>
        <v>0</v>
      </c>
      <c r="AC84" s="13">
        <f ca="1">$I$32*$AC$32</f>
        <v>0</v>
      </c>
      <c r="AD84" s="13">
        <f>$I$32*$AD$32</f>
        <v>0</v>
      </c>
      <c r="AE84" s="13">
        <f>$I$32*$AE$32</f>
        <v>0</v>
      </c>
      <c r="AF84" s="13">
        <f ca="1">$I$32*$AF$32</f>
        <v>0</v>
      </c>
      <c r="AG84" s="13">
        <f ca="1">$I$32*$AG$32</f>
        <v>0</v>
      </c>
      <c r="AI84" s="13">
        <f>$I$32*$AI$32</f>
        <v>0</v>
      </c>
      <c r="AJ84" s="13">
        <f>$I$32*$AJ$32</f>
        <v>0</v>
      </c>
      <c r="AK84" s="13">
        <f>$I$32*$AK$32</f>
        <v>0</v>
      </c>
      <c r="AL84" s="13">
        <f>$I$32*$AL$32</f>
        <v>0</v>
      </c>
      <c r="AM84" s="13">
        <f>$I$32*$AM$32</f>
        <v>0</v>
      </c>
      <c r="AN84" s="13">
        <f>$I$32*$AN$32</f>
        <v>0</v>
      </c>
      <c r="AO84" s="13">
        <f>$I$32*$AO$32</f>
        <v>0</v>
      </c>
      <c r="AP84" s="13">
        <f>$I$32*$AP$32</f>
        <v>0</v>
      </c>
      <c r="AQ84" s="13">
        <f>$I$32*$AQ$32</f>
        <v>0</v>
      </c>
      <c r="AR84" s="13">
        <f>$I$32*$AR$32</f>
        <v>0</v>
      </c>
      <c r="AS84" s="13">
        <f>$I$32*$AS$32</f>
        <v>0</v>
      </c>
      <c r="AT84" s="13">
        <f>$I$32*$AT$32</f>
        <v>0</v>
      </c>
      <c r="AU84" s="13">
        <f>$I$32*$AU$32</f>
        <v>0</v>
      </c>
      <c r="AV84" s="13">
        <f>$I$32*$AV$32</f>
        <v>0</v>
      </c>
      <c r="AW84" s="13">
        <f>$I$32*$AW$32</f>
        <v>0</v>
      </c>
      <c r="AX84" s="13">
        <f>$I$32*$AX$32</f>
        <v>0</v>
      </c>
      <c r="AY84" s="13">
        <f>$I$32*$AY$32</f>
        <v>0</v>
      </c>
      <c r="AZ84" s="13">
        <f>$I$32*$AZ$32</f>
        <v>0</v>
      </c>
      <c r="BA84" s="13">
        <f>$I$32*$BA$32</f>
        <v>0</v>
      </c>
      <c r="BB84" s="13">
        <f>$I$32*$BB$32</f>
        <v>0</v>
      </c>
      <c r="BC84" s="13">
        <f>$I$32*$BC$32</f>
        <v>0</v>
      </c>
      <c r="BD84" s="13">
        <f>$I$32*$BD$32</f>
        <v>0</v>
      </c>
    </row>
    <row r="85" spans="1:56" ht="11.25" customHeight="1" x14ac:dyDescent="0.25">
      <c r="A85" s="9" t="s">
        <v>41</v>
      </c>
      <c r="B85" s="9" t="s">
        <v>1014</v>
      </c>
      <c r="C85" s="9" t="s">
        <v>1015</v>
      </c>
      <c r="D85" s="9" t="s">
        <v>1016</v>
      </c>
      <c r="E85" s="9" t="s">
        <v>1017</v>
      </c>
      <c r="F85" s="9" t="s">
        <v>1018</v>
      </c>
      <c r="G85" s="9" t="s">
        <v>1019</v>
      </c>
      <c r="L85" s="13">
        <f>$I$33*$L$33</f>
        <v>0</v>
      </c>
      <c r="M85" s="13">
        <f>$I$33*$M$33</f>
        <v>2720.9839028834963</v>
      </c>
      <c r="N85" s="13">
        <f ca="1">$I$33*$N$33</f>
        <v>10682.118662103996</v>
      </c>
      <c r="O85" s="13">
        <f>$I$33*$O$33</f>
        <v>0</v>
      </c>
      <c r="P85" s="13">
        <f>$I$33*$P$33</f>
        <v>0</v>
      </c>
      <c r="Q85" s="13">
        <f>$I$33*$Q$33</f>
        <v>320381.92609903938</v>
      </c>
      <c r="R85" s="13">
        <f>$I$33*$R$33</f>
        <v>56613.633584132047</v>
      </c>
      <c r="S85" s="13">
        <f>$I$33*$S$33</f>
        <v>0</v>
      </c>
      <c r="T85" s="13">
        <f>$I$33*$T$33</f>
        <v>0</v>
      </c>
      <c r="U85" s="13">
        <f>$I$33*$U$33</f>
        <v>0</v>
      </c>
      <c r="V85" s="13">
        <f>$I$33*$V$33</f>
        <v>0</v>
      </c>
      <c r="W85" s="13">
        <f>$I$33*$W$33</f>
        <v>0</v>
      </c>
      <c r="X85" s="13">
        <f>$I$33*$X$33</f>
        <v>403531.50137970981</v>
      </c>
      <c r="Y85" s="13">
        <f>$I$33*$Y$33</f>
        <v>0</v>
      </c>
      <c r="Z85" s="13">
        <f>$I$33*$Z$33</f>
        <v>0</v>
      </c>
      <c r="AA85" s="13">
        <f>$I$33*$AA$33</f>
        <v>610923.14437733626</v>
      </c>
      <c r="AB85" s="13">
        <f ca="1">$I$33*$AB$33</f>
        <v>-393252.35670393979</v>
      </c>
      <c r="AC85" s="13">
        <f ca="1">$I$33*$AC$33</f>
        <v>0</v>
      </c>
      <c r="AD85" s="13">
        <f>$I$33*$AD$33</f>
        <v>70349.96061828034</v>
      </c>
      <c r="AE85" s="13">
        <f>$I$33*$AE$33</f>
        <v>2413.5936249973311</v>
      </c>
      <c r="AF85" s="13">
        <f ca="1">$I$33*$AF$33</f>
        <v>13645.805827716449</v>
      </c>
      <c r="AG85" s="13">
        <f ca="1">$I$33*$AG$33</f>
        <v>756.36947421573666</v>
      </c>
      <c r="AI85" s="13">
        <f>$I$33*$AI$33</f>
        <v>0</v>
      </c>
      <c r="AJ85" s="13">
        <f>$I$33*$AJ$33</f>
        <v>2433.2306892332535</v>
      </c>
      <c r="AK85" s="13">
        <f>$I$33*$AK$33</f>
        <v>16314.288463174671</v>
      </c>
      <c r="AL85" s="13">
        <f>$I$33*$AL$33</f>
        <v>0</v>
      </c>
      <c r="AM85" s="13">
        <f>$I$33*$AM$33</f>
        <v>0</v>
      </c>
      <c r="AN85" s="13">
        <f>$I$33*$AN$33</f>
        <v>204096.64578155457</v>
      </c>
      <c r="AO85" s="13">
        <f>$I$33*$AO$33</f>
        <v>30609.352702068034</v>
      </c>
      <c r="AP85" s="13">
        <f>$I$33*$AP$33</f>
        <v>0</v>
      </c>
      <c r="AQ85" s="13">
        <f>$I$33*$AQ$33</f>
        <v>0</v>
      </c>
      <c r="AR85" s="13">
        <f>$I$33*$AR$33</f>
        <v>0</v>
      </c>
      <c r="AS85" s="13">
        <f>$I$33*$AS$33</f>
        <v>0</v>
      </c>
      <c r="AT85" s="13">
        <f>$I$33*$AT$33</f>
        <v>0</v>
      </c>
      <c r="AU85" s="13">
        <f>$I$33*$AU$33</f>
        <v>360353.78757922607</v>
      </c>
      <c r="AV85" s="13">
        <f>$I$33*$AV$33</f>
        <v>0</v>
      </c>
      <c r="AW85" s="13">
        <f>$I$33*$AW$33</f>
        <v>0</v>
      </c>
      <c r="AX85" s="13">
        <f>$I$33*$AX$33</f>
        <v>543185.0624017209</v>
      </c>
      <c r="AY85" s="13">
        <f>$I$33*$AY$33</f>
        <v>-50930.547108556115</v>
      </c>
      <c r="AZ85" s="13">
        <f>$I$33*$AZ$33</f>
        <v>0</v>
      </c>
      <c r="BA85" s="13">
        <f>$I$33*$BA$33</f>
        <v>71977.926267305447</v>
      </c>
      <c r="BB85" s="13">
        <f>$I$33*$BB$33</f>
        <v>2231.988583123933</v>
      </c>
      <c r="BC85" s="13">
        <f>$I$33*$BC$33</f>
        <v>14552.216030897012</v>
      </c>
      <c r="BD85" s="13">
        <f>$I$33*$BD$33</f>
        <v>1155.3609768632996</v>
      </c>
    </row>
    <row r="86" spans="1:56" ht="11.25" customHeight="1" x14ac:dyDescent="0.25">
      <c r="A86" s="9" t="s">
        <v>41</v>
      </c>
      <c r="B86" s="9" t="s">
        <v>1006</v>
      </c>
      <c r="C86" s="9" t="s">
        <v>1007</v>
      </c>
      <c r="D86" s="9" t="s">
        <v>1020</v>
      </c>
      <c r="E86" s="9" t="s">
        <v>1021</v>
      </c>
      <c r="F86" s="9" t="s">
        <v>1022</v>
      </c>
      <c r="G86" s="9" t="s">
        <v>1023</v>
      </c>
      <c r="L86" s="13">
        <f>$I$34*$L$34</f>
        <v>0</v>
      </c>
      <c r="M86" s="13">
        <f>$I$34*$M$34</f>
        <v>0</v>
      </c>
      <c r="N86" s="13">
        <f ca="1">$I$34*$N$34</f>
        <v>0</v>
      </c>
      <c r="O86" s="13">
        <f>$I$34*$O$34</f>
        <v>0</v>
      </c>
      <c r="P86" s="13">
        <f>$I$34*$P$34</f>
        <v>0</v>
      </c>
      <c r="Q86" s="13">
        <f>$I$34*$Q$34</f>
        <v>0</v>
      </c>
      <c r="R86" s="13">
        <f>$I$34*$R$34</f>
        <v>0</v>
      </c>
      <c r="S86" s="13">
        <f>$I$34*$S$34</f>
        <v>0</v>
      </c>
      <c r="T86" s="13">
        <f>$I$34*$T$34</f>
        <v>0</v>
      </c>
      <c r="U86" s="13">
        <f>$I$34*$U$34</f>
        <v>0</v>
      </c>
      <c r="V86" s="13">
        <f>$I$34*$V$34</f>
        <v>0</v>
      </c>
      <c r="W86" s="13">
        <f>$I$34*$W$34</f>
        <v>0</v>
      </c>
      <c r="X86" s="13">
        <f>$I$34*$X$34</f>
        <v>0</v>
      </c>
      <c r="Y86" s="13">
        <f>$I$34*$Y$34</f>
        <v>0</v>
      </c>
      <c r="Z86" s="13">
        <f>$I$34*$Z$34</f>
        <v>0</v>
      </c>
      <c r="AA86" s="13">
        <f>$I$34*$AA$34</f>
        <v>0</v>
      </c>
      <c r="AB86" s="13">
        <f ca="1">$I$34*$AB$34</f>
        <v>0</v>
      </c>
      <c r="AC86" s="13">
        <f ca="1">$I$34*$AC$34</f>
        <v>0</v>
      </c>
      <c r="AD86" s="13">
        <f>$I$34*$AD$34</f>
        <v>0</v>
      </c>
      <c r="AE86" s="13">
        <f>$I$34*$AE$34</f>
        <v>0</v>
      </c>
      <c r="AF86" s="13">
        <f ca="1">$I$34*$AF$34</f>
        <v>0</v>
      </c>
      <c r="AG86" s="13">
        <f ca="1">$I$34*$AG$34</f>
        <v>0</v>
      </c>
      <c r="AI86" s="13">
        <f>$I$34*$AI$34</f>
        <v>0</v>
      </c>
      <c r="AJ86" s="13">
        <f>$I$34*$AJ$34</f>
        <v>0</v>
      </c>
      <c r="AK86" s="13">
        <f>$I$34*$AK$34</f>
        <v>0</v>
      </c>
      <c r="AL86" s="13">
        <f>$I$34*$AL$34</f>
        <v>0</v>
      </c>
      <c r="AM86" s="13">
        <f>$I$34*$AM$34</f>
        <v>0</v>
      </c>
      <c r="AN86" s="13">
        <f>$I$34*$AN$34</f>
        <v>0</v>
      </c>
      <c r="AO86" s="13">
        <f>$I$34*$AO$34</f>
        <v>0</v>
      </c>
      <c r="AP86" s="13">
        <f>$I$34*$AP$34</f>
        <v>0</v>
      </c>
      <c r="AQ86" s="13">
        <f>$I$34*$AQ$34</f>
        <v>0</v>
      </c>
      <c r="AR86" s="13">
        <f>$I$34*$AR$34</f>
        <v>0</v>
      </c>
      <c r="AS86" s="13">
        <f>$I$34*$AS$34</f>
        <v>0</v>
      </c>
      <c r="AT86" s="13">
        <f>$I$34*$AT$34</f>
        <v>0</v>
      </c>
      <c r="AU86" s="13">
        <f>$I$34*$AU$34</f>
        <v>0</v>
      </c>
      <c r="AV86" s="13">
        <f>$I$34*$AV$34</f>
        <v>0</v>
      </c>
      <c r="AW86" s="13">
        <f>$I$34*$AW$34</f>
        <v>0</v>
      </c>
      <c r="AX86" s="13">
        <f>$I$34*$AX$34</f>
        <v>0</v>
      </c>
      <c r="AY86" s="13">
        <f>$I$34*$AY$34</f>
        <v>0</v>
      </c>
      <c r="AZ86" s="13">
        <f>$I$34*$AZ$34</f>
        <v>0</v>
      </c>
      <c r="BA86" s="13">
        <f>$I$34*$BA$34</f>
        <v>0</v>
      </c>
      <c r="BB86" s="13">
        <f>$I$34*$BB$34</f>
        <v>0</v>
      </c>
      <c r="BC86" s="13">
        <f>$I$34*$BC$34</f>
        <v>0</v>
      </c>
      <c r="BD86" s="13">
        <f>$I$34*$BD$34</f>
        <v>0</v>
      </c>
    </row>
    <row r="87" spans="1:56" ht="11.25" customHeight="1" x14ac:dyDescent="0.25">
      <c r="A87" s="9" t="s">
        <v>41</v>
      </c>
      <c r="B87" s="9" t="s">
        <v>1006</v>
      </c>
      <c r="C87" s="9" t="s">
        <v>1007</v>
      </c>
      <c r="D87" s="9" t="s">
        <v>1020</v>
      </c>
      <c r="E87" s="9" t="s">
        <v>1021</v>
      </c>
      <c r="F87" s="9" t="s">
        <v>1022</v>
      </c>
      <c r="G87" s="9" t="s">
        <v>1024</v>
      </c>
      <c r="L87" s="13">
        <f>$I$35*$L$35</f>
        <v>0</v>
      </c>
      <c r="M87" s="13">
        <f>$I$35*$M$35</f>
        <v>0</v>
      </c>
      <c r="N87" s="13">
        <f ca="1">$I$35*$N$35</f>
        <v>0</v>
      </c>
      <c r="O87" s="13">
        <f>$I$35*$O$35</f>
        <v>0</v>
      </c>
      <c r="P87" s="13">
        <f>$I$35*$P$35</f>
        <v>0</v>
      </c>
      <c r="Q87" s="13">
        <f>$I$35*$Q$35</f>
        <v>0</v>
      </c>
      <c r="R87" s="13">
        <f>$I$35*$R$35</f>
        <v>0</v>
      </c>
      <c r="S87" s="13">
        <f>$I$35*$S$35</f>
        <v>0</v>
      </c>
      <c r="T87" s="13">
        <f>$I$35*$T$35</f>
        <v>0</v>
      </c>
      <c r="U87" s="13">
        <f>$I$35*$U$35</f>
        <v>0</v>
      </c>
      <c r="V87" s="13">
        <f>$I$35*$V$35</f>
        <v>0</v>
      </c>
      <c r="W87" s="13">
        <f>$I$35*$W$35</f>
        <v>0</v>
      </c>
      <c r="X87" s="13">
        <f>$I$35*$X$35</f>
        <v>0</v>
      </c>
      <c r="Y87" s="13">
        <f>$I$35*$Y$35</f>
        <v>0</v>
      </c>
      <c r="Z87" s="13">
        <f>$I$35*$Z$35</f>
        <v>0</v>
      </c>
      <c r="AA87" s="13">
        <f>$I$35*$AA$35</f>
        <v>0</v>
      </c>
      <c r="AB87" s="13">
        <f ca="1">$I$35*$AB$35</f>
        <v>0</v>
      </c>
      <c r="AC87" s="13">
        <f ca="1">$I$35*$AC$35</f>
        <v>0</v>
      </c>
      <c r="AD87" s="13">
        <f>$I$35*$AD$35</f>
        <v>0</v>
      </c>
      <c r="AE87" s="13">
        <f>$I$35*$AE$35</f>
        <v>0</v>
      </c>
      <c r="AF87" s="13">
        <f ca="1">$I$35*$AF$35</f>
        <v>0</v>
      </c>
      <c r="AG87" s="13">
        <f ca="1">$I$35*$AG$35</f>
        <v>0</v>
      </c>
      <c r="AI87" s="13">
        <f>$I$35*$AI$35</f>
        <v>0</v>
      </c>
      <c r="AJ87" s="13">
        <f>$I$35*$AJ$35</f>
        <v>0</v>
      </c>
      <c r="AK87" s="13">
        <f>$I$35*$AK$35</f>
        <v>0</v>
      </c>
      <c r="AL87" s="13">
        <f>$I$35*$AL$35</f>
        <v>0</v>
      </c>
      <c r="AM87" s="13">
        <f>$I$35*$AM$35</f>
        <v>0</v>
      </c>
      <c r="AN87" s="13">
        <f>$I$35*$AN$35</f>
        <v>0</v>
      </c>
      <c r="AO87" s="13">
        <f>$I$35*$AO$35</f>
        <v>0</v>
      </c>
      <c r="AP87" s="13">
        <f>$I$35*$AP$35</f>
        <v>0</v>
      </c>
      <c r="AQ87" s="13">
        <f>$I$35*$AQ$35</f>
        <v>0</v>
      </c>
      <c r="AR87" s="13">
        <f>$I$35*$AR$35</f>
        <v>0</v>
      </c>
      <c r="AS87" s="13">
        <f>$I$35*$AS$35</f>
        <v>0</v>
      </c>
      <c r="AT87" s="13">
        <f>$I$35*$AT$35</f>
        <v>0</v>
      </c>
      <c r="AU87" s="13">
        <f>$I$35*$AU$35</f>
        <v>0</v>
      </c>
      <c r="AV87" s="13">
        <f>$I$35*$AV$35</f>
        <v>0</v>
      </c>
      <c r="AW87" s="13">
        <f>$I$35*$AW$35</f>
        <v>0</v>
      </c>
      <c r="AX87" s="13">
        <f>$I$35*$AX$35</f>
        <v>0</v>
      </c>
      <c r="AY87" s="13">
        <f>$I$35*$AY$35</f>
        <v>0</v>
      </c>
      <c r="AZ87" s="13">
        <f>$I$35*$AZ$35</f>
        <v>0</v>
      </c>
      <c r="BA87" s="13">
        <f>$I$35*$BA$35</f>
        <v>0</v>
      </c>
      <c r="BB87" s="13">
        <f>$I$35*$BB$35</f>
        <v>0</v>
      </c>
      <c r="BC87" s="13">
        <f>$I$35*$BC$35</f>
        <v>0</v>
      </c>
      <c r="BD87" s="13">
        <f>$I$35*$BD$35</f>
        <v>0</v>
      </c>
    </row>
    <row r="88" spans="1:56" ht="11.25" customHeight="1" x14ac:dyDescent="0.25">
      <c r="A88" s="9" t="s">
        <v>41</v>
      </c>
      <c r="B88" s="9" t="s">
        <v>1006</v>
      </c>
      <c r="C88" s="9" t="s">
        <v>1007</v>
      </c>
      <c r="D88" s="9" t="s">
        <v>1020</v>
      </c>
      <c r="E88" s="9" t="s">
        <v>1021</v>
      </c>
      <c r="F88" s="9" t="s">
        <v>1022</v>
      </c>
      <c r="G88" s="9" t="s">
        <v>1025</v>
      </c>
      <c r="L88" s="13">
        <f>$I$36*$L$36</f>
        <v>0</v>
      </c>
      <c r="M88" s="13">
        <f>$I$36*$M$36</f>
        <v>0</v>
      </c>
      <c r="N88" s="13">
        <f ca="1">$I$36*$N$36</f>
        <v>0</v>
      </c>
      <c r="O88" s="13">
        <f>$I$36*$O$36</f>
        <v>0</v>
      </c>
      <c r="P88" s="13">
        <f>$I$36*$P$36</f>
        <v>0</v>
      </c>
      <c r="Q88" s="13">
        <f>$I$36*$Q$36</f>
        <v>0</v>
      </c>
      <c r="R88" s="13">
        <f>$I$36*$R$36</f>
        <v>0</v>
      </c>
      <c r="S88" s="13">
        <f>$I$36*$S$36</f>
        <v>0</v>
      </c>
      <c r="T88" s="13">
        <f>$I$36*$T$36</f>
        <v>0</v>
      </c>
      <c r="U88" s="13">
        <f>$I$36*$U$36</f>
        <v>0</v>
      </c>
      <c r="V88" s="13">
        <f>$I$36*$V$36</f>
        <v>0</v>
      </c>
      <c r="W88" s="13">
        <f>$I$36*$W$36</f>
        <v>0</v>
      </c>
      <c r="X88" s="13">
        <f>$I$36*$X$36</f>
        <v>0</v>
      </c>
      <c r="Y88" s="13">
        <f>$I$36*$Y$36</f>
        <v>0</v>
      </c>
      <c r="Z88" s="13">
        <f>$I$36*$Z$36</f>
        <v>0</v>
      </c>
      <c r="AA88" s="13">
        <f>$I$36*$AA$36</f>
        <v>0</v>
      </c>
      <c r="AB88" s="13">
        <f ca="1">$I$36*$AB$36</f>
        <v>0</v>
      </c>
      <c r="AC88" s="13">
        <f ca="1">$I$36*$AC$36</f>
        <v>0</v>
      </c>
      <c r="AD88" s="13">
        <f>$I$36*$AD$36</f>
        <v>0</v>
      </c>
      <c r="AE88" s="13">
        <f>$I$36*$AE$36</f>
        <v>0</v>
      </c>
      <c r="AF88" s="13">
        <f ca="1">$I$36*$AF$36</f>
        <v>0</v>
      </c>
      <c r="AG88" s="13">
        <f ca="1">$I$36*$AG$36</f>
        <v>0</v>
      </c>
      <c r="AI88" s="13">
        <f>$I$36*$AI$36</f>
        <v>0</v>
      </c>
      <c r="AJ88" s="13">
        <f>$I$36*$AJ$36</f>
        <v>0</v>
      </c>
      <c r="AK88" s="13">
        <f>$I$36*$AK$36</f>
        <v>0</v>
      </c>
      <c r="AL88" s="13">
        <f>$I$36*$AL$36</f>
        <v>0</v>
      </c>
      <c r="AM88" s="13">
        <f>$I$36*$AM$36</f>
        <v>0</v>
      </c>
      <c r="AN88" s="13">
        <f>$I$36*$AN$36</f>
        <v>0</v>
      </c>
      <c r="AO88" s="13">
        <f>$I$36*$AO$36</f>
        <v>0</v>
      </c>
      <c r="AP88" s="13">
        <f>$I$36*$AP$36</f>
        <v>0</v>
      </c>
      <c r="AQ88" s="13">
        <f>$I$36*$AQ$36</f>
        <v>0</v>
      </c>
      <c r="AR88" s="13">
        <f>$I$36*$AR$36</f>
        <v>0</v>
      </c>
      <c r="AS88" s="13">
        <f>$I$36*$AS$36</f>
        <v>0</v>
      </c>
      <c r="AT88" s="13">
        <f>$I$36*$AT$36</f>
        <v>0</v>
      </c>
      <c r="AU88" s="13">
        <f>$I$36*$AU$36</f>
        <v>0</v>
      </c>
      <c r="AV88" s="13">
        <f>$I$36*$AV$36</f>
        <v>0</v>
      </c>
      <c r="AW88" s="13">
        <f>$I$36*$AW$36</f>
        <v>0</v>
      </c>
      <c r="AX88" s="13">
        <f>$I$36*$AX$36</f>
        <v>0</v>
      </c>
      <c r="AY88" s="13">
        <f>$I$36*$AY$36</f>
        <v>0</v>
      </c>
      <c r="AZ88" s="13">
        <f>$I$36*$AZ$36</f>
        <v>0</v>
      </c>
      <c r="BA88" s="13">
        <f>$I$36*$BA$36</f>
        <v>0</v>
      </c>
      <c r="BB88" s="13">
        <f>$I$36*$BB$36</f>
        <v>0</v>
      </c>
      <c r="BC88" s="13">
        <f>$I$36*$BC$36</f>
        <v>0</v>
      </c>
      <c r="BD88" s="13">
        <f>$I$36*$BD$36</f>
        <v>0</v>
      </c>
    </row>
    <row r="89" spans="1:56" ht="11.25" customHeight="1" x14ac:dyDescent="0.25">
      <c r="A89" s="9" t="s">
        <v>41</v>
      </c>
      <c r="B89" s="9" t="s">
        <v>1014</v>
      </c>
      <c r="C89" s="9" t="s">
        <v>1015</v>
      </c>
      <c r="D89" s="9" t="s">
        <v>1026</v>
      </c>
      <c r="E89" s="9" t="s">
        <v>1027</v>
      </c>
      <c r="F89" s="9" t="s">
        <v>1028</v>
      </c>
      <c r="G89" s="9" t="s">
        <v>1029</v>
      </c>
      <c r="L89" s="13">
        <f>$I$37*$L$37</f>
        <v>0</v>
      </c>
      <c r="M89" s="13">
        <f>$I$37*$M$37</f>
        <v>0</v>
      </c>
      <c r="N89" s="13">
        <f ca="1">$I$37*$N$37</f>
        <v>0</v>
      </c>
      <c r="O89" s="13">
        <f>$I$37*$O$37</f>
        <v>0</v>
      </c>
      <c r="P89" s="13">
        <f>$I$37*$P$37</f>
        <v>0</v>
      </c>
      <c r="Q89" s="13">
        <f>$I$37*$Q$37</f>
        <v>0</v>
      </c>
      <c r="R89" s="13">
        <f>$I$37*$R$37</f>
        <v>0</v>
      </c>
      <c r="S89" s="13">
        <f>$I$37*$S$37</f>
        <v>0</v>
      </c>
      <c r="T89" s="13">
        <f>$I$37*$T$37</f>
        <v>0</v>
      </c>
      <c r="U89" s="13">
        <f>$I$37*$U$37</f>
        <v>0</v>
      </c>
      <c r="V89" s="13">
        <f>$I$37*$V$37</f>
        <v>0</v>
      </c>
      <c r="W89" s="13">
        <f>$I$37*$W$37</f>
        <v>0</v>
      </c>
      <c r="X89" s="13">
        <f>$I$37*$X$37</f>
        <v>0</v>
      </c>
      <c r="Y89" s="13">
        <f>$I$37*$Y$37</f>
        <v>0</v>
      </c>
      <c r="Z89" s="13">
        <f>$I$37*$Z$37</f>
        <v>0</v>
      </c>
      <c r="AA89" s="13">
        <f>$I$37*$AA$37</f>
        <v>0</v>
      </c>
      <c r="AB89" s="13">
        <f ca="1">$I$37*$AB$37</f>
        <v>0</v>
      </c>
      <c r="AC89" s="13">
        <f ca="1">$I$37*$AC$37</f>
        <v>0</v>
      </c>
      <c r="AD89" s="13">
        <f>$I$37*$AD$37</f>
        <v>0</v>
      </c>
      <c r="AE89" s="13">
        <f>$I$37*$AE$37</f>
        <v>0</v>
      </c>
      <c r="AF89" s="13">
        <f ca="1">$I$37*$AF$37</f>
        <v>0</v>
      </c>
      <c r="AG89" s="13">
        <f ca="1">$I$37*$AG$37</f>
        <v>0</v>
      </c>
      <c r="AI89" s="13">
        <f>$I$37*$AI$37</f>
        <v>0</v>
      </c>
      <c r="AJ89" s="13">
        <f>$I$37*$AJ$37</f>
        <v>0</v>
      </c>
      <c r="AK89" s="13">
        <f>$I$37*$AK$37</f>
        <v>0</v>
      </c>
      <c r="AL89" s="13">
        <f>$I$37*$AL$37</f>
        <v>0</v>
      </c>
      <c r="AM89" s="13">
        <f>$I$37*$AM$37</f>
        <v>0</v>
      </c>
      <c r="AN89" s="13">
        <f>$I$37*$AN$37</f>
        <v>0</v>
      </c>
      <c r="AO89" s="13">
        <f>$I$37*$AO$37</f>
        <v>0</v>
      </c>
      <c r="AP89" s="13">
        <f>$I$37*$AP$37</f>
        <v>0</v>
      </c>
      <c r="AQ89" s="13">
        <f>$I$37*$AQ$37</f>
        <v>0</v>
      </c>
      <c r="AR89" s="13">
        <f>$I$37*$AR$37</f>
        <v>0</v>
      </c>
      <c r="AS89" s="13">
        <f>$I$37*$AS$37</f>
        <v>0</v>
      </c>
      <c r="AT89" s="13">
        <f>$I$37*$AT$37</f>
        <v>0</v>
      </c>
      <c r="AU89" s="13">
        <f>$I$37*$AU$37</f>
        <v>0</v>
      </c>
      <c r="AV89" s="13">
        <f>$I$37*$AV$37</f>
        <v>0</v>
      </c>
      <c r="AW89" s="13">
        <f>$I$37*$AW$37</f>
        <v>0</v>
      </c>
      <c r="AX89" s="13">
        <f>$I$37*$AX$37</f>
        <v>0</v>
      </c>
      <c r="AY89" s="13">
        <f>$I$37*$AY$37</f>
        <v>0</v>
      </c>
      <c r="AZ89" s="13">
        <f>$I$37*$AZ$37</f>
        <v>0</v>
      </c>
      <c r="BA89" s="13">
        <f>$I$37*$BA$37</f>
        <v>0</v>
      </c>
      <c r="BB89" s="13">
        <f>$I$37*$BB$37</f>
        <v>0</v>
      </c>
      <c r="BC89" s="13">
        <f>$I$37*$BC$37</f>
        <v>0</v>
      </c>
      <c r="BD89" s="13">
        <f>$I$37*$BD$37</f>
        <v>0</v>
      </c>
    </row>
    <row r="90" spans="1:56" ht="11.25" customHeight="1" x14ac:dyDescent="0.25">
      <c r="A90" s="9" t="s">
        <v>41</v>
      </c>
      <c r="B90" s="9" t="s">
        <v>1006</v>
      </c>
      <c r="C90" s="9" t="s">
        <v>1007</v>
      </c>
      <c r="D90" s="9" t="s">
        <v>1030</v>
      </c>
      <c r="E90" s="9" t="s">
        <v>1031</v>
      </c>
      <c r="F90" s="9" t="s">
        <v>1032</v>
      </c>
      <c r="G90" s="9" t="s">
        <v>1033</v>
      </c>
      <c r="L90" s="13">
        <f>$I$38*$L$38</f>
        <v>0</v>
      </c>
      <c r="M90" s="13">
        <f>$I$38*$M$38</f>
        <v>0</v>
      </c>
      <c r="N90" s="13">
        <f ca="1">$I$38*$N$38</f>
        <v>0</v>
      </c>
      <c r="O90" s="13">
        <f>$I$38*$O$38</f>
        <v>0</v>
      </c>
      <c r="P90" s="13">
        <f>$I$38*$P$38</f>
        <v>0</v>
      </c>
      <c r="Q90" s="13">
        <f>$I$38*$Q$38</f>
        <v>0</v>
      </c>
      <c r="R90" s="13">
        <f>$I$38*$R$38</f>
        <v>0</v>
      </c>
      <c r="S90" s="13">
        <f>$I$38*$S$38</f>
        <v>0</v>
      </c>
      <c r="T90" s="13">
        <f>$I$38*$T$38</f>
        <v>0</v>
      </c>
      <c r="U90" s="13">
        <f>$I$38*$U$38</f>
        <v>0</v>
      </c>
      <c r="V90" s="13">
        <f>$I$38*$V$38</f>
        <v>0</v>
      </c>
      <c r="W90" s="13">
        <f>$I$38*$W$38</f>
        <v>0</v>
      </c>
      <c r="X90" s="13">
        <f>$I$38*$X$38</f>
        <v>0</v>
      </c>
      <c r="Y90" s="13">
        <f>$I$38*$Y$38</f>
        <v>0</v>
      </c>
      <c r="Z90" s="13">
        <f>$I$38*$Z$38</f>
        <v>0</v>
      </c>
      <c r="AA90" s="13">
        <f>$I$38*$AA$38</f>
        <v>0</v>
      </c>
      <c r="AB90" s="13">
        <f ca="1">$I$38*$AB$38</f>
        <v>0</v>
      </c>
      <c r="AC90" s="13">
        <f ca="1">$I$38*$AC$38</f>
        <v>0</v>
      </c>
      <c r="AD90" s="13">
        <f>$I$38*$AD$38</f>
        <v>0</v>
      </c>
      <c r="AE90" s="13">
        <f>$I$38*$AE$38</f>
        <v>0</v>
      </c>
      <c r="AF90" s="13">
        <f ca="1">$I$38*$AF$38</f>
        <v>0</v>
      </c>
      <c r="AG90" s="13">
        <f ca="1">$I$38*$AG$38</f>
        <v>0</v>
      </c>
      <c r="AI90" s="13">
        <f>$I$38*$AI$38</f>
        <v>0</v>
      </c>
      <c r="AJ90" s="13">
        <f>$I$38*$AJ$38</f>
        <v>0</v>
      </c>
      <c r="AK90" s="13">
        <f>$I$38*$AK$38</f>
        <v>0</v>
      </c>
      <c r="AL90" s="13">
        <f>$I$38*$AL$38</f>
        <v>0</v>
      </c>
      <c r="AM90" s="13">
        <f>$I$38*$AM$38</f>
        <v>0</v>
      </c>
      <c r="AN90" s="13">
        <f>$I$38*$AN$38</f>
        <v>0</v>
      </c>
      <c r="AO90" s="13">
        <f>$I$38*$AO$38</f>
        <v>0</v>
      </c>
      <c r="AP90" s="13">
        <f>$I$38*$AP$38</f>
        <v>0</v>
      </c>
      <c r="AQ90" s="13">
        <f>$I$38*$AQ$38</f>
        <v>0</v>
      </c>
      <c r="AR90" s="13">
        <f>$I$38*$AR$38</f>
        <v>0</v>
      </c>
      <c r="AS90" s="13">
        <f>$I$38*$AS$38</f>
        <v>0</v>
      </c>
      <c r="AT90" s="13">
        <f>$I$38*$AT$38</f>
        <v>0</v>
      </c>
      <c r="AU90" s="13">
        <f>$I$38*$AU$38</f>
        <v>0</v>
      </c>
      <c r="AV90" s="13">
        <f>$I$38*$AV$38</f>
        <v>0</v>
      </c>
      <c r="AW90" s="13">
        <f>$I$38*$AW$38</f>
        <v>0</v>
      </c>
      <c r="AX90" s="13">
        <f>$I$38*$AX$38</f>
        <v>0</v>
      </c>
      <c r="AY90" s="13">
        <f>$I$38*$AY$38</f>
        <v>0</v>
      </c>
      <c r="AZ90" s="13">
        <f>$I$38*$AZ$38</f>
        <v>0</v>
      </c>
      <c r="BA90" s="13">
        <f>$I$38*$BA$38</f>
        <v>0</v>
      </c>
      <c r="BB90" s="13">
        <f>$I$38*$BB$38</f>
        <v>0</v>
      </c>
      <c r="BC90" s="13">
        <f>$I$38*$BC$38</f>
        <v>0</v>
      </c>
      <c r="BD90" s="13">
        <f>$I$38*$BD$38</f>
        <v>0</v>
      </c>
    </row>
    <row r="91" spans="1:56" ht="11.25" customHeight="1" x14ac:dyDescent="0.25">
      <c r="A91" s="9" t="s">
        <v>41</v>
      </c>
      <c r="B91" s="9" t="s">
        <v>1006</v>
      </c>
      <c r="C91" s="9" t="s">
        <v>1007</v>
      </c>
      <c r="D91" s="9" t="s">
        <v>1030</v>
      </c>
      <c r="E91" s="9" t="s">
        <v>1031</v>
      </c>
      <c r="F91" s="9" t="s">
        <v>1032</v>
      </c>
      <c r="G91" s="9" t="s">
        <v>1034</v>
      </c>
      <c r="L91" s="13">
        <f>$I$39*$L$39</f>
        <v>0</v>
      </c>
      <c r="M91" s="13">
        <f>$I$39*$M$39</f>
        <v>0</v>
      </c>
      <c r="N91" s="13">
        <f ca="1">$I$39*$N$39</f>
        <v>0</v>
      </c>
      <c r="O91" s="13">
        <f>$I$39*$O$39</f>
        <v>0</v>
      </c>
      <c r="P91" s="13">
        <f>$I$39*$P$39</f>
        <v>0</v>
      </c>
      <c r="Q91" s="13">
        <f>$I$39*$Q$39</f>
        <v>0</v>
      </c>
      <c r="R91" s="13">
        <f>$I$39*$R$39</f>
        <v>0</v>
      </c>
      <c r="S91" s="13">
        <f>$I$39*$S$39</f>
        <v>0</v>
      </c>
      <c r="T91" s="13">
        <f>$I$39*$T$39</f>
        <v>0</v>
      </c>
      <c r="U91" s="13">
        <f>$I$39*$U$39</f>
        <v>0</v>
      </c>
      <c r="V91" s="13">
        <f>$I$39*$V$39</f>
        <v>0</v>
      </c>
      <c r="W91" s="13">
        <f>$I$39*$W$39</f>
        <v>0</v>
      </c>
      <c r="X91" s="13">
        <f>$I$39*$X$39</f>
        <v>0</v>
      </c>
      <c r="Y91" s="13">
        <f>$I$39*$Y$39</f>
        <v>0</v>
      </c>
      <c r="Z91" s="13">
        <f>$I$39*$Z$39</f>
        <v>0</v>
      </c>
      <c r="AA91" s="13">
        <f>$I$39*$AA$39</f>
        <v>0</v>
      </c>
      <c r="AB91" s="13">
        <f ca="1">$I$39*$AB$39</f>
        <v>0</v>
      </c>
      <c r="AC91" s="13">
        <f ca="1">$I$39*$AC$39</f>
        <v>0</v>
      </c>
      <c r="AD91" s="13">
        <f>$I$39*$AD$39</f>
        <v>0</v>
      </c>
      <c r="AE91" s="13">
        <f>$I$39*$AE$39</f>
        <v>0</v>
      </c>
      <c r="AF91" s="13">
        <f ca="1">$I$39*$AF$39</f>
        <v>0</v>
      </c>
      <c r="AG91" s="13">
        <f ca="1">$I$39*$AG$39</f>
        <v>0</v>
      </c>
      <c r="AI91" s="13">
        <f>$I$39*$AI$39</f>
        <v>0</v>
      </c>
      <c r="AJ91" s="13">
        <f>$I$39*$AJ$39</f>
        <v>0</v>
      </c>
      <c r="AK91" s="13">
        <f>$I$39*$AK$39</f>
        <v>0</v>
      </c>
      <c r="AL91" s="13">
        <f>$I$39*$AL$39</f>
        <v>0</v>
      </c>
      <c r="AM91" s="13">
        <f>$I$39*$AM$39</f>
        <v>0</v>
      </c>
      <c r="AN91" s="13">
        <f>$I$39*$AN$39</f>
        <v>0</v>
      </c>
      <c r="AO91" s="13">
        <f>$I$39*$AO$39</f>
        <v>0</v>
      </c>
      <c r="AP91" s="13">
        <f>$I$39*$AP$39</f>
        <v>0</v>
      </c>
      <c r="AQ91" s="13">
        <f>$I$39*$AQ$39</f>
        <v>0</v>
      </c>
      <c r="AR91" s="13">
        <f>$I$39*$AR$39</f>
        <v>0</v>
      </c>
      <c r="AS91" s="13">
        <f>$I$39*$AS$39</f>
        <v>0</v>
      </c>
      <c r="AT91" s="13">
        <f>$I$39*$AT$39</f>
        <v>0</v>
      </c>
      <c r="AU91" s="13">
        <f>$I$39*$AU$39</f>
        <v>0</v>
      </c>
      <c r="AV91" s="13">
        <f>$I$39*$AV$39</f>
        <v>0</v>
      </c>
      <c r="AW91" s="13">
        <f>$I$39*$AW$39</f>
        <v>0</v>
      </c>
      <c r="AX91" s="13">
        <f>$I$39*$AX$39</f>
        <v>0</v>
      </c>
      <c r="AY91" s="13">
        <f>$I$39*$AY$39</f>
        <v>0</v>
      </c>
      <c r="AZ91" s="13">
        <f>$I$39*$AZ$39</f>
        <v>0</v>
      </c>
      <c r="BA91" s="13">
        <f>$I$39*$BA$39</f>
        <v>0</v>
      </c>
      <c r="BB91" s="13">
        <f>$I$39*$BB$39</f>
        <v>0</v>
      </c>
      <c r="BC91" s="13">
        <f>$I$39*$BC$39</f>
        <v>0</v>
      </c>
      <c r="BD91" s="13">
        <f>$I$39*$BD$39</f>
        <v>0</v>
      </c>
    </row>
    <row r="92" spans="1:56" ht="11.25" customHeight="1" x14ac:dyDescent="0.25">
      <c r="A92" s="9" t="s">
        <v>41</v>
      </c>
      <c r="B92" s="9" t="s">
        <v>1006</v>
      </c>
      <c r="C92" s="9" t="s">
        <v>1007</v>
      </c>
      <c r="D92" s="9" t="s">
        <v>1030</v>
      </c>
      <c r="E92" s="9" t="s">
        <v>1031</v>
      </c>
      <c r="F92" s="9" t="s">
        <v>1032</v>
      </c>
      <c r="G92" s="9" t="s">
        <v>1035</v>
      </c>
      <c r="L92" s="13">
        <f>$I$40*$L$40</f>
        <v>0</v>
      </c>
      <c r="M92" s="13">
        <f>$I$40*$M$40</f>
        <v>0</v>
      </c>
      <c r="N92" s="13">
        <f ca="1">$I$40*$N$40</f>
        <v>0</v>
      </c>
      <c r="O92" s="13">
        <f>$I$40*$O$40</f>
        <v>0</v>
      </c>
      <c r="P92" s="13">
        <f>$I$40*$P$40</f>
        <v>0</v>
      </c>
      <c r="Q92" s="13">
        <f>$I$40*$Q$40</f>
        <v>0</v>
      </c>
      <c r="R92" s="13">
        <f>$I$40*$R$40</f>
        <v>0</v>
      </c>
      <c r="S92" s="13">
        <f>$I$40*$S$40</f>
        <v>0</v>
      </c>
      <c r="T92" s="13">
        <f>$I$40*$T$40</f>
        <v>0</v>
      </c>
      <c r="U92" s="13">
        <f>$I$40*$U$40</f>
        <v>0</v>
      </c>
      <c r="V92" s="13">
        <f>$I$40*$V$40</f>
        <v>0</v>
      </c>
      <c r="W92" s="13">
        <f>$I$40*$W$40</f>
        <v>0</v>
      </c>
      <c r="X92" s="13">
        <f>$I$40*$X$40</f>
        <v>0</v>
      </c>
      <c r="Y92" s="13">
        <f>$I$40*$Y$40</f>
        <v>0</v>
      </c>
      <c r="Z92" s="13">
        <f>$I$40*$Z$40</f>
        <v>0</v>
      </c>
      <c r="AA92" s="13">
        <f>$I$40*$AA$40</f>
        <v>0</v>
      </c>
      <c r="AB92" s="13">
        <f ca="1">$I$40*$AB$40</f>
        <v>0</v>
      </c>
      <c r="AC92" s="13">
        <f ca="1">$I$40*$AC$40</f>
        <v>0</v>
      </c>
      <c r="AD92" s="13">
        <f>$I$40*$AD$40</f>
        <v>0</v>
      </c>
      <c r="AE92" s="13">
        <f>$I$40*$AE$40</f>
        <v>0</v>
      </c>
      <c r="AF92" s="13">
        <f ca="1">$I$40*$AF$40</f>
        <v>0</v>
      </c>
      <c r="AG92" s="13">
        <f ca="1">$I$40*$AG$40</f>
        <v>0</v>
      </c>
      <c r="AI92" s="13">
        <f>$I$40*$AI$40</f>
        <v>0</v>
      </c>
      <c r="AJ92" s="13">
        <f>$I$40*$AJ$40</f>
        <v>0</v>
      </c>
      <c r="AK92" s="13">
        <f>$I$40*$AK$40</f>
        <v>0</v>
      </c>
      <c r="AL92" s="13">
        <f>$I$40*$AL$40</f>
        <v>0</v>
      </c>
      <c r="AM92" s="13">
        <f>$I$40*$AM$40</f>
        <v>0</v>
      </c>
      <c r="AN92" s="13">
        <f>$I$40*$AN$40</f>
        <v>0</v>
      </c>
      <c r="AO92" s="13">
        <f>$I$40*$AO$40</f>
        <v>0</v>
      </c>
      <c r="AP92" s="13">
        <f>$I$40*$AP$40</f>
        <v>0</v>
      </c>
      <c r="AQ92" s="13">
        <f>$I$40*$AQ$40</f>
        <v>0</v>
      </c>
      <c r="AR92" s="13">
        <f>$I$40*$AR$40</f>
        <v>0</v>
      </c>
      <c r="AS92" s="13">
        <f>$I$40*$AS$40</f>
        <v>0</v>
      </c>
      <c r="AT92" s="13">
        <f>$I$40*$AT$40</f>
        <v>0</v>
      </c>
      <c r="AU92" s="13">
        <f>$I$40*$AU$40</f>
        <v>0</v>
      </c>
      <c r="AV92" s="13">
        <f>$I$40*$AV$40</f>
        <v>0</v>
      </c>
      <c r="AW92" s="13">
        <f>$I$40*$AW$40</f>
        <v>0</v>
      </c>
      <c r="AX92" s="13">
        <f>$I$40*$AX$40</f>
        <v>0</v>
      </c>
      <c r="AY92" s="13">
        <f>$I$40*$AY$40</f>
        <v>0</v>
      </c>
      <c r="AZ92" s="13">
        <f>$I$40*$AZ$40</f>
        <v>0</v>
      </c>
      <c r="BA92" s="13">
        <f>$I$40*$BA$40</f>
        <v>0</v>
      </c>
      <c r="BB92" s="13">
        <f>$I$40*$BB$40</f>
        <v>0</v>
      </c>
      <c r="BC92" s="13">
        <f>$I$40*$BC$40</f>
        <v>0</v>
      </c>
      <c r="BD92" s="13">
        <f>$I$40*$BD$40</f>
        <v>0</v>
      </c>
    </row>
    <row r="93" spans="1:56" ht="11.25" customHeight="1" x14ac:dyDescent="0.25">
      <c r="A93" s="9" t="s">
        <v>41</v>
      </c>
      <c r="B93" s="9" t="s">
        <v>1014</v>
      </c>
      <c r="C93" s="9" t="s">
        <v>1015</v>
      </c>
      <c r="D93" s="9" t="s">
        <v>1036</v>
      </c>
      <c r="E93" s="9" t="s">
        <v>1037</v>
      </c>
      <c r="F93" s="9" t="s">
        <v>1038</v>
      </c>
      <c r="G93" s="9" t="s">
        <v>1039</v>
      </c>
      <c r="L93" s="13">
        <f>$I$41*$L$41</f>
        <v>0</v>
      </c>
      <c r="M93" s="13">
        <f>$I$41*$M$41</f>
        <v>0</v>
      </c>
      <c r="N93" s="13">
        <f ca="1">$I$41*$N$41</f>
        <v>0</v>
      </c>
      <c r="O93" s="13">
        <f>$I$41*$O$41</f>
        <v>0</v>
      </c>
      <c r="P93" s="13">
        <f>$I$41*$P$41</f>
        <v>0</v>
      </c>
      <c r="Q93" s="13">
        <f>$I$41*$Q$41</f>
        <v>0</v>
      </c>
      <c r="R93" s="13">
        <f>$I$41*$R$41</f>
        <v>0</v>
      </c>
      <c r="S93" s="13">
        <f>$I$41*$S$41</f>
        <v>0</v>
      </c>
      <c r="T93" s="13">
        <f>$I$41*$T$41</f>
        <v>0</v>
      </c>
      <c r="U93" s="13">
        <f>$I$41*$U$41</f>
        <v>0</v>
      </c>
      <c r="V93" s="13">
        <f>$I$41*$V$41</f>
        <v>0</v>
      </c>
      <c r="W93" s="13">
        <f>$I$41*$W$41</f>
        <v>0</v>
      </c>
      <c r="X93" s="13">
        <f>$I$41*$X$41</f>
        <v>0</v>
      </c>
      <c r="Y93" s="13">
        <f>$I$41*$Y$41</f>
        <v>0</v>
      </c>
      <c r="Z93" s="13">
        <f>$I$41*$Z$41</f>
        <v>0</v>
      </c>
      <c r="AA93" s="13">
        <f>$I$41*$AA$41</f>
        <v>0</v>
      </c>
      <c r="AB93" s="13">
        <f ca="1">$I$41*$AB$41</f>
        <v>0</v>
      </c>
      <c r="AC93" s="13">
        <f ca="1">$I$41*$AC$41</f>
        <v>0</v>
      </c>
      <c r="AD93" s="13">
        <f>$I$41*$AD$41</f>
        <v>0</v>
      </c>
      <c r="AE93" s="13">
        <f>$I$41*$AE$41</f>
        <v>0</v>
      </c>
      <c r="AF93" s="13">
        <f ca="1">$I$41*$AF$41</f>
        <v>0</v>
      </c>
      <c r="AG93" s="13">
        <f ca="1">$I$41*$AG$41</f>
        <v>0</v>
      </c>
      <c r="AI93" s="13">
        <f>$I$41*$AI$41</f>
        <v>0</v>
      </c>
      <c r="AJ93" s="13">
        <f>$I$41*$AJ$41</f>
        <v>0</v>
      </c>
      <c r="AK93" s="13">
        <f>$I$41*$AK$41</f>
        <v>0</v>
      </c>
      <c r="AL93" s="13">
        <f>$I$41*$AL$41</f>
        <v>0</v>
      </c>
      <c r="AM93" s="13">
        <f>$I$41*$AM$41</f>
        <v>0</v>
      </c>
      <c r="AN93" s="13">
        <f>$I$41*$AN$41</f>
        <v>0</v>
      </c>
      <c r="AO93" s="13">
        <f>$I$41*$AO$41</f>
        <v>0</v>
      </c>
      <c r="AP93" s="13">
        <f>$I$41*$AP$41</f>
        <v>0</v>
      </c>
      <c r="AQ93" s="13">
        <f>$I$41*$AQ$41</f>
        <v>0</v>
      </c>
      <c r="AR93" s="13">
        <f>$I$41*$AR$41</f>
        <v>0</v>
      </c>
      <c r="AS93" s="13">
        <f>$I$41*$AS$41</f>
        <v>0</v>
      </c>
      <c r="AT93" s="13">
        <f>$I$41*$AT$41</f>
        <v>0</v>
      </c>
      <c r="AU93" s="13">
        <f>$I$41*$AU$41</f>
        <v>0</v>
      </c>
      <c r="AV93" s="13">
        <f>$I$41*$AV$41</f>
        <v>0</v>
      </c>
      <c r="AW93" s="13">
        <f>$I$41*$AW$41</f>
        <v>0</v>
      </c>
      <c r="AX93" s="13">
        <f>$I$41*$AX$41</f>
        <v>0</v>
      </c>
      <c r="AY93" s="13">
        <f>$I$41*$AY$41</f>
        <v>0</v>
      </c>
      <c r="AZ93" s="13">
        <f>$I$41*$AZ$41</f>
        <v>0</v>
      </c>
      <c r="BA93" s="13">
        <f>$I$41*$BA$41</f>
        <v>0</v>
      </c>
      <c r="BB93" s="13">
        <f>$I$41*$BB$41</f>
        <v>0</v>
      </c>
      <c r="BC93" s="13">
        <f>$I$41*$BC$41</f>
        <v>0</v>
      </c>
      <c r="BD93" s="13">
        <f>$I$41*$BD$41</f>
        <v>0</v>
      </c>
    </row>
    <row r="94" spans="1:56" ht="11.25" customHeight="1" x14ac:dyDescent="0.25">
      <c r="A94" s="9" t="s">
        <v>41</v>
      </c>
      <c r="B94" s="9" t="s">
        <v>1040</v>
      </c>
      <c r="C94" s="9" t="s">
        <v>1041</v>
      </c>
      <c r="D94" s="9" t="s">
        <v>1042</v>
      </c>
      <c r="E94" s="9" t="s">
        <v>1043</v>
      </c>
      <c r="F94" s="9" t="s">
        <v>1044</v>
      </c>
      <c r="G94" s="9" t="s">
        <v>1045</v>
      </c>
      <c r="L94" s="13">
        <f>$I$42*$L$42</f>
        <v>0</v>
      </c>
      <c r="M94" s="13">
        <f>$I$42*$M$42</f>
        <v>0</v>
      </c>
      <c r="N94" s="13">
        <f ca="1">$I$42*$N$42</f>
        <v>0</v>
      </c>
      <c r="O94" s="13">
        <f>$I$42*$O$42</f>
        <v>0</v>
      </c>
      <c r="P94" s="13">
        <f>$I$42*$P$42</f>
        <v>0</v>
      </c>
      <c r="Q94" s="13">
        <f>$I$42*$Q$42</f>
        <v>0</v>
      </c>
      <c r="R94" s="13">
        <f>$I$42*$R$42</f>
        <v>0</v>
      </c>
      <c r="S94" s="13">
        <f>$I$42*$S$42</f>
        <v>0</v>
      </c>
      <c r="T94" s="13">
        <f>$I$42*$T$42</f>
        <v>0</v>
      </c>
      <c r="U94" s="13">
        <f>$I$42*$U$42</f>
        <v>0</v>
      </c>
      <c r="V94" s="13">
        <f>$I$42*$V$42</f>
        <v>0</v>
      </c>
      <c r="W94" s="13">
        <f>$I$42*$W$42</f>
        <v>0</v>
      </c>
      <c r="X94" s="13">
        <f>$I$42*$X$42</f>
        <v>0</v>
      </c>
      <c r="Y94" s="13">
        <f>$I$42*$Y$42</f>
        <v>0</v>
      </c>
      <c r="Z94" s="13">
        <f>$I$42*$Z$42</f>
        <v>0</v>
      </c>
      <c r="AA94" s="13">
        <f>$I$42*$AA$42</f>
        <v>0</v>
      </c>
      <c r="AB94" s="13">
        <f ca="1">$I$42*$AB$42</f>
        <v>0</v>
      </c>
      <c r="AC94" s="13">
        <f ca="1">$I$42*$AC$42</f>
        <v>0</v>
      </c>
      <c r="AD94" s="13">
        <f>$I$42*$AD$42</f>
        <v>0</v>
      </c>
      <c r="AE94" s="13">
        <f>$I$42*$AE$42</f>
        <v>0</v>
      </c>
      <c r="AF94" s="13">
        <f ca="1">$I$42*$AF$42</f>
        <v>0</v>
      </c>
      <c r="AG94" s="13">
        <f ca="1">$I$42*$AG$42</f>
        <v>0</v>
      </c>
      <c r="AI94" s="13">
        <f>$I$42*$AI$42</f>
        <v>0</v>
      </c>
      <c r="AJ94" s="13">
        <f>$I$42*$AJ$42</f>
        <v>0</v>
      </c>
      <c r="AK94" s="13">
        <f>$I$42*$AK$42</f>
        <v>0</v>
      </c>
      <c r="AL94" s="13">
        <f>$I$42*$AL$42</f>
        <v>0</v>
      </c>
      <c r="AM94" s="13">
        <f>$I$42*$AM$42</f>
        <v>0</v>
      </c>
      <c r="AN94" s="13">
        <f>$I$42*$AN$42</f>
        <v>0</v>
      </c>
      <c r="AO94" s="13">
        <f>$I$42*$AO$42</f>
        <v>0</v>
      </c>
      <c r="AP94" s="13">
        <f>$I$42*$AP$42</f>
        <v>0</v>
      </c>
      <c r="AQ94" s="13">
        <f>$I$42*$AQ$42</f>
        <v>0</v>
      </c>
      <c r="AR94" s="13">
        <f>$I$42*$AR$42</f>
        <v>0</v>
      </c>
      <c r="AS94" s="13">
        <f>$I$42*$AS$42</f>
        <v>0</v>
      </c>
      <c r="AT94" s="13">
        <f>$I$42*$AT$42</f>
        <v>0</v>
      </c>
      <c r="AU94" s="13">
        <f>$I$42*$AU$42</f>
        <v>0</v>
      </c>
      <c r="AV94" s="13">
        <f>$I$42*$AV$42</f>
        <v>0</v>
      </c>
      <c r="AW94" s="13">
        <f>$I$42*$AW$42</f>
        <v>0</v>
      </c>
      <c r="AX94" s="13">
        <f>$I$42*$AX$42</f>
        <v>0</v>
      </c>
      <c r="AY94" s="13">
        <f>$I$42*$AY$42</f>
        <v>0</v>
      </c>
      <c r="AZ94" s="13">
        <f>$I$42*$AZ$42</f>
        <v>0</v>
      </c>
      <c r="BA94" s="13">
        <f>$I$42*$BA$42</f>
        <v>0</v>
      </c>
      <c r="BB94" s="13">
        <f>$I$42*$BB$42</f>
        <v>0</v>
      </c>
      <c r="BC94" s="13">
        <f>$I$42*$BC$42</f>
        <v>0</v>
      </c>
      <c r="BD94" s="13">
        <f>$I$42*$BD$42</f>
        <v>0</v>
      </c>
    </row>
    <row r="95" spans="1:56" ht="11.25" customHeight="1" x14ac:dyDescent="0.25">
      <c r="A95" s="9" t="s">
        <v>41</v>
      </c>
      <c r="B95" s="9" t="s">
        <v>1040</v>
      </c>
      <c r="C95" s="9" t="s">
        <v>1041</v>
      </c>
      <c r="D95" s="9" t="s">
        <v>1046</v>
      </c>
      <c r="E95" s="9" t="s">
        <v>1047</v>
      </c>
      <c r="F95" s="9" t="s">
        <v>1048</v>
      </c>
      <c r="G95" s="9" t="s">
        <v>1049</v>
      </c>
      <c r="L95" s="13">
        <f>$I$43*$L$43</f>
        <v>0</v>
      </c>
      <c r="M95" s="13">
        <f>$I$43*$M$43</f>
        <v>0</v>
      </c>
      <c r="N95" s="13">
        <f ca="1">$I$43*$N$43</f>
        <v>0</v>
      </c>
      <c r="O95" s="13">
        <f>$I$43*$O$43</f>
        <v>0</v>
      </c>
      <c r="P95" s="13">
        <f>$I$43*$P$43</f>
        <v>0</v>
      </c>
      <c r="Q95" s="13">
        <f>$I$43*$Q$43</f>
        <v>0</v>
      </c>
      <c r="R95" s="13">
        <f>$I$43*$R$43</f>
        <v>0</v>
      </c>
      <c r="S95" s="13">
        <f>$I$43*$S$43</f>
        <v>0</v>
      </c>
      <c r="T95" s="13">
        <f>$I$43*$T$43</f>
        <v>0</v>
      </c>
      <c r="U95" s="13">
        <f>$I$43*$U$43</f>
        <v>0</v>
      </c>
      <c r="V95" s="13">
        <f>$I$43*$V$43</f>
        <v>0</v>
      </c>
      <c r="W95" s="13">
        <f>$I$43*$W$43</f>
        <v>0</v>
      </c>
      <c r="X95" s="13">
        <f>$I$43*$X$43</f>
        <v>0</v>
      </c>
      <c r="Y95" s="13">
        <f>$I$43*$Y$43</f>
        <v>0</v>
      </c>
      <c r="Z95" s="13">
        <f>$I$43*$Z$43</f>
        <v>0</v>
      </c>
      <c r="AA95" s="13">
        <f>$I$43*$AA$43</f>
        <v>0</v>
      </c>
      <c r="AB95" s="13">
        <f ca="1">$I$43*$AB$43</f>
        <v>0</v>
      </c>
      <c r="AC95" s="13">
        <f ca="1">$I$43*$AC$43</f>
        <v>0</v>
      </c>
      <c r="AD95" s="13">
        <f>$I$43*$AD$43</f>
        <v>0</v>
      </c>
      <c r="AE95" s="13">
        <f>$I$43*$AE$43</f>
        <v>0</v>
      </c>
      <c r="AF95" s="13">
        <f ca="1">$I$43*$AF$43</f>
        <v>0</v>
      </c>
      <c r="AG95" s="13">
        <f ca="1">$I$43*$AG$43</f>
        <v>0</v>
      </c>
      <c r="AI95" s="13">
        <f>$I$43*$AI$43</f>
        <v>0</v>
      </c>
      <c r="AJ95" s="13">
        <f>$I$43*$AJ$43</f>
        <v>0</v>
      </c>
      <c r="AK95" s="13">
        <f>$I$43*$AK$43</f>
        <v>0</v>
      </c>
      <c r="AL95" s="13">
        <f>$I$43*$AL$43</f>
        <v>0</v>
      </c>
      <c r="AM95" s="13">
        <f>$I$43*$AM$43</f>
        <v>0</v>
      </c>
      <c r="AN95" s="13">
        <f>$I$43*$AN$43</f>
        <v>0</v>
      </c>
      <c r="AO95" s="13">
        <f>$I$43*$AO$43</f>
        <v>0</v>
      </c>
      <c r="AP95" s="13">
        <f>$I$43*$AP$43</f>
        <v>0</v>
      </c>
      <c r="AQ95" s="13">
        <f>$I$43*$AQ$43</f>
        <v>0</v>
      </c>
      <c r="AR95" s="13">
        <f>$I$43*$AR$43</f>
        <v>0</v>
      </c>
      <c r="AS95" s="13">
        <f>$I$43*$AS$43</f>
        <v>0</v>
      </c>
      <c r="AT95" s="13">
        <f>$I$43*$AT$43</f>
        <v>0</v>
      </c>
      <c r="AU95" s="13">
        <f>$I$43*$AU$43</f>
        <v>0</v>
      </c>
      <c r="AV95" s="13">
        <f>$I$43*$AV$43</f>
        <v>0</v>
      </c>
      <c r="AW95" s="13">
        <f>$I$43*$AW$43</f>
        <v>0</v>
      </c>
      <c r="AX95" s="13">
        <f>$I$43*$AX$43</f>
        <v>0</v>
      </c>
      <c r="AY95" s="13">
        <f>$I$43*$AY$43</f>
        <v>0</v>
      </c>
      <c r="AZ95" s="13">
        <f>$I$43*$AZ$43</f>
        <v>0</v>
      </c>
      <c r="BA95" s="13">
        <f>$I$43*$BA$43</f>
        <v>0</v>
      </c>
      <c r="BB95" s="13">
        <f>$I$43*$BB$43</f>
        <v>0</v>
      </c>
      <c r="BC95" s="13">
        <f>$I$43*$BC$43</f>
        <v>0</v>
      </c>
      <c r="BD95" s="13">
        <f>$I$43*$BD$43</f>
        <v>0</v>
      </c>
    </row>
    <row r="96" spans="1:56" ht="11.25" customHeight="1" x14ac:dyDescent="0.25">
      <c r="A96" s="9" t="s">
        <v>41</v>
      </c>
      <c r="B96" s="9" t="s">
        <v>1040</v>
      </c>
      <c r="C96" s="9" t="s">
        <v>1041</v>
      </c>
      <c r="D96" s="9" t="s">
        <v>1050</v>
      </c>
      <c r="E96" s="9" t="s">
        <v>1051</v>
      </c>
      <c r="F96" s="9" t="s">
        <v>1052</v>
      </c>
      <c r="G96" s="9" t="s">
        <v>1053</v>
      </c>
      <c r="L96" s="13">
        <f>$I$44*$L$44</f>
        <v>0</v>
      </c>
      <c r="M96" s="13">
        <f>$I$44*$M$44</f>
        <v>0</v>
      </c>
      <c r="N96" s="13">
        <f ca="1">$I$44*$N$44</f>
        <v>0</v>
      </c>
      <c r="O96" s="13">
        <f>$I$44*$O$44</f>
        <v>0</v>
      </c>
      <c r="P96" s="13">
        <f>$I$44*$P$44</f>
        <v>0</v>
      </c>
      <c r="Q96" s="13">
        <f>$I$44*$Q$44</f>
        <v>0</v>
      </c>
      <c r="R96" s="13">
        <f>$I$44*$R$44</f>
        <v>0</v>
      </c>
      <c r="S96" s="13">
        <f>$I$44*$S$44</f>
        <v>0</v>
      </c>
      <c r="T96" s="13">
        <f>$I$44*$T$44</f>
        <v>0</v>
      </c>
      <c r="U96" s="13">
        <f>$I$44*$U$44</f>
        <v>0</v>
      </c>
      <c r="V96" s="13">
        <f>$I$44*$V$44</f>
        <v>0</v>
      </c>
      <c r="W96" s="13">
        <f>$I$44*$W$44</f>
        <v>0</v>
      </c>
      <c r="X96" s="13">
        <f>$I$44*$X$44</f>
        <v>0</v>
      </c>
      <c r="Y96" s="13">
        <f>$I$44*$Y$44</f>
        <v>0</v>
      </c>
      <c r="Z96" s="13">
        <f>$I$44*$Z$44</f>
        <v>0</v>
      </c>
      <c r="AA96" s="13">
        <f>$I$44*$AA$44</f>
        <v>0</v>
      </c>
      <c r="AB96" s="13">
        <f ca="1">$I$44*$AB$44</f>
        <v>0</v>
      </c>
      <c r="AC96" s="13">
        <f ca="1">$I$44*$AC$44</f>
        <v>0</v>
      </c>
      <c r="AD96" s="13">
        <f>$I$44*$AD$44</f>
        <v>0</v>
      </c>
      <c r="AE96" s="13">
        <f>$I$44*$AE$44</f>
        <v>0</v>
      </c>
      <c r="AF96" s="13">
        <f ca="1">$I$44*$AF$44</f>
        <v>0</v>
      </c>
      <c r="AG96" s="13">
        <f ca="1">$I$44*$AG$44</f>
        <v>0</v>
      </c>
      <c r="AI96" s="13">
        <f>$I$44*$AI$44</f>
        <v>0</v>
      </c>
      <c r="AJ96" s="13">
        <f>$I$44*$AJ$44</f>
        <v>0</v>
      </c>
      <c r="AK96" s="13">
        <f>$I$44*$AK$44</f>
        <v>0</v>
      </c>
      <c r="AL96" s="13">
        <f>$I$44*$AL$44</f>
        <v>0</v>
      </c>
      <c r="AM96" s="13">
        <f>$I$44*$AM$44</f>
        <v>0</v>
      </c>
      <c r="AN96" s="13">
        <f>$I$44*$AN$44</f>
        <v>0</v>
      </c>
      <c r="AO96" s="13">
        <f>$I$44*$AO$44</f>
        <v>0</v>
      </c>
      <c r="AP96" s="13">
        <f>$I$44*$AP$44</f>
        <v>0</v>
      </c>
      <c r="AQ96" s="13">
        <f>$I$44*$AQ$44</f>
        <v>0</v>
      </c>
      <c r="AR96" s="13">
        <f>$I$44*$AR$44</f>
        <v>0</v>
      </c>
      <c r="AS96" s="13">
        <f>$I$44*$AS$44</f>
        <v>0</v>
      </c>
      <c r="AT96" s="13">
        <f>$I$44*$AT$44</f>
        <v>0</v>
      </c>
      <c r="AU96" s="13">
        <f>$I$44*$AU$44</f>
        <v>0</v>
      </c>
      <c r="AV96" s="13">
        <f>$I$44*$AV$44</f>
        <v>0</v>
      </c>
      <c r="AW96" s="13">
        <f>$I$44*$AW$44</f>
        <v>0</v>
      </c>
      <c r="AX96" s="13">
        <f>$I$44*$AX$44</f>
        <v>0</v>
      </c>
      <c r="AY96" s="13">
        <f>$I$44*$AY$44</f>
        <v>0</v>
      </c>
      <c r="AZ96" s="13">
        <f>$I$44*$AZ$44</f>
        <v>0</v>
      </c>
      <c r="BA96" s="13">
        <f>$I$44*$BA$44</f>
        <v>0</v>
      </c>
      <c r="BB96" s="13">
        <f>$I$44*$BB$44</f>
        <v>0</v>
      </c>
      <c r="BC96" s="13">
        <f>$I$44*$BC$44</f>
        <v>0</v>
      </c>
      <c r="BD96" s="13">
        <f>$I$44*$BD$44</f>
        <v>0</v>
      </c>
    </row>
    <row r="97" spans="1:56" ht="11.25" customHeight="1" x14ac:dyDescent="0.25">
      <c r="A97" s="9" t="s">
        <v>36</v>
      </c>
      <c r="B97" s="9" t="s">
        <v>1054</v>
      </c>
      <c r="C97" s="9" t="s">
        <v>1055</v>
      </c>
      <c r="D97" s="9" t="s">
        <v>1056</v>
      </c>
      <c r="E97" s="9" t="s">
        <v>1057</v>
      </c>
      <c r="F97" s="9" t="s">
        <v>1058</v>
      </c>
      <c r="G97" s="9" t="s">
        <v>1059</v>
      </c>
      <c r="L97" s="13">
        <f>$I$45*$L$45</f>
        <v>0</v>
      </c>
      <c r="M97" s="13">
        <f>$I$45*$M$45</f>
        <v>0.29156660674930956</v>
      </c>
      <c r="N97" s="13">
        <f ca="1">$I$45*$N$45</f>
        <v>3.4261307802323939</v>
      </c>
      <c r="O97" s="13">
        <f>$I$45*$O$45</f>
        <v>0</v>
      </c>
      <c r="P97" s="13">
        <f>$I$45*$P$45</f>
        <v>0</v>
      </c>
      <c r="Q97" s="13">
        <f>$I$45*$Q$45</f>
        <v>34.330475442178539</v>
      </c>
      <c r="R97" s="13">
        <f>$I$45*$R$45</f>
        <v>6.0664250980616314</v>
      </c>
      <c r="S97" s="13">
        <f>$I$45*$S$45</f>
        <v>0</v>
      </c>
      <c r="T97" s="13">
        <f>$I$45*$T$45</f>
        <v>0</v>
      </c>
      <c r="U97" s="13">
        <f>$I$45*$U$45</f>
        <v>0</v>
      </c>
      <c r="V97" s="13">
        <f>$I$45*$V$45</f>
        <v>0</v>
      </c>
      <c r="W97" s="13">
        <f>$I$45*$W$45</f>
        <v>0</v>
      </c>
      <c r="X97" s="13">
        <f>$I$45*$X$45</f>
        <v>142.6932056102527</v>
      </c>
      <c r="Y97" s="13">
        <f>$I$45*$Y$45</f>
        <v>0</v>
      </c>
      <c r="Z97" s="13">
        <f>$I$45*$Z$45</f>
        <v>0</v>
      </c>
      <c r="AA97" s="13">
        <f>$I$45*$AA$45</f>
        <v>216.02911044581134</v>
      </c>
      <c r="AB97" s="13">
        <f ca="1">$I$45*$AB$45</f>
        <v>-111.60023341637756</v>
      </c>
      <c r="AC97" s="13">
        <f ca="1">$I$45*$AC$45</f>
        <v>0</v>
      </c>
      <c r="AD97" s="13">
        <f>$I$45*$AD$45</f>
        <v>7.5383390841389346</v>
      </c>
      <c r="AE97" s="13">
        <f>$I$45*$AE$45</f>
        <v>0.25862824934998102</v>
      </c>
      <c r="AF97" s="13">
        <f ca="1">$I$45*$AF$45</f>
        <v>1.4622142002865031</v>
      </c>
      <c r="AG97" s="13">
        <f ca="1">$I$45*$AG$45</f>
        <v>8.1048653324313408E-2</v>
      </c>
      <c r="AI97" s="13">
        <f>$I$45*$AI$45</f>
        <v>0</v>
      </c>
      <c r="AJ97" s="13">
        <f>$I$45*$AJ$45</f>
        <v>0.27850966881595102</v>
      </c>
      <c r="AK97" s="13">
        <f>$I$45*$AK$45</f>
        <v>5.592122131990398</v>
      </c>
      <c r="AL97" s="13">
        <f>$I$45*$AL$45</f>
        <v>0</v>
      </c>
      <c r="AM97" s="13">
        <f>$I$45*$AM$45</f>
        <v>0</v>
      </c>
      <c r="AN97" s="13">
        <f>$I$45*$AN$45</f>
        <v>23.361076890321179</v>
      </c>
      <c r="AO97" s="13">
        <f>$I$45*$AO$45</f>
        <v>3.5035727279972506</v>
      </c>
      <c r="AP97" s="13">
        <f>$I$45*$AP$45</f>
        <v>0</v>
      </c>
      <c r="AQ97" s="13">
        <f>$I$45*$AQ$45</f>
        <v>0</v>
      </c>
      <c r="AR97" s="13">
        <f>$I$45*$AR$45</f>
        <v>0</v>
      </c>
      <c r="AS97" s="13">
        <f>$I$45*$AS$45</f>
        <v>0</v>
      </c>
      <c r="AT97" s="13">
        <f>$I$45*$AT$45</f>
        <v>0</v>
      </c>
      <c r="AU97" s="13">
        <f>$I$45*$AU$45</f>
        <v>136.11316225962676</v>
      </c>
      <c r="AV97" s="13">
        <f>$I$45*$AV$45</f>
        <v>0</v>
      </c>
      <c r="AW97" s="13">
        <f>$I$45*$AW$45</f>
        <v>0</v>
      </c>
      <c r="AX97" s="13">
        <f>$I$45*$AX$45</f>
        <v>205.17228666566356</v>
      </c>
      <c r="AY97" s="13">
        <f>$I$45*$AY$45</f>
        <v>-16.040460673463187</v>
      </c>
      <c r="AZ97" s="13">
        <f>$I$45*$AZ$45</f>
        <v>0</v>
      </c>
      <c r="BA97" s="13">
        <f>$I$45*$BA$45</f>
        <v>8.2386550915495693</v>
      </c>
      <c r="BB97" s="13">
        <f>$I$45*$BB$45</f>
        <v>0.25547532498150205</v>
      </c>
      <c r="BC97" s="13">
        <f>$I$45*$BC$45</f>
        <v>1.6656591112536216</v>
      </c>
      <c r="BD97" s="13">
        <f>$I$45*$BD$45</f>
        <v>0.13224360700894663</v>
      </c>
    </row>
    <row r="98" spans="1:56" ht="11.25" customHeight="1" x14ac:dyDescent="0.25">
      <c r="A98" s="9" t="s">
        <v>36</v>
      </c>
      <c r="B98" s="9" t="s">
        <v>1054</v>
      </c>
      <c r="C98" s="9" t="s">
        <v>1055</v>
      </c>
      <c r="D98" s="9" t="s">
        <v>1056</v>
      </c>
      <c r="E98" s="9" t="s">
        <v>1057</v>
      </c>
      <c r="F98" s="9" t="s">
        <v>1058</v>
      </c>
      <c r="G98" s="9" t="s">
        <v>1060</v>
      </c>
      <c r="L98" s="13">
        <f>$I$46*$L$46</f>
        <v>0</v>
      </c>
      <c r="M98" s="13">
        <f>$I$46*$M$46</f>
        <v>0.39830081100575326</v>
      </c>
      <c r="N98" s="13">
        <f ca="1">$I$46*$N$46</f>
        <v>2.8916366528112296</v>
      </c>
      <c r="O98" s="13">
        <f>$I$46*$O$46</f>
        <v>0</v>
      </c>
      <c r="P98" s="13">
        <f>$I$46*$P$46</f>
        <v>0</v>
      </c>
      <c r="Q98" s="13">
        <f>$I$46*$Q$46</f>
        <v>46.897881630833183</v>
      </c>
      <c r="R98" s="13">
        <f>$I$46*$R$46</f>
        <v>8.2871700000306205</v>
      </c>
      <c r="S98" s="13">
        <f>$I$46*$S$46</f>
        <v>0</v>
      </c>
      <c r="T98" s="13">
        <f>$I$46*$T$46</f>
        <v>0</v>
      </c>
      <c r="U98" s="13">
        <f>$I$46*$U$46</f>
        <v>0</v>
      </c>
      <c r="V98" s="13">
        <f>$I$46*$V$46</f>
        <v>0</v>
      </c>
      <c r="W98" s="13">
        <f>$I$46*$W$46</f>
        <v>0</v>
      </c>
      <c r="X98" s="13">
        <f>$I$46*$X$46</f>
        <v>116.95743261826155</v>
      </c>
      <c r="Y98" s="13">
        <f>$I$46*$Y$46</f>
        <v>0</v>
      </c>
      <c r="Z98" s="13">
        <f>$I$46*$Z$46</f>
        <v>0</v>
      </c>
      <c r="AA98" s="13">
        <f>$I$46*$AA$46</f>
        <v>177.06670742114107</v>
      </c>
      <c r="AB98" s="13">
        <f ca="1">$I$46*$AB$46</f>
        <v>-97.995757930852207</v>
      </c>
      <c r="AC98" s="13">
        <f ca="1">$I$46*$AC$46</f>
        <v>0</v>
      </c>
      <c r="AD98" s="13">
        <f>$I$46*$AD$46</f>
        <v>10.297909641725509</v>
      </c>
      <c r="AE98" s="13">
        <f>$I$46*$AE$46</f>
        <v>0.35330466205845623</v>
      </c>
      <c r="AF98" s="13">
        <f ca="1">$I$46*$AF$46</f>
        <v>1.9974890414628121</v>
      </c>
      <c r="AG98" s="13">
        <f ca="1">$I$46*$AG$46</f>
        <v>0.11071824963053527</v>
      </c>
      <c r="AI98" s="13">
        <f>$I$46*$AI$46</f>
        <v>0</v>
      </c>
      <c r="AJ98" s="13">
        <f>$I$46*$AJ$46</f>
        <v>0.38046410115036167</v>
      </c>
      <c r="AK98" s="13">
        <f>$I$46*$AK$46</f>
        <v>4.7189911607132737</v>
      </c>
      <c r="AL98" s="13">
        <f>$I$46*$AL$46</f>
        <v>0</v>
      </c>
      <c r="AM98" s="13">
        <f>$I$46*$AM$46</f>
        <v>0</v>
      </c>
      <c r="AN98" s="13">
        <f>$I$46*$AN$46</f>
        <v>31.912899680528035</v>
      </c>
      <c r="AO98" s="13">
        <f>$I$46*$AO$46</f>
        <v>4.7861306016391012</v>
      </c>
      <c r="AP98" s="13">
        <f>$I$46*$AP$46</f>
        <v>0</v>
      </c>
      <c r="AQ98" s="13">
        <f>$I$46*$AQ$46</f>
        <v>0</v>
      </c>
      <c r="AR98" s="13">
        <f>$I$46*$AR$46</f>
        <v>0</v>
      </c>
      <c r="AS98" s="13">
        <f>$I$46*$AS$46</f>
        <v>0</v>
      </c>
      <c r="AT98" s="13">
        <f>$I$46*$AT$46</f>
        <v>0</v>
      </c>
      <c r="AU98" s="13">
        <f>$I$46*$AU$46</f>
        <v>111.56414865975196</v>
      </c>
      <c r="AV98" s="13">
        <f>$I$46*$AV$46</f>
        <v>0</v>
      </c>
      <c r="AW98" s="13">
        <f>$I$46*$AW$46</f>
        <v>0</v>
      </c>
      <c r="AX98" s="13">
        <f>$I$46*$AX$46</f>
        <v>168.16798985555371</v>
      </c>
      <c r="AY98" s="13">
        <f>$I$46*$AY$46</f>
        <v>-13.906999097535055</v>
      </c>
      <c r="AZ98" s="13">
        <f>$I$46*$AZ$46</f>
        <v>0</v>
      </c>
      <c r="BA98" s="13">
        <f>$I$46*$BA$46</f>
        <v>11.254591330420395</v>
      </c>
      <c r="BB98" s="13">
        <f>$I$46*$BB$46</f>
        <v>0.34899754216223045</v>
      </c>
      <c r="BC98" s="13">
        <f>$I$46*$BC$46</f>
        <v>2.2754093216232509</v>
      </c>
      <c r="BD98" s="13">
        <f>$I$46*$BD$46</f>
        <v>0.18065421314615029</v>
      </c>
    </row>
    <row r="99" spans="1:56" ht="11.25" customHeight="1" x14ac:dyDescent="0.25">
      <c r="A99" s="9" t="s">
        <v>36</v>
      </c>
      <c r="B99" s="9" t="s">
        <v>1054</v>
      </c>
      <c r="C99" s="9" t="s">
        <v>1055</v>
      </c>
      <c r="D99" s="9" t="s">
        <v>1056</v>
      </c>
      <c r="E99" s="9" t="s">
        <v>1057</v>
      </c>
      <c r="F99" s="9" t="s">
        <v>1058</v>
      </c>
      <c r="G99" s="9" t="s">
        <v>1061</v>
      </c>
      <c r="L99" s="13">
        <f>$I$47*$L$47</f>
        <v>0</v>
      </c>
      <c r="M99" s="13">
        <f>$I$47*$M$47</f>
        <v>9.1774060505377903</v>
      </c>
      <c r="N99" s="13">
        <f ca="1">$I$47*$N$47</f>
        <v>25.413146717034582</v>
      </c>
      <c r="O99" s="13">
        <f>$I$47*$O$47</f>
        <v>0</v>
      </c>
      <c r="P99" s="13">
        <f>$I$47*$P$47</f>
        <v>0</v>
      </c>
      <c r="Q99" s="13">
        <f>$I$47*$Q$47</f>
        <v>1080.5925841561909</v>
      </c>
      <c r="R99" s="13">
        <f>$I$47*$R$47</f>
        <v>190.94795189613038</v>
      </c>
      <c r="S99" s="13">
        <f>$I$47*$S$47</f>
        <v>0</v>
      </c>
      <c r="T99" s="13">
        <f>$I$47*$T$47</f>
        <v>0</v>
      </c>
      <c r="U99" s="13">
        <f>$I$47*$U$47</f>
        <v>0</v>
      </c>
      <c r="V99" s="13">
        <f>$I$47*$V$47</f>
        <v>0</v>
      </c>
      <c r="W99" s="13">
        <f>$I$47*$W$47</f>
        <v>0</v>
      </c>
      <c r="X99" s="13">
        <f>$I$47*$X$47</f>
        <v>898.28744180881199</v>
      </c>
      <c r="Y99" s="13">
        <f>$I$47*$Y$47</f>
        <v>0</v>
      </c>
      <c r="Z99" s="13">
        <f>$I$47*$Z$47</f>
        <v>0</v>
      </c>
      <c r="AA99" s="13">
        <f>$I$47*$AA$47</f>
        <v>1359.9542299681279</v>
      </c>
      <c r="AB99" s="13">
        <f ca="1">$I$47*$AB$47</f>
        <v>-1003.1679614392982</v>
      </c>
      <c r="AC99" s="13">
        <f ca="1">$I$47*$AC$47</f>
        <v>0</v>
      </c>
      <c r="AD99" s="13">
        <f>$I$47*$AD$47</f>
        <v>237.27819688646832</v>
      </c>
      <c r="AE99" s="13">
        <f>$I$47*$AE$47</f>
        <v>8.1406320390636875</v>
      </c>
      <c r="AF99" s="13">
        <f ca="1">$I$47*$AF$47</f>
        <v>46.024932685208491</v>
      </c>
      <c r="AG99" s="13">
        <f ca="1">$I$47*$AG$47</f>
        <v>2.5511028498748169</v>
      </c>
      <c r="AI99" s="13">
        <f>$I$47*$AI$47</f>
        <v>0</v>
      </c>
      <c r="AJ99" s="13">
        <f>$I$47*$AJ$47</f>
        <v>8.7664233851116009</v>
      </c>
      <c r="AK99" s="13">
        <f>$I$47*$AK$47</f>
        <v>41.445588911855566</v>
      </c>
      <c r="AL99" s="13">
        <f>$I$47*$AL$47</f>
        <v>0</v>
      </c>
      <c r="AM99" s="13">
        <f>$I$47*$AM$47</f>
        <v>0</v>
      </c>
      <c r="AN99" s="13">
        <f>$I$47*$AN$47</f>
        <v>735.31770592868077</v>
      </c>
      <c r="AO99" s="13">
        <f>$I$47*$AO$47</f>
        <v>110.27912253362773</v>
      </c>
      <c r="AP99" s="13">
        <f>$I$47*$AP$47</f>
        <v>0</v>
      </c>
      <c r="AQ99" s="13">
        <f>$I$47*$AQ$47</f>
        <v>0</v>
      </c>
      <c r="AR99" s="13">
        <f>$I$47*$AR$47</f>
        <v>0</v>
      </c>
      <c r="AS99" s="13">
        <f>$I$47*$AS$47</f>
        <v>0</v>
      </c>
      <c r="AT99" s="13">
        <f>$I$47*$AT$47</f>
        <v>0</v>
      </c>
      <c r="AU99" s="13">
        <f>$I$47*$AU$47</f>
        <v>856.86451432500951</v>
      </c>
      <c r="AV99" s="13">
        <f>$I$47*$AV$47</f>
        <v>0</v>
      </c>
      <c r="AW99" s="13">
        <f>$I$47*$AW$47</f>
        <v>0</v>
      </c>
      <c r="AX99" s="13">
        <f>$I$47*$AX$47</f>
        <v>1291.6079622204122</v>
      </c>
      <c r="AY99" s="13">
        <f>$I$47*$AY$47</f>
        <v>-135.98075775578698</v>
      </c>
      <c r="AZ99" s="13">
        <f>$I$47*$AZ$47</f>
        <v>0</v>
      </c>
      <c r="BA99" s="13">
        <f>$I$47*$BA$47</f>
        <v>259.32147692925071</v>
      </c>
      <c r="BB99" s="13">
        <f>$I$47*$BB$47</f>
        <v>8.0413899910844187</v>
      </c>
      <c r="BC99" s="13">
        <f>$I$47*$BC$47</f>
        <v>52.428603454221125</v>
      </c>
      <c r="BD99" s="13">
        <f>$I$47*$BD$47</f>
        <v>4.1625249634720811</v>
      </c>
    </row>
    <row r="100" spans="1:56" ht="11.25" customHeight="1" x14ac:dyDescent="0.25">
      <c r="A100" s="9" t="s">
        <v>36</v>
      </c>
      <c r="B100" s="9" t="s">
        <v>1062</v>
      </c>
      <c r="C100" s="9" t="s">
        <v>1063</v>
      </c>
      <c r="D100" s="9" t="s">
        <v>1064</v>
      </c>
      <c r="E100" s="9" t="s">
        <v>1065</v>
      </c>
      <c r="F100" s="9" t="s">
        <v>1066</v>
      </c>
      <c r="G100" s="9" t="s">
        <v>1067</v>
      </c>
      <c r="L100" s="13">
        <f>$I$48*$L$48</f>
        <v>0</v>
      </c>
      <c r="M100" s="13">
        <f>$I$48*$M$48</f>
        <v>5668.5616057373554</v>
      </c>
      <c r="N100" s="13">
        <f ca="1">$I$48*$N$48</f>
        <v>22253.80593092243</v>
      </c>
      <c r="O100" s="13">
        <f>$I$48*$O$48</f>
        <v>0</v>
      </c>
      <c r="P100" s="13">
        <f>$I$48*$P$48</f>
        <v>0</v>
      </c>
      <c r="Q100" s="13">
        <f>$I$48*$Q$48</f>
        <v>667444.11223183828</v>
      </c>
      <c r="R100" s="13">
        <f>$I$48*$R$48</f>
        <v>117941.8479308933</v>
      </c>
      <c r="S100" s="13">
        <f>$I$48*$S$48</f>
        <v>0</v>
      </c>
      <c r="T100" s="13">
        <f>$I$48*$T$48</f>
        <v>0</v>
      </c>
      <c r="U100" s="13">
        <f>$I$48*$U$48</f>
        <v>0</v>
      </c>
      <c r="V100" s="13">
        <f>$I$48*$V$48</f>
        <v>0</v>
      </c>
      <c r="W100" s="13">
        <f>$I$48*$W$48</f>
        <v>0</v>
      </c>
      <c r="X100" s="13">
        <f>$I$48*$X$48</f>
        <v>840667.66179781954</v>
      </c>
      <c r="Y100" s="13">
        <f>$I$48*$Y$48</f>
        <v>0</v>
      </c>
      <c r="Z100" s="13">
        <f>$I$48*$Z$48</f>
        <v>0</v>
      </c>
      <c r="AA100" s="13">
        <f>$I$48*$AA$48</f>
        <v>1272721.7814864025</v>
      </c>
      <c r="AB100" s="13">
        <f ca="1">$I$48*$AB$48</f>
        <v>-819253.36207074602</v>
      </c>
      <c r="AC100" s="13">
        <f ca="1">$I$48*$AC$48</f>
        <v>0</v>
      </c>
      <c r="AD100" s="13">
        <f>$I$48*$AD$48</f>
        <v>146558.41414692614</v>
      </c>
      <c r="AE100" s="13">
        <f>$I$48*$AE$48</f>
        <v>5028.182687892262</v>
      </c>
      <c r="AF100" s="13">
        <f ca="1">$I$48*$AF$48</f>
        <v>28427.985521108207</v>
      </c>
      <c r="AG100" s="13">
        <f ca="1">$I$48*$AG$48</f>
        <v>1575.7266909030493</v>
      </c>
      <c r="AI100" s="13">
        <f>$I$48*$AI$48</f>
        <v>0</v>
      </c>
      <c r="AJ100" s="13">
        <f>$I$48*$AJ$48</f>
        <v>5414.712038111219</v>
      </c>
      <c r="AK100" s="13">
        <f>$I$48*$AK$48</f>
        <v>36304.479688527659</v>
      </c>
      <c r="AL100" s="13">
        <f>$I$48*$AL$48</f>
        <v>0</v>
      </c>
      <c r="AM100" s="13">
        <f>$I$48*$AM$48</f>
        <v>0</v>
      </c>
      <c r="AN100" s="13">
        <f>$I$48*$AN$48</f>
        <v>454179.93852434342</v>
      </c>
      <c r="AO100" s="13">
        <f>$I$48*$AO$48</f>
        <v>68115.543375341396</v>
      </c>
      <c r="AP100" s="13">
        <f>$I$48*$AP$48</f>
        <v>0</v>
      </c>
      <c r="AQ100" s="13">
        <f>$I$48*$AQ$48</f>
        <v>0</v>
      </c>
      <c r="AR100" s="13">
        <f>$I$48*$AR$48</f>
        <v>0</v>
      </c>
      <c r="AS100" s="13">
        <f>$I$48*$AS$48</f>
        <v>0</v>
      </c>
      <c r="AT100" s="13">
        <f>$I$48*$AT$48</f>
        <v>0</v>
      </c>
      <c r="AU100" s="13">
        <f>$I$48*$AU$48</f>
        <v>801901.76797377842</v>
      </c>
      <c r="AV100" s="13">
        <f>$I$48*$AV$48</f>
        <v>0</v>
      </c>
      <c r="AW100" s="13">
        <f>$I$48*$AW$48</f>
        <v>0</v>
      </c>
      <c r="AX100" s="13">
        <f>$I$48*$AX$48</f>
        <v>1208759.4938380464</v>
      </c>
      <c r="AY100" s="13">
        <f>$I$48*$AY$48</f>
        <v>-113336.66296276626</v>
      </c>
      <c r="AZ100" s="13">
        <f>$I$48*$AZ$48</f>
        <v>0</v>
      </c>
      <c r="BA100" s="13">
        <f>$I$48*$BA$48</f>
        <v>160173.77454690653</v>
      </c>
      <c r="BB100" s="13">
        <f>$I$48*$BB$48</f>
        <v>4966.8843580861994</v>
      </c>
      <c r="BC100" s="13">
        <f>$I$48*$BC$48</f>
        <v>32383.308196939957</v>
      </c>
      <c r="BD100" s="13">
        <f>$I$48*$BD$48</f>
        <v>2571.0455722375327</v>
      </c>
    </row>
    <row r="101" spans="1:56" ht="11.25" customHeight="1" x14ac:dyDescent="0.25">
      <c r="A101" s="9" t="s">
        <v>36</v>
      </c>
      <c r="B101" s="9" t="s">
        <v>1068</v>
      </c>
      <c r="C101" s="9" t="s">
        <v>1069</v>
      </c>
      <c r="D101" s="9" t="s">
        <v>1070</v>
      </c>
      <c r="E101" s="9" t="s">
        <v>1071</v>
      </c>
      <c r="F101" s="9" t="s">
        <v>1072</v>
      </c>
      <c r="G101" s="9" t="s">
        <v>1073</v>
      </c>
      <c r="L101" s="13">
        <f>$I$49*$L$49</f>
        <v>0</v>
      </c>
      <c r="M101" s="13">
        <f>$I$49*$M$49</f>
        <v>0</v>
      </c>
      <c r="N101" s="13">
        <f ca="1">$I$49*$N$49</f>
        <v>0</v>
      </c>
      <c r="O101" s="13">
        <f>$I$49*$O$49</f>
        <v>0</v>
      </c>
      <c r="P101" s="13">
        <f>$I$49*$P$49</f>
        <v>0</v>
      </c>
      <c r="Q101" s="13">
        <f>$I$49*$Q$49</f>
        <v>0</v>
      </c>
      <c r="R101" s="13">
        <f>$I$49*$R$49</f>
        <v>0</v>
      </c>
      <c r="S101" s="13">
        <f>$I$49*$S$49</f>
        <v>0</v>
      </c>
      <c r="T101" s="13">
        <f>$I$49*$T$49</f>
        <v>0</v>
      </c>
      <c r="U101" s="13">
        <f>$I$49*$U$49</f>
        <v>0</v>
      </c>
      <c r="V101" s="13">
        <f>$I$49*$V$49</f>
        <v>0</v>
      </c>
      <c r="W101" s="13">
        <f>$I$49*$W$49</f>
        <v>0</v>
      </c>
      <c r="X101" s="13">
        <f>$I$49*$X$49</f>
        <v>0</v>
      </c>
      <c r="Y101" s="13">
        <f>$I$49*$Y$49</f>
        <v>0</v>
      </c>
      <c r="Z101" s="13">
        <f>$I$49*$Z$49</f>
        <v>0</v>
      </c>
      <c r="AA101" s="13">
        <f>$I$49*$AA$49</f>
        <v>0</v>
      </c>
      <c r="AB101" s="13">
        <f ca="1">$I$49*$AB$49</f>
        <v>0</v>
      </c>
      <c r="AC101" s="13">
        <f ca="1">$I$49*$AC$49</f>
        <v>0</v>
      </c>
      <c r="AD101" s="13">
        <f>$I$49*$AD$49</f>
        <v>0</v>
      </c>
      <c r="AE101" s="13">
        <f>$I$49*$AE$49</f>
        <v>0</v>
      </c>
      <c r="AF101" s="13">
        <f ca="1">$I$49*$AF$49</f>
        <v>0</v>
      </c>
      <c r="AG101" s="13">
        <f ca="1">$I$49*$AG$49</f>
        <v>0</v>
      </c>
      <c r="AI101" s="13">
        <f>$I$49*$AI$49</f>
        <v>0</v>
      </c>
      <c r="AJ101" s="13">
        <f>$I$49*$AJ$49</f>
        <v>0</v>
      </c>
      <c r="AK101" s="13">
        <f>$I$49*$AK$49</f>
        <v>0</v>
      </c>
      <c r="AL101" s="13">
        <f>$I$49*$AL$49</f>
        <v>0</v>
      </c>
      <c r="AM101" s="13">
        <f>$I$49*$AM$49</f>
        <v>0</v>
      </c>
      <c r="AN101" s="13">
        <f>$I$49*$AN$49</f>
        <v>0</v>
      </c>
      <c r="AO101" s="13">
        <f>$I$49*$AO$49</f>
        <v>0</v>
      </c>
      <c r="AP101" s="13">
        <f>$I$49*$AP$49</f>
        <v>0</v>
      </c>
      <c r="AQ101" s="13">
        <f>$I$49*$AQ$49</f>
        <v>0</v>
      </c>
      <c r="AR101" s="13">
        <f>$I$49*$AR$49</f>
        <v>0</v>
      </c>
      <c r="AS101" s="13">
        <f>$I$49*$AS$49</f>
        <v>0</v>
      </c>
      <c r="AT101" s="13">
        <f>$I$49*$AT$49</f>
        <v>0</v>
      </c>
      <c r="AU101" s="13">
        <f>$I$49*$AU$49</f>
        <v>0</v>
      </c>
      <c r="AV101" s="13">
        <f>$I$49*$AV$49</f>
        <v>0</v>
      </c>
      <c r="AW101" s="13">
        <f>$I$49*$AW$49</f>
        <v>0</v>
      </c>
      <c r="AX101" s="13">
        <f>$I$49*$AX$49</f>
        <v>0</v>
      </c>
      <c r="AY101" s="13">
        <f>$I$49*$AY$49</f>
        <v>0</v>
      </c>
      <c r="AZ101" s="13">
        <f>$I$49*$AZ$49</f>
        <v>0</v>
      </c>
      <c r="BA101" s="13">
        <f>$I$49*$BA$49</f>
        <v>0</v>
      </c>
      <c r="BB101" s="13">
        <f>$I$49*$BB$49</f>
        <v>0</v>
      </c>
      <c r="BC101" s="13">
        <f>$I$49*$BC$49</f>
        <v>0</v>
      </c>
      <c r="BD101" s="13">
        <f>$I$49*$BD$49</f>
        <v>0</v>
      </c>
    </row>
    <row r="102" spans="1:56" ht="11.25" customHeight="1" x14ac:dyDescent="0.25">
      <c r="A102" s="9" t="s">
        <v>44</v>
      </c>
      <c r="B102" s="9" t="s">
        <v>1074</v>
      </c>
      <c r="C102" s="9" t="s">
        <v>1075</v>
      </c>
      <c r="D102" s="9" t="s">
        <v>1076</v>
      </c>
      <c r="E102" s="9" t="s">
        <v>1077</v>
      </c>
      <c r="F102" s="9" t="s">
        <v>1078</v>
      </c>
      <c r="G102" s="9" t="s">
        <v>1079</v>
      </c>
      <c r="L102" s="13">
        <f>$I$50*$L$50</f>
        <v>0</v>
      </c>
      <c r="M102" s="13">
        <f>$I$50*$M$50</f>
        <v>0</v>
      </c>
      <c r="N102" s="13">
        <f ca="1">$I$50*$N$50</f>
        <v>0</v>
      </c>
      <c r="O102" s="13">
        <f>$I$50*$O$50</f>
        <v>0</v>
      </c>
      <c r="P102" s="13">
        <f>$I$50*$P$50</f>
        <v>0</v>
      </c>
      <c r="Q102" s="13">
        <f>$I$50*$Q$50</f>
        <v>0</v>
      </c>
      <c r="R102" s="13">
        <f>$I$50*$R$50</f>
        <v>0</v>
      </c>
      <c r="S102" s="13">
        <f>$I$50*$S$50</f>
        <v>0</v>
      </c>
      <c r="T102" s="13">
        <f>$I$50*$T$50</f>
        <v>0</v>
      </c>
      <c r="U102" s="13">
        <f>$I$50*$U$50</f>
        <v>0</v>
      </c>
      <c r="V102" s="13">
        <f>$I$50*$V$50</f>
        <v>0</v>
      </c>
      <c r="W102" s="13">
        <f>$I$50*$W$50</f>
        <v>0</v>
      </c>
      <c r="X102" s="13">
        <f>$I$50*$X$50</f>
        <v>0</v>
      </c>
      <c r="Y102" s="13">
        <f>$I$50*$Y$50</f>
        <v>0</v>
      </c>
      <c r="Z102" s="13">
        <f>$I$50*$Z$50</f>
        <v>0</v>
      </c>
      <c r="AA102" s="13">
        <f>$I$50*$AA$50</f>
        <v>0</v>
      </c>
      <c r="AB102" s="13">
        <f ca="1">$I$50*$AB$50</f>
        <v>0</v>
      </c>
      <c r="AC102" s="13">
        <f ca="1">$I$50*$AC$50</f>
        <v>0</v>
      </c>
      <c r="AD102" s="13">
        <f>$I$50*$AD$50</f>
        <v>0</v>
      </c>
      <c r="AE102" s="13">
        <f>$I$50*$AE$50</f>
        <v>0</v>
      </c>
      <c r="AF102" s="13">
        <f ca="1">$I$50*$AF$50</f>
        <v>0</v>
      </c>
      <c r="AG102" s="13">
        <f ca="1">$I$50*$AG$50</f>
        <v>0</v>
      </c>
      <c r="AI102" s="13">
        <f>$I$50*$AI$50</f>
        <v>0</v>
      </c>
      <c r="AJ102" s="13">
        <f>$I$50*$AJ$50</f>
        <v>0</v>
      </c>
      <c r="AK102" s="13">
        <f>$I$50*$AK$50</f>
        <v>0</v>
      </c>
      <c r="AL102" s="13">
        <f>$I$50*$AL$50</f>
        <v>0</v>
      </c>
      <c r="AM102" s="13">
        <f>$I$50*$AM$50</f>
        <v>0</v>
      </c>
      <c r="AN102" s="13">
        <f>$I$50*$AN$50</f>
        <v>0</v>
      </c>
      <c r="AO102" s="13">
        <f>$I$50*$AO$50</f>
        <v>0</v>
      </c>
      <c r="AP102" s="13">
        <f>$I$50*$AP$50</f>
        <v>0</v>
      </c>
      <c r="AQ102" s="13">
        <f>$I$50*$AQ$50</f>
        <v>0</v>
      </c>
      <c r="AR102" s="13">
        <f>$I$50*$AR$50</f>
        <v>0</v>
      </c>
      <c r="AS102" s="13">
        <f>$I$50*$AS$50</f>
        <v>0</v>
      </c>
      <c r="AT102" s="13">
        <f>$I$50*$AT$50</f>
        <v>0</v>
      </c>
      <c r="AU102" s="13">
        <f>$I$50*$AU$50</f>
        <v>0</v>
      </c>
      <c r="AV102" s="13">
        <f>$I$50*$AV$50</f>
        <v>0</v>
      </c>
      <c r="AW102" s="13">
        <f>$I$50*$AW$50</f>
        <v>0</v>
      </c>
      <c r="AX102" s="13">
        <f>$I$50*$AX$50</f>
        <v>0</v>
      </c>
      <c r="AY102" s="13">
        <f>$I$50*$AY$50</f>
        <v>0</v>
      </c>
      <c r="AZ102" s="13">
        <f>$I$50*$AZ$50</f>
        <v>0</v>
      </c>
      <c r="BA102" s="13">
        <f>$I$50*$BA$50</f>
        <v>0</v>
      </c>
      <c r="BB102" s="13">
        <f>$I$50*$BB$50</f>
        <v>0</v>
      </c>
      <c r="BC102" s="13">
        <f>$I$50*$BC$50</f>
        <v>0</v>
      </c>
      <c r="BD102" s="13">
        <f>$I$50*$BD$50</f>
        <v>0</v>
      </c>
    </row>
    <row r="103" spans="1:56" ht="11.25" customHeight="1" x14ac:dyDescent="0.25">
      <c r="A103" s="9" t="s">
        <v>44</v>
      </c>
      <c r="B103" s="9" t="s">
        <v>1074</v>
      </c>
      <c r="C103" s="9" t="s">
        <v>1075</v>
      </c>
      <c r="D103" s="9" t="s">
        <v>1080</v>
      </c>
      <c r="E103" s="9" t="s">
        <v>1081</v>
      </c>
      <c r="F103" s="9" t="s">
        <v>1082</v>
      </c>
      <c r="G103" s="9" t="s">
        <v>1083</v>
      </c>
      <c r="L103" s="13">
        <f>$I$51*$L$51</f>
        <v>0</v>
      </c>
      <c r="M103" s="13">
        <f>$I$51*$M$51</f>
        <v>862.1338201516885</v>
      </c>
      <c r="N103" s="13">
        <f ca="1">$I$51*$N$51</f>
        <v>3384.5903166549087</v>
      </c>
      <c r="O103" s="13">
        <f>$I$51*$O$51</f>
        <v>0</v>
      </c>
      <c r="P103" s="13">
        <f>$I$51*$P$51</f>
        <v>0</v>
      </c>
      <c r="Q103" s="13">
        <f>$I$51*$Q$51</f>
        <v>101511.84413939815</v>
      </c>
      <c r="R103" s="13">
        <f>$I$51*$R$51</f>
        <v>17937.823205360401</v>
      </c>
      <c r="S103" s="13">
        <f>$I$51*$S$51</f>
        <v>0</v>
      </c>
      <c r="T103" s="13">
        <f>$I$51*$T$51</f>
        <v>0</v>
      </c>
      <c r="U103" s="13">
        <f>$I$51*$U$51</f>
        <v>0</v>
      </c>
      <c r="V103" s="13">
        <f>$I$51*$V$51</f>
        <v>0</v>
      </c>
      <c r="W103" s="13">
        <f>$I$51*$W$51</f>
        <v>0</v>
      </c>
      <c r="X103" s="13">
        <f>$I$51*$X$51</f>
        <v>127857.48363573887</v>
      </c>
      <c r="Y103" s="13">
        <f>$I$51*$Y$51</f>
        <v>0</v>
      </c>
      <c r="Z103" s="13">
        <f>$I$51*$Z$51</f>
        <v>0</v>
      </c>
      <c r="AA103" s="13">
        <f>$I$51*$AA$51</f>
        <v>193568.76890119034</v>
      </c>
      <c r="AB103" s="13">
        <f ca="1">$I$51*$AB$51</f>
        <v>-124600.57415611198</v>
      </c>
      <c r="AC103" s="13">
        <f ca="1">$I$51*$AC$51</f>
        <v>0</v>
      </c>
      <c r="AD103" s="13">
        <f>$I$51*$AD$51</f>
        <v>22290.128299210206</v>
      </c>
      <c r="AE103" s="13">
        <f>$I$51*$AE$51</f>
        <v>764.73833233911853</v>
      </c>
      <c r="AF103" s="13">
        <f ca="1">$I$51*$AF$51</f>
        <v>4323.6237799239461</v>
      </c>
      <c r="AG103" s="13">
        <f ca="1">$I$51*$AG$51</f>
        <v>239.65290774440035</v>
      </c>
      <c r="AI103" s="13">
        <f>$I$51*$AI$51</f>
        <v>0</v>
      </c>
      <c r="AJ103" s="13">
        <f>$I$51*$AJ$51</f>
        <v>823.52573706057967</v>
      </c>
      <c r="AK103" s="13">
        <f>$I$51*$AK$51</f>
        <v>5521.5629536090064</v>
      </c>
      <c r="AL103" s="13">
        <f>$I$51*$AL$51</f>
        <v>0</v>
      </c>
      <c r="AM103" s="13">
        <f>$I$51*$AM$51</f>
        <v>0</v>
      </c>
      <c r="AN103" s="13">
        <f>$I$51*$AN$51</f>
        <v>69076.40997319945</v>
      </c>
      <c r="AO103" s="13">
        <f>$I$51*$AO$51</f>
        <v>10359.720455794974</v>
      </c>
      <c r="AP103" s="13">
        <f>$I$51*$AP$51</f>
        <v>0</v>
      </c>
      <c r="AQ103" s="13">
        <f>$I$51*$AQ$51</f>
        <v>0</v>
      </c>
      <c r="AR103" s="13">
        <f>$I$51*$AR$51</f>
        <v>0</v>
      </c>
      <c r="AS103" s="13">
        <f>$I$51*$AS$51</f>
        <v>0</v>
      </c>
      <c r="AT103" s="13">
        <f>$I$51*$AT$51</f>
        <v>0</v>
      </c>
      <c r="AU103" s="13">
        <f>$I$51*$AU$51</f>
        <v>121961.5632138302</v>
      </c>
      <c r="AV103" s="13">
        <f>$I$51*$AV$51</f>
        <v>0</v>
      </c>
      <c r="AW103" s="13">
        <f>$I$51*$AW$51</f>
        <v>0</v>
      </c>
      <c r="AX103" s="13">
        <f>$I$51*$AX$51</f>
        <v>183840.71878348308</v>
      </c>
      <c r="AY103" s="13">
        <f>$I$51*$AY$51</f>
        <v>-17237.418766770996</v>
      </c>
      <c r="AZ103" s="13">
        <f>$I$51*$AZ$51</f>
        <v>0</v>
      </c>
      <c r="BA103" s="13">
        <f>$I$51*$BA$51</f>
        <v>24360.893952087015</v>
      </c>
      <c r="BB103" s="13">
        <f>$I$51*$BB$51</f>
        <v>755.41544464374113</v>
      </c>
      <c r="BC103" s="13">
        <f>$I$51*$BC$51</f>
        <v>4925.1904004570997</v>
      </c>
      <c r="BD103" s="13">
        <f>$I$51*$BD$51</f>
        <v>391.03135771405289</v>
      </c>
    </row>
  </sheetData>
  <mergeCells count="88"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  <mergeCell ref="E45:E47"/>
    <mergeCell ref="F45:F47"/>
    <mergeCell ref="A50:A51"/>
    <mergeCell ref="B50:B51"/>
    <mergeCell ref="C50:C51"/>
    <mergeCell ref="D45:D47"/>
    <mergeCell ref="AI1:BD1"/>
    <mergeCell ref="AI2:BD2"/>
    <mergeCell ref="AI3:AP3"/>
    <mergeCell ref="AQ3:AW3"/>
    <mergeCell ref="AY3:AZ3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F5:F7"/>
    <mergeCell ref="B10:B14"/>
    <mergeCell ref="G1:G4"/>
    <mergeCell ref="H1:H4"/>
    <mergeCell ref="I1:I4"/>
    <mergeCell ref="F1:F4"/>
    <mergeCell ref="F10:F12"/>
    <mergeCell ref="F13:F1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F282C-26E2-4CDA-A8A0-25CC0891A13C}">
  <dimension ref="A1:AH85"/>
  <sheetViews>
    <sheetView showGridLines="0" topLeftCell="M29" workbookViewId="0">
      <selection activeCell="V43" sqref="V43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7.85546875" style="9" bestFit="1" customWidth="1"/>
    <col min="13" max="13" width="8.7109375" style="9" bestFit="1" customWidth="1"/>
    <col min="14" max="14" width="6" style="9" bestFit="1" customWidth="1"/>
    <col min="15" max="15" width="11.140625" style="9" bestFit="1" customWidth="1"/>
    <col min="16" max="16" width="9.28515625" style="9" bestFit="1" customWidth="1"/>
    <col min="17" max="17" width="15" style="9" bestFit="1" customWidth="1"/>
    <col min="18" max="18" width="8.7109375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7.85546875" style="9" bestFit="1" customWidth="1"/>
    <col min="25" max="25" width="8.7109375" style="9" bestFit="1" customWidth="1"/>
    <col min="26" max="26" width="6" style="9" bestFit="1" customWidth="1"/>
    <col min="27" max="27" width="11.140625" style="9" bestFit="1" customWidth="1"/>
    <col min="28" max="28" width="9.28515625" style="9" bestFit="1" customWidth="1"/>
    <col min="29" max="29" width="15" style="9" bestFit="1" customWidth="1"/>
    <col min="30" max="30" width="8.7109375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47" t="s">
        <v>65</v>
      </c>
      <c r="B1" s="147" t="s">
        <v>66</v>
      </c>
      <c r="C1" s="147" t="s">
        <v>67</v>
      </c>
      <c r="D1" s="147" t="s">
        <v>68</v>
      </c>
      <c r="E1" s="147" t="s">
        <v>69</v>
      </c>
      <c r="F1" s="147" t="s">
        <v>15</v>
      </c>
      <c r="G1" s="147" t="s">
        <v>71</v>
      </c>
      <c r="H1" s="147" t="s">
        <v>72</v>
      </c>
      <c r="I1" s="147" t="s">
        <v>634</v>
      </c>
      <c r="J1" s="131"/>
      <c r="L1" s="148" t="s">
        <v>1084</v>
      </c>
      <c r="M1" s="148"/>
      <c r="N1" s="148"/>
      <c r="O1" s="148"/>
      <c r="P1" s="148"/>
      <c r="Q1" s="148"/>
      <c r="R1" s="148"/>
      <c r="S1" s="148"/>
      <c r="T1" s="148"/>
      <c r="U1" s="148"/>
      <c r="V1" s="148"/>
      <c r="X1" s="148" t="s">
        <v>1085</v>
      </c>
      <c r="Y1" s="148"/>
      <c r="Z1" s="148"/>
      <c r="AA1" s="148"/>
      <c r="AB1" s="148"/>
      <c r="AC1" s="148"/>
      <c r="AD1" s="148"/>
      <c r="AE1" s="148"/>
      <c r="AF1" s="148"/>
      <c r="AG1" s="148"/>
      <c r="AH1" s="148"/>
    </row>
    <row r="2" spans="1:34" ht="11.25" customHeight="1" x14ac:dyDescent="0.25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8" t="s">
        <v>561</v>
      </c>
      <c r="M2" s="148"/>
      <c r="N2" s="148"/>
      <c r="O2" s="148"/>
      <c r="P2" s="148"/>
      <c r="Q2" s="148"/>
      <c r="R2" s="148"/>
      <c r="S2" s="148"/>
      <c r="T2" s="148"/>
      <c r="U2" s="148"/>
      <c r="V2" s="148"/>
      <c r="X2" s="148" t="s">
        <v>561</v>
      </c>
      <c r="Y2" s="148"/>
      <c r="Z2" s="148"/>
      <c r="AA2" s="148"/>
      <c r="AB2" s="148"/>
      <c r="AC2" s="148"/>
      <c r="AD2" s="148"/>
      <c r="AE2" s="148"/>
      <c r="AF2" s="148"/>
      <c r="AG2" s="148"/>
      <c r="AH2" s="148"/>
    </row>
    <row r="3" spans="1:34" ht="11.25" customHeight="1" x14ac:dyDescent="0.25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8" t="s">
        <v>534</v>
      </c>
      <c r="M3" s="148"/>
      <c r="N3" s="148"/>
      <c r="O3" s="148"/>
      <c r="P3" s="148"/>
      <c r="Q3" s="30" t="s">
        <v>565</v>
      </c>
      <c r="R3" s="148" t="s">
        <v>543</v>
      </c>
      <c r="S3" s="148"/>
      <c r="T3" s="148"/>
      <c r="U3" s="30" t="s">
        <v>553</v>
      </c>
      <c r="V3" s="30" t="s">
        <v>556</v>
      </c>
      <c r="X3" s="148" t="s">
        <v>534</v>
      </c>
      <c r="Y3" s="148"/>
      <c r="Z3" s="148"/>
      <c r="AA3" s="148"/>
      <c r="AB3" s="148"/>
      <c r="AC3" s="30" t="s">
        <v>565</v>
      </c>
      <c r="AD3" s="148" t="s">
        <v>543</v>
      </c>
      <c r="AE3" s="148"/>
      <c r="AF3" s="148"/>
      <c r="AG3" s="30" t="s">
        <v>553</v>
      </c>
      <c r="AH3" s="30" t="s">
        <v>556</v>
      </c>
    </row>
    <row r="4" spans="1:34" ht="11.25" customHeight="1" x14ac:dyDescent="0.25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30" t="s">
        <v>536</v>
      </c>
      <c r="M4" s="30" t="s">
        <v>562</v>
      </c>
      <c r="N4" s="30" t="s">
        <v>563</v>
      </c>
      <c r="O4" s="30" t="s">
        <v>622</v>
      </c>
      <c r="P4" s="30" t="s">
        <v>564</v>
      </c>
      <c r="Q4" s="30" t="s">
        <v>566</v>
      </c>
      <c r="R4" s="30" t="s">
        <v>567</v>
      </c>
      <c r="S4" s="30" t="s">
        <v>568</v>
      </c>
      <c r="T4" s="30" t="s">
        <v>569</v>
      </c>
      <c r="U4" s="30" t="s">
        <v>554</v>
      </c>
      <c r="V4" s="30" t="s">
        <v>570</v>
      </c>
      <c r="X4" s="30" t="s">
        <v>536</v>
      </c>
      <c r="Y4" s="30" t="s">
        <v>562</v>
      </c>
      <c r="Z4" s="30" t="s">
        <v>563</v>
      </c>
      <c r="AA4" s="30" t="s">
        <v>622</v>
      </c>
      <c r="AB4" s="30" t="s">
        <v>564</v>
      </c>
      <c r="AC4" s="30" t="s">
        <v>566</v>
      </c>
      <c r="AD4" s="30" t="s">
        <v>567</v>
      </c>
      <c r="AE4" s="30" t="s">
        <v>568</v>
      </c>
      <c r="AF4" s="30" t="s">
        <v>569</v>
      </c>
      <c r="AG4" s="30" t="s">
        <v>554</v>
      </c>
      <c r="AH4" s="30" t="s">
        <v>570</v>
      </c>
    </row>
    <row r="5" spans="1:34" ht="11.25" customHeight="1" x14ac:dyDescent="0.25">
      <c r="A5" s="146" t="s">
        <v>38</v>
      </c>
      <c r="B5" s="146" t="s">
        <v>74</v>
      </c>
      <c r="C5" s="146" t="s">
        <v>25</v>
      </c>
      <c r="D5" s="146" t="s">
        <v>25</v>
      </c>
      <c r="E5" s="146" t="s">
        <v>25</v>
      </c>
      <c r="F5" s="146" t="s">
        <v>25</v>
      </c>
      <c r="G5" s="29" t="s">
        <v>76</v>
      </c>
      <c r="H5" s="29" t="s">
        <v>75</v>
      </c>
      <c r="I5" s="29">
        <f>'MERCADO TE'!$U$2</f>
        <v>280.50399999999996</v>
      </c>
      <c r="J5" s="15"/>
      <c r="L5" s="26">
        <f>('TE BE'!$L$5+'TE BF'!$L$5+'TE CVA'!$L$5)*1</f>
        <v>2.4354735912537757</v>
      </c>
      <c r="M5" s="26">
        <f>('TE BE'!$M$5+'TE BF'!$M$5+'TE CVA'!$M$5)*1</f>
        <v>31.886548035212577</v>
      </c>
      <c r="N5" s="26">
        <f>('TE BE'!$N$5+'TE BF'!$N$5+'TE CVA'!$N$5)*1</f>
        <v>0</v>
      </c>
      <c r="O5" s="26">
        <f>('TE BE'!$O$5+'TE BF'!$O$5+'TE CVA'!$O$5)*1</f>
        <v>0</v>
      </c>
      <c r="P5" s="26">
        <f>('TE BE'!$P$5+'TE BF'!$P$5+'TE CVA'!$P$5)*1</f>
        <v>-23.339897791030985</v>
      </c>
      <c r="Q5" s="26">
        <f>('TE BE'!$R$5+'TE BF'!$R$5+'TE CVA'!$R$5)*1</f>
        <v>374.78276969355647</v>
      </c>
      <c r="R5" s="26">
        <f>('TE BE'!$T$5+'TE BF'!$T$5+'TE CVA'!$T$5)*1</f>
        <v>12.999711155801529</v>
      </c>
      <c r="S5" s="26">
        <f>('TE BE'!$U$5+'TE BF'!$U$5+'TE CVA'!$U$5)*1</f>
        <v>8.1146164679834119</v>
      </c>
      <c r="T5" s="26">
        <f>('TE BE'!$V$5+'TE BF'!$V$5+'TE CVA'!$V$5)*1</f>
        <v>0</v>
      </c>
      <c r="U5" s="26">
        <f>('TE BE'!$X$5+'TE BF'!$X$5+'TE CVA'!$X$5)*1</f>
        <v>-95.946345103613325</v>
      </c>
      <c r="V5" s="26">
        <f>('TE BE'!$Z$5+'TE BF'!$Z$5+'TE CVA'!$Z$5)*1</f>
        <v>6.0469553570820889</v>
      </c>
      <c r="X5" s="26">
        <v>2.39854884998309</v>
      </c>
      <c r="Y5" s="26">
        <v>10.2641869824589</v>
      </c>
      <c r="Z5" s="26">
        <v>0</v>
      </c>
      <c r="AA5" s="26">
        <v>0</v>
      </c>
      <c r="AB5" s="26">
        <v>0</v>
      </c>
      <c r="AC5" s="26">
        <v>415.08004535101003</v>
      </c>
      <c r="AD5" s="26">
        <v>8.3520971734951495</v>
      </c>
      <c r="AE5" s="26">
        <v>7.82679336501206</v>
      </c>
      <c r="AF5" s="26">
        <v>0</v>
      </c>
      <c r="AG5" s="26">
        <v>-14.288117008991801</v>
      </c>
      <c r="AH5" s="26">
        <v>6.0044258161864503</v>
      </c>
    </row>
    <row r="6" spans="1:34" ht="11.25" customHeight="1" x14ac:dyDescent="0.25">
      <c r="A6" s="146"/>
      <c r="B6" s="146"/>
      <c r="C6" s="146"/>
      <c r="D6" s="146"/>
      <c r="E6" s="146"/>
      <c r="F6" s="146"/>
      <c r="G6" s="29" t="s">
        <v>77</v>
      </c>
      <c r="H6" s="29" t="s">
        <v>75</v>
      </c>
      <c r="I6" s="29">
        <f>'MERCADO TE'!$U$3</f>
        <v>7558.6610000000001</v>
      </c>
      <c r="J6" s="15"/>
      <c r="L6" s="26">
        <f>('TE BE'!$L$6+'TE BF'!$L$6+'TE CVA'!$L$6)*1</f>
        <v>2.4354735912537757</v>
      </c>
      <c r="M6" s="26">
        <f>('TE BE'!$M$6+'TE BF'!$M$6+'TE CVA'!$M$6)*1</f>
        <v>31.886548035212577</v>
      </c>
      <c r="N6" s="26">
        <f>('TE BE'!$N$6+'TE BF'!$N$6+'TE CVA'!$N$6)*1</f>
        <v>0</v>
      </c>
      <c r="O6" s="26">
        <f>('TE BE'!$O$6+'TE BF'!$O$6+'TE CVA'!$O$6)*1</f>
        <v>0</v>
      </c>
      <c r="P6" s="26">
        <f>('TE BE'!$P$6+'TE BF'!$P$6+'TE CVA'!$P$6)*1</f>
        <v>-23.339897791030985</v>
      </c>
      <c r="Q6" s="26">
        <f>('TE BE'!$R$6+'TE BF'!$R$6+'TE CVA'!$R$6)*1</f>
        <v>217.89695912416073</v>
      </c>
      <c r="R6" s="26">
        <f>('TE BE'!$T$6+'TE BF'!$T$6+'TE CVA'!$T$6)*1</f>
        <v>12.999711155801529</v>
      </c>
      <c r="S6" s="26">
        <f>('TE BE'!$U$6+'TE BF'!$U$6+'TE CVA'!$U$6)*1</f>
        <v>8.1146164679834119</v>
      </c>
      <c r="T6" s="26">
        <f>('TE BE'!$V$6+'TE BF'!$V$6+'TE CVA'!$V$6)*1</f>
        <v>0</v>
      </c>
      <c r="U6" s="26">
        <f>('TE BE'!$X$6+'TE BF'!$X$6+'TE CVA'!$X$6)*1</f>
        <v>-58.350793426164429</v>
      </c>
      <c r="V6" s="26">
        <f>('TE BE'!$Z$6+'TE BF'!$Z$6+'TE CVA'!$Z$6)*1</f>
        <v>6.0469553570820889</v>
      </c>
      <c r="X6" s="26">
        <v>2.39854884998309</v>
      </c>
      <c r="Y6" s="26">
        <v>10.2641869824589</v>
      </c>
      <c r="Z6" s="26">
        <v>0</v>
      </c>
      <c r="AA6" s="26">
        <v>0</v>
      </c>
      <c r="AB6" s="26">
        <v>0</v>
      </c>
      <c r="AC6" s="26">
        <v>241.32560776221499</v>
      </c>
      <c r="AD6" s="26">
        <v>8.3520971734951495</v>
      </c>
      <c r="AE6" s="26">
        <v>7.82679336501206</v>
      </c>
      <c r="AF6" s="26">
        <v>0</v>
      </c>
      <c r="AG6" s="26">
        <v>-8.7775343400017807</v>
      </c>
      <c r="AH6" s="26">
        <v>6.0044258161864503</v>
      </c>
    </row>
    <row r="7" spans="1:34" ht="11.25" customHeight="1" x14ac:dyDescent="0.25">
      <c r="A7" s="146"/>
      <c r="B7" s="28" t="s">
        <v>78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79</v>
      </c>
      <c r="H7" s="29" t="s">
        <v>75</v>
      </c>
      <c r="I7" s="29">
        <f>'MERCADO TE'!$U$4</f>
        <v>0</v>
      </c>
      <c r="J7" s="15"/>
      <c r="L7" s="26">
        <f>('TE BE'!$L$7+'TE BF'!$L$7+'TE CVA'!$L$7)*1</f>
        <v>2.4354735912537757</v>
      </c>
      <c r="M7" s="26">
        <f>('TE BE'!$M$7+'TE BF'!$M$7+'TE CVA'!$M$7)*1</f>
        <v>31.886548035212577</v>
      </c>
      <c r="N7" s="26">
        <f>('TE BE'!$N$7+'TE BF'!$N$7+'TE CVA'!$N$7)*1</f>
        <v>0</v>
      </c>
      <c r="O7" s="26">
        <f>('TE BE'!$O$7+'TE BF'!$O$7+'TE CVA'!$O$7)*1</f>
        <v>0</v>
      </c>
      <c r="P7" s="26">
        <f>('TE BE'!$P$7+'TE BF'!$P$7+'TE CVA'!$P$7)*1</f>
        <v>-23.339897791030985</v>
      </c>
      <c r="Q7" s="26">
        <f>('TE BE'!$R$7+'TE BF'!$R$7+'TE CVA'!$R$7)*1</f>
        <v>230.97077667161034</v>
      </c>
      <c r="R7" s="26">
        <f>('TE BE'!$T$7+'TE BF'!$T$7+'TE CVA'!$T$7)*1</f>
        <v>12.999711155801529</v>
      </c>
      <c r="S7" s="26">
        <f>('TE BE'!$U$7+'TE BF'!$U$7+'TE CVA'!$U$7)*1</f>
        <v>8.1146164679834119</v>
      </c>
      <c r="T7" s="26">
        <f>('TE BE'!$V$7+'TE BF'!$V$7+'TE CVA'!$V$7)*1</f>
        <v>0</v>
      </c>
      <c r="U7" s="26">
        <f>('TE BE'!$X$7+'TE BF'!$X$7+'TE CVA'!$X$7)*1</f>
        <v>-61.483756065951837</v>
      </c>
      <c r="V7" s="26">
        <f>('TE BE'!$Z$7+'TE BF'!$Z$7+'TE CVA'!$Z$7)*1</f>
        <v>6.0469553570820889</v>
      </c>
      <c r="X7" s="26">
        <v>2.39854884998309</v>
      </c>
      <c r="Y7" s="26">
        <v>10.2641869824589</v>
      </c>
      <c r="Z7" s="26">
        <v>0</v>
      </c>
      <c r="AA7" s="26">
        <v>0</v>
      </c>
      <c r="AB7" s="26">
        <v>0</v>
      </c>
      <c r="AC7" s="26">
        <v>255.80514422794801</v>
      </c>
      <c r="AD7" s="26">
        <v>8.3520971734951495</v>
      </c>
      <c r="AE7" s="26">
        <v>7.82679336501206</v>
      </c>
      <c r="AF7" s="26">
        <v>0</v>
      </c>
      <c r="AG7" s="26">
        <v>-9.2367495624176108</v>
      </c>
      <c r="AH7" s="26">
        <v>6.0044258161864503</v>
      </c>
    </row>
    <row r="8" spans="1:34" ht="11.25" customHeight="1" x14ac:dyDescent="0.25">
      <c r="A8" s="146" t="s">
        <v>22</v>
      </c>
      <c r="B8" s="146" t="s">
        <v>74</v>
      </c>
      <c r="C8" s="146" t="s">
        <v>24</v>
      </c>
      <c r="D8" s="146" t="s">
        <v>24</v>
      </c>
      <c r="E8" s="146" t="s">
        <v>25</v>
      </c>
      <c r="F8" s="146" t="s">
        <v>25</v>
      </c>
      <c r="G8" s="29" t="s">
        <v>76</v>
      </c>
      <c r="H8" s="29" t="s">
        <v>75</v>
      </c>
      <c r="I8" s="29">
        <f>'MERCADO TE'!$U$5</f>
        <v>0.17000000000000004</v>
      </c>
      <c r="J8" s="15"/>
      <c r="L8" s="26">
        <f>('TE BE'!$L$8+'TE BF'!$L$8+'TE CVA'!$L$8)*1</f>
        <v>2.4354735912537757</v>
      </c>
      <c r="M8" s="26">
        <f>('TE BE'!$M$8+'TE BF'!$M$8+'TE CVA'!$M$8)*1</f>
        <v>31.886548035212577</v>
      </c>
      <c r="N8" s="26">
        <f>('TE BE'!$N$8+'TE BF'!$N$8+'TE CVA'!$N$8)*1</f>
        <v>0</v>
      </c>
      <c r="O8" s="26">
        <f>('TE BE'!$O$8+'TE BF'!$O$8+'TE CVA'!$O$8)*1</f>
        <v>0</v>
      </c>
      <c r="P8" s="26">
        <f>('TE BE'!$P$8+'TE BF'!$P$8+'TE CVA'!$P$8)*1</f>
        <v>-23.339897791030985</v>
      </c>
      <c r="Q8" s="26">
        <f>('TE BE'!$R$8+'TE BF'!$R$8+'TE CVA'!$R$8)*1</f>
        <v>374.78276969355647</v>
      </c>
      <c r="R8" s="26">
        <f>('TE BE'!$T$8+'TE BF'!$T$8+'TE CVA'!$T$8)*1</f>
        <v>12.999711155801529</v>
      </c>
      <c r="S8" s="26">
        <f>('TE BE'!$U$8+'TE BF'!$U$8+'TE CVA'!$U$8)*1</f>
        <v>8.1146164679834119</v>
      </c>
      <c r="T8" s="26">
        <f>('TE BE'!$V$8+'TE BF'!$V$8+'TE CVA'!$V$8)*1</f>
        <v>0</v>
      </c>
      <c r="U8" s="26">
        <f>('TE BE'!$X$8+'TE BF'!$X$8+'TE CVA'!$X$8)*1</f>
        <v>-95.946345103613325</v>
      </c>
      <c r="V8" s="26">
        <f>('TE BE'!$Z$8+'TE BF'!$Z$8+'TE CVA'!$Z$8)*1</f>
        <v>6.0469553570820889</v>
      </c>
      <c r="X8" s="26">
        <v>2.39854884998309</v>
      </c>
      <c r="Y8" s="26">
        <v>10.2641869824589</v>
      </c>
      <c r="Z8" s="26">
        <v>0</v>
      </c>
      <c r="AA8" s="26">
        <v>0</v>
      </c>
      <c r="AB8" s="26">
        <v>0</v>
      </c>
      <c r="AC8" s="26">
        <v>415.08004535101003</v>
      </c>
      <c r="AD8" s="26">
        <v>8.3520971734951495</v>
      </c>
      <c r="AE8" s="26">
        <v>7.82679336501206</v>
      </c>
      <c r="AF8" s="26">
        <v>0</v>
      </c>
      <c r="AG8" s="26">
        <v>-14.288117008991801</v>
      </c>
      <c r="AH8" s="26">
        <v>6.0044258161864503</v>
      </c>
    </row>
    <row r="9" spans="1:34" ht="11.25" customHeight="1" x14ac:dyDescent="0.25">
      <c r="A9" s="146"/>
      <c r="B9" s="146"/>
      <c r="C9" s="146"/>
      <c r="D9" s="146"/>
      <c r="E9" s="146"/>
      <c r="F9" s="146"/>
      <c r="G9" s="29" t="s">
        <v>88</v>
      </c>
      <c r="H9" s="29" t="s">
        <v>75</v>
      </c>
      <c r="I9" s="29">
        <f>'MERCADO TE'!$U$6</f>
        <v>0.13000000000000003</v>
      </c>
      <c r="J9" s="15"/>
      <c r="L9" s="26">
        <f>('TE BE'!$L$9+'TE BF'!$L$9+'TE CVA'!$L$9)*1</f>
        <v>2.4354735912537757</v>
      </c>
      <c r="M9" s="26">
        <f>('TE BE'!$M$9+'TE BF'!$M$9+'TE CVA'!$M$9)*1</f>
        <v>31.886548035212577</v>
      </c>
      <c r="N9" s="26">
        <f>('TE BE'!$N$9+'TE BF'!$N$9+'TE CVA'!$N$9)*1</f>
        <v>0</v>
      </c>
      <c r="O9" s="26">
        <f>('TE BE'!$O$9+'TE BF'!$O$9+'TE CVA'!$O$9)*1</f>
        <v>0</v>
      </c>
      <c r="P9" s="26">
        <f>('TE BE'!$P$9+'TE BF'!$P$9+'TE CVA'!$P$9)*1</f>
        <v>-23.339897791030985</v>
      </c>
      <c r="Q9" s="26">
        <f>('TE BE'!$R$9+'TE BF'!$R$9+'TE CVA'!$R$9)*1</f>
        <v>217.89695912416073</v>
      </c>
      <c r="R9" s="26">
        <f>('TE BE'!$T$9+'TE BF'!$T$9+'TE CVA'!$T$9)*1</f>
        <v>12.999711155801529</v>
      </c>
      <c r="S9" s="26">
        <f>('TE BE'!$U$9+'TE BF'!$U$9+'TE CVA'!$U$9)*1</f>
        <v>8.1146164679834119</v>
      </c>
      <c r="T9" s="26">
        <f>('TE BE'!$V$9+'TE BF'!$V$9+'TE CVA'!$V$9)*1</f>
        <v>0</v>
      </c>
      <c r="U9" s="26">
        <f>('TE BE'!$X$9+'TE BF'!$X$9+'TE CVA'!$X$9)*1</f>
        <v>-58.350793426164429</v>
      </c>
      <c r="V9" s="26">
        <f>('TE BE'!$Z$9+'TE BF'!$Z$9+'TE CVA'!$Z$9)*1</f>
        <v>6.0469553570820889</v>
      </c>
      <c r="X9" s="26">
        <v>2.39854884998309</v>
      </c>
      <c r="Y9" s="26">
        <v>10.2641869824589</v>
      </c>
      <c r="Z9" s="26">
        <v>0</v>
      </c>
      <c r="AA9" s="26">
        <v>0</v>
      </c>
      <c r="AB9" s="26">
        <v>0</v>
      </c>
      <c r="AC9" s="26">
        <v>241.32560776221499</v>
      </c>
      <c r="AD9" s="26">
        <v>8.3520971734951495</v>
      </c>
      <c r="AE9" s="26">
        <v>7.82679336501206</v>
      </c>
      <c r="AF9" s="26">
        <v>0</v>
      </c>
      <c r="AG9" s="26">
        <v>-8.7775343400017807</v>
      </c>
      <c r="AH9" s="26">
        <v>6.0044258161864503</v>
      </c>
    </row>
    <row r="10" spans="1:34" ht="11.25" customHeight="1" x14ac:dyDescent="0.25">
      <c r="A10" s="146"/>
      <c r="B10" s="146"/>
      <c r="C10" s="146"/>
      <c r="D10" s="146"/>
      <c r="E10" s="146"/>
      <c r="F10" s="146"/>
      <c r="G10" s="29" t="s">
        <v>77</v>
      </c>
      <c r="H10" s="29" t="s">
        <v>75</v>
      </c>
      <c r="I10" s="29">
        <f>'MERCADO TE'!$U$7</f>
        <v>2.4539999999999997</v>
      </c>
      <c r="J10" s="15"/>
      <c r="L10" s="26">
        <f>('TE BE'!$L$10+'TE BF'!$L$10+'TE CVA'!$L$10)*1</f>
        <v>2.4354735912537757</v>
      </c>
      <c r="M10" s="26">
        <f>('TE BE'!$M$10+'TE BF'!$M$10+'TE CVA'!$M$10)*1</f>
        <v>31.886548035212577</v>
      </c>
      <c r="N10" s="26">
        <f>('TE BE'!$N$10+'TE BF'!$N$10+'TE CVA'!$N$10)*1</f>
        <v>0</v>
      </c>
      <c r="O10" s="26">
        <f>('TE BE'!$O$10+'TE BF'!$O$10+'TE CVA'!$O$10)*1</f>
        <v>0</v>
      </c>
      <c r="P10" s="26">
        <f>('TE BE'!$P$10+'TE BF'!$P$10+'TE CVA'!$P$10)*1</f>
        <v>-23.339897791030985</v>
      </c>
      <c r="Q10" s="26">
        <f>('TE BE'!$R$10+'TE BF'!$R$10+'TE CVA'!$R$10)*1</f>
        <v>217.89695912416073</v>
      </c>
      <c r="R10" s="26">
        <f>('TE BE'!$T$10+'TE BF'!$T$10+'TE CVA'!$T$10)*1</f>
        <v>12.999711155801529</v>
      </c>
      <c r="S10" s="26">
        <f>('TE BE'!$U$10+'TE BF'!$U$10+'TE CVA'!$U$10)*1</f>
        <v>8.1146164679834119</v>
      </c>
      <c r="T10" s="26">
        <f>('TE BE'!$V$10+'TE BF'!$V$10+'TE CVA'!$V$10)*1</f>
        <v>0</v>
      </c>
      <c r="U10" s="26">
        <f>('TE BE'!$X$10+'TE BF'!$X$10+'TE CVA'!$X$10)*1</f>
        <v>-58.350793426164429</v>
      </c>
      <c r="V10" s="26">
        <f>('TE BE'!$Z$10+'TE BF'!$Z$10+'TE CVA'!$Z$10)*1</f>
        <v>6.0469553570820889</v>
      </c>
      <c r="X10" s="26">
        <v>2.39854884998309</v>
      </c>
      <c r="Y10" s="26">
        <v>10.2641869824589</v>
      </c>
      <c r="Z10" s="26">
        <v>0</v>
      </c>
      <c r="AA10" s="26">
        <v>0</v>
      </c>
      <c r="AB10" s="26">
        <v>0</v>
      </c>
      <c r="AC10" s="26">
        <v>241.32560776221499</v>
      </c>
      <c r="AD10" s="26">
        <v>8.3520971734951495</v>
      </c>
      <c r="AE10" s="26">
        <v>7.82679336501206</v>
      </c>
      <c r="AF10" s="26">
        <v>0</v>
      </c>
      <c r="AG10" s="26">
        <v>-8.7775343400017807</v>
      </c>
      <c r="AH10" s="26">
        <v>6.0044258161864503</v>
      </c>
    </row>
    <row r="11" spans="1:34" ht="11.25" customHeight="1" x14ac:dyDescent="0.25">
      <c r="A11" s="146"/>
      <c r="B11" s="146" t="s">
        <v>78</v>
      </c>
      <c r="C11" s="146" t="s">
        <v>24</v>
      </c>
      <c r="D11" s="28" t="s">
        <v>24</v>
      </c>
      <c r="E11" s="28" t="s">
        <v>25</v>
      </c>
      <c r="F11" s="28" t="s">
        <v>25</v>
      </c>
      <c r="G11" s="29" t="s">
        <v>79</v>
      </c>
      <c r="H11" s="29" t="s">
        <v>75</v>
      </c>
      <c r="I11" s="29">
        <f>'MERCADO TE'!$U$8</f>
        <v>10574.981000000002</v>
      </c>
      <c r="J11" s="15"/>
      <c r="L11" s="26">
        <f>('TE BE'!$L$11+'TE BF'!$L$11+'TE CVA'!$L$11)*1</f>
        <v>2.4354735912537757</v>
      </c>
      <c r="M11" s="26">
        <f>('TE BE'!$M$11+'TE BF'!$M$11+'TE CVA'!$M$11)*1</f>
        <v>31.886548035212577</v>
      </c>
      <c r="N11" s="26">
        <f>('TE BE'!$N$11+'TE BF'!$N$11+'TE CVA'!$N$11)*1</f>
        <v>0</v>
      </c>
      <c r="O11" s="26">
        <f>('TE BE'!$O$11+'TE BF'!$O$11+'TE CVA'!$O$11)*1</f>
        <v>0</v>
      </c>
      <c r="P11" s="26">
        <f>('TE BE'!$P$11+'TE BF'!$P$11+'TE CVA'!$P$11)*1</f>
        <v>-23.339897791030985</v>
      </c>
      <c r="Q11" s="26">
        <f>('TE BE'!$R$11+'TE BF'!$R$11+'TE CVA'!$R$11)*1</f>
        <v>230.97077667161034</v>
      </c>
      <c r="R11" s="26">
        <f>('TE BE'!$T$11+'TE BF'!$T$11+'TE CVA'!$T$11)*1</f>
        <v>12.999711155801529</v>
      </c>
      <c r="S11" s="26">
        <f>('TE BE'!$U$11+'TE BF'!$U$11+'TE CVA'!$U$11)*1</f>
        <v>8.1146164679834119</v>
      </c>
      <c r="T11" s="26">
        <f>('TE BE'!$V$11+'TE BF'!$V$11+'TE CVA'!$V$11)*1</f>
        <v>0</v>
      </c>
      <c r="U11" s="26">
        <f>('TE BE'!$X$11+'TE BF'!$X$11+'TE CVA'!$X$11)*1</f>
        <v>-61.483756065951837</v>
      </c>
      <c r="V11" s="26">
        <f>('TE BE'!$Z$11+'TE BF'!$Z$11+'TE CVA'!$Z$11)*1</f>
        <v>6.0469553570820889</v>
      </c>
      <c r="X11" s="26">
        <v>2.39854884998309</v>
      </c>
      <c r="Y11" s="26">
        <v>10.2641869824589</v>
      </c>
      <c r="Z11" s="26">
        <v>0</v>
      </c>
      <c r="AA11" s="26">
        <v>0</v>
      </c>
      <c r="AB11" s="26">
        <v>0</v>
      </c>
      <c r="AC11" s="26">
        <v>255.80514422794801</v>
      </c>
      <c r="AD11" s="26">
        <v>8.3520971734951495</v>
      </c>
      <c r="AE11" s="26">
        <v>7.82679336501206</v>
      </c>
      <c r="AF11" s="26">
        <v>0</v>
      </c>
      <c r="AG11" s="26">
        <v>-9.2367495624176108</v>
      </c>
      <c r="AH11" s="26">
        <v>6.0044258161864503</v>
      </c>
    </row>
    <row r="12" spans="1:34" ht="11.25" customHeight="1" x14ac:dyDescent="0.25">
      <c r="A12" s="146"/>
      <c r="B12" s="146"/>
      <c r="C12" s="146"/>
      <c r="D12" s="28" t="s">
        <v>28</v>
      </c>
      <c r="E12" s="28" t="s">
        <v>25</v>
      </c>
      <c r="F12" s="28" t="s">
        <v>25</v>
      </c>
      <c r="G12" s="29" t="s">
        <v>79</v>
      </c>
      <c r="H12" s="29" t="s">
        <v>75</v>
      </c>
      <c r="I12" s="29">
        <f>'MERCADO TE'!$U$9</f>
        <v>204.62</v>
      </c>
      <c r="J12" s="15"/>
      <c r="L12" s="26">
        <f>('TE BE'!$L$12+'TE BF'!$L$12+'TE CVA'!$L$12)*(1 - 0.65)</f>
        <v>0.85241575693882143</v>
      </c>
      <c r="M12" s="26">
        <f>('TE BE'!$M$12+'TE BF'!$M$12+'TE CVA'!$M$12)*(1 - 0.65)</f>
        <v>11.160291812324401</v>
      </c>
      <c r="N12" s="26">
        <f>('TE BE'!$N$12+'TE BF'!$N$12+'TE CVA'!$N$12)*(1 - 0.65)</f>
        <v>0</v>
      </c>
      <c r="O12" s="26">
        <f>('TE BE'!$O$12+'TE BF'!$O$12+'TE CVA'!$O$12)*(1 - 0.65)</f>
        <v>0</v>
      </c>
      <c r="P12" s="26">
        <f>('TE BE'!$P$12+'TE BF'!$P$12+'TE CVA'!$P$12)*(1 - 0.65)</f>
        <v>-8.1689642268608438</v>
      </c>
      <c r="Q12" s="26">
        <f>('TE BE'!$R$12+'TE BF'!$R$12+'TE CVA'!$R$12)*(1 - 0.65)</f>
        <v>80.839771835063615</v>
      </c>
      <c r="R12" s="26">
        <f>('TE BE'!$T$12+'TE BF'!$T$12+'TE CVA'!$T$12)*(1 - 0.65)</f>
        <v>4.5498989045305347</v>
      </c>
      <c r="S12" s="26">
        <f>('TE BE'!$U$12+'TE BF'!$U$12+'TE CVA'!$U$12)*(1 - 0.65)</f>
        <v>2.8401157637941941</v>
      </c>
      <c r="T12" s="26">
        <f>('TE BE'!$V$12+'TE BF'!$V$12+'TE CVA'!$V$12)*(1 - 0.65)</f>
        <v>0</v>
      </c>
      <c r="U12" s="26">
        <f>('TE BE'!$X$12+'TE BF'!$X$12+'TE CVA'!$X$12)*(1 - 0.65)</f>
        <v>-21.51931462308314</v>
      </c>
      <c r="V12" s="26">
        <f>('TE BE'!$Z$12+'TE BF'!$Z$12+'TE CVA'!$Z$12)*(1 - 0.65)</f>
        <v>2.1164343749787311</v>
      </c>
      <c r="X12" s="26">
        <v>0.83949209749408304</v>
      </c>
      <c r="Y12" s="26">
        <v>3.5924654438606298</v>
      </c>
      <c r="Z12" s="26">
        <v>0</v>
      </c>
      <c r="AA12" s="26">
        <v>0</v>
      </c>
      <c r="AB12" s="26">
        <v>0</v>
      </c>
      <c r="AC12" s="26">
        <v>89.531800479781694</v>
      </c>
      <c r="AD12" s="26">
        <v>2.9232340107232999</v>
      </c>
      <c r="AE12" s="26">
        <v>2.73937767775422</v>
      </c>
      <c r="AF12" s="26">
        <v>0</v>
      </c>
      <c r="AG12" s="26">
        <v>-3.2328623468461601</v>
      </c>
      <c r="AH12" s="26">
        <v>2.10154903566526</v>
      </c>
    </row>
    <row r="13" spans="1:34" ht="11.25" customHeight="1" x14ac:dyDescent="0.25">
      <c r="A13" s="146"/>
      <c r="B13" s="146"/>
      <c r="C13" s="146"/>
      <c r="D13" s="28" t="s">
        <v>29</v>
      </c>
      <c r="E13" s="28" t="s">
        <v>25</v>
      </c>
      <c r="F13" s="28" t="s">
        <v>25</v>
      </c>
      <c r="G13" s="29" t="s">
        <v>79</v>
      </c>
      <c r="H13" s="29" t="s">
        <v>75</v>
      </c>
      <c r="I13" s="29">
        <f>'MERCADO TE'!$U$10</f>
        <v>376.553</v>
      </c>
      <c r="J13" s="15"/>
      <c r="L13" s="26">
        <f>('TE BE'!$L$13+'TE BF'!$L$13+'TE CVA'!$L$13)*(1 - 0.4)</f>
        <v>1.4612841547522655</v>
      </c>
      <c r="M13" s="26">
        <f>('TE BE'!$M$13+'TE BF'!$M$13+'TE CVA'!$M$13)*(1 - 0.4)</f>
        <v>19.131928821127545</v>
      </c>
      <c r="N13" s="26">
        <f>('TE BE'!$N$13+'TE BF'!$N$13+'TE CVA'!$N$13)*(1 - 0.4)</f>
        <v>0</v>
      </c>
      <c r="O13" s="26">
        <f>('TE BE'!$O$13+'TE BF'!$O$13+'TE CVA'!$O$13)*(1 - 0.4)</f>
        <v>0</v>
      </c>
      <c r="P13" s="26">
        <f>('TE BE'!$P$13+'TE BF'!$P$13+'TE CVA'!$P$13)*(1 - 0.4)</f>
        <v>-14.00393867461859</v>
      </c>
      <c r="Q13" s="26">
        <f>('TE BE'!$R$13+'TE BF'!$R$13+'TE CVA'!$R$13)*(1 - 0.4)</f>
        <v>138.58246600296619</v>
      </c>
      <c r="R13" s="26">
        <f>('TE BE'!$T$13+'TE BF'!$T$13+'TE CVA'!$T$13)*(1 - 0.4)</f>
        <v>7.7998266934809175</v>
      </c>
      <c r="S13" s="26">
        <f>('TE BE'!$U$13+'TE BF'!$U$13+'TE CVA'!$U$13)*(1 - 0.4)</f>
        <v>4.8687698807900466</v>
      </c>
      <c r="T13" s="26">
        <f>('TE BE'!$V$13+'TE BF'!$V$13+'TE CVA'!$V$13)*(1 - 0.4)</f>
        <v>0</v>
      </c>
      <c r="U13" s="26">
        <f>('TE BE'!$X$13+'TE BF'!$X$13+'TE CVA'!$X$13)*(1 - 0.4)</f>
        <v>-36.8902536395711</v>
      </c>
      <c r="V13" s="26">
        <f>('TE BE'!$Z$13+'TE BF'!$Z$13+'TE CVA'!$Z$13)*(1 - 0.4)</f>
        <v>3.6281732142492533</v>
      </c>
      <c r="X13" s="26">
        <v>1.4391293099898601</v>
      </c>
      <c r="Y13" s="26">
        <v>6.1585121894753598</v>
      </c>
      <c r="Z13" s="26">
        <v>0</v>
      </c>
      <c r="AA13" s="26">
        <v>0</v>
      </c>
      <c r="AB13" s="26">
        <v>0</v>
      </c>
      <c r="AC13" s="26">
        <v>153.48308653676901</v>
      </c>
      <c r="AD13" s="26">
        <v>5.0112583040970904</v>
      </c>
      <c r="AE13" s="26">
        <v>4.6960760190072399</v>
      </c>
      <c r="AF13" s="26">
        <v>0</v>
      </c>
      <c r="AG13" s="26">
        <v>-5.5420497374505704</v>
      </c>
      <c r="AH13" s="26">
        <v>3.6026554897118701</v>
      </c>
    </row>
    <row r="14" spans="1:34" ht="11.25" customHeight="1" x14ac:dyDescent="0.25">
      <c r="A14" s="146"/>
      <c r="B14" s="146"/>
      <c r="C14" s="146"/>
      <c r="D14" s="28" t="s">
        <v>30</v>
      </c>
      <c r="E14" s="28" t="s">
        <v>25</v>
      </c>
      <c r="F14" s="28" t="s">
        <v>25</v>
      </c>
      <c r="G14" s="29" t="s">
        <v>79</v>
      </c>
      <c r="H14" s="29" t="s">
        <v>75</v>
      </c>
      <c r="I14" s="29">
        <f>'MERCADO TE'!$U$11</f>
        <v>166.29699999999997</v>
      </c>
      <c r="J14" s="15"/>
      <c r="L14" s="26">
        <f>('TE BE'!$L$14+'TE BF'!$L$14+'TE CVA'!$L$14)*(1 - 0.1)</f>
        <v>2.1919262321283983</v>
      </c>
      <c r="M14" s="26">
        <f>('TE BE'!$M$14+'TE BF'!$M$14+'TE CVA'!$M$14)*(1 - 0.1)</f>
        <v>28.697893231691321</v>
      </c>
      <c r="N14" s="26">
        <f>('TE BE'!$N$14+'TE BF'!$N$14+'TE CVA'!$N$14)*(1 - 0.1)</f>
        <v>0</v>
      </c>
      <c r="O14" s="26">
        <f>('TE BE'!$O$14+'TE BF'!$O$14+'TE CVA'!$O$14)*(1 - 0.1)</f>
        <v>0</v>
      </c>
      <c r="P14" s="26">
        <f>('TE BE'!$P$14+'TE BF'!$P$14+'TE CVA'!$P$14)*(1 - 0.1)</f>
        <v>-21.005908011927886</v>
      </c>
      <c r="Q14" s="26">
        <f>('TE BE'!$R$14+'TE BF'!$R$14+'TE CVA'!$R$14)*(1 - 0.1)</f>
        <v>207.87369900444932</v>
      </c>
      <c r="R14" s="26">
        <f>('TE BE'!$T$14+'TE BF'!$T$14+'TE CVA'!$T$14)*(1 - 0.1)</f>
        <v>11.699740040221377</v>
      </c>
      <c r="S14" s="26">
        <f>('TE BE'!$U$14+'TE BF'!$U$14+'TE CVA'!$U$14)*(1 - 0.1)</f>
        <v>7.3031548211850712</v>
      </c>
      <c r="T14" s="26">
        <f>('TE BE'!$V$14+'TE BF'!$V$14+'TE CVA'!$V$14)*(1 - 0.1)</f>
        <v>0</v>
      </c>
      <c r="U14" s="26">
        <f>('TE BE'!$X$14+'TE BF'!$X$14+'TE CVA'!$X$14)*(1 - 0.1)</f>
        <v>-55.335380459356657</v>
      </c>
      <c r="V14" s="26">
        <f>('TE BE'!$Z$14+'TE BF'!$Z$14+'TE CVA'!$Z$14)*(1 - 0.1)</f>
        <v>5.44225982137388</v>
      </c>
      <c r="X14" s="26">
        <v>2.1586939649847801</v>
      </c>
      <c r="Y14" s="26">
        <v>9.2377682842130504</v>
      </c>
      <c r="Z14" s="26">
        <v>0</v>
      </c>
      <c r="AA14" s="26">
        <v>0</v>
      </c>
      <c r="AB14" s="26">
        <v>0</v>
      </c>
      <c r="AC14" s="26">
        <v>230.224629805153</v>
      </c>
      <c r="AD14" s="26">
        <v>7.5168874561456303</v>
      </c>
      <c r="AE14" s="26">
        <v>7.0441140285108599</v>
      </c>
      <c r="AF14" s="26">
        <v>0</v>
      </c>
      <c r="AG14" s="26">
        <v>-8.3130746061758494</v>
      </c>
      <c r="AH14" s="26">
        <v>5.4039832345678001</v>
      </c>
    </row>
    <row r="15" spans="1:34" ht="11.25" customHeight="1" x14ac:dyDescent="0.25">
      <c r="A15" s="146"/>
      <c r="B15" s="146"/>
      <c r="C15" s="146"/>
      <c r="D15" s="28" t="s">
        <v>31</v>
      </c>
      <c r="E15" s="28" t="s">
        <v>25</v>
      </c>
      <c r="F15" s="28" t="s">
        <v>25</v>
      </c>
      <c r="G15" s="29" t="s">
        <v>79</v>
      </c>
      <c r="H15" s="29" t="s">
        <v>75</v>
      </c>
      <c r="I15" s="29">
        <f>'MERCADO TE'!$U$12</f>
        <v>17.806999999999999</v>
      </c>
      <c r="J15" s="15"/>
      <c r="L15" s="26">
        <f>('TE BE'!$L$15+'TE BF'!$L$15+'TE CVA'!$L$15)*1</f>
        <v>2.4354735912537757</v>
      </c>
      <c r="M15" s="26">
        <f>('TE BE'!$M$15+'TE BF'!$M$15+'TE CVA'!$M$15)*1</f>
        <v>31.886548035212577</v>
      </c>
      <c r="N15" s="26">
        <f>('TE BE'!$N$15+'TE BF'!$N$15+'TE CVA'!$N$15)*1</f>
        <v>0</v>
      </c>
      <c r="O15" s="26">
        <f>('TE BE'!$O$15+'TE BF'!$O$15+'TE CVA'!$O$15)*1</f>
        <v>0</v>
      </c>
      <c r="P15" s="26">
        <f>('TE BE'!$P$15+'TE BF'!$P$15+'TE CVA'!$P$15)*1</f>
        <v>-23.339897791030985</v>
      </c>
      <c r="Q15" s="26">
        <f>('TE BE'!$R$15+'TE BF'!$R$15+'TE CVA'!$R$15)*1</f>
        <v>230.97077667161034</v>
      </c>
      <c r="R15" s="26">
        <f>('TE BE'!$T$15+'TE BF'!$T$15+'TE CVA'!$T$15)*1</f>
        <v>12.999711155801529</v>
      </c>
      <c r="S15" s="26">
        <f>('TE BE'!$U$15+'TE BF'!$U$15+'TE CVA'!$U$15)*1</f>
        <v>8.1146164679834119</v>
      </c>
      <c r="T15" s="26">
        <f>('TE BE'!$V$15+'TE BF'!$V$15+'TE CVA'!$V$15)*1</f>
        <v>0</v>
      </c>
      <c r="U15" s="26">
        <f>('TE BE'!$X$15+'TE BF'!$X$15+'TE CVA'!$X$15)*1</f>
        <v>-61.483756065951837</v>
      </c>
      <c r="V15" s="26">
        <f>('TE BE'!$Z$15+'TE BF'!$Z$15+'TE CVA'!$Z$15)*1</f>
        <v>6.0469553570820889</v>
      </c>
      <c r="X15" s="26">
        <v>2.39854884998309</v>
      </c>
      <c r="Y15" s="26">
        <v>10.2641869824589</v>
      </c>
      <c r="Z15" s="26">
        <v>0</v>
      </c>
      <c r="AA15" s="26">
        <v>0</v>
      </c>
      <c r="AB15" s="26">
        <v>0</v>
      </c>
      <c r="AC15" s="26">
        <v>255.80514422794801</v>
      </c>
      <c r="AD15" s="26">
        <v>8.3520971734951495</v>
      </c>
      <c r="AE15" s="26">
        <v>7.82679336501206</v>
      </c>
      <c r="AF15" s="26">
        <v>0</v>
      </c>
      <c r="AG15" s="26">
        <v>-9.2367495624176108</v>
      </c>
      <c r="AH15" s="26">
        <v>6.0044258161864503</v>
      </c>
    </row>
    <row r="16" spans="1:34" ht="11.25" customHeight="1" x14ac:dyDescent="0.25">
      <c r="A16" s="146"/>
      <c r="B16" s="146" t="s">
        <v>89</v>
      </c>
      <c r="C16" s="146" t="s">
        <v>24</v>
      </c>
      <c r="D16" s="28" t="s">
        <v>24</v>
      </c>
      <c r="E16" s="28" t="s">
        <v>25</v>
      </c>
      <c r="F16" s="28" t="s">
        <v>25</v>
      </c>
      <c r="G16" s="29" t="s">
        <v>79</v>
      </c>
      <c r="H16" s="29" t="s">
        <v>75</v>
      </c>
      <c r="I16" s="29">
        <f>'MERCADO TE'!$U$13</f>
        <v>0</v>
      </c>
      <c r="J16" s="15"/>
      <c r="L16" s="26">
        <f>('TE BE'!$L$16+'TE BF'!$L$16+'TE CVA'!$L$16)*1</f>
        <v>2.4354735912537757</v>
      </c>
      <c r="M16" s="26">
        <f>('TE BE'!$M$16+'TE BF'!$M$16+'TE CVA'!$M$16)*1</f>
        <v>31.886548035212577</v>
      </c>
      <c r="N16" s="26">
        <f>('TE BE'!$N$16+'TE BF'!$N$16+'TE CVA'!$N$16)*1</f>
        <v>0</v>
      </c>
      <c r="O16" s="26">
        <f>('TE BE'!$O$16+'TE BF'!$O$16+'TE CVA'!$O$16)*1</f>
        <v>0</v>
      </c>
      <c r="P16" s="26">
        <f>('TE BE'!$P$16+'TE BF'!$P$16+'TE CVA'!$P$16)*1</f>
        <v>-23.339897791030985</v>
      </c>
      <c r="Q16" s="26">
        <f>('TE BE'!$R$16+'TE BF'!$R$16+'TE CVA'!$R$16)*1</f>
        <v>230.97077667161034</v>
      </c>
      <c r="R16" s="26">
        <f>('TE BE'!$T$16+'TE BF'!$T$16+'TE CVA'!$T$16)*1</f>
        <v>12.999711155801529</v>
      </c>
      <c r="S16" s="26">
        <f>('TE BE'!$U$16+'TE BF'!$U$16+'TE CVA'!$U$16)*1</f>
        <v>8.1146164679834119</v>
      </c>
      <c r="T16" s="26">
        <f>('TE BE'!$V$16+'TE BF'!$V$16+'TE CVA'!$V$16)*1</f>
        <v>0</v>
      </c>
      <c r="U16" s="26">
        <f>('TE BE'!$X$16+'TE BF'!$X$16+'TE CVA'!$X$16)*1</f>
        <v>-61.483756065951837</v>
      </c>
      <c r="V16" s="26">
        <f>('TE BE'!$Z$16+'TE BF'!$Z$16+'TE CVA'!$Z$16)*1</f>
        <v>6.0469553570820889</v>
      </c>
      <c r="X16" s="26">
        <v>2.39854884998309</v>
      </c>
      <c r="Y16" s="26">
        <v>10.2641869824589</v>
      </c>
      <c r="Z16" s="26">
        <v>0</v>
      </c>
      <c r="AA16" s="26">
        <v>0</v>
      </c>
      <c r="AB16" s="26">
        <v>0</v>
      </c>
      <c r="AC16" s="26">
        <v>255.80514422794801</v>
      </c>
      <c r="AD16" s="26">
        <v>8.3520971734951495</v>
      </c>
      <c r="AE16" s="26">
        <v>7.82679336501206</v>
      </c>
      <c r="AF16" s="26">
        <v>0</v>
      </c>
      <c r="AG16" s="26">
        <v>-9.2367495624176108</v>
      </c>
      <c r="AH16" s="26">
        <v>6.0044258161864503</v>
      </c>
    </row>
    <row r="17" spans="1:34" ht="11.25" customHeight="1" x14ac:dyDescent="0.25">
      <c r="A17" s="146"/>
      <c r="B17" s="146"/>
      <c r="C17" s="146"/>
      <c r="D17" s="28" t="s">
        <v>28</v>
      </c>
      <c r="E17" s="28" t="s">
        <v>25</v>
      </c>
      <c r="F17" s="28" t="s">
        <v>25</v>
      </c>
      <c r="G17" s="29" t="s">
        <v>79</v>
      </c>
      <c r="H17" s="29" t="s">
        <v>75</v>
      </c>
      <c r="I17" s="29">
        <f>'MERCADO TE'!$U$14</f>
        <v>0</v>
      </c>
      <c r="J17" s="15"/>
      <c r="L17" s="26">
        <f>('TE BE'!$L$17+'TE BF'!$L$17+'TE CVA'!$L$17)*(1 - 0.65)</f>
        <v>0.85241575693882143</v>
      </c>
      <c r="M17" s="26">
        <f>('TE BE'!$M$17+'TE BF'!$M$17+'TE CVA'!$M$17)*(1 - 0.65)</f>
        <v>11.160291812324401</v>
      </c>
      <c r="N17" s="26">
        <f>('TE BE'!$N$17+'TE BF'!$N$17+'TE CVA'!$N$17)*(1 - 0.65)</f>
        <v>0</v>
      </c>
      <c r="O17" s="26">
        <f>('TE BE'!$O$17+'TE BF'!$O$17+'TE CVA'!$O$17)*(1 - 0.65)</f>
        <v>0</v>
      </c>
      <c r="P17" s="26">
        <f>('TE BE'!$P$17+'TE BF'!$P$17+'TE CVA'!$P$17)*(1 - 0.65)</f>
        <v>-8.1689642268608438</v>
      </c>
      <c r="Q17" s="26">
        <f>('TE BE'!$R$17+'TE BF'!$R$17+'TE CVA'!$R$17)*(1 - 0.65)</f>
        <v>80.839771835063615</v>
      </c>
      <c r="R17" s="26">
        <f>('TE BE'!$T$17+'TE BF'!$T$17+'TE CVA'!$T$17)*(1 - 0.65)</f>
        <v>4.5498989045305347</v>
      </c>
      <c r="S17" s="26">
        <f>('TE BE'!$U$17+'TE BF'!$U$17+'TE CVA'!$U$17)*(1 - 0.65)</f>
        <v>2.8401157637941941</v>
      </c>
      <c r="T17" s="26">
        <f>('TE BE'!$V$17+'TE BF'!$V$17+'TE CVA'!$V$17)*(1 - 0.65)</f>
        <v>0</v>
      </c>
      <c r="U17" s="26">
        <f>('TE BE'!$X$17+'TE BF'!$X$17+'TE CVA'!$X$17)*(1 - 0.65)</f>
        <v>-21.51931462308314</v>
      </c>
      <c r="V17" s="26">
        <f>('TE BE'!$Z$17+'TE BF'!$Z$17+'TE CVA'!$Z$17)*(1 - 0.65)</f>
        <v>2.1164343749787311</v>
      </c>
      <c r="X17" s="26">
        <v>0.83949209749408304</v>
      </c>
      <c r="Y17" s="26">
        <v>3.5924654438606298</v>
      </c>
      <c r="Z17" s="26">
        <v>0</v>
      </c>
      <c r="AA17" s="26">
        <v>0</v>
      </c>
      <c r="AB17" s="26">
        <v>0</v>
      </c>
      <c r="AC17" s="26">
        <v>89.531800479781694</v>
      </c>
      <c r="AD17" s="26">
        <v>2.9232340107232999</v>
      </c>
      <c r="AE17" s="26">
        <v>2.73937767775422</v>
      </c>
      <c r="AF17" s="26">
        <v>0</v>
      </c>
      <c r="AG17" s="26">
        <v>-3.2328623468461601</v>
      </c>
      <c r="AH17" s="26">
        <v>2.10154903566526</v>
      </c>
    </row>
    <row r="18" spans="1:34" ht="11.25" customHeight="1" x14ac:dyDescent="0.25">
      <c r="A18" s="146"/>
      <c r="B18" s="146"/>
      <c r="C18" s="146"/>
      <c r="D18" s="28" t="s">
        <v>29</v>
      </c>
      <c r="E18" s="28" t="s">
        <v>25</v>
      </c>
      <c r="F18" s="28" t="s">
        <v>25</v>
      </c>
      <c r="G18" s="29" t="s">
        <v>79</v>
      </c>
      <c r="H18" s="29" t="s">
        <v>75</v>
      </c>
      <c r="I18" s="29">
        <f>'MERCADO TE'!$U$15</f>
        <v>0</v>
      </c>
      <c r="J18" s="15"/>
      <c r="L18" s="26">
        <f>('TE BE'!$L$18+'TE BF'!$L$18+'TE CVA'!$L$18)*(1 - 0.4)</f>
        <v>1.4612841547522655</v>
      </c>
      <c r="M18" s="26">
        <f>('TE BE'!$M$18+'TE BF'!$M$18+'TE CVA'!$M$18)*(1 - 0.4)</f>
        <v>19.131928821127545</v>
      </c>
      <c r="N18" s="26">
        <f>('TE BE'!$N$18+'TE BF'!$N$18+'TE CVA'!$N$18)*(1 - 0.4)</f>
        <v>0</v>
      </c>
      <c r="O18" s="26">
        <f>('TE BE'!$O$18+'TE BF'!$O$18+'TE CVA'!$O$18)*(1 - 0.4)</f>
        <v>0</v>
      </c>
      <c r="P18" s="26">
        <f>('TE BE'!$P$18+'TE BF'!$P$18+'TE CVA'!$P$18)*(1 - 0.4)</f>
        <v>-14.00393867461859</v>
      </c>
      <c r="Q18" s="26">
        <f>('TE BE'!$R$18+'TE BF'!$R$18+'TE CVA'!$R$18)*(1 - 0.4)</f>
        <v>138.58246600296619</v>
      </c>
      <c r="R18" s="26">
        <f>('TE BE'!$T$18+'TE BF'!$T$18+'TE CVA'!$T$18)*(1 - 0.4)</f>
        <v>7.7998266934809175</v>
      </c>
      <c r="S18" s="26">
        <f>('TE BE'!$U$18+'TE BF'!$U$18+'TE CVA'!$U$18)*(1 - 0.4)</f>
        <v>4.8687698807900466</v>
      </c>
      <c r="T18" s="26">
        <f>('TE BE'!$V$18+'TE BF'!$V$18+'TE CVA'!$V$18)*(1 - 0.4)</f>
        <v>0</v>
      </c>
      <c r="U18" s="26">
        <f>('TE BE'!$X$18+'TE BF'!$X$18+'TE CVA'!$X$18)*(1 - 0.4)</f>
        <v>-36.8902536395711</v>
      </c>
      <c r="V18" s="26">
        <f>('TE BE'!$Z$18+'TE BF'!$Z$18+'TE CVA'!$Z$18)*(1 - 0.4)</f>
        <v>3.6281732142492533</v>
      </c>
      <c r="X18" s="26">
        <v>1.4391293099898601</v>
      </c>
      <c r="Y18" s="26">
        <v>6.1585121894753598</v>
      </c>
      <c r="Z18" s="26">
        <v>0</v>
      </c>
      <c r="AA18" s="26">
        <v>0</v>
      </c>
      <c r="AB18" s="26">
        <v>0</v>
      </c>
      <c r="AC18" s="26">
        <v>153.48308653676901</v>
      </c>
      <c r="AD18" s="26">
        <v>5.0112583040970904</v>
      </c>
      <c r="AE18" s="26">
        <v>4.6960760190072399</v>
      </c>
      <c r="AF18" s="26">
        <v>0</v>
      </c>
      <c r="AG18" s="26">
        <v>-5.5420497374505704</v>
      </c>
      <c r="AH18" s="26">
        <v>3.6026554897118701</v>
      </c>
    </row>
    <row r="19" spans="1:34" ht="11.25" customHeight="1" x14ac:dyDescent="0.25">
      <c r="A19" s="146"/>
      <c r="B19" s="146"/>
      <c r="C19" s="146"/>
      <c r="D19" s="28" t="s">
        <v>30</v>
      </c>
      <c r="E19" s="28" t="s">
        <v>25</v>
      </c>
      <c r="F19" s="28" t="s">
        <v>25</v>
      </c>
      <c r="G19" s="29" t="s">
        <v>79</v>
      </c>
      <c r="H19" s="29" t="s">
        <v>75</v>
      </c>
      <c r="I19" s="29">
        <f>'MERCADO TE'!$U$16</f>
        <v>0</v>
      </c>
      <c r="J19" s="15"/>
      <c r="L19" s="26">
        <f>('TE BE'!$L$19+'TE BF'!$L$19+'TE CVA'!$L$19)*(1 - 0.1)</f>
        <v>2.1919262321283983</v>
      </c>
      <c r="M19" s="26">
        <f>('TE BE'!$M$19+'TE BF'!$M$19+'TE CVA'!$M$19)*(1 - 0.1)</f>
        <v>28.697893231691321</v>
      </c>
      <c r="N19" s="26">
        <f>('TE BE'!$N$19+'TE BF'!$N$19+'TE CVA'!$N$19)*(1 - 0.1)</f>
        <v>0</v>
      </c>
      <c r="O19" s="26">
        <f>('TE BE'!$O$19+'TE BF'!$O$19+'TE CVA'!$O$19)*(1 - 0.1)</f>
        <v>0</v>
      </c>
      <c r="P19" s="26">
        <f>('TE BE'!$P$19+'TE BF'!$P$19+'TE CVA'!$P$19)*(1 - 0.1)</f>
        <v>-21.005908011927886</v>
      </c>
      <c r="Q19" s="26">
        <f>('TE BE'!$R$19+'TE BF'!$R$19+'TE CVA'!$R$19)*(1 - 0.1)</f>
        <v>207.87369900444932</v>
      </c>
      <c r="R19" s="26">
        <f>('TE BE'!$T$19+'TE BF'!$T$19+'TE CVA'!$T$19)*(1 - 0.1)</f>
        <v>11.699740040221377</v>
      </c>
      <c r="S19" s="26">
        <f>('TE BE'!$U$19+'TE BF'!$U$19+'TE CVA'!$U$19)*(1 - 0.1)</f>
        <v>7.3031548211850712</v>
      </c>
      <c r="T19" s="26">
        <f>('TE BE'!$V$19+'TE BF'!$V$19+'TE CVA'!$V$19)*(1 - 0.1)</f>
        <v>0</v>
      </c>
      <c r="U19" s="26">
        <f>('TE BE'!$X$19+'TE BF'!$X$19+'TE CVA'!$X$19)*(1 - 0.1)</f>
        <v>-55.335380459356657</v>
      </c>
      <c r="V19" s="26">
        <f>('TE BE'!$Z$19+'TE BF'!$Z$19+'TE CVA'!$Z$19)*(1 - 0.1)</f>
        <v>5.44225982137388</v>
      </c>
      <c r="X19" s="26">
        <v>2.1586939649847801</v>
      </c>
      <c r="Y19" s="26">
        <v>9.2377682842130504</v>
      </c>
      <c r="Z19" s="26">
        <v>0</v>
      </c>
      <c r="AA19" s="26">
        <v>0</v>
      </c>
      <c r="AB19" s="26">
        <v>0</v>
      </c>
      <c r="AC19" s="26">
        <v>230.224629805153</v>
      </c>
      <c r="AD19" s="26">
        <v>7.5168874561456303</v>
      </c>
      <c r="AE19" s="26">
        <v>7.0441140285108599</v>
      </c>
      <c r="AF19" s="26">
        <v>0</v>
      </c>
      <c r="AG19" s="26">
        <v>-8.3130746061758494</v>
      </c>
      <c r="AH19" s="26">
        <v>5.4039832345678001</v>
      </c>
    </row>
    <row r="20" spans="1:34" ht="11.25" customHeight="1" x14ac:dyDescent="0.25">
      <c r="A20" s="146"/>
      <c r="B20" s="146"/>
      <c r="C20" s="146"/>
      <c r="D20" s="28" t="s">
        <v>31</v>
      </c>
      <c r="E20" s="28" t="s">
        <v>25</v>
      </c>
      <c r="F20" s="28" t="s">
        <v>25</v>
      </c>
      <c r="G20" s="29" t="s">
        <v>79</v>
      </c>
      <c r="H20" s="29" t="s">
        <v>75</v>
      </c>
      <c r="I20" s="29">
        <f>'MERCADO TE'!$U$17</f>
        <v>0</v>
      </c>
      <c r="J20" s="15"/>
      <c r="L20" s="26">
        <f>('TE BE'!$L$20+'TE BF'!$L$20+'TE CVA'!$L$20)*1</f>
        <v>2.4354735912537757</v>
      </c>
      <c r="M20" s="26">
        <f>('TE BE'!$M$20+'TE BF'!$M$20+'TE CVA'!$M$20)*1</f>
        <v>31.886548035212577</v>
      </c>
      <c r="N20" s="26">
        <f>('TE BE'!$N$20+'TE BF'!$N$20+'TE CVA'!$N$20)*1</f>
        <v>0</v>
      </c>
      <c r="O20" s="26">
        <f>('TE BE'!$O$20+'TE BF'!$O$20+'TE CVA'!$O$20)*1</f>
        <v>0</v>
      </c>
      <c r="P20" s="26">
        <f>('TE BE'!$P$20+'TE BF'!$P$20+'TE CVA'!$P$20)*1</f>
        <v>-23.339897791030985</v>
      </c>
      <c r="Q20" s="26">
        <f>('TE BE'!$R$20+'TE BF'!$R$20+'TE CVA'!$R$20)*1</f>
        <v>230.97077667161034</v>
      </c>
      <c r="R20" s="26">
        <f>('TE BE'!$T$20+'TE BF'!$T$20+'TE CVA'!$T$20)*1</f>
        <v>12.999711155801529</v>
      </c>
      <c r="S20" s="26">
        <f>('TE BE'!$U$20+'TE BF'!$U$20+'TE CVA'!$U$20)*1</f>
        <v>8.1146164679834119</v>
      </c>
      <c r="T20" s="26">
        <f>('TE BE'!$V$20+'TE BF'!$V$20+'TE CVA'!$V$20)*1</f>
        <v>0</v>
      </c>
      <c r="U20" s="26">
        <f>('TE BE'!$X$20+'TE BF'!$X$20+'TE CVA'!$X$20)*1</f>
        <v>-61.483756065951837</v>
      </c>
      <c r="V20" s="26">
        <f>('TE BE'!$Z$20+'TE BF'!$Z$20+'TE CVA'!$Z$20)*1</f>
        <v>6.0469553570820889</v>
      </c>
      <c r="X20" s="26">
        <v>2.39854884998309</v>
      </c>
      <c r="Y20" s="26">
        <v>10.2641869824589</v>
      </c>
      <c r="Z20" s="26">
        <v>0</v>
      </c>
      <c r="AA20" s="26">
        <v>0</v>
      </c>
      <c r="AB20" s="26">
        <v>0</v>
      </c>
      <c r="AC20" s="26">
        <v>255.80514422794801</v>
      </c>
      <c r="AD20" s="26">
        <v>8.3520971734951495</v>
      </c>
      <c r="AE20" s="26">
        <v>7.82679336501206</v>
      </c>
      <c r="AF20" s="26">
        <v>0</v>
      </c>
      <c r="AG20" s="26">
        <v>-9.2367495624176108</v>
      </c>
      <c r="AH20" s="26">
        <v>6.0044258161864503</v>
      </c>
    </row>
    <row r="21" spans="1:34" ht="11.25" customHeight="1" x14ac:dyDescent="0.25">
      <c r="A21" s="146" t="s">
        <v>41</v>
      </c>
      <c r="B21" s="146" t="s">
        <v>74</v>
      </c>
      <c r="C21" s="146" t="s">
        <v>42</v>
      </c>
      <c r="D21" s="146" t="s">
        <v>25</v>
      </c>
      <c r="E21" s="146" t="s">
        <v>25</v>
      </c>
      <c r="F21" s="146" t="s">
        <v>25</v>
      </c>
      <c r="G21" s="29" t="s">
        <v>76</v>
      </c>
      <c r="H21" s="29" t="s">
        <v>75</v>
      </c>
      <c r="I21" s="29">
        <f>'MERCADO TE'!$U$18</f>
        <v>0</v>
      </c>
      <c r="J21" s="15"/>
      <c r="L21" s="26">
        <f>('TE BE'!$L$21+'TE BF'!$L$21+'TE CVA'!$L$21)*(1 - CUSTOS!$M$38)</f>
        <v>2.289345175778549</v>
      </c>
      <c r="M21" s="26">
        <f>('TE BE'!$M$21+'TE BF'!$M$21+'TE CVA'!$M$21)*(1 - CUSTOS!$M$38)</f>
        <v>29.973355153099821</v>
      </c>
      <c r="N21" s="26">
        <f>('TE BE'!$N$21+'TE BF'!$N$21+'TE CVA'!$N$21)*(1 - CUSTOS!$M$38)</f>
        <v>0</v>
      </c>
      <c r="O21" s="26">
        <f>('TE BE'!$O$21+'TE BF'!$O$21+'TE CVA'!$O$21)*(1 - CUSTOS!$M$38)</f>
        <v>0</v>
      </c>
      <c r="P21" s="26">
        <f>('TE BE'!$P$21+'TE BF'!$P$21+'TE CVA'!$P$21)*(1 - CUSTOS!$M$38)</f>
        <v>-21.939503923569124</v>
      </c>
      <c r="Q21" s="26">
        <f>('TE BE'!$R$21+'TE BF'!$R$21+'TE CVA'!$R$21)*(1 - CUSTOS!$M$38)</f>
        <v>352.29580351194306</v>
      </c>
      <c r="R21" s="26">
        <f>('TE BE'!$T$21+'TE BF'!$T$21+'TE CVA'!$T$21)*(1 - CUSTOS!$M$38)</f>
        <v>12.219728486453437</v>
      </c>
      <c r="S21" s="26">
        <f>('TE BE'!$U$21+'TE BF'!$U$21+'TE CVA'!$U$21)*(1 - CUSTOS!$M$38)</f>
        <v>7.6277394799044069</v>
      </c>
      <c r="T21" s="26">
        <f>('TE BE'!$V$21+'TE BF'!$V$21+'TE CVA'!$V$21)*(1 - CUSTOS!$M$38)</f>
        <v>0</v>
      </c>
      <c r="U21" s="26">
        <f>('TE BE'!$X$21+'TE BF'!$X$21+'TE CVA'!$X$21)*(1 - CUSTOS!$M$38)</f>
        <v>-90.189564397396524</v>
      </c>
      <c r="V21" s="26">
        <f>('TE BE'!$Z$21+'TE BF'!$Z$21+'TE CVA'!$Z$21)*(1 - CUSTOS!$M$38)</f>
        <v>5.6841380356571634</v>
      </c>
      <c r="X21" s="26">
        <v>2.1107229879851199</v>
      </c>
      <c r="Y21" s="26">
        <v>9.0324845445638697</v>
      </c>
      <c r="Z21" s="26">
        <v>0</v>
      </c>
      <c r="AA21" s="26">
        <v>0</v>
      </c>
      <c r="AB21" s="26">
        <v>0</v>
      </c>
      <c r="AC21" s="26">
        <v>365.27043990888802</v>
      </c>
      <c r="AD21" s="26">
        <v>7.3498455126757296</v>
      </c>
      <c r="AE21" s="26">
        <v>6.8875781612106204</v>
      </c>
      <c r="AF21" s="26">
        <v>0</v>
      </c>
      <c r="AG21" s="26">
        <v>-12.5735429679128</v>
      </c>
      <c r="AH21" s="26">
        <v>5.2838947182440696</v>
      </c>
    </row>
    <row r="22" spans="1:34" ht="11.25" customHeight="1" x14ac:dyDescent="0.25">
      <c r="A22" s="146"/>
      <c r="B22" s="146"/>
      <c r="C22" s="146"/>
      <c r="D22" s="146"/>
      <c r="E22" s="146"/>
      <c r="F22" s="146"/>
      <c r="G22" s="29" t="s">
        <v>88</v>
      </c>
      <c r="H22" s="29" t="s">
        <v>75</v>
      </c>
      <c r="I22" s="29">
        <f>'MERCADO TE'!$U$19</f>
        <v>0</v>
      </c>
      <c r="J22" s="15"/>
      <c r="L22" s="26">
        <f>('TE BE'!$L$22+'TE BF'!$L$22+'TE CVA'!$L$22)*(1 - CUSTOS!$M$38)</f>
        <v>2.289345175778549</v>
      </c>
      <c r="M22" s="26">
        <f>('TE BE'!$M$22+'TE BF'!$M$22+'TE CVA'!$M$22)*(1 - CUSTOS!$M$38)</f>
        <v>29.973355153099821</v>
      </c>
      <c r="N22" s="26">
        <f>('TE BE'!$N$22+'TE BF'!$N$22+'TE CVA'!$N$22)*(1 - CUSTOS!$M$38)</f>
        <v>0</v>
      </c>
      <c r="O22" s="26">
        <f>('TE BE'!$O$22+'TE BF'!$O$22+'TE CVA'!$O$22)*(1 - CUSTOS!$M$38)</f>
        <v>0</v>
      </c>
      <c r="P22" s="26">
        <f>('TE BE'!$P$22+'TE BF'!$P$22+'TE CVA'!$P$22)*(1 - CUSTOS!$M$38)</f>
        <v>-21.939503923569124</v>
      </c>
      <c r="Q22" s="26">
        <f>('TE BE'!$R$22+'TE BF'!$R$22+'TE CVA'!$R$22)*(1 - CUSTOS!$M$38)</f>
        <v>204.82314157671107</v>
      </c>
      <c r="R22" s="26">
        <f>('TE BE'!$T$22+'TE BF'!$T$22+'TE CVA'!$T$22)*(1 - CUSTOS!$M$38)</f>
        <v>12.219728486453437</v>
      </c>
      <c r="S22" s="26">
        <f>('TE BE'!$U$22+'TE BF'!$U$22+'TE CVA'!$U$22)*(1 - CUSTOS!$M$38)</f>
        <v>7.6277394799044069</v>
      </c>
      <c r="T22" s="26">
        <f>('TE BE'!$V$22+'TE BF'!$V$22+'TE CVA'!$V$22)*(1 - CUSTOS!$M$38)</f>
        <v>0</v>
      </c>
      <c r="U22" s="26">
        <f>('TE BE'!$X$22+'TE BF'!$X$22+'TE CVA'!$X$22)*(1 - CUSTOS!$M$38)</f>
        <v>-54.849745820594563</v>
      </c>
      <c r="V22" s="26">
        <f>('TE BE'!$Z$22+'TE BF'!$Z$22+'TE CVA'!$Z$22)*(1 - CUSTOS!$M$38)</f>
        <v>5.6841380356571634</v>
      </c>
      <c r="X22" s="26">
        <v>2.1107229879851199</v>
      </c>
      <c r="Y22" s="26">
        <v>9.0324845445638697</v>
      </c>
      <c r="Z22" s="26">
        <v>0</v>
      </c>
      <c r="AA22" s="26">
        <v>0</v>
      </c>
      <c r="AB22" s="26">
        <v>0</v>
      </c>
      <c r="AC22" s="26">
        <v>212.366534830749</v>
      </c>
      <c r="AD22" s="26">
        <v>7.3498455126757296</v>
      </c>
      <c r="AE22" s="26">
        <v>6.8875781612106204</v>
      </c>
      <c r="AF22" s="26">
        <v>0</v>
      </c>
      <c r="AG22" s="26">
        <v>-7.7242302192015604</v>
      </c>
      <c r="AH22" s="26">
        <v>5.2838947182440696</v>
      </c>
    </row>
    <row r="23" spans="1:34" ht="11.25" customHeight="1" x14ac:dyDescent="0.25">
      <c r="A23" s="146"/>
      <c r="B23" s="146"/>
      <c r="C23" s="146"/>
      <c r="D23" s="146"/>
      <c r="E23" s="146"/>
      <c r="F23" s="146"/>
      <c r="G23" s="29" t="s">
        <v>77</v>
      </c>
      <c r="H23" s="29" t="s">
        <v>75</v>
      </c>
      <c r="I23" s="29">
        <f>'MERCADO TE'!$U$20</f>
        <v>0</v>
      </c>
      <c r="J23" s="15"/>
      <c r="L23" s="26">
        <f>('TE BE'!$L$23+'TE BF'!$L$23+'TE CVA'!$L$23)*(1 - CUSTOS!$M$38)</f>
        <v>2.289345175778549</v>
      </c>
      <c r="M23" s="26">
        <f>('TE BE'!$M$23+'TE BF'!$M$23+'TE CVA'!$M$23)*(1 - CUSTOS!$M$38)</f>
        <v>29.973355153099821</v>
      </c>
      <c r="N23" s="26">
        <f>('TE BE'!$N$23+'TE BF'!$N$23+'TE CVA'!$N$23)*(1 - CUSTOS!$M$38)</f>
        <v>0</v>
      </c>
      <c r="O23" s="26">
        <f>('TE BE'!$O$23+'TE BF'!$O$23+'TE CVA'!$O$23)*(1 - CUSTOS!$M$38)</f>
        <v>0</v>
      </c>
      <c r="P23" s="26">
        <f>('TE BE'!$P$23+'TE BF'!$P$23+'TE CVA'!$P$23)*(1 - CUSTOS!$M$38)</f>
        <v>-21.939503923569124</v>
      </c>
      <c r="Q23" s="26">
        <f>('TE BE'!$R$23+'TE BF'!$R$23+'TE CVA'!$R$23)*(1 - CUSTOS!$M$38)</f>
        <v>204.82314157671107</v>
      </c>
      <c r="R23" s="26">
        <f>('TE BE'!$T$23+'TE BF'!$T$23+'TE CVA'!$T$23)*(1 - CUSTOS!$M$38)</f>
        <v>12.219728486453437</v>
      </c>
      <c r="S23" s="26">
        <f>('TE BE'!$U$23+'TE BF'!$U$23+'TE CVA'!$U$23)*(1 - CUSTOS!$M$38)</f>
        <v>7.6277394799044069</v>
      </c>
      <c r="T23" s="26">
        <f>('TE BE'!$V$23+'TE BF'!$V$23+'TE CVA'!$V$23)*(1 - CUSTOS!$M$38)</f>
        <v>0</v>
      </c>
      <c r="U23" s="26">
        <f>('TE BE'!$X$23+'TE BF'!$X$23+'TE CVA'!$X$23)*(1 - CUSTOS!$M$38)</f>
        <v>-54.849745820594563</v>
      </c>
      <c r="V23" s="26">
        <f>('TE BE'!$Z$23+'TE BF'!$Z$23+'TE CVA'!$Z$23)*(1 - CUSTOS!$M$38)</f>
        <v>5.6841380356571634</v>
      </c>
      <c r="X23" s="26">
        <v>2.1107229879851199</v>
      </c>
      <c r="Y23" s="26">
        <v>9.0324845445638697</v>
      </c>
      <c r="Z23" s="26">
        <v>0</v>
      </c>
      <c r="AA23" s="26">
        <v>0</v>
      </c>
      <c r="AB23" s="26">
        <v>0</v>
      </c>
      <c r="AC23" s="26">
        <v>212.366534830749</v>
      </c>
      <c r="AD23" s="26">
        <v>7.3498455126757296</v>
      </c>
      <c r="AE23" s="26">
        <v>6.8875781612106204</v>
      </c>
      <c r="AF23" s="26">
        <v>0</v>
      </c>
      <c r="AG23" s="26">
        <v>-7.7242302192015604</v>
      </c>
      <c r="AH23" s="26">
        <v>5.2838947182440696</v>
      </c>
    </row>
    <row r="24" spans="1:34" ht="11.25" customHeight="1" x14ac:dyDescent="0.25">
      <c r="A24" s="146"/>
      <c r="B24" s="28" t="s">
        <v>78</v>
      </c>
      <c r="C24" s="28" t="s">
        <v>42</v>
      </c>
      <c r="D24" s="28" t="s">
        <v>25</v>
      </c>
      <c r="E24" s="28" t="s">
        <v>25</v>
      </c>
      <c r="F24" s="28" t="s">
        <v>25</v>
      </c>
      <c r="G24" s="29" t="s">
        <v>79</v>
      </c>
      <c r="H24" s="29" t="s">
        <v>75</v>
      </c>
      <c r="I24" s="29">
        <f>'MERCADO TE'!$U$21</f>
        <v>3335.7969999999996</v>
      </c>
      <c r="J24" s="15"/>
      <c r="L24" s="26">
        <f>('TE BE'!$L$24+'TE BF'!$L$24+'TE CVA'!$L$24)*(1 - CUSTOS!$M$38)</f>
        <v>2.289345175778549</v>
      </c>
      <c r="M24" s="26">
        <f>('TE BE'!$M$24+'TE BF'!$M$24+'TE CVA'!$M$24)*(1 - CUSTOS!$M$38)</f>
        <v>29.973355153099821</v>
      </c>
      <c r="N24" s="26">
        <f>('TE BE'!$N$24+'TE BF'!$N$24+'TE CVA'!$N$24)*(1 - CUSTOS!$M$38)</f>
        <v>0</v>
      </c>
      <c r="O24" s="26">
        <f>('TE BE'!$O$24+'TE BF'!$O$24+'TE CVA'!$O$24)*(1 - CUSTOS!$M$38)</f>
        <v>0</v>
      </c>
      <c r="P24" s="26">
        <f>('TE BE'!$P$24+'TE BF'!$P$24+'TE CVA'!$P$24)*(1 - CUSTOS!$M$38)</f>
        <v>-21.939503923569124</v>
      </c>
      <c r="Q24" s="26">
        <f>('TE BE'!$R$24+'TE BF'!$R$24+'TE CVA'!$R$24)*(1 - CUSTOS!$M$38)</f>
        <v>217.1125300713137</v>
      </c>
      <c r="R24" s="26">
        <f>('TE BE'!$T$24+'TE BF'!$T$24+'TE CVA'!$T$24)*(1 - CUSTOS!$M$38)</f>
        <v>12.219728486453437</v>
      </c>
      <c r="S24" s="26">
        <f>('TE BE'!$U$24+'TE BF'!$U$24+'TE CVA'!$U$24)*(1 - CUSTOS!$M$38)</f>
        <v>7.6277394799044069</v>
      </c>
      <c r="T24" s="26">
        <f>('TE BE'!$V$24+'TE BF'!$V$24+'TE CVA'!$V$24)*(1 - CUSTOS!$M$38)</f>
        <v>0</v>
      </c>
      <c r="U24" s="26">
        <f>('TE BE'!$X$24+'TE BF'!$X$24+'TE CVA'!$X$24)*(1 - CUSTOS!$M$38)</f>
        <v>-57.794730701994723</v>
      </c>
      <c r="V24" s="26">
        <f>('TE BE'!$Z$24+'TE BF'!$Z$24+'TE CVA'!$Z$24)*(1 - CUSTOS!$M$38)</f>
        <v>5.6841380356571634</v>
      </c>
      <c r="X24" s="26">
        <v>2.1107229879851199</v>
      </c>
      <c r="Y24" s="26">
        <v>9.0324845445638697</v>
      </c>
      <c r="Z24" s="26">
        <v>0</v>
      </c>
      <c r="AA24" s="26">
        <v>0</v>
      </c>
      <c r="AB24" s="26">
        <v>0</v>
      </c>
      <c r="AC24" s="26">
        <v>225.10852692059399</v>
      </c>
      <c r="AD24" s="26">
        <v>7.3498455126757296</v>
      </c>
      <c r="AE24" s="26">
        <v>6.8875781612106204</v>
      </c>
      <c r="AF24" s="26">
        <v>0</v>
      </c>
      <c r="AG24" s="26">
        <v>-8.1283396149274996</v>
      </c>
      <c r="AH24" s="26">
        <v>5.2838947182440696</v>
      </c>
    </row>
    <row r="25" spans="1:34" ht="11.25" customHeight="1" x14ac:dyDescent="0.25">
      <c r="A25" s="146"/>
      <c r="B25" s="146" t="s">
        <v>74</v>
      </c>
      <c r="C25" s="146" t="s">
        <v>42</v>
      </c>
      <c r="D25" s="146" t="s">
        <v>91</v>
      </c>
      <c r="E25" s="146" t="s">
        <v>25</v>
      </c>
      <c r="F25" s="146" t="s">
        <v>25</v>
      </c>
      <c r="G25" s="29" t="s">
        <v>76</v>
      </c>
      <c r="H25" s="29" t="s">
        <v>75</v>
      </c>
      <c r="I25" s="29">
        <f>'MERCADO TE'!$U$22</f>
        <v>0</v>
      </c>
      <c r="J25" s="15"/>
      <c r="L25" s="26">
        <f>('TE BE'!$L$25+'TE BF'!$L$25+'TE CVA'!$L$25)*(1 - CUSTOS!$M$39)</f>
        <v>2.289345175778549</v>
      </c>
      <c r="M25" s="26">
        <f>('TE BE'!$M$25+'TE BF'!$M$25+'TE CVA'!$M$25)*(1 - CUSTOS!$M$39)</f>
        <v>29.973355153099821</v>
      </c>
      <c r="N25" s="26">
        <f>('TE BE'!$N$25+'TE BF'!$N$25+'TE CVA'!$N$25)*(1 - CUSTOS!$M$39)</f>
        <v>0</v>
      </c>
      <c r="O25" s="26">
        <f>('TE BE'!$O$25+'TE BF'!$O$25+'TE CVA'!$O$25)*(1 - CUSTOS!$M$39)</f>
        <v>0</v>
      </c>
      <c r="P25" s="26">
        <f>('TE BE'!$P$25+'TE BF'!$P$25+'TE CVA'!$P$25)*(1 - CUSTOS!$M$39)</f>
        <v>-21.939503923569124</v>
      </c>
      <c r="Q25" s="26">
        <f>('TE BE'!$R$25+'TE BF'!$R$25+'TE CVA'!$R$25)*(1 - CUSTOS!$M$39)</f>
        <v>352.29580351194306</v>
      </c>
      <c r="R25" s="26">
        <f>('TE BE'!$T$25+'TE BF'!$T$25+'TE CVA'!$T$25)*(1 - CUSTOS!$M$39)</f>
        <v>12.219728486453437</v>
      </c>
      <c r="S25" s="26">
        <f>('TE BE'!$U$25+'TE BF'!$U$25+'TE CVA'!$U$25)*(1 - CUSTOS!$M$39)</f>
        <v>7.6277394799044069</v>
      </c>
      <c r="T25" s="26">
        <f>('TE BE'!$V$25+'TE BF'!$V$25+'TE CVA'!$V$25)*(1 - CUSTOS!$M$39)</f>
        <v>0</v>
      </c>
      <c r="U25" s="26">
        <f>('TE BE'!$X$25+'TE BF'!$X$25+'TE CVA'!$X$25)*(1 - CUSTOS!$M$39)</f>
        <v>-90.189564397396524</v>
      </c>
      <c r="V25" s="26">
        <f>('TE BE'!$Z$25+'TE BF'!$Z$25+'TE CVA'!$Z$25)*(1 - CUSTOS!$M$39)</f>
        <v>5.6841380356571634</v>
      </c>
      <c r="X25" s="26">
        <v>2.1107229879851199</v>
      </c>
      <c r="Y25" s="26">
        <v>9.0324845445638697</v>
      </c>
      <c r="Z25" s="26">
        <v>0</v>
      </c>
      <c r="AA25" s="26">
        <v>0</v>
      </c>
      <c r="AB25" s="26">
        <v>0</v>
      </c>
      <c r="AC25" s="26">
        <v>365.27043990888802</v>
      </c>
      <c r="AD25" s="26">
        <v>7.3498455126757296</v>
      </c>
      <c r="AE25" s="26">
        <v>6.8875781612106204</v>
      </c>
      <c r="AF25" s="26">
        <v>0</v>
      </c>
      <c r="AG25" s="26">
        <v>-12.5735429679128</v>
      </c>
      <c r="AH25" s="26">
        <v>5.2838947182440696</v>
      </c>
    </row>
    <row r="26" spans="1:34" ht="11.25" customHeight="1" x14ac:dyDescent="0.25">
      <c r="A26" s="146"/>
      <c r="B26" s="146"/>
      <c r="C26" s="146"/>
      <c r="D26" s="146"/>
      <c r="E26" s="146"/>
      <c r="F26" s="146"/>
      <c r="G26" s="29" t="s">
        <v>88</v>
      </c>
      <c r="H26" s="29" t="s">
        <v>75</v>
      </c>
      <c r="I26" s="29">
        <f>'MERCADO TE'!$U$23</f>
        <v>0</v>
      </c>
      <c r="J26" s="15"/>
      <c r="L26" s="26">
        <f>('TE BE'!$L$26+'TE BF'!$L$26+'TE CVA'!$L$26)*(1 - CUSTOS!$M$39)</f>
        <v>2.289345175778549</v>
      </c>
      <c r="M26" s="26">
        <f>('TE BE'!$M$26+'TE BF'!$M$26+'TE CVA'!$M$26)*(1 - CUSTOS!$M$39)</f>
        <v>29.973355153099821</v>
      </c>
      <c r="N26" s="26">
        <f>('TE BE'!$N$26+'TE BF'!$N$26+'TE CVA'!$N$26)*(1 - CUSTOS!$M$39)</f>
        <v>0</v>
      </c>
      <c r="O26" s="26">
        <f>('TE BE'!$O$26+'TE BF'!$O$26+'TE CVA'!$O$26)*(1 - CUSTOS!$M$39)</f>
        <v>0</v>
      </c>
      <c r="P26" s="26">
        <f>('TE BE'!$P$26+'TE BF'!$P$26+'TE CVA'!$P$26)*(1 - CUSTOS!$M$39)</f>
        <v>-21.939503923569124</v>
      </c>
      <c r="Q26" s="26">
        <f>('TE BE'!$R$26+'TE BF'!$R$26+'TE CVA'!$R$26)*(1 - CUSTOS!$M$39)</f>
        <v>204.82314157671107</v>
      </c>
      <c r="R26" s="26">
        <f>('TE BE'!$T$26+'TE BF'!$T$26+'TE CVA'!$T$26)*(1 - CUSTOS!$M$39)</f>
        <v>12.219728486453437</v>
      </c>
      <c r="S26" s="26">
        <f>('TE BE'!$U$26+'TE BF'!$U$26+'TE CVA'!$U$26)*(1 - CUSTOS!$M$39)</f>
        <v>7.6277394799044069</v>
      </c>
      <c r="T26" s="26">
        <f>('TE BE'!$V$26+'TE BF'!$V$26+'TE CVA'!$V$26)*(1 - CUSTOS!$M$39)</f>
        <v>0</v>
      </c>
      <c r="U26" s="26">
        <f>('TE BE'!$X$26+'TE BF'!$X$26+'TE CVA'!$X$26)*(1 - CUSTOS!$M$39)</f>
        <v>-54.849745820594563</v>
      </c>
      <c r="V26" s="26">
        <f>('TE BE'!$Z$26+'TE BF'!$Z$26+'TE CVA'!$Z$26)*(1 - CUSTOS!$M$39)</f>
        <v>5.6841380356571634</v>
      </c>
      <c r="X26" s="26">
        <v>2.1107229879851199</v>
      </c>
      <c r="Y26" s="26">
        <v>9.0324845445638697</v>
      </c>
      <c r="Z26" s="26">
        <v>0</v>
      </c>
      <c r="AA26" s="26">
        <v>0</v>
      </c>
      <c r="AB26" s="26">
        <v>0</v>
      </c>
      <c r="AC26" s="26">
        <v>212.366534830749</v>
      </c>
      <c r="AD26" s="26">
        <v>7.3498455126757296</v>
      </c>
      <c r="AE26" s="26">
        <v>6.8875781612106204</v>
      </c>
      <c r="AF26" s="26">
        <v>0</v>
      </c>
      <c r="AG26" s="26">
        <v>-7.7242302192015604</v>
      </c>
      <c r="AH26" s="26">
        <v>5.2838947182440696</v>
      </c>
    </row>
    <row r="27" spans="1:34" ht="11.25" customHeight="1" x14ac:dyDescent="0.25">
      <c r="A27" s="146"/>
      <c r="B27" s="146"/>
      <c r="C27" s="146"/>
      <c r="D27" s="146"/>
      <c r="E27" s="146"/>
      <c r="F27" s="146"/>
      <c r="G27" s="29" t="s">
        <v>77</v>
      </c>
      <c r="H27" s="29" t="s">
        <v>75</v>
      </c>
      <c r="I27" s="29">
        <f>'MERCADO TE'!$U$24</f>
        <v>0</v>
      </c>
      <c r="J27" s="15"/>
      <c r="L27" s="26">
        <f>('TE BE'!$L$27+'TE BF'!$L$27+'TE CVA'!$L$27)*(1 - CUSTOS!$M$39)</f>
        <v>2.289345175778549</v>
      </c>
      <c r="M27" s="26">
        <f>('TE BE'!$M$27+'TE BF'!$M$27+'TE CVA'!$M$27)*(1 - CUSTOS!$M$39)</f>
        <v>29.973355153099821</v>
      </c>
      <c r="N27" s="26">
        <f>('TE BE'!$N$27+'TE BF'!$N$27+'TE CVA'!$N$27)*(1 - CUSTOS!$M$39)</f>
        <v>0</v>
      </c>
      <c r="O27" s="26">
        <f>('TE BE'!$O$27+'TE BF'!$O$27+'TE CVA'!$O$27)*(1 - CUSTOS!$M$39)</f>
        <v>0</v>
      </c>
      <c r="P27" s="26">
        <f>('TE BE'!$P$27+'TE BF'!$P$27+'TE CVA'!$P$27)*(1 - CUSTOS!$M$39)</f>
        <v>-21.939503923569124</v>
      </c>
      <c r="Q27" s="26">
        <f>('TE BE'!$R$27+'TE BF'!$R$27+'TE CVA'!$R$27)*(1 - CUSTOS!$M$39)</f>
        <v>204.82314157671107</v>
      </c>
      <c r="R27" s="26">
        <f>('TE BE'!$T$27+'TE BF'!$T$27+'TE CVA'!$T$27)*(1 - CUSTOS!$M$39)</f>
        <v>12.219728486453437</v>
      </c>
      <c r="S27" s="26">
        <f>('TE BE'!$U$27+'TE BF'!$U$27+'TE CVA'!$U$27)*(1 - CUSTOS!$M$39)</f>
        <v>7.6277394799044069</v>
      </c>
      <c r="T27" s="26">
        <f>('TE BE'!$V$27+'TE BF'!$V$27+'TE CVA'!$V$27)*(1 - CUSTOS!$M$39)</f>
        <v>0</v>
      </c>
      <c r="U27" s="26">
        <f>('TE BE'!$X$27+'TE BF'!$X$27+'TE CVA'!$X$27)*(1 - CUSTOS!$M$39)</f>
        <v>-54.849745820594563</v>
      </c>
      <c r="V27" s="26">
        <f>('TE BE'!$Z$27+'TE BF'!$Z$27+'TE CVA'!$Z$27)*(1 - CUSTOS!$M$39)</f>
        <v>5.6841380356571634</v>
      </c>
      <c r="X27" s="26">
        <v>2.1107229879851199</v>
      </c>
      <c r="Y27" s="26">
        <v>9.0324845445638697</v>
      </c>
      <c r="Z27" s="26">
        <v>0</v>
      </c>
      <c r="AA27" s="26">
        <v>0</v>
      </c>
      <c r="AB27" s="26">
        <v>0</v>
      </c>
      <c r="AC27" s="26">
        <v>212.366534830749</v>
      </c>
      <c r="AD27" s="26">
        <v>7.3498455126757296</v>
      </c>
      <c r="AE27" s="26">
        <v>6.8875781612106204</v>
      </c>
      <c r="AF27" s="26">
        <v>0</v>
      </c>
      <c r="AG27" s="26">
        <v>-7.7242302192015604</v>
      </c>
      <c r="AH27" s="26">
        <v>5.2838947182440696</v>
      </c>
    </row>
    <row r="28" spans="1:34" ht="11.25" customHeight="1" x14ac:dyDescent="0.25">
      <c r="A28" s="146"/>
      <c r="B28" s="28" t="s">
        <v>78</v>
      </c>
      <c r="C28" s="28" t="s">
        <v>42</v>
      </c>
      <c r="D28" s="28" t="s">
        <v>91</v>
      </c>
      <c r="E28" s="28" t="s">
        <v>25</v>
      </c>
      <c r="F28" s="28" t="s">
        <v>25</v>
      </c>
      <c r="G28" s="29" t="s">
        <v>79</v>
      </c>
      <c r="H28" s="29" t="s">
        <v>75</v>
      </c>
      <c r="I28" s="29">
        <f>'MERCADO TE'!$U$25</f>
        <v>0</v>
      </c>
      <c r="J28" s="15"/>
      <c r="L28" s="26">
        <f>('TE BE'!$L$28+'TE BF'!$L$28+'TE CVA'!$L$28)*(1 - CUSTOS!$M$39)</f>
        <v>2.289345175778549</v>
      </c>
      <c r="M28" s="26">
        <f>('TE BE'!$M$28+'TE BF'!$M$28+'TE CVA'!$M$28)*(1 - CUSTOS!$M$39)</f>
        <v>29.973355153099821</v>
      </c>
      <c r="N28" s="26">
        <f>('TE BE'!$N$28+'TE BF'!$N$28+'TE CVA'!$N$28)*(1 - CUSTOS!$M$39)</f>
        <v>0</v>
      </c>
      <c r="O28" s="26">
        <f>('TE BE'!$O$28+'TE BF'!$O$28+'TE CVA'!$O$28)*(1 - CUSTOS!$M$39)</f>
        <v>0</v>
      </c>
      <c r="P28" s="26">
        <f>('TE BE'!$P$28+'TE BF'!$P$28+'TE CVA'!$P$28)*(1 - CUSTOS!$M$39)</f>
        <v>-21.939503923569124</v>
      </c>
      <c r="Q28" s="26">
        <f>('TE BE'!$R$28+'TE BF'!$R$28+'TE CVA'!$R$28)*(1 - CUSTOS!$M$39)</f>
        <v>217.1125300713137</v>
      </c>
      <c r="R28" s="26">
        <f>('TE BE'!$T$28+'TE BF'!$T$28+'TE CVA'!$T$28)*(1 - CUSTOS!$M$39)</f>
        <v>12.219728486453437</v>
      </c>
      <c r="S28" s="26">
        <f>('TE BE'!$U$28+'TE BF'!$U$28+'TE CVA'!$U$28)*(1 - CUSTOS!$M$39)</f>
        <v>7.6277394799044069</v>
      </c>
      <c r="T28" s="26">
        <f>('TE BE'!$V$28+'TE BF'!$V$28+'TE CVA'!$V$28)*(1 - CUSTOS!$M$39)</f>
        <v>0</v>
      </c>
      <c r="U28" s="26">
        <f>('TE BE'!$X$28+'TE BF'!$X$28+'TE CVA'!$X$28)*(1 - CUSTOS!$M$39)</f>
        <v>-57.794730701994723</v>
      </c>
      <c r="V28" s="26">
        <f>('TE BE'!$Z$28+'TE BF'!$Z$28+'TE CVA'!$Z$28)*(1 - CUSTOS!$M$39)</f>
        <v>5.6841380356571634</v>
      </c>
      <c r="X28" s="26">
        <v>2.1107229879851199</v>
      </c>
      <c r="Y28" s="26">
        <v>9.0324845445638697</v>
      </c>
      <c r="Z28" s="26">
        <v>0</v>
      </c>
      <c r="AA28" s="26">
        <v>0</v>
      </c>
      <c r="AB28" s="26">
        <v>0</v>
      </c>
      <c r="AC28" s="26">
        <v>225.10852692059399</v>
      </c>
      <c r="AD28" s="26">
        <v>7.3498455126757296</v>
      </c>
      <c r="AE28" s="26">
        <v>6.8875781612106204</v>
      </c>
      <c r="AF28" s="26">
        <v>0</v>
      </c>
      <c r="AG28" s="26">
        <v>-8.1283396149274996</v>
      </c>
      <c r="AH28" s="26">
        <v>5.2838947182440696</v>
      </c>
    </row>
    <row r="29" spans="1:34" ht="11.25" customHeight="1" x14ac:dyDescent="0.25">
      <c r="A29" s="146"/>
      <c r="B29" s="146" t="s">
        <v>74</v>
      </c>
      <c r="C29" s="146" t="s">
        <v>42</v>
      </c>
      <c r="D29" s="146" t="s">
        <v>92</v>
      </c>
      <c r="E29" s="146" t="s">
        <v>25</v>
      </c>
      <c r="F29" s="146" t="s">
        <v>25</v>
      </c>
      <c r="G29" s="29" t="s">
        <v>76</v>
      </c>
      <c r="H29" s="29" t="s">
        <v>75</v>
      </c>
      <c r="I29" s="29">
        <f>'MERCADO TE'!$U$26</f>
        <v>0</v>
      </c>
      <c r="J29" s="15"/>
      <c r="L29" s="26">
        <f>('TE BE'!$L$29+'TE BF'!$L$29+'TE CVA'!$L$29)*(1 - CUSTOS!$M$40)</f>
        <v>2.2406357039534739</v>
      </c>
      <c r="M29" s="26">
        <f>('TE BE'!$M$29+'TE BF'!$M$29+'TE CVA'!$M$29)*(1 - CUSTOS!$M$40)</f>
        <v>29.335624192395571</v>
      </c>
      <c r="N29" s="26">
        <f>('TE BE'!$N$29+'TE BF'!$N$29+'TE CVA'!$N$29)*(1 - CUSTOS!$M$40)</f>
        <v>0</v>
      </c>
      <c r="O29" s="26">
        <f>('TE BE'!$O$29+'TE BF'!$O$29+'TE CVA'!$O$29)*(1 - CUSTOS!$M$40)</f>
        <v>0</v>
      </c>
      <c r="P29" s="26">
        <f>('TE BE'!$P$29+'TE BF'!$P$29+'TE CVA'!$P$29)*(1 - CUSTOS!$M$40)</f>
        <v>-21.472705967748507</v>
      </c>
      <c r="Q29" s="26">
        <f>('TE BE'!$R$29+'TE BF'!$R$29+'TE CVA'!$R$29)*(1 - CUSTOS!$M$40)</f>
        <v>344.80014811807195</v>
      </c>
      <c r="R29" s="26">
        <f>('TE BE'!$T$29+'TE BF'!$T$29+'TE CVA'!$T$29)*(1 - CUSTOS!$M$40)</f>
        <v>11.959734263337408</v>
      </c>
      <c r="S29" s="26">
        <f>('TE BE'!$U$29+'TE BF'!$U$29+'TE CVA'!$U$29)*(1 - CUSTOS!$M$40)</f>
        <v>7.4654471505447395</v>
      </c>
      <c r="T29" s="26">
        <f>('TE BE'!$V$29+'TE BF'!$V$29+'TE CVA'!$V$29)*(1 - CUSTOS!$M$40)</f>
        <v>0</v>
      </c>
      <c r="U29" s="26">
        <f>('TE BE'!$X$29+'TE BF'!$X$29+'TE CVA'!$X$29)*(1 - CUSTOS!$M$40)</f>
        <v>-88.270637495324266</v>
      </c>
      <c r="V29" s="26">
        <f>('TE BE'!$Z$29+'TE BF'!$Z$29+'TE CVA'!$Z$29)*(1 - CUSTOS!$M$40)</f>
        <v>5.5631989285155221</v>
      </c>
      <c r="X29" s="26">
        <v>2.0147810339858001</v>
      </c>
      <c r="Y29" s="26">
        <v>8.6219170652655102</v>
      </c>
      <c r="Z29" s="26">
        <v>0</v>
      </c>
      <c r="AA29" s="26">
        <v>0</v>
      </c>
      <c r="AB29" s="26">
        <v>0</v>
      </c>
      <c r="AC29" s="26">
        <v>348.66723809484802</v>
      </c>
      <c r="AD29" s="26">
        <v>7.0157616257359301</v>
      </c>
      <c r="AE29" s="26">
        <v>6.5745064266101299</v>
      </c>
      <c r="AF29" s="26">
        <v>0</v>
      </c>
      <c r="AG29" s="26">
        <v>-12.002018287553099</v>
      </c>
      <c r="AH29" s="26">
        <v>5.0437176855966097</v>
      </c>
    </row>
    <row r="30" spans="1:34" ht="11.25" customHeight="1" x14ac:dyDescent="0.25">
      <c r="A30" s="146"/>
      <c r="B30" s="146"/>
      <c r="C30" s="146"/>
      <c r="D30" s="146"/>
      <c r="E30" s="146"/>
      <c r="F30" s="146"/>
      <c r="G30" s="29" t="s">
        <v>88</v>
      </c>
      <c r="H30" s="29" t="s">
        <v>75</v>
      </c>
      <c r="I30" s="29">
        <f>'MERCADO TE'!$U$27</f>
        <v>0</v>
      </c>
      <c r="J30" s="15"/>
      <c r="L30" s="26">
        <f>('TE BE'!$L$30+'TE BF'!$L$30+'TE CVA'!$L$30)*(1 - CUSTOS!$M$40)</f>
        <v>2.2406357039534739</v>
      </c>
      <c r="M30" s="26">
        <f>('TE BE'!$M$30+'TE BF'!$M$30+'TE CVA'!$M$30)*(1 - CUSTOS!$M$40)</f>
        <v>29.335624192395571</v>
      </c>
      <c r="N30" s="26">
        <f>('TE BE'!$N$30+'TE BF'!$N$30+'TE CVA'!$N$30)*(1 - CUSTOS!$M$40)</f>
        <v>0</v>
      </c>
      <c r="O30" s="26">
        <f>('TE BE'!$O$30+'TE BF'!$O$30+'TE CVA'!$O$30)*(1 - CUSTOS!$M$40)</f>
        <v>0</v>
      </c>
      <c r="P30" s="26">
        <f>('TE BE'!$P$30+'TE BF'!$P$30+'TE CVA'!$P$30)*(1 - CUSTOS!$M$40)</f>
        <v>-21.472705967748507</v>
      </c>
      <c r="Q30" s="26">
        <f>('TE BE'!$R$30+'TE BF'!$R$30+'TE CVA'!$R$30)*(1 - CUSTOS!$M$40)</f>
        <v>200.46520239422787</v>
      </c>
      <c r="R30" s="26">
        <f>('TE BE'!$T$30+'TE BF'!$T$30+'TE CVA'!$T$30)*(1 - CUSTOS!$M$40)</f>
        <v>11.959734263337408</v>
      </c>
      <c r="S30" s="26">
        <f>('TE BE'!$U$30+'TE BF'!$U$30+'TE CVA'!$U$30)*(1 - CUSTOS!$M$40)</f>
        <v>7.4654471505447395</v>
      </c>
      <c r="T30" s="26">
        <f>('TE BE'!$V$30+'TE BF'!$V$30+'TE CVA'!$V$30)*(1 - CUSTOS!$M$40)</f>
        <v>0</v>
      </c>
      <c r="U30" s="26">
        <f>('TE BE'!$X$30+'TE BF'!$X$30+'TE CVA'!$X$30)*(1 - CUSTOS!$M$40)</f>
        <v>-53.682729952071277</v>
      </c>
      <c r="V30" s="26">
        <f>('TE BE'!$Z$30+'TE BF'!$Z$30+'TE CVA'!$Z$30)*(1 - CUSTOS!$M$40)</f>
        <v>5.5631989285155221</v>
      </c>
      <c r="X30" s="26">
        <v>2.0147810339858001</v>
      </c>
      <c r="Y30" s="26">
        <v>8.6219170652655102</v>
      </c>
      <c r="Z30" s="26">
        <v>0</v>
      </c>
      <c r="AA30" s="26">
        <v>0</v>
      </c>
      <c r="AB30" s="26">
        <v>0</v>
      </c>
      <c r="AC30" s="26">
        <v>202.713510520261</v>
      </c>
      <c r="AD30" s="26">
        <v>7.0157616257359301</v>
      </c>
      <c r="AE30" s="26">
        <v>6.5745064266101299</v>
      </c>
      <c r="AF30" s="26">
        <v>0</v>
      </c>
      <c r="AG30" s="26">
        <v>-7.3731288456014896</v>
      </c>
      <c r="AH30" s="26">
        <v>5.0437176855966097</v>
      </c>
    </row>
    <row r="31" spans="1:34" ht="11.25" customHeight="1" x14ac:dyDescent="0.25">
      <c r="A31" s="146"/>
      <c r="B31" s="146"/>
      <c r="C31" s="146"/>
      <c r="D31" s="146"/>
      <c r="E31" s="146"/>
      <c r="F31" s="146"/>
      <c r="G31" s="29" t="s">
        <v>77</v>
      </c>
      <c r="H31" s="29" t="s">
        <v>75</v>
      </c>
      <c r="I31" s="29">
        <f>'MERCADO TE'!$U$28</f>
        <v>0</v>
      </c>
      <c r="J31" s="15"/>
      <c r="L31" s="26">
        <f>('TE BE'!$L$31+'TE BF'!$L$31+'TE CVA'!$L$31)*(1 - CUSTOS!$M$40)</f>
        <v>2.2406357039534739</v>
      </c>
      <c r="M31" s="26">
        <f>('TE BE'!$M$31+'TE BF'!$M$31+'TE CVA'!$M$31)*(1 - CUSTOS!$M$40)</f>
        <v>29.335624192395571</v>
      </c>
      <c r="N31" s="26">
        <f>('TE BE'!$N$31+'TE BF'!$N$31+'TE CVA'!$N$31)*(1 - CUSTOS!$M$40)</f>
        <v>0</v>
      </c>
      <c r="O31" s="26">
        <f>('TE BE'!$O$31+'TE BF'!$O$31+'TE CVA'!$O$31)*(1 - CUSTOS!$M$40)</f>
        <v>0</v>
      </c>
      <c r="P31" s="26">
        <f>('TE BE'!$P$31+'TE BF'!$P$31+'TE CVA'!$P$31)*(1 - CUSTOS!$M$40)</f>
        <v>-21.472705967748507</v>
      </c>
      <c r="Q31" s="26">
        <f>('TE BE'!$R$31+'TE BF'!$R$31+'TE CVA'!$R$31)*(1 - CUSTOS!$M$40)</f>
        <v>200.46520239422787</v>
      </c>
      <c r="R31" s="26">
        <f>('TE BE'!$T$31+'TE BF'!$T$31+'TE CVA'!$T$31)*(1 - CUSTOS!$M$40)</f>
        <v>11.959734263337408</v>
      </c>
      <c r="S31" s="26">
        <f>('TE BE'!$U$31+'TE BF'!$U$31+'TE CVA'!$U$31)*(1 - CUSTOS!$M$40)</f>
        <v>7.4654471505447395</v>
      </c>
      <c r="T31" s="26">
        <f>('TE BE'!$V$31+'TE BF'!$V$31+'TE CVA'!$V$31)*(1 - CUSTOS!$M$40)</f>
        <v>0</v>
      </c>
      <c r="U31" s="26">
        <f>('TE BE'!$X$31+'TE BF'!$X$31+'TE CVA'!$X$31)*(1 - CUSTOS!$M$40)</f>
        <v>-53.682729952071277</v>
      </c>
      <c r="V31" s="26">
        <f>('TE BE'!$Z$31+'TE BF'!$Z$31+'TE CVA'!$Z$31)*(1 - CUSTOS!$M$40)</f>
        <v>5.5631989285155221</v>
      </c>
      <c r="X31" s="26">
        <v>2.0147810339858001</v>
      </c>
      <c r="Y31" s="26">
        <v>8.6219170652655102</v>
      </c>
      <c r="Z31" s="26">
        <v>0</v>
      </c>
      <c r="AA31" s="26">
        <v>0</v>
      </c>
      <c r="AB31" s="26">
        <v>0</v>
      </c>
      <c r="AC31" s="26">
        <v>202.713510520261</v>
      </c>
      <c r="AD31" s="26">
        <v>7.0157616257359301</v>
      </c>
      <c r="AE31" s="26">
        <v>6.5745064266101299</v>
      </c>
      <c r="AF31" s="26">
        <v>0</v>
      </c>
      <c r="AG31" s="26">
        <v>-7.3731288456014896</v>
      </c>
      <c r="AH31" s="26">
        <v>5.0437176855966097</v>
      </c>
    </row>
    <row r="32" spans="1:34" ht="11.25" customHeight="1" x14ac:dyDescent="0.25">
      <c r="A32" s="146"/>
      <c r="B32" s="28" t="s">
        <v>78</v>
      </c>
      <c r="C32" s="28" t="s">
        <v>42</v>
      </c>
      <c r="D32" s="28" t="s">
        <v>92</v>
      </c>
      <c r="E32" s="28" t="s">
        <v>25</v>
      </c>
      <c r="F32" s="28" t="s">
        <v>25</v>
      </c>
      <c r="G32" s="29" t="s">
        <v>79</v>
      </c>
      <c r="H32" s="29" t="s">
        <v>75</v>
      </c>
      <c r="I32" s="29">
        <f>'MERCADO TE'!$U$29</f>
        <v>0</v>
      </c>
      <c r="J32" s="15"/>
      <c r="L32" s="26">
        <f>('TE BE'!$L$32+'TE BF'!$L$32+'TE CVA'!$L$32)*(1 - CUSTOS!$M$40)</f>
        <v>2.2406357039534739</v>
      </c>
      <c r="M32" s="26">
        <f>('TE BE'!$M$32+'TE BF'!$M$32+'TE CVA'!$M$32)*(1 - CUSTOS!$M$40)</f>
        <v>29.335624192395571</v>
      </c>
      <c r="N32" s="26">
        <f>('TE BE'!$N$32+'TE BF'!$N$32+'TE CVA'!$N$32)*(1 - CUSTOS!$M$40)</f>
        <v>0</v>
      </c>
      <c r="O32" s="26">
        <f>('TE BE'!$O$32+'TE BF'!$O$32+'TE CVA'!$O$32)*(1 - CUSTOS!$M$40)</f>
        <v>0</v>
      </c>
      <c r="P32" s="26">
        <f>('TE BE'!$P$32+'TE BF'!$P$32+'TE CVA'!$P$32)*(1 - CUSTOS!$M$40)</f>
        <v>-21.472705967748507</v>
      </c>
      <c r="Q32" s="26">
        <f>('TE BE'!$R$32+'TE BF'!$R$32+'TE CVA'!$R$32)*(1 - CUSTOS!$M$40)</f>
        <v>212.49311453788152</v>
      </c>
      <c r="R32" s="26">
        <f>('TE BE'!$T$32+'TE BF'!$T$32+'TE CVA'!$T$32)*(1 - CUSTOS!$M$40)</f>
        <v>11.959734263337408</v>
      </c>
      <c r="S32" s="26">
        <f>('TE BE'!$U$32+'TE BF'!$U$32+'TE CVA'!$U$32)*(1 - CUSTOS!$M$40)</f>
        <v>7.4654471505447395</v>
      </c>
      <c r="T32" s="26">
        <f>('TE BE'!$V$32+'TE BF'!$V$32+'TE CVA'!$V$32)*(1 - CUSTOS!$M$40)</f>
        <v>0</v>
      </c>
      <c r="U32" s="26">
        <f>('TE BE'!$X$32+'TE BF'!$X$32+'TE CVA'!$X$32)*(1 - CUSTOS!$M$40)</f>
        <v>-56.56505558067569</v>
      </c>
      <c r="V32" s="26">
        <f>('TE BE'!$Z$32+'TE BF'!$Z$32+'TE CVA'!$Z$32)*(1 - CUSTOS!$M$40)</f>
        <v>5.5631989285155221</v>
      </c>
      <c r="X32" s="26">
        <v>2.0147810339858001</v>
      </c>
      <c r="Y32" s="26">
        <v>8.6219170652655102</v>
      </c>
      <c r="Z32" s="26">
        <v>0</v>
      </c>
      <c r="AA32" s="26">
        <v>0</v>
      </c>
      <c r="AB32" s="26">
        <v>0</v>
      </c>
      <c r="AC32" s="26">
        <v>214.87632115147599</v>
      </c>
      <c r="AD32" s="26">
        <v>7.0157616257359301</v>
      </c>
      <c r="AE32" s="26">
        <v>6.5745064266101299</v>
      </c>
      <c r="AF32" s="26">
        <v>0</v>
      </c>
      <c r="AG32" s="26">
        <v>-7.7588696324307902</v>
      </c>
      <c r="AH32" s="26">
        <v>5.0437176855966097</v>
      </c>
    </row>
    <row r="33" spans="1:34" ht="11.25" customHeight="1" x14ac:dyDescent="0.25">
      <c r="A33" s="146"/>
      <c r="B33" s="146" t="s">
        <v>89</v>
      </c>
      <c r="C33" s="146" t="s">
        <v>42</v>
      </c>
      <c r="D33" s="28" t="s">
        <v>25</v>
      </c>
      <c r="E33" s="28" t="s">
        <v>25</v>
      </c>
      <c r="F33" s="28" t="s">
        <v>25</v>
      </c>
      <c r="G33" s="29" t="s">
        <v>79</v>
      </c>
      <c r="H33" s="29" t="s">
        <v>75</v>
      </c>
      <c r="I33" s="29">
        <f>'MERCADO TE'!$U$30</f>
        <v>0</v>
      </c>
      <c r="J33" s="15"/>
      <c r="L33" s="26">
        <f>('TE BE'!$L$33+'TE BF'!$L$33+'TE CVA'!$L$33)*(1 - CUSTOS!$M$38)</f>
        <v>2.289345175778549</v>
      </c>
      <c r="M33" s="26">
        <f>('TE BE'!$M$33+'TE BF'!$M$33+'TE CVA'!$M$33)*(1 - CUSTOS!$M$38)</f>
        <v>29.973355153099821</v>
      </c>
      <c r="N33" s="26">
        <f>('TE BE'!$N$33+'TE BF'!$N$33+'TE CVA'!$N$33)*(1 - CUSTOS!$M$38)</f>
        <v>0</v>
      </c>
      <c r="O33" s="26">
        <f>('TE BE'!$O$33+'TE BF'!$O$33+'TE CVA'!$O$33)*(1 - CUSTOS!$M$38)</f>
        <v>0</v>
      </c>
      <c r="P33" s="26">
        <f>('TE BE'!$P$33+'TE BF'!$P$33+'TE CVA'!$P$33)*(1 - CUSTOS!$M$38)</f>
        <v>-21.939503923569124</v>
      </c>
      <c r="Q33" s="26">
        <f>('TE BE'!$R$33+'TE BF'!$R$33+'TE CVA'!$R$33)*(1 - CUSTOS!$M$38)</f>
        <v>217.1125300713137</v>
      </c>
      <c r="R33" s="26">
        <f>('TE BE'!$T$33+'TE BF'!$T$33+'TE CVA'!$T$33)*(1 - CUSTOS!$M$38)</f>
        <v>12.219728486453437</v>
      </c>
      <c r="S33" s="26">
        <f>('TE BE'!$U$33+'TE BF'!$U$33+'TE CVA'!$U$33)*(1 - CUSTOS!$M$38)</f>
        <v>7.6277394799044069</v>
      </c>
      <c r="T33" s="26">
        <f>('TE BE'!$V$33+'TE BF'!$V$33+'TE CVA'!$V$33)*(1 - CUSTOS!$M$38)</f>
        <v>0</v>
      </c>
      <c r="U33" s="26">
        <f>('TE BE'!$X$33+'TE BF'!$X$33+'TE CVA'!$X$33)*(1 - CUSTOS!$M$38)</f>
        <v>-57.794730701994723</v>
      </c>
      <c r="V33" s="26">
        <f>('TE BE'!$Z$33+'TE BF'!$Z$33+'TE CVA'!$Z$33)*(1 - CUSTOS!$M$38)</f>
        <v>5.6841380356571634</v>
      </c>
      <c r="X33" s="26">
        <v>2.1107229879851199</v>
      </c>
      <c r="Y33" s="26">
        <v>9.0324845445638697</v>
      </c>
      <c r="Z33" s="26">
        <v>0</v>
      </c>
      <c r="AA33" s="26">
        <v>0</v>
      </c>
      <c r="AB33" s="26">
        <v>0</v>
      </c>
      <c r="AC33" s="26">
        <v>225.10852692059399</v>
      </c>
      <c r="AD33" s="26">
        <v>7.3498455126757296</v>
      </c>
      <c r="AE33" s="26">
        <v>6.8875781612106204</v>
      </c>
      <c r="AF33" s="26">
        <v>0</v>
      </c>
      <c r="AG33" s="26">
        <v>-8.1283396149274996</v>
      </c>
      <c r="AH33" s="26">
        <v>5.2838947182440696</v>
      </c>
    </row>
    <row r="34" spans="1:34" ht="11.25" customHeight="1" x14ac:dyDescent="0.25">
      <c r="A34" s="146"/>
      <c r="B34" s="146"/>
      <c r="C34" s="146"/>
      <c r="D34" s="28" t="s">
        <v>91</v>
      </c>
      <c r="E34" s="28" t="s">
        <v>25</v>
      </c>
      <c r="F34" s="28" t="s">
        <v>25</v>
      </c>
      <c r="G34" s="29" t="s">
        <v>79</v>
      </c>
      <c r="H34" s="29" t="s">
        <v>75</v>
      </c>
      <c r="I34" s="29">
        <f>'MERCADO TE'!$U$31</f>
        <v>0</v>
      </c>
      <c r="J34" s="15"/>
      <c r="L34" s="26">
        <f>('TE BE'!$L$34+'TE BF'!$L$34+'TE CVA'!$L$34)*(1 - CUSTOS!$M$39)</f>
        <v>2.289345175778549</v>
      </c>
      <c r="M34" s="26">
        <f>('TE BE'!$M$34+'TE BF'!$M$34+'TE CVA'!$M$34)*(1 - CUSTOS!$M$39)</f>
        <v>29.973355153099821</v>
      </c>
      <c r="N34" s="26">
        <f>('TE BE'!$N$34+'TE BF'!$N$34+'TE CVA'!$N$34)*(1 - CUSTOS!$M$39)</f>
        <v>0</v>
      </c>
      <c r="O34" s="26">
        <f>('TE BE'!$O$34+'TE BF'!$O$34+'TE CVA'!$O$34)*(1 - CUSTOS!$M$39)</f>
        <v>0</v>
      </c>
      <c r="P34" s="26">
        <f>('TE BE'!$P$34+'TE BF'!$P$34+'TE CVA'!$P$34)*(1 - CUSTOS!$M$39)</f>
        <v>-21.939503923569124</v>
      </c>
      <c r="Q34" s="26">
        <f>('TE BE'!$R$34+'TE BF'!$R$34+'TE CVA'!$R$34)*(1 - CUSTOS!$M$39)</f>
        <v>217.1125300713137</v>
      </c>
      <c r="R34" s="26">
        <f>('TE BE'!$T$34+'TE BF'!$T$34+'TE CVA'!$T$34)*(1 - CUSTOS!$M$39)</f>
        <v>12.219728486453437</v>
      </c>
      <c r="S34" s="26">
        <f>('TE BE'!$U$34+'TE BF'!$U$34+'TE CVA'!$U$34)*(1 - CUSTOS!$M$39)</f>
        <v>7.6277394799044069</v>
      </c>
      <c r="T34" s="26">
        <f>('TE BE'!$V$34+'TE BF'!$V$34+'TE CVA'!$V$34)*(1 - CUSTOS!$M$39)</f>
        <v>0</v>
      </c>
      <c r="U34" s="26">
        <f>('TE BE'!$X$34+'TE BF'!$X$34+'TE CVA'!$X$34)*(1 - CUSTOS!$M$39)</f>
        <v>-57.794730701994723</v>
      </c>
      <c r="V34" s="26">
        <f>('TE BE'!$Z$34+'TE BF'!$Z$34+'TE CVA'!$Z$34)*(1 - CUSTOS!$M$39)</f>
        <v>5.6841380356571634</v>
      </c>
      <c r="X34" s="26">
        <v>2.1107229879851199</v>
      </c>
      <c r="Y34" s="26">
        <v>9.0324845445638697</v>
      </c>
      <c r="Z34" s="26">
        <v>0</v>
      </c>
      <c r="AA34" s="26">
        <v>0</v>
      </c>
      <c r="AB34" s="26">
        <v>0</v>
      </c>
      <c r="AC34" s="26">
        <v>225.10852692059399</v>
      </c>
      <c r="AD34" s="26">
        <v>7.3498455126757296</v>
      </c>
      <c r="AE34" s="26">
        <v>6.8875781612106204</v>
      </c>
      <c r="AF34" s="26">
        <v>0</v>
      </c>
      <c r="AG34" s="26">
        <v>-8.1283396149274996</v>
      </c>
      <c r="AH34" s="26">
        <v>5.2838947182440696</v>
      </c>
    </row>
    <row r="35" spans="1:34" ht="11.25" customHeight="1" x14ac:dyDescent="0.25">
      <c r="A35" s="146"/>
      <c r="B35" s="146"/>
      <c r="C35" s="146"/>
      <c r="D35" s="28" t="s">
        <v>92</v>
      </c>
      <c r="E35" s="28" t="s">
        <v>25</v>
      </c>
      <c r="F35" s="28" t="s">
        <v>25</v>
      </c>
      <c r="G35" s="29" t="s">
        <v>79</v>
      </c>
      <c r="H35" s="29" t="s">
        <v>75</v>
      </c>
      <c r="I35" s="29">
        <f>'MERCADO TE'!$U$32</f>
        <v>0</v>
      </c>
      <c r="J35" s="15"/>
      <c r="L35" s="26">
        <f>('TE BE'!$L$35+'TE BF'!$L$35+'TE CVA'!$L$35)*(1 - CUSTOS!$M$40)</f>
        <v>2.2406357039534739</v>
      </c>
      <c r="M35" s="26">
        <f>('TE BE'!$M$35+'TE BF'!$M$35+'TE CVA'!$M$35)*(1 - CUSTOS!$M$40)</f>
        <v>29.335624192395571</v>
      </c>
      <c r="N35" s="26">
        <f>('TE BE'!$N$35+'TE BF'!$N$35+'TE CVA'!$N$35)*(1 - CUSTOS!$M$40)</f>
        <v>0</v>
      </c>
      <c r="O35" s="26">
        <f>('TE BE'!$O$35+'TE BF'!$O$35+'TE CVA'!$O$35)*(1 - CUSTOS!$M$40)</f>
        <v>0</v>
      </c>
      <c r="P35" s="26">
        <f>('TE BE'!$P$35+'TE BF'!$P$35+'TE CVA'!$P$35)*(1 - CUSTOS!$M$40)</f>
        <v>-21.472705967748507</v>
      </c>
      <c r="Q35" s="26">
        <f>('TE BE'!$R$35+'TE BF'!$R$35+'TE CVA'!$R$35)*(1 - CUSTOS!$M$40)</f>
        <v>212.49311453788152</v>
      </c>
      <c r="R35" s="26">
        <f>('TE BE'!$T$35+'TE BF'!$T$35+'TE CVA'!$T$35)*(1 - CUSTOS!$M$40)</f>
        <v>11.959734263337408</v>
      </c>
      <c r="S35" s="26">
        <f>('TE BE'!$U$35+'TE BF'!$U$35+'TE CVA'!$U$35)*(1 - CUSTOS!$M$40)</f>
        <v>7.4654471505447395</v>
      </c>
      <c r="T35" s="26">
        <f>('TE BE'!$V$35+'TE BF'!$V$35+'TE CVA'!$V$35)*(1 - CUSTOS!$M$40)</f>
        <v>0</v>
      </c>
      <c r="U35" s="26">
        <f>('TE BE'!$X$35+'TE BF'!$X$35+'TE CVA'!$X$35)*(1 - CUSTOS!$M$40)</f>
        <v>-56.56505558067569</v>
      </c>
      <c r="V35" s="26">
        <f>('TE BE'!$Z$35+'TE BF'!$Z$35+'TE CVA'!$Z$35)*(1 - CUSTOS!$M$40)</f>
        <v>5.5631989285155221</v>
      </c>
      <c r="X35" s="26">
        <v>2.0147810339858001</v>
      </c>
      <c r="Y35" s="26">
        <v>8.6219170652655102</v>
      </c>
      <c r="Z35" s="26">
        <v>0</v>
      </c>
      <c r="AA35" s="26">
        <v>0</v>
      </c>
      <c r="AB35" s="26">
        <v>0</v>
      </c>
      <c r="AC35" s="26">
        <v>214.87632115147599</v>
      </c>
      <c r="AD35" s="26">
        <v>7.0157616257359301</v>
      </c>
      <c r="AE35" s="26">
        <v>6.5745064266101299</v>
      </c>
      <c r="AF35" s="26">
        <v>0</v>
      </c>
      <c r="AG35" s="26">
        <v>-7.7588696324307902</v>
      </c>
      <c r="AH35" s="26">
        <v>5.0437176855966097</v>
      </c>
    </row>
    <row r="36" spans="1:34" ht="11.25" customHeight="1" x14ac:dyDescent="0.25">
      <c r="A36" s="146" t="s">
        <v>36</v>
      </c>
      <c r="B36" s="146" t="s">
        <v>74</v>
      </c>
      <c r="C36" s="146" t="s">
        <v>25</v>
      </c>
      <c r="D36" s="146" t="s">
        <v>25</v>
      </c>
      <c r="E36" s="146" t="s">
        <v>25</v>
      </c>
      <c r="F36" s="146" t="s">
        <v>25</v>
      </c>
      <c r="G36" s="29" t="s">
        <v>76</v>
      </c>
      <c r="H36" s="29" t="s">
        <v>75</v>
      </c>
      <c r="I36" s="29">
        <f>'MERCADO TE'!$U$33</f>
        <v>0.33600000000000008</v>
      </c>
      <c r="J36" s="15"/>
      <c r="L36" s="26">
        <f>('TE BE'!$L$36+'TE BF'!$L$36+'TE CVA'!$L$36)*1</f>
        <v>2.4354735912537757</v>
      </c>
      <c r="M36" s="26">
        <f>('TE BE'!$M$36+'TE BF'!$M$36+'TE CVA'!$M$36)*1</f>
        <v>31.886548035212577</v>
      </c>
      <c r="N36" s="26">
        <f>('TE BE'!$N$36+'TE BF'!$N$36+'TE CVA'!$N$36)*1</f>
        <v>0</v>
      </c>
      <c r="O36" s="26">
        <f>('TE BE'!$O$36+'TE BF'!$O$36+'TE CVA'!$O$36)*1</f>
        <v>0</v>
      </c>
      <c r="P36" s="26">
        <f>('TE BE'!$P$36+'TE BF'!$P$36+'TE CVA'!$P$36)*1</f>
        <v>-23.339897791030985</v>
      </c>
      <c r="Q36" s="26">
        <f>('TE BE'!$R$36+'TE BF'!$R$36+'TE CVA'!$R$36)*1</f>
        <v>374.78276969355647</v>
      </c>
      <c r="R36" s="26">
        <f>('TE BE'!$T$36+'TE BF'!$T$36+'TE CVA'!$T$36)*1</f>
        <v>12.999711155801529</v>
      </c>
      <c r="S36" s="26">
        <f>('TE BE'!$U$36+'TE BF'!$U$36+'TE CVA'!$U$36)*1</f>
        <v>8.1146164679834119</v>
      </c>
      <c r="T36" s="26">
        <f>('TE BE'!$V$36+'TE BF'!$V$36+'TE CVA'!$V$36)*1</f>
        <v>0</v>
      </c>
      <c r="U36" s="26">
        <f>('TE BE'!$X$36+'TE BF'!$X$36+'TE CVA'!$X$36)*1</f>
        <v>-95.946345103613325</v>
      </c>
      <c r="V36" s="26">
        <f>('TE BE'!$Z$36+'TE BF'!$Z$36+'TE CVA'!$Z$36)*1</f>
        <v>6.0469553570820889</v>
      </c>
      <c r="X36" s="26">
        <v>2.39854884998309</v>
      </c>
      <c r="Y36" s="26">
        <v>10.2641869824589</v>
      </c>
      <c r="Z36" s="26">
        <v>0</v>
      </c>
      <c r="AA36" s="26">
        <v>0</v>
      </c>
      <c r="AB36" s="26">
        <v>0</v>
      </c>
      <c r="AC36" s="26">
        <v>415.08004535101003</v>
      </c>
      <c r="AD36" s="26">
        <v>8.3520971734951495</v>
      </c>
      <c r="AE36" s="26">
        <v>7.82679336501206</v>
      </c>
      <c r="AF36" s="26">
        <v>0</v>
      </c>
      <c r="AG36" s="26">
        <v>-14.288117008991801</v>
      </c>
      <c r="AH36" s="26">
        <v>6.0044258161864503</v>
      </c>
    </row>
    <row r="37" spans="1:34" ht="11.25" customHeight="1" x14ac:dyDescent="0.25">
      <c r="A37" s="146"/>
      <c r="B37" s="146"/>
      <c r="C37" s="146"/>
      <c r="D37" s="146"/>
      <c r="E37" s="146"/>
      <c r="F37" s="146"/>
      <c r="G37" s="29" t="s">
        <v>88</v>
      </c>
      <c r="H37" s="29" t="s">
        <v>75</v>
      </c>
      <c r="I37" s="29">
        <f>'MERCADO TE'!$U$34</f>
        <v>0.45900000000000007</v>
      </c>
      <c r="J37" s="15"/>
      <c r="L37" s="26">
        <f>('TE BE'!$L$37+'TE BF'!$L$37+'TE CVA'!$L$37)*1</f>
        <v>2.4354735912537757</v>
      </c>
      <c r="M37" s="26">
        <f>('TE BE'!$M$37+'TE BF'!$M$37+'TE CVA'!$M$37)*1</f>
        <v>31.886548035212577</v>
      </c>
      <c r="N37" s="26">
        <f>('TE BE'!$N$37+'TE BF'!$N$37+'TE CVA'!$N$37)*1</f>
        <v>0</v>
      </c>
      <c r="O37" s="26">
        <f>('TE BE'!$O$37+'TE BF'!$O$37+'TE CVA'!$O$37)*1</f>
        <v>0</v>
      </c>
      <c r="P37" s="26">
        <f>('TE BE'!$P$37+'TE BF'!$P$37+'TE CVA'!$P$37)*1</f>
        <v>-23.339897791030985</v>
      </c>
      <c r="Q37" s="26">
        <f>('TE BE'!$R$37+'TE BF'!$R$37+'TE CVA'!$R$37)*1</f>
        <v>217.89695912416073</v>
      </c>
      <c r="R37" s="26">
        <f>('TE BE'!$T$37+'TE BF'!$T$37+'TE CVA'!$T$37)*1</f>
        <v>12.999711155801529</v>
      </c>
      <c r="S37" s="26">
        <f>('TE BE'!$U$37+'TE BF'!$U$37+'TE CVA'!$U$37)*1</f>
        <v>8.1146164679834119</v>
      </c>
      <c r="T37" s="26">
        <f>('TE BE'!$V$37+'TE BF'!$V$37+'TE CVA'!$V$37)*1</f>
        <v>0</v>
      </c>
      <c r="U37" s="26">
        <f>('TE BE'!$X$37+'TE BF'!$X$37+'TE CVA'!$X$37)*1</f>
        <v>-58.350793426164429</v>
      </c>
      <c r="V37" s="26">
        <f>('TE BE'!$Z$37+'TE BF'!$Z$37+'TE CVA'!$Z$37)*1</f>
        <v>6.0469553570820889</v>
      </c>
      <c r="X37" s="26">
        <v>2.39854884998309</v>
      </c>
      <c r="Y37" s="26">
        <v>10.2641869824589</v>
      </c>
      <c r="Z37" s="26">
        <v>0</v>
      </c>
      <c r="AA37" s="26">
        <v>0</v>
      </c>
      <c r="AB37" s="26">
        <v>0</v>
      </c>
      <c r="AC37" s="26">
        <v>241.32560776221499</v>
      </c>
      <c r="AD37" s="26">
        <v>8.3520971734951495</v>
      </c>
      <c r="AE37" s="26">
        <v>7.82679336501206</v>
      </c>
      <c r="AF37" s="26">
        <v>0</v>
      </c>
      <c r="AG37" s="26">
        <v>-8.7775343400017807</v>
      </c>
      <c r="AH37" s="26">
        <v>6.0044258161864503</v>
      </c>
    </row>
    <row r="38" spans="1:34" ht="11.25" customHeight="1" x14ac:dyDescent="0.25">
      <c r="A38" s="146"/>
      <c r="B38" s="146"/>
      <c r="C38" s="146"/>
      <c r="D38" s="146"/>
      <c r="E38" s="146"/>
      <c r="F38" s="146"/>
      <c r="G38" s="29" t="s">
        <v>77</v>
      </c>
      <c r="H38" s="29" t="s">
        <v>75</v>
      </c>
      <c r="I38" s="29">
        <f>'MERCADO TE'!$U$35</f>
        <v>10.576000000000001</v>
      </c>
      <c r="J38" s="15"/>
      <c r="L38" s="26">
        <f>('TE BE'!$L$38+'TE BF'!$L$38+'TE CVA'!$L$38)*1</f>
        <v>2.4354735912537757</v>
      </c>
      <c r="M38" s="26">
        <f>('TE BE'!$M$38+'TE BF'!$M$38+'TE CVA'!$M$38)*1</f>
        <v>31.886548035212577</v>
      </c>
      <c r="N38" s="26">
        <f>('TE BE'!$N$38+'TE BF'!$N$38+'TE CVA'!$N$38)*1</f>
        <v>0</v>
      </c>
      <c r="O38" s="26">
        <f>('TE BE'!$O$38+'TE BF'!$O$38+'TE CVA'!$O$38)*1</f>
        <v>0</v>
      </c>
      <c r="P38" s="26">
        <f>('TE BE'!$P$38+'TE BF'!$P$38+'TE CVA'!$P$38)*1</f>
        <v>-23.339897791030985</v>
      </c>
      <c r="Q38" s="26">
        <f>('TE BE'!$R$38+'TE BF'!$R$38+'TE CVA'!$R$38)*1</f>
        <v>217.89695912416073</v>
      </c>
      <c r="R38" s="26">
        <f>('TE BE'!$T$38+'TE BF'!$T$38+'TE CVA'!$T$38)*1</f>
        <v>12.999711155801529</v>
      </c>
      <c r="S38" s="26">
        <f>('TE BE'!$U$38+'TE BF'!$U$38+'TE CVA'!$U$38)*1</f>
        <v>8.1146164679834119</v>
      </c>
      <c r="T38" s="26">
        <f>('TE BE'!$V$38+'TE BF'!$V$38+'TE CVA'!$V$38)*1</f>
        <v>0</v>
      </c>
      <c r="U38" s="26">
        <f>('TE BE'!$X$38+'TE BF'!$X$38+'TE CVA'!$X$38)*1</f>
        <v>-58.350793426164429</v>
      </c>
      <c r="V38" s="26">
        <f>('TE BE'!$Z$38+'TE BF'!$Z$38+'TE CVA'!$Z$38)*1</f>
        <v>6.0469553570820889</v>
      </c>
      <c r="X38" s="26">
        <v>2.39854884998309</v>
      </c>
      <c r="Y38" s="26">
        <v>10.2641869824589</v>
      </c>
      <c r="Z38" s="26">
        <v>0</v>
      </c>
      <c r="AA38" s="26">
        <v>0</v>
      </c>
      <c r="AB38" s="26">
        <v>0</v>
      </c>
      <c r="AC38" s="26">
        <v>241.32560776221499</v>
      </c>
      <c r="AD38" s="26">
        <v>8.3520971734951495</v>
      </c>
      <c r="AE38" s="26">
        <v>7.82679336501206</v>
      </c>
      <c r="AF38" s="26">
        <v>0</v>
      </c>
      <c r="AG38" s="26">
        <v>-8.7775343400017807</v>
      </c>
      <c r="AH38" s="26">
        <v>6.0044258161864503</v>
      </c>
    </row>
    <row r="39" spans="1:34" ht="11.25" customHeight="1" x14ac:dyDescent="0.25">
      <c r="A39" s="146"/>
      <c r="B39" s="28" t="s">
        <v>78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79</v>
      </c>
      <c r="H39" s="29" t="s">
        <v>75</v>
      </c>
      <c r="I39" s="29">
        <f>'MERCADO TE'!$U$36</f>
        <v>6532.424</v>
      </c>
      <c r="J39" s="15"/>
      <c r="L39" s="26">
        <f>('TE BE'!$L$39+'TE BF'!$L$39+'TE CVA'!$L$39)*1</f>
        <v>2.4354735912537757</v>
      </c>
      <c r="M39" s="26">
        <f>('TE BE'!$M$39+'TE BF'!$M$39+'TE CVA'!$M$39)*1</f>
        <v>31.886548035212577</v>
      </c>
      <c r="N39" s="26">
        <f>('TE BE'!$N$39+'TE BF'!$N$39+'TE CVA'!$N$39)*1</f>
        <v>0</v>
      </c>
      <c r="O39" s="26">
        <f>('TE BE'!$O$39+'TE BF'!$O$39+'TE CVA'!$O$39)*1</f>
        <v>0</v>
      </c>
      <c r="P39" s="26">
        <f>('TE BE'!$P$39+'TE BF'!$P$39+'TE CVA'!$P$39)*1</f>
        <v>-23.339897791030985</v>
      </c>
      <c r="Q39" s="26">
        <f>('TE BE'!$R$39+'TE BF'!$R$39+'TE CVA'!$R$39)*1</f>
        <v>230.97077667161034</v>
      </c>
      <c r="R39" s="26">
        <f>('TE BE'!$T$39+'TE BF'!$T$39+'TE CVA'!$T$39)*1</f>
        <v>12.999711155801529</v>
      </c>
      <c r="S39" s="26">
        <f>('TE BE'!$U$39+'TE BF'!$U$39+'TE CVA'!$U$39)*1</f>
        <v>8.1146164679834119</v>
      </c>
      <c r="T39" s="26">
        <f>('TE BE'!$V$39+'TE BF'!$V$39+'TE CVA'!$V$39)*1</f>
        <v>0</v>
      </c>
      <c r="U39" s="26">
        <f>('TE BE'!$X$39+'TE BF'!$X$39+'TE CVA'!$X$39)*1</f>
        <v>-61.483756065951837</v>
      </c>
      <c r="V39" s="26">
        <f>('TE BE'!$Z$39+'TE BF'!$Z$39+'TE CVA'!$Z$39)*1</f>
        <v>6.0469553570820889</v>
      </c>
      <c r="X39" s="26">
        <v>2.39854884998309</v>
      </c>
      <c r="Y39" s="26">
        <v>10.2641869824589</v>
      </c>
      <c r="Z39" s="26">
        <v>0</v>
      </c>
      <c r="AA39" s="26">
        <v>0</v>
      </c>
      <c r="AB39" s="26">
        <v>0</v>
      </c>
      <c r="AC39" s="26">
        <v>255.80514422794801</v>
      </c>
      <c r="AD39" s="26">
        <v>8.3520971734951495</v>
      </c>
      <c r="AE39" s="26">
        <v>7.82679336501206</v>
      </c>
      <c r="AF39" s="26">
        <v>0</v>
      </c>
      <c r="AG39" s="26">
        <v>-9.2367495624176108</v>
      </c>
      <c r="AH39" s="26">
        <v>6.0044258161864503</v>
      </c>
    </row>
    <row r="40" spans="1:34" ht="11.25" customHeight="1" x14ac:dyDescent="0.25">
      <c r="A40" s="146"/>
      <c r="B40" s="28" t="s">
        <v>89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79</v>
      </c>
      <c r="H40" s="29" t="s">
        <v>75</v>
      </c>
      <c r="I40" s="29">
        <f>'MERCADO TE'!$U$37</f>
        <v>0</v>
      </c>
      <c r="J40" s="15"/>
      <c r="L40" s="26">
        <f>('TE BE'!$L$40+'TE BF'!$L$40+'TE CVA'!$L$40)*1</f>
        <v>2.4354735912537757</v>
      </c>
      <c r="M40" s="26">
        <f>('TE BE'!$M$40+'TE BF'!$M$40+'TE CVA'!$M$40)*1</f>
        <v>31.886548035212577</v>
      </c>
      <c r="N40" s="26">
        <f>('TE BE'!$N$40+'TE BF'!$N$40+'TE CVA'!$N$40)*1</f>
        <v>0</v>
      </c>
      <c r="O40" s="26">
        <f>('TE BE'!$O$40+'TE BF'!$O$40+'TE CVA'!$O$40)*1</f>
        <v>0</v>
      </c>
      <c r="P40" s="26">
        <f>('TE BE'!$P$40+'TE BF'!$P$40+'TE CVA'!$P$40)*1</f>
        <v>-23.339897791030985</v>
      </c>
      <c r="Q40" s="26">
        <f>('TE BE'!$R$40+'TE BF'!$R$40+'TE CVA'!$R$40)*1</f>
        <v>230.97077667161034</v>
      </c>
      <c r="R40" s="26">
        <f>('TE BE'!$T$40+'TE BF'!$T$40+'TE CVA'!$T$40)*1</f>
        <v>12.999711155801529</v>
      </c>
      <c r="S40" s="26">
        <f>('TE BE'!$U$40+'TE BF'!$U$40+'TE CVA'!$U$40)*1</f>
        <v>8.1146164679834119</v>
      </c>
      <c r="T40" s="26">
        <f>('TE BE'!$V$40+'TE BF'!$V$40+'TE CVA'!$V$40)*1</f>
        <v>0</v>
      </c>
      <c r="U40" s="26">
        <f>('TE BE'!$X$40+'TE BF'!$X$40+'TE CVA'!$X$40)*1</f>
        <v>-61.483756065951837</v>
      </c>
      <c r="V40" s="26">
        <f>('TE BE'!$Z$40+'TE BF'!$Z$40+'TE CVA'!$Z$40)*1</f>
        <v>6.0469553570820889</v>
      </c>
      <c r="X40" s="26">
        <v>2.39854884998309</v>
      </c>
      <c r="Y40" s="26">
        <v>10.2641869824589</v>
      </c>
      <c r="Z40" s="26">
        <v>0</v>
      </c>
      <c r="AA40" s="26">
        <v>0</v>
      </c>
      <c r="AB40" s="26">
        <v>0</v>
      </c>
      <c r="AC40" s="26">
        <v>255.80514422794801</v>
      </c>
      <c r="AD40" s="26">
        <v>8.3520971734951495</v>
      </c>
      <c r="AE40" s="26">
        <v>7.82679336501206</v>
      </c>
      <c r="AF40" s="26">
        <v>0</v>
      </c>
      <c r="AG40" s="26">
        <v>-9.2367495624176108</v>
      </c>
      <c r="AH40" s="26">
        <v>6.0044258161864503</v>
      </c>
    </row>
    <row r="41" spans="1:34" ht="11.25" customHeight="1" x14ac:dyDescent="0.25">
      <c r="A41" s="146" t="s">
        <v>44</v>
      </c>
      <c r="B41" s="146" t="s">
        <v>78</v>
      </c>
      <c r="C41" s="146" t="s">
        <v>45</v>
      </c>
      <c r="D41" s="28" t="s">
        <v>93</v>
      </c>
      <c r="E41" s="28" t="s">
        <v>25</v>
      </c>
      <c r="F41" s="28" t="s">
        <v>25</v>
      </c>
      <c r="G41" s="29" t="s">
        <v>79</v>
      </c>
      <c r="H41" s="29" t="s">
        <v>75</v>
      </c>
      <c r="I41" s="29">
        <f>'MERCADO TE'!$U$38</f>
        <v>0</v>
      </c>
      <c r="J41" s="15"/>
      <c r="L41" s="26">
        <f>('TE BE'!$L$41+'TE BF'!$L$41+'TE CVA'!$L$41)*1</f>
        <v>1.3395104751895766</v>
      </c>
      <c r="M41" s="26">
        <f>('TE BE'!$M$41+'TE BF'!$M$41+'TE CVA'!$M$41)*1</f>
        <v>17.537601419366919</v>
      </c>
      <c r="N41" s="26">
        <f>('TE BE'!$N$41+'TE BF'!$N$41+'TE CVA'!$N$41)*1</f>
        <v>0</v>
      </c>
      <c r="O41" s="26">
        <f>('TE BE'!$O$41+'TE BF'!$O$41+'TE CVA'!$O$41)*1</f>
        <v>0</v>
      </c>
      <c r="P41" s="26">
        <f>('TE BE'!$P$41+'TE BF'!$P$41+'TE CVA'!$P$41)*1</f>
        <v>-12.836943785067042</v>
      </c>
      <c r="Q41" s="26">
        <f>('TE BE'!$R$41+'TE BF'!$R$41+'TE CVA'!$R$41)*1</f>
        <v>127.03392716938572</v>
      </c>
      <c r="R41" s="26">
        <f>('TE BE'!$T$41+'TE BF'!$T$41+'TE CVA'!$T$41)*1</f>
        <v>7.1498411356908429</v>
      </c>
      <c r="S41" s="26">
        <f>('TE BE'!$U$41+'TE BF'!$U$41+'TE CVA'!$U$41)*1</f>
        <v>4.4630390573908771</v>
      </c>
      <c r="T41" s="26">
        <f>('TE BE'!$V$41+'TE BF'!$V$41+'TE CVA'!$V$41)*1</f>
        <v>0</v>
      </c>
      <c r="U41" s="26">
        <f>('TE BE'!$X$41+'TE BF'!$X$41+'TE CVA'!$X$41)*1</f>
        <v>-33.816065836273516</v>
      </c>
      <c r="V41" s="26">
        <f>('TE BE'!$Z$41+'TE BF'!$Z$41+'TE CVA'!$Z$41)*1</f>
        <v>3.3258254463951489</v>
      </c>
      <c r="X41" s="26">
        <v>1.3192018674907</v>
      </c>
      <c r="Y41" s="26">
        <v>5.6453028403524197</v>
      </c>
      <c r="Z41" s="26">
        <v>0</v>
      </c>
      <c r="AA41" s="26">
        <v>0</v>
      </c>
      <c r="AB41" s="26">
        <v>0</v>
      </c>
      <c r="AC41" s="26">
        <v>140.69282932537101</v>
      </c>
      <c r="AD41" s="26">
        <v>4.5936534454223299</v>
      </c>
      <c r="AE41" s="26">
        <v>4.3047363507566399</v>
      </c>
      <c r="AF41" s="26">
        <v>0</v>
      </c>
      <c r="AG41" s="26">
        <v>-5.0802122593296897</v>
      </c>
      <c r="AH41" s="26">
        <v>3.3024341989025499</v>
      </c>
    </row>
    <row r="42" spans="1:34" ht="11.25" customHeight="1" x14ac:dyDescent="0.25">
      <c r="A42" s="146"/>
      <c r="B42" s="146"/>
      <c r="C42" s="146"/>
      <c r="D42" s="29" t="s">
        <v>46</v>
      </c>
      <c r="E42" s="29" t="s">
        <v>25</v>
      </c>
      <c r="F42" s="29" t="s">
        <v>25</v>
      </c>
      <c r="G42" s="29" t="s">
        <v>79</v>
      </c>
      <c r="H42" s="29" t="s">
        <v>75</v>
      </c>
      <c r="I42" s="29">
        <f>'MERCADO TE'!$U$39</f>
        <v>1655.8650000000002</v>
      </c>
      <c r="J42" s="15"/>
      <c r="L42" s="26">
        <f>('TE BE'!$L$42+'TE BF'!$L$42+'TE CVA'!$L$42)*1</f>
        <v>1.4612841547522653</v>
      </c>
      <c r="M42" s="26">
        <f>('TE BE'!$M$42+'TE BF'!$M$42+'TE CVA'!$M$42)*1</f>
        <v>19.131928821127545</v>
      </c>
      <c r="N42" s="26">
        <f>('TE BE'!$N$42+'TE BF'!$N$42+'TE CVA'!$N$42)*1</f>
        <v>0</v>
      </c>
      <c r="O42" s="26">
        <f>('TE BE'!$O$42+'TE BF'!$O$42+'TE CVA'!$O$42)*1</f>
        <v>0</v>
      </c>
      <c r="P42" s="26">
        <f>('TE BE'!$P$42+'TE BF'!$P$42+'TE CVA'!$P$42)*1</f>
        <v>-14.00393867461859</v>
      </c>
      <c r="Q42" s="26">
        <f>('TE BE'!$R$42+'TE BF'!$R$42+'TE CVA'!$R$42)*1</f>
        <v>138.58246600296621</v>
      </c>
      <c r="R42" s="26">
        <f>('TE BE'!$T$42+'TE BF'!$T$42+'TE CVA'!$T$42)*1</f>
        <v>7.7998266934809184</v>
      </c>
      <c r="S42" s="26">
        <f>('TE BE'!$U$42+'TE BF'!$U$42+'TE CVA'!$U$42)*1</f>
        <v>4.8687698807900475</v>
      </c>
      <c r="T42" s="26">
        <f>('TE BE'!$V$42+'TE BF'!$V$42+'TE CVA'!$V$42)*1</f>
        <v>0</v>
      </c>
      <c r="U42" s="26">
        <f>('TE BE'!$X$42+'TE BF'!$X$42+'TE CVA'!$X$42)*1</f>
        <v>-36.8902536395711</v>
      </c>
      <c r="V42" s="26">
        <f>('TE BE'!$Z$42+'TE BF'!$Z$42+'TE CVA'!$Z$42)*1</f>
        <v>3.6281732142492533</v>
      </c>
      <c r="X42" s="26">
        <v>1.4391293099898601</v>
      </c>
      <c r="Y42" s="26">
        <v>6.1585121894753598</v>
      </c>
      <c r="Z42" s="26">
        <v>0</v>
      </c>
      <c r="AA42" s="26">
        <v>0</v>
      </c>
      <c r="AB42" s="26">
        <v>0</v>
      </c>
      <c r="AC42" s="26">
        <v>153.48308653676901</v>
      </c>
      <c r="AD42" s="26">
        <v>5.0112583040970904</v>
      </c>
      <c r="AE42" s="26">
        <v>4.6960760190072399</v>
      </c>
      <c r="AF42" s="26">
        <v>0</v>
      </c>
      <c r="AG42" s="26">
        <v>-5.5420497374505704</v>
      </c>
      <c r="AH42" s="26">
        <v>3.6026554897118701</v>
      </c>
    </row>
    <row r="44" spans="1:34" ht="11.25" customHeight="1" x14ac:dyDescent="0.25">
      <c r="L44" s="148" t="s">
        <v>1084</v>
      </c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X44" s="148" t="s">
        <v>1085</v>
      </c>
      <c r="Y44" s="148"/>
      <c r="Z44" s="148"/>
      <c r="AA44" s="148"/>
      <c r="AB44" s="148"/>
      <c r="AC44" s="148"/>
      <c r="AD44" s="148"/>
      <c r="AE44" s="148"/>
      <c r="AF44" s="148"/>
      <c r="AG44" s="148"/>
      <c r="AH44" s="148"/>
    </row>
    <row r="45" spans="1:34" ht="11.25" customHeight="1" x14ac:dyDescent="0.25">
      <c r="L45" s="148" t="s">
        <v>561</v>
      </c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X45" s="148" t="s">
        <v>561</v>
      </c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</row>
    <row r="46" spans="1:34" ht="11.25" customHeight="1" x14ac:dyDescent="0.25">
      <c r="L46" s="148" t="s">
        <v>534</v>
      </c>
      <c r="M46" s="148"/>
      <c r="N46" s="148"/>
      <c r="O46" s="148"/>
      <c r="P46" s="148"/>
      <c r="Q46" s="30" t="s">
        <v>565</v>
      </c>
      <c r="R46" s="148" t="s">
        <v>543</v>
      </c>
      <c r="S46" s="148"/>
      <c r="T46" s="148"/>
      <c r="U46" s="30" t="s">
        <v>553</v>
      </c>
      <c r="V46" s="30" t="s">
        <v>556</v>
      </c>
      <c r="X46" s="148" t="s">
        <v>534</v>
      </c>
      <c r="Y46" s="148"/>
      <c r="Z46" s="148"/>
      <c r="AA46" s="148"/>
      <c r="AB46" s="148"/>
      <c r="AC46" s="30" t="s">
        <v>565</v>
      </c>
      <c r="AD46" s="148" t="s">
        <v>543</v>
      </c>
      <c r="AE46" s="148"/>
      <c r="AF46" s="148"/>
      <c r="AG46" s="30" t="s">
        <v>553</v>
      </c>
      <c r="AH46" s="30" t="s">
        <v>556</v>
      </c>
    </row>
    <row r="47" spans="1:34" ht="11.25" customHeight="1" x14ac:dyDescent="0.25">
      <c r="L47" s="30" t="s">
        <v>536</v>
      </c>
      <c r="M47" s="30" t="s">
        <v>562</v>
      </c>
      <c r="N47" s="30" t="s">
        <v>563</v>
      </c>
      <c r="O47" s="30" t="s">
        <v>622</v>
      </c>
      <c r="P47" s="30" t="s">
        <v>564</v>
      </c>
      <c r="Q47" s="30" t="s">
        <v>566</v>
      </c>
      <c r="R47" s="30" t="s">
        <v>567</v>
      </c>
      <c r="S47" s="30" t="s">
        <v>568</v>
      </c>
      <c r="T47" s="30" t="s">
        <v>569</v>
      </c>
      <c r="U47" s="30" t="s">
        <v>554</v>
      </c>
      <c r="V47" s="30" t="s">
        <v>570</v>
      </c>
      <c r="X47" s="30" t="s">
        <v>536</v>
      </c>
      <c r="Y47" s="30" t="s">
        <v>562</v>
      </c>
      <c r="Z47" s="30" t="s">
        <v>563</v>
      </c>
      <c r="AA47" s="30" t="s">
        <v>622</v>
      </c>
      <c r="AB47" s="30" t="s">
        <v>564</v>
      </c>
      <c r="AC47" s="30" t="s">
        <v>566</v>
      </c>
      <c r="AD47" s="30" t="s">
        <v>567</v>
      </c>
      <c r="AE47" s="30" t="s">
        <v>568</v>
      </c>
      <c r="AF47" s="30" t="s">
        <v>569</v>
      </c>
      <c r="AG47" s="30" t="s">
        <v>554</v>
      </c>
      <c r="AH47" s="30" t="s">
        <v>570</v>
      </c>
    </row>
    <row r="48" spans="1:34" ht="11.25" customHeight="1" x14ac:dyDescent="0.25">
      <c r="A48" s="9" t="s">
        <v>38</v>
      </c>
      <c r="B48" s="9" t="s">
        <v>1086</v>
      </c>
      <c r="C48" s="9" t="s">
        <v>1087</v>
      </c>
      <c r="D48" s="9" t="s">
        <v>1088</v>
      </c>
      <c r="E48" s="9" t="s">
        <v>1089</v>
      </c>
      <c r="F48" s="9" t="s">
        <v>1090</v>
      </c>
      <c r="G48" s="9" t="s">
        <v>1091</v>
      </c>
      <c r="L48" s="26">
        <f>$I$5*$L$5</f>
        <v>683.16008424104905</v>
      </c>
      <c r="M48" s="26">
        <f>$I$5*$M$5</f>
        <v>8944.3042700692677</v>
      </c>
      <c r="N48" s="26">
        <f>$I$5*$N$5</f>
        <v>0</v>
      </c>
      <c r="O48" s="26">
        <f>$I$5*$O$5</f>
        <v>0</v>
      </c>
      <c r="P48" s="26">
        <f>$I$5*$P$5</f>
        <v>-6546.9346899753546</v>
      </c>
      <c r="Q48" s="26">
        <f>$I$5*$Q$5</f>
        <v>105128.06603012135</v>
      </c>
      <c r="R48" s="26">
        <f>$I$5*$R$5</f>
        <v>3646.4709780469516</v>
      </c>
      <c r="S48" s="26">
        <f>$I$5*$S$5</f>
        <v>2276.1823777352188</v>
      </c>
      <c r="T48" s="26">
        <f>$I$5*$T$5</f>
        <v>0</v>
      </c>
      <c r="U48" s="26">
        <f>$I$5*$U$5</f>
        <v>-26913.333586943947</v>
      </c>
      <c r="V48" s="26">
        <f>$I$5*$V$5</f>
        <v>1696.1951654829541</v>
      </c>
      <c r="X48" s="26">
        <f>$I$5*$X$5</f>
        <v>672.80254661565664</v>
      </c>
      <c r="Y48" s="26">
        <f>$I$5*$Y$5</f>
        <v>2879.1455053276509</v>
      </c>
      <c r="Z48" s="26">
        <f>$I$5*$Z$5</f>
        <v>0</v>
      </c>
      <c r="AA48" s="26">
        <f>$I$5*$AA$5</f>
        <v>0</v>
      </c>
      <c r="AB48" s="26">
        <f>$I$5*$AB$5</f>
        <v>0</v>
      </c>
      <c r="AC48" s="26">
        <f>$I$5*$AC$5</f>
        <v>116431.6130411397</v>
      </c>
      <c r="AD48" s="26">
        <f>$I$5*$AD$5</f>
        <v>2342.7966655540831</v>
      </c>
      <c r="AE48" s="26">
        <f>$I$5*$AE$5</f>
        <v>2195.4468460593425</v>
      </c>
      <c r="AF48" s="26">
        <f>$I$5*$AF$5</f>
        <v>0</v>
      </c>
      <c r="AG48" s="26">
        <f>$I$5*$AG$5</f>
        <v>-4007.8739734902356</v>
      </c>
      <c r="AH48" s="26">
        <f>$I$5*$AH$5</f>
        <v>1684.2654591435639</v>
      </c>
    </row>
    <row r="49" spans="1:34" ht="11.25" customHeight="1" x14ac:dyDescent="0.25">
      <c r="A49" s="9" t="s">
        <v>38</v>
      </c>
      <c r="B49" s="9" t="s">
        <v>1086</v>
      </c>
      <c r="C49" s="9" t="s">
        <v>1087</v>
      </c>
      <c r="D49" s="9" t="s">
        <v>1088</v>
      </c>
      <c r="E49" s="9" t="s">
        <v>1089</v>
      </c>
      <c r="F49" s="9" t="s">
        <v>1090</v>
      </c>
      <c r="G49" s="9" t="s">
        <v>1092</v>
      </c>
      <c r="L49" s="26">
        <f>$I$6*$L$6</f>
        <v>18408.919250739855</v>
      </c>
      <c r="M49" s="26">
        <f>$I$6*$M$6</f>
        <v>241019.60705838795</v>
      </c>
      <c r="N49" s="26">
        <f>$I$6*$N$6</f>
        <v>0</v>
      </c>
      <c r="O49" s="26">
        <f>$I$6*$O$6</f>
        <v>0</v>
      </c>
      <c r="P49" s="26">
        <f>$I$6*$P$6</f>
        <v>-176418.37517705205</v>
      </c>
      <c r="Q49" s="26">
        <f>$I$6*$Q$6</f>
        <v>1647009.246950388</v>
      </c>
      <c r="R49" s="26">
        <f>$I$6*$R$6</f>
        <v>98260.409724621946</v>
      </c>
      <c r="S49" s="26">
        <f>$I$6*$S$6</f>
        <v>61335.635026503965</v>
      </c>
      <c r="T49" s="26">
        <f>$I$6*$T$6</f>
        <v>0</v>
      </c>
      <c r="U49" s="26">
        <f>$I$6*$U$6</f>
        <v>-441053.86658940546</v>
      </c>
      <c r="V49" s="26">
        <f>$I$6*$V$6</f>
        <v>45706.88562631746</v>
      </c>
      <c r="X49" s="26">
        <f>$I$6*$X$6</f>
        <v>18129.817648962035</v>
      </c>
      <c r="Y49" s="26">
        <f>$I$6*$Y$6</f>
        <v>77583.509841019782</v>
      </c>
      <c r="Z49" s="26">
        <f>$I$6*$Z$6</f>
        <v>0</v>
      </c>
      <c r="AA49" s="26">
        <f>$I$6*$AA$6</f>
        <v>0</v>
      </c>
      <c r="AB49" s="26">
        <f>$I$6*$AB$6</f>
        <v>0</v>
      </c>
      <c r="AC49" s="26">
        <f>$I$6*$AC$6</f>
        <v>1824098.4596935518</v>
      </c>
      <c r="AD49" s="26">
        <f>$I$6*$AD$6</f>
        <v>63130.671173508017</v>
      </c>
      <c r="AE49" s="26">
        <f>$I$6*$AE$6</f>
        <v>59160.077763175424</v>
      </c>
      <c r="AF49" s="26">
        <f>$I$6*$AF$6</f>
        <v>0</v>
      </c>
      <c r="AG49" s="26">
        <f>$I$6*$AG$6</f>
        <v>-66346.406491932197</v>
      </c>
      <c r="AH49" s="26">
        <f>$I$6*$AH$6</f>
        <v>45385.419244201694</v>
      </c>
    </row>
    <row r="50" spans="1:34" ht="11.25" customHeight="1" x14ac:dyDescent="0.25">
      <c r="A50" s="9" t="s">
        <v>38</v>
      </c>
      <c r="B50" s="9" t="s">
        <v>1093</v>
      </c>
      <c r="C50" s="9" t="s">
        <v>1094</v>
      </c>
      <c r="D50" s="9" t="s">
        <v>1095</v>
      </c>
      <c r="E50" s="9" t="s">
        <v>1096</v>
      </c>
      <c r="F50" s="9" t="s">
        <v>1097</v>
      </c>
      <c r="G50" s="9" t="s">
        <v>1098</v>
      </c>
      <c r="L50" s="26">
        <f>$I$7*$L$7</f>
        <v>0</v>
      </c>
      <c r="M50" s="26">
        <f>$I$7*$M$7</f>
        <v>0</v>
      </c>
      <c r="N50" s="26">
        <f>$I$7*$N$7</f>
        <v>0</v>
      </c>
      <c r="O50" s="26">
        <f>$I$7*$O$7</f>
        <v>0</v>
      </c>
      <c r="P50" s="26">
        <f>$I$7*$P$7</f>
        <v>0</v>
      </c>
      <c r="Q50" s="26">
        <f>$I$7*$Q$7</f>
        <v>0</v>
      </c>
      <c r="R50" s="26">
        <f>$I$7*$R$7</f>
        <v>0</v>
      </c>
      <c r="S50" s="26">
        <f>$I$7*$S$7</f>
        <v>0</v>
      </c>
      <c r="T50" s="26">
        <f>$I$7*$T$7</f>
        <v>0</v>
      </c>
      <c r="U50" s="26">
        <f>$I$7*$U$7</f>
        <v>0</v>
      </c>
      <c r="V50" s="26">
        <f>$I$7*$V$7</f>
        <v>0</v>
      </c>
      <c r="X50" s="26">
        <f>$I$7*$X$7</f>
        <v>0</v>
      </c>
      <c r="Y50" s="26">
        <f>$I$7*$Y$7</f>
        <v>0</v>
      </c>
      <c r="Z50" s="26">
        <f>$I$7*$Z$7</f>
        <v>0</v>
      </c>
      <c r="AA50" s="26">
        <f>$I$7*$AA$7</f>
        <v>0</v>
      </c>
      <c r="AB50" s="26">
        <f>$I$7*$AB$7</f>
        <v>0</v>
      </c>
      <c r="AC50" s="26">
        <f>$I$7*$AC$7</f>
        <v>0</v>
      </c>
      <c r="AD50" s="26">
        <f>$I$7*$AD$7</f>
        <v>0</v>
      </c>
      <c r="AE50" s="26">
        <f>$I$7*$AE$7</f>
        <v>0</v>
      </c>
      <c r="AF50" s="26">
        <f>$I$7*$AF$7</f>
        <v>0</v>
      </c>
      <c r="AG50" s="26">
        <f>$I$7*$AG$7</f>
        <v>0</v>
      </c>
      <c r="AH50" s="26">
        <f>$I$7*$AH$7</f>
        <v>0</v>
      </c>
    </row>
    <row r="51" spans="1:34" ht="11.25" customHeight="1" x14ac:dyDescent="0.25">
      <c r="A51" s="9" t="s">
        <v>22</v>
      </c>
      <c r="B51" s="9" t="s">
        <v>1099</v>
      </c>
      <c r="C51" s="9" t="s">
        <v>1100</v>
      </c>
      <c r="D51" s="9" t="s">
        <v>1101</v>
      </c>
      <c r="E51" s="9" t="s">
        <v>1102</v>
      </c>
      <c r="F51" s="9" t="s">
        <v>1103</v>
      </c>
      <c r="G51" s="9" t="s">
        <v>1104</v>
      </c>
      <c r="L51" s="26">
        <f>$I$8*$L$8</f>
        <v>0.41403051051314199</v>
      </c>
      <c r="M51" s="26">
        <f>$I$8*$M$8</f>
        <v>5.4207131659861396</v>
      </c>
      <c r="N51" s="26">
        <f>$I$8*$N$8</f>
        <v>0</v>
      </c>
      <c r="O51" s="26">
        <f>$I$8*$O$8</f>
        <v>0</v>
      </c>
      <c r="P51" s="26">
        <f>$I$8*$P$8</f>
        <v>-3.9677826244752685</v>
      </c>
      <c r="Q51" s="26">
        <f>$I$8*$Q$8</f>
        <v>63.713070847904618</v>
      </c>
      <c r="R51" s="26">
        <f>$I$8*$R$8</f>
        <v>2.2099508964862604</v>
      </c>
      <c r="S51" s="26">
        <f>$I$8*$S$8</f>
        <v>1.3794847995571804</v>
      </c>
      <c r="T51" s="26">
        <f>$I$8*$T$8</f>
        <v>0</v>
      </c>
      <c r="U51" s="26">
        <f>$I$8*$U$8</f>
        <v>-16.310878667614269</v>
      </c>
      <c r="V51" s="26">
        <f>$I$8*$V$8</f>
        <v>1.0279824107039552</v>
      </c>
      <c r="X51" s="26">
        <f>$I$8*$X$8</f>
        <v>0.40775330449712538</v>
      </c>
      <c r="Y51" s="26">
        <f>$I$8*$Y$8</f>
        <v>1.7449117870180135</v>
      </c>
      <c r="Z51" s="26">
        <f>$I$8*$Z$8</f>
        <v>0</v>
      </c>
      <c r="AA51" s="26">
        <f>$I$8*$AA$8</f>
        <v>0</v>
      </c>
      <c r="AB51" s="26">
        <f>$I$8*$AB$8</f>
        <v>0</v>
      </c>
      <c r="AC51" s="26">
        <f>$I$8*$AC$8</f>
        <v>70.563607709671714</v>
      </c>
      <c r="AD51" s="26">
        <f>$I$8*$AD$8</f>
        <v>1.4198565194941757</v>
      </c>
      <c r="AE51" s="26">
        <f>$I$8*$AE$8</f>
        <v>1.3305548720520506</v>
      </c>
      <c r="AF51" s="26">
        <f>$I$8*$AF$8</f>
        <v>0</v>
      </c>
      <c r="AG51" s="26">
        <f>$I$8*$AG$8</f>
        <v>-2.4289798915286065</v>
      </c>
      <c r="AH51" s="26">
        <f>$I$8*$AH$8</f>
        <v>1.0207523887516967</v>
      </c>
    </row>
    <row r="52" spans="1:34" ht="11.25" customHeight="1" x14ac:dyDescent="0.25">
      <c r="A52" s="9" t="s">
        <v>22</v>
      </c>
      <c r="B52" s="9" t="s">
        <v>1099</v>
      </c>
      <c r="C52" s="9" t="s">
        <v>1100</v>
      </c>
      <c r="D52" s="9" t="s">
        <v>1101</v>
      </c>
      <c r="E52" s="9" t="s">
        <v>1102</v>
      </c>
      <c r="F52" s="9" t="s">
        <v>1103</v>
      </c>
      <c r="G52" s="9" t="s">
        <v>1105</v>
      </c>
      <c r="L52" s="26">
        <f>$I$9*$L$9</f>
        <v>0.31661156686299091</v>
      </c>
      <c r="M52" s="26">
        <f>$I$9*$M$9</f>
        <v>4.1452512445776364</v>
      </c>
      <c r="N52" s="26">
        <f>$I$9*$N$9</f>
        <v>0</v>
      </c>
      <c r="O52" s="26">
        <f>$I$9*$O$9</f>
        <v>0</v>
      </c>
      <c r="P52" s="26">
        <f>$I$9*$P$9</f>
        <v>-3.0341867128340287</v>
      </c>
      <c r="Q52" s="26">
        <f>$I$9*$Q$9</f>
        <v>28.3266046861409</v>
      </c>
      <c r="R52" s="26">
        <f>$I$9*$R$9</f>
        <v>1.6899624502541992</v>
      </c>
      <c r="S52" s="26">
        <f>$I$9*$S$9</f>
        <v>1.0549001408378438</v>
      </c>
      <c r="T52" s="26">
        <f>$I$9*$T$9</f>
        <v>0</v>
      </c>
      <c r="U52" s="26">
        <f>$I$9*$U$9</f>
        <v>-7.5856031454013779</v>
      </c>
      <c r="V52" s="26">
        <f>$I$9*$V$9</f>
        <v>0.78610419642067175</v>
      </c>
      <c r="X52" s="26">
        <f>$I$9*$X$9</f>
        <v>0.31181135049780179</v>
      </c>
      <c r="Y52" s="26">
        <f>$I$9*$Y$9</f>
        <v>1.3343443077196573</v>
      </c>
      <c r="Z52" s="26">
        <f>$I$9*$Z$9</f>
        <v>0</v>
      </c>
      <c r="AA52" s="26">
        <f>$I$9*$AA$9</f>
        <v>0</v>
      </c>
      <c r="AB52" s="26">
        <f>$I$9*$AB$9</f>
        <v>0</v>
      </c>
      <c r="AC52" s="26">
        <f>$I$9*$AC$9</f>
        <v>31.372329009087956</v>
      </c>
      <c r="AD52" s="26">
        <f>$I$9*$AD$9</f>
        <v>1.0857726325543697</v>
      </c>
      <c r="AE52" s="26">
        <f>$I$9*$AE$9</f>
        <v>1.017483137451568</v>
      </c>
      <c r="AF52" s="26">
        <f>$I$9*$AF$9</f>
        <v>0</v>
      </c>
      <c r="AG52" s="26">
        <f>$I$9*$AG$9</f>
        <v>-1.1410794642002318</v>
      </c>
      <c r="AH52" s="26">
        <f>$I$9*$AH$9</f>
        <v>0.78057535610423878</v>
      </c>
    </row>
    <row r="53" spans="1:34" ht="11.25" customHeight="1" x14ac:dyDescent="0.25">
      <c r="A53" s="9" t="s">
        <v>22</v>
      </c>
      <c r="B53" s="9" t="s">
        <v>1099</v>
      </c>
      <c r="C53" s="9" t="s">
        <v>1100</v>
      </c>
      <c r="D53" s="9" t="s">
        <v>1101</v>
      </c>
      <c r="E53" s="9" t="s">
        <v>1102</v>
      </c>
      <c r="F53" s="9" t="s">
        <v>1103</v>
      </c>
      <c r="G53" s="9" t="s">
        <v>1106</v>
      </c>
      <c r="L53" s="26">
        <f>$I$10*$L$10</f>
        <v>5.9766521929367649</v>
      </c>
      <c r="M53" s="26">
        <f>$I$10*$M$10</f>
        <v>78.249588878411657</v>
      </c>
      <c r="N53" s="26">
        <f>$I$10*$N$10</f>
        <v>0</v>
      </c>
      <c r="O53" s="26">
        <f>$I$10*$O$10</f>
        <v>0</v>
      </c>
      <c r="P53" s="26">
        <f>$I$10*$P$10</f>
        <v>-57.27610917919003</v>
      </c>
      <c r="Q53" s="26">
        <f>$I$10*$Q$10</f>
        <v>534.71913769069033</v>
      </c>
      <c r="R53" s="26">
        <f>$I$10*$R$10</f>
        <v>31.901291176336951</v>
      </c>
      <c r="S53" s="26">
        <f>$I$10*$S$10</f>
        <v>19.913268812431291</v>
      </c>
      <c r="T53" s="26">
        <f>$I$10*$T$10</f>
        <v>0</v>
      </c>
      <c r="U53" s="26">
        <f>$I$10*$U$10</f>
        <v>-143.19284706780749</v>
      </c>
      <c r="V53" s="26">
        <f>$I$10*$V$10</f>
        <v>14.839228446279444</v>
      </c>
      <c r="X53" s="26">
        <f>$I$10*$X$10</f>
        <v>5.8860388778585024</v>
      </c>
      <c r="Y53" s="26">
        <f>$I$10*$Y$10</f>
        <v>25.18831485495414</v>
      </c>
      <c r="Z53" s="26">
        <f>$I$10*$Z$10</f>
        <v>0</v>
      </c>
      <c r="AA53" s="26">
        <f>$I$10*$AA$10</f>
        <v>0</v>
      </c>
      <c r="AB53" s="26">
        <f>$I$10*$AB$10</f>
        <v>0</v>
      </c>
      <c r="AC53" s="26">
        <f>$I$10*$AC$10</f>
        <v>592.21304144847556</v>
      </c>
      <c r="AD53" s="26">
        <f>$I$10*$AD$10</f>
        <v>20.496046463757093</v>
      </c>
      <c r="AE53" s="26">
        <f>$I$10*$AE$10</f>
        <v>19.206950917739594</v>
      </c>
      <c r="AF53" s="26">
        <f>$I$10*$AF$10</f>
        <v>0</v>
      </c>
      <c r="AG53" s="26">
        <f>$I$10*$AG$10</f>
        <v>-21.540069270364366</v>
      </c>
      <c r="AH53" s="26">
        <f>$I$10*$AH$10</f>
        <v>14.734860952921547</v>
      </c>
    </row>
    <row r="54" spans="1:34" ht="11.25" customHeight="1" x14ac:dyDescent="0.25">
      <c r="A54" s="9" t="s">
        <v>22</v>
      </c>
      <c r="B54" s="9" t="s">
        <v>1107</v>
      </c>
      <c r="C54" s="9" t="s">
        <v>1108</v>
      </c>
      <c r="D54" s="9" t="s">
        <v>1109</v>
      </c>
      <c r="E54" s="9" t="s">
        <v>1110</v>
      </c>
      <c r="F54" s="9" t="s">
        <v>1111</v>
      </c>
      <c r="G54" s="9" t="s">
        <v>1112</v>
      </c>
      <c r="L54" s="26">
        <f>$I$11*$L$11</f>
        <v>25755.086953510447</v>
      </c>
      <c r="M54" s="26">
        <f>$I$11*$M$11</f>
        <v>337199.63962796039</v>
      </c>
      <c r="N54" s="26">
        <f>$I$11*$N$11</f>
        <v>0</v>
      </c>
      <c r="O54" s="26">
        <f>$I$11*$O$11</f>
        <v>0</v>
      </c>
      <c r="P54" s="26">
        <f>$I$11*$P$11</f>
        <v>-246818.97568209466</v>
      </c>
      <c r="Q54" s="26">
        <f>$I$11*$Q$11</f>
        <v>2442511.5748575227</v>
      </c>
      <c r="R54" s="26">
        <f>$I$11*$R$11</f>
        <v>137471.69847808924</v>
      </c>
      <c r="S54" s="26">
        <f>$I$11*$S$11</f>
        <v>85811.914971211707</v>
      </c>
      <c r="T54" s="26">
        <f>$I$11*$T$11</f>
        <v>0</v>
      </c>
      <c r="U54" s="26">
        <f>$I$11*$U$11</f>
        <v>-650189.55220607552</v>
      </c>
      <c r="V54" s="26">
        <f>$I$11*$V$11</f>
        <v>63946.438008991317</v>
      </c>
      <c r="X54" s="26">
        <f>$I$11*$X$11</f>
        <v>25364.608516143031</v>
      </c>
      <c r="Y54" s="26">
        <f>$I$11*$Y$11</f>
        <v>108543.58231995022</v>
      </c>
      <c r="Z54" s="26">
        <f>$I$11*$Z$11</f>
        <v>0</v>
      </c>
      <c r="AA54" s="26">
        <f>$I$11*$AA$11</f>
        <v>0</v>
      </c>
      <c r="AB54" s="26">
        <f>$I$11*$AB$11</f>
        <v>0</v>
      </c>
      <c r="AC54" s="26">
        <f>$I$11*$AC$11</f>
        <v>2705134.5399128101</v>
      </c>
      <c r="AD54" s="26">
        <f>$I$11*$AD$11</f>
        <v>88323.268919864917</v>
      </c>
      <c r="AE54" s="26">
        <f>$I$11*$AE$11</f>
        <v>82768.191125928613</v>
      </c>
      <c r="AF54" s="26">
        <f>$I$11*$AF$11</f>
        <v>0</v>
      </c>
      <c r="AG54" s="26">
        <f>$I$11*$AG$11</f>
        <v>-97678.451124324565</v>
      </c>
      <c r="AH54" s="26">
        <f>$I$11*$AH$11</f>
        <v>63496.688922081215</v>
      </c>
    </row>
    <row r="55" spans="1:34" ht="11.25" customHeight="1" x14ac:dyDescent="0.25">
      <c r="A55" s="9" t="s">
        <v>22</v>
      </c>
      <c r="B55" s="9" t="s">
        <v>1107</v>
      </c>
      <c r="C55" s="9" t="s">
        <v>1108</v>
      </c>
      <c r="D55" s="9" t="s">
        <v>1113</v>
      </c>
      <c r="E55" s="9" t="s">
        <v>1114</v>
      </c>
      <c r="F55" s="9" t="s">
        <v>1115</v>
      </c>
      <c r="G55" s="9" t="s">
        <v>1116</v>
      </c>
      <c r="L55" s="26">
        <f>$I$12*$L$12</f>
        <v>174.42131218482166</v>
      </c>
      <c r="M55" s="26">
        <f>$I$12*$M$12</f>
        <v>2283.6189106378188</v>
      </c>
      <c r="N55" s="26">
        <f>$I$12*$N$12</f>
        <v>0</v>
      </c>
      <c r="O55" s="26">
        <f>$I$12*$O$12</f>
        <v>0</v>
      </c>
      <c r="P55" s="26">
        <f>$I$12*$P$12</f>
        <v>-1671.533460100266</v>
      </c>
      <c r="Q55" s="26">
        <f>$I$12*$Q$12</f>
        <v>16541.434112890718</v>
      </c>
      <c r="R55" s="26">
        <f>$I$12*$R$12</f>
        <v>931.00031384503802</v>
      </c>
      <c r="S55" s="26">
        <f>$I$12*$S$12</f>
        <v>581.14448758756805</v>
      </c>
      <c r="T55" s="26">
        <f>$I$12*$T$12</f>
        <v>0</v>
      </c>
      <c r="U55" s="26">
        <f>$I$12*$U$12</f>
        <v>-4403.2821581752723</v>
      </c>
      <c r="V55" s="26">
        <f>$I$12*$V$12</f>
        <v>433.06480180814799</v>
      </c>
      <c r="X55" s="26">
        <f>$I$12*$X$12</f>
        <v>171.77687298923928</v>
      </c>
      <c r="Y55" s="26">
        <f>$I$12*$Y$12</f>
        <v>735.09027912276213</v>
      </c>
      <c r="Z55" s="26">
        <f>$I$12*$Z$12</f>
        <v>0</v>
      </c>
      <c r="AA55" s="26">
        <f>$I$12*$AA$12</f>
        <v>0</v>
      </c>
      <c r="AB55" s="26">
        <f>$I$12*$AB$12</f>
        <v>0</v>
      </c>
      <c r="AC55" s="26">
        <f>$I$12*$AC$12</f>
        <v>18319.997014172932</v>
      </c>
      <c r="AD55" s="26">
        <f>$I$12*$AD$12</f>
        <v>598.15214327420165</v>
      </c>
      <c r="AE55" s="26">
        <f>$I$12*$AE$12</f>
        <v>560.53146042206856</v>
      </c>
      <c r="AF55" s="26">
        <f>$I$12*$AF$12</f>
        <v>0</v>
      </c>
      <c r="AG55" s="26">
        <f>$I$12*$AG$12</f>
        <v>-661.50829341166127</v>
      </c>
      <c r="AH55" s="26">
        <f>$I$12*$AH$12</f>
        <v>430.01896367782552</v>
      </c>
    </row>
    <row r="56" spans="1:34" ht="11.25" customHeight="1" x14ac:dyDescent="0.25">
      <c r="A56" s="9" t="s">
        <v>22</v>
      </c>
      <c r="B56" s="9" t="s">
        <v>1107</v>
      </c>
      <c r="C56" s="9" t="s">
        <v>1108</v>
      </c>
      <c r="D56" s="9" t="s">
        <v>1117</v>
      </c>
      <c r="E56" s="9" t="s">
        <v>1118</v>
      </c>
      <c r="F56" s="9" t="s">
        <v>1119</v>
      </c>
      <c r="G56" s="9" t="s">
        <v>1120</v>
      </c>
      <c r="L56" s="26">
        <f>$I$13*$L$13</f>
        <v>550.25093232442987</v>
      </c>
      <c r="M56" s="26">
        <f>$I$13*$M$13</f>
        <v>7204.1851933820408</v>
      </c>
      <c r="N56" s="26">
        <f>$I$13*$N$13</f>
        <v>0</v>
      </c>
      <c r="O56" s="26">
        <f>$I$13*$O$13</f>
        <v>0</v>
      </c>
      <c r="P56" s="26">
        <f>$I$13*$P$13</f>
        <v>-5273.2251197436535</v>
      </c>
      <c r="Q56" s="26">
        <f>$I$13*$Q$13</f>
        <v>52183.643320814925</v>
      </c>
      <c r="R56" s="26">
        <f>$I$13*$R$13</f>
        <v>2937.0481409103199</v>
      </c>
      <c r="S56" s="26">
        <f>$I$13*$S$13</f>
        <v>1833.3499049211343</v>
      </c>
      <c r="T56" s="26">
        <f>$I$13*$T$13</f>
        <v>0</v>
      </c>
      <c r="U56" s="26">
        <f>$I$13*$U$13</f>
        <v>-13891.135678741417</v>
      </c>
      <c r="V56" s="26">
        <f>$I$13*$V$13</f>
        <v>1366.1995083451991</v>
      </c>
      <c r="X56" s="26">
        <f>$I$13*$X$13</f>
        <v>541.90845906461175</v>
      </c>
      <c r="Y56" s="26">
        <f>$I$13*$Y$13</f>
        <v>2319.0062404835153</v>
      </c>
      <c r="Z56" s="26">
        <f>$I$13*$Z$13</f>
        <v>0</v>
      </c>
      <c r="AA56" s="26">
        <f>$I$13*$AA$13</f>
        <v>0</v>
      </c>
      <c r="AB56" s="26">
        <f>$I$13*$AB$13</f>
        <v>0</v>
      </c>
      <c r="AC56" s="26">
        <f>$I$13*$AC$13</f>
        <v>57794.516684679977</v>
      </c>
      <c r="AD56" s="26">
        <f>$I$13*$AD$13</f>
        <v>1887.0043481826717</v>
      </c>
      <c r="AE56" s="26">
        <f>$I$13*$AE$13</f>
        <v>1768.3215131852332</v>
      </c>
      <c r="AF56" s="26">
        <f>$I$13*$AF$13</f>
        <v>0</v>
      </c>
      <c r="AG56" s="26">
        <f>$I$13*$AG$13</f>
        <v>-2086.8754547862245</v>
      </c>
      <c r="AH56" s="26">
        <f>$I$13*$AH$13</f>
        <v>1356.5907326174738</v>
      </c>
    </row>
    <row r="57" spans="1:34" ht="11.25" customHeight="1" x14ac:dyDescent="0.25">
      <c r="A57" s="9" t="s">
        <v>22</v>
      </c>
      <c r="B57" s="9" t="s">
        <v>1107</v>
      </c>
      <c r="C57" s="9" t="s">
        <v>1108</v>
      </c>
      <c r="D57" s="9" t="s">
        <v>1121</v>
      </c>
      <c r="E57" s="9" t="s">
        <v>1122</v>
      </c>
      <c r="F57" s="9" t="s">
        <v>1123</v>
      </c>
      <c r="G57" s="9" t="s">
        <v>1124</v>
      </c>
      <c r="L57" s="26">
        <f>$I$14*$L$14</f>
        <v>364.5107566242562</v>
      </c>
      <c r="M57" s="26">
        <f>$I$14*$M$14</f>
        <v>4772.3735507505708</v>
      </c>
      <c r="N57" s="26">
        <f>$I$14*$N$14</f>
        <v>0</v>
      </c>
      <c r="O57" s="26">
        <f>$I$14*$O$14</f>
        <v>0</v>
      </c>
      <c r="P57" s="26">
        <f>$I$14*$P$14</f>
        <v>-3493.2194846595712</v>
      </c>
      <c r="Q57" s="26">
        <f>$I$14*$Q$14</f>
        <v>34568.772523342901</v>
      </c>
      <c r="R57" s="26">
        <f>$I$14*$R$14</f>
        <v>1945.6316694686939</v>
      </c>
      <c r="S57" s="26">
        <f>$I$14*$S$14</f>
        <v>1214.4927372986135</v>
      </c>
      <c r="T57" s="26">
        <f>$I$14*$T$14</f>
        <v>0</v>
      </c>
      <c r="U57" s="26">
        <f>$I$14*$U$14</f>
        <v>-9202.107764249633</v>
      </c>
      <c r="V57" s="26">
        <f>$I$14*$V$14</f>
        <v>905.03148151501193</v>
      </c>
      <c r="X57" s="26">
        <f>$I$14*$X$14</f>
        <v>358.9843302950739</v>
      </c>
      <c r="Y57" s="26">
        <f>$I$14*$Y$14</f>
        <v>1536.2131523597773</v>
      </c>
      <c r="Z57" s="26">
        <f>$I$14*$Z$14</f>
        <v>0</v>
      </c>
      <c r="AA57" s="26">
        <f>$I$14*$AA$14</f>
        <v>0</v>
      </c>
      <c r="AB57" s="26">
        <f>$I$14*$AB$14</f>
        <v>0</v>
      </c>
      <c r="AC57" s="26">
        <f>$I$14*$AC$14</f>
        <v>38285.665262707524</v>
      </c>
      <c r="AD57" s="26">
        <f>$I$14*$AD$14</f>
        <v>1250.0358332946496</v>
      </c>
      <c r="AE57" s="26">
        <f>$I$14*$AE$14</f>
        <v>1171.4150305992703</v>
      </c>
      <c r="AF57" s="26">
        <f>$I$14*$AF$14</f>
        <v>0</v>
      </c>
      <c r="AG57" s="26">
        <f>$I$14*$AG$14</f>
        <v>-1382.439367783225</v>
      </c>
      <c r="AH57" s="26">
        <f>$I$14*$AH$14</f>
        <v>898.66619995892131</v>
      </c>
    </row>
    <row r="58" spans="1:34" ht="11.25" customHeight="1" x14ac:dyDescent="0.25">
      <c r="A58" s="9" t="s">
        <v>22</v>
      </c>
      <c r="B58" s="9" t="s">
        <v>1107</v>
      </c>
      <c r="C58" s="9" t="s">
        <v>1108</v>
      </c>
      <c r="D58" s="9" t="s">
        <v>1125</v>
      </c>
      <c r="E58" s="9" t="s">
        <v>1126</v>
      </c>
      <c r="F58" s="9" t="s">
        <v>1127</v>
      </c>
      <c r="G58" s="9" t="s">
        <v>1128</v>
      </c>
      <c r="L58" s="26">
        <f>$I$15*$L$15</f>
        <v>43.368478239455982</v>
      </c>
      <c r="M58" s="26">
        <f>$I$15*$M$15</f>
        <v>567.80376086303033</v>
      </c>
      <c r="N58" s="26">
        <f>$I$15*$N$15</f>
        <v>0</v>
      </c>
      <c r="O58" s="26">
        <f>$I$15*$O$15</f>
        <v>0</v>
      </c>
      <c r="P58" s="26">
        <f>$I$15*$P$15</f>
        <v>-415.61355996488874</v>
      </c>
      <c r="Q58" s="26">
        <f>$I$15*$Q$15</f>
        <v>4112.8966201913654</v>
      </c>
      <c r="R58" s="26">
        <f>$I$15*$R$15</f>
        <v>231.48585655135781</v>
      </c>
      <c r="S58" s="26">
        <f>$I$15*$S$15</f>
        <v>144.4969754453806</v>
      </c>
      <c r="T58" s="26">
        <f>$I$15*$T$15</f>
        <v>0</v>
      </c>
      <c r="U58" s="26">
        <f>$I$15*$U$15</f>
        <v>-1094.8412442664044</v>
      </c>
      <c r="V58" s="26">
        <f>$I$15*$V$15</f>
        <v>107.67813404356075</v>
      </c>
      <c r="X58" s="26">
        <f>$I$15*$X$15</f>
        <v>42.710959371648883</v>
      </c>
      <c r="Y58" s="26">
        <f>$I$15*$Y$15</f>
        <v>182.77437759664562</v>
      </c>
      <c r="Z58" s="26">
        <f>$I$15*$Z$15</f>
        <v>0</v>
      </c>
      <c r="AA58" s="26">
        <f>$I$15*$AA$15</f>
        <v>0</v>
      </c>
      <c r="AB58" s="26">
        <f>$I$15*$AB$15</f>
        <v>0</v>
      </c>
      <c r="AC58" s="26">
        <f>$I$15*$AC$15</f>
        <v>4555.1222032670694</v>
      </c>
      <c r="AD58" s="26">
        <f>$I$15*$AD$15</f>
        <v>148.72579436842813</v>
      </c>
      <c r="AE58" s="26">
        <f>$I$15*$AE$15</f>
        <v>139.37170945076974</v>
      </c>
      <c r="AF58" s="26">
        <f>$I$15*$AF$15</f>
        <v>0</v>
      </c>
      <c r="AG58" s="26">
        <f>$I$15*$AG$15</f>
        <v>-164.47879945797038</v>
      </c>
      <c r="AH58" s="26">
        <f>$I$15*$AH$15</f>
        <v>106.92081050883212</v>
      </c>
    </row>
    <row r="59" spans="1:34" ht="11.25" customHeight="1" x14ac:dyDescent="0.25">
      <c r="A59" s="9" t="s">
        <v>22</v>
      </c>
      <c r="B59" s="9" t="s">
        <v>1129</v>
      </c>
      <c r="C59" s="9" t="s">
        <v>1130</v>
      </c>
      <c r="D59" s="9" t="s">
        <v>1131</v>
      </c>
      <c r="E59" s="9" t="s">
        <v>1132</v>
      </c>
      <c r="F59" s="9" t="s">
        <v>1133</v>
      </c>
      <c r="G59" s="9" t="s">
        <v>1134</v>
      </c>
      <c r="L59" s="26">
        <f>$I$16*$L$16</f>
        <v>0</v>
      </c>
      <c r="M59" s="26">
        <f>$I$16*$M$16</f>
        <v>0</v>
      </c>
      <c r="N59" s="26">
        <f>$I$16*$N$16</f>
        <v>0</v>
      </c>
      <c r="O59" s="26">
        <f>$I$16*$O$16</f>
        <v>0</v>
      </c>
      <c r="P59" s="26">
        <f>$I$16*$P$16</f>
        <v>0</v>
      </c>
      <c r="Q59" s="26">
        <f>$I$16*$Q$16</f>
        <v>0</v>
      </c>
      <c r="R59" s="26">
        <f>$I$16*$R$16</f>
        <v>0</v>
      </c>
      <c r="S59" s="26">
        <f>$I$16*$S$16</f>
        <v>0</v>
      </c>
      <c r="T59" s="26">
        <f>$I$16*$T$16</f>
        <v>0</v>
      </c>
      <c r="U59" s="26">
        <f>$I$16*$U$16</f>
        <v>0</v>
      </c>
      <c r="V59" s="26">
        <f>$I$16*$V$16</f>
        <v>0</v>
      </c>
      <c r="X59" s="26">
        <f>$I$16*$X$16</f>
        <v>0</v>
      </c>
      <c r="Y59" s="26">
        <f>$I$16*$Y$16</f>
        <v>0</v>
      </c>
      <c r="Z59" s="26">
        <f>$I$16*$Z$16</f>
        <v>0</v>
      </c>
      <c r="AA59" s="26">
        <f>$I$16*$AA$16</f>
        <v>0</v>
      </c>
      <c r="AB59" s="26">
        <f>$I$16*$AB$16</f>
        <v>0</v>
      </c>
      <c r="AC59" s="26">
        <f>$I$16*$AC$16</f>
        <v>0</v>
      </c>
      <c r="AD59" s="26">
        <f>$I$16*$AD$16</f>
        <v>0</v>
      </c>
      <c r="AE59" s="26">
        <f>$I$16*$AE$16</f>
        <v>0</v>
      </c>
      <c r="AF59" s="26">
        <f>$I$16*$AF$16</f>
        <v>0</v>
      </c>
      <c r="AG59" s="26">
        <f>$I$16*$AG$16</f>
        <v>0</v>
      </c>
      <c r="AH59" s="26">
        <f>$I$16*$AH$16</f>
        <v>0</v>
      </c>
    </row>
    <row r="60" spans="1:34" ht="11.25" customHeight="1" x14ac:dyDescent="0.25">
      <c r="A60" s="9" t="s">
        <v>22</v>
      </c>
      <c r="B60" s="9" t="s">
        <v>1129</v>
      </c>
      <c r="C60" s="9" t="s">
        <v>1130</v>
      </c>
      <c r="D60" s="9" t="s">
        <v>1135</v>
      </c>
      <c r="E60" s="9" t="s">
        <v>1136</v>
      </c>
      <c r="F60" s="9" t="s">
        <v>1137</v>
      </c>
      <c r="G60" s="9" t="s">
        <v>1138</v>
      </c>
      <c r="L60" s="26">
        <f>$I$17*$L$17</f>
        <v>0</v>
      </c>
      <c r="M60" s="26">
        <f>$I$17*$M$17</f>
        <v>0</v>
      </c>
      <c r="N60" s="26">
        <f>$I$17*$N$17</f>
        <v>0</v>
      </c>
      <c r="O60" s="26">
        <f>$I$17*$O$17</f>
        <v>0</v>
      </c>
      <c r="P60" s="26">
        <f>$I$17*$P$17</f>
        <v>0</v>
      </c>
      <c r="Q60" s="26">
        <f>$I$17*$Q$17</f>
        <v>0</v>
      </c>
      <c r="R60" s="26">
        <f>$I$17*$R$17</f>
        <v>0</v>
      </c>
      <c r="S60" s="26">
        <f>$I$17*$S$17</f>
        <v>0</v>
      </c>
      <c r="T60" s="26">
        <f>$I$17*$T$17</f>
        <v>0</v>
      </c>
      <c r="U60" s="26">
        <f>$I$17*$U$17</f>
        <v>0</v>
      </c>
      <c r="V60" s="26">
        <f>$I$17*$V$17</f>
        <v>0</v>
      </c>
      <c r="X60" s="26">
        <f>$I$17*$X$17</f>
        <v>0</v>
      </c>
      <c r="Y60" s="26">
        <f>$I$17*$Y$17</f>
        <v>0</v>
      </c>
      <c r="Z60" s="26">
        <f>$I$17*$Z$17</f>
        <v>0</v>
      </c>
      <c r="AA60" s="26">
        <f>$I$17*$AA$17</f>
        <v>0</v>
      </c>
      <c r="AB60" s="26">
        <f>$I$17*$AB$17</f>
        <v>0</v>
      </c>
      <c r="AC60" s="26">
        <f>$I$17*$AC$17</f>
        <v>0</v>
      </c>
      <c r="AD60" s="26">
        <f>$I$17*$AD$17</f>
        <v>0</v>
      </c>
      <c r="AE60" s="26">
        <f>$I$17*$AE$17</f>
        <v>0</v>
      </c>
      <c r="AF60" s="26">
        <f>$I$17*$AF$17</f>
        <v>0</v>
      </c>
      <c r="AG60" s="26">
        <f>$I$17*$AG$17</f>
        <v>0</v>
      </c>
      <c r="AH60" s="26">
        <f>$I$17*$AH$17</f>
        <v>0</v>
      </c>
    </row>
    <row r="61" spans="1:34" ht="11.25" customHeight="1" x14ac:dyDescent="0.25">
      <c r="A61" s="9" t="s">
        <v>22</v>
      </c>
      <c r="B61" s="9" t="s">
        <v>1129</v>
      </c>
      <c r="C61" s="9" t="s">
        <v>1130</v>
      </c>
      <c r="D61" s="9" t="s">
        <v>1139</v>
      </c>
      <c r="E61" s="9" t="s">
        <v>1140</v>
      </c>
      <c r="F61" s="9" t="s">
        <v>1141</v>
      </c>
      <c r="G61" s="9" t="s">
        <v>1142</v>
      </c>
      <c r="L61" s="26">
        <f>$I$18*$L$18</f>
        <v>0</v>
      </c>
      <c r="M61" s="26">
        <f>$I$18*$M$18</f>
        <v>0</v>
      </c>
      <c r="N61" s="26">
        <f>$I$18*$N$18</f>
        <v>0</v>
      </c>
      <c r="O61" s="26">
        <f>$I$18*$O$18</f>
        <v>0</v>
      </c>
      <c r="P61" s="26">
        <f>$I$18*$P$18</f>
        <v>0</v>
      </c>
      <c r="Q61" s="26">
        <f>$I$18*$Q$18</f>
        <v>0</v>
      </c>
      <c r="R61" s="26">
        <f>$I$18*$R$18</f>
        <v>0</v>
      </c>
      <c r="S61" s="26">
        <f>$I$18*$S$18</f>
        <v>0</v>
      </c>
      <c r="T61" s="26">
        <f>$I$18*$T$18</f>
        <v>0</v>
      </c>
      <c r="U61" s="26">
        <f>$I$18*$U$18</f>
        <v>0</v>
      </c>
      <c r="V61" s="26">
        <f>$I$18*$V$18</f>
        <v>0</v>
      </c>
      <c r="X61" s="26">
        <f>$I$18*$X$18</f>
        <v>0</v>
      </c>
      <c r="Y61" s="26">
        <f>$I$18*$Y$18</f>
        <v>0</v>
      </c>
      <c r="Z61" s="26">
        <f>$I$18*$Z$18</f>
        <v>0</v>
      </c>
      <c r="AA61" s="26">
        <f>$I$18*$AA$18</f>
        <v>0</v>
      </c>
      <c r="AB61" s="26">
        <f>$I$18*$AB$18</f>
        <v>0</v>
      </c>
      <c r="AC61" s="26">
        <f>$I$18*$AC$18</f>
        <v>0</v>
      </c>
      <c r="AD61" s="26">
        <f>$I$18*$AD$18</f>
        <v>0</v>
      </c>
      <c r="AE61" s="26">
        <f>$I$18*$AE$18</f>
        <v>0</v>
      </c>
      <c r="AF61" s="26">
        <f>$I$18*$AF$18</f>
        <v>0</v>
      </c>
      <c r="AG61" s="26">
        <f>$I$18*$AG$18</f>
        <v>0</v>
      </c>
      <c r="AH61" s="26">
        <f>$I$18*$AH$18</f>
        <v>0</v>
      </c>
    </row>
    <row r="62" spans="1:34" ht="11.25" customHeight="1" x14ac:dyDescent="0.25">
      <c r="A62" s="9" t="s">
        <v>22</v>
      </c>
      <c r="B62" s="9" t="s">
        <v>1129</v>
      </c>
      <c r="C62" s="9" t="s">
        <v>1130</v>
      </c>
      <c r="D62" s="9" t="s">
        <v>1143</v>
      </c>
      <c r="E62" s="9" t="s">
        <v>1144</v>
      </c>
      <c r="F62" s="9" t="s">
        <v>1145</v>
      </c>
      <c r="G62" s="9" t="s">
        <v>1146</v>
      </c>
      <c r="L62" s="26">
        <f>$I$19*$L$19</f>
        <v>0</v>
      </c>
      <c r="M62" s="26">
        <f>$I$19*$M$19</f>
        <v>0</v>
      </c>
      <c r="N62" s="26">
        <f>$I$19*$N$19</f>
        <v>0</v>
      </c>
      <c r="O62" s="26">
        <f>$I$19*$O$19</f>
        <v>0</v>
      </c>
      <c r="P62" s="26">
        <f>$I$19*$P$19</f>
        <v>0</v>
      </c>
      <c r="Q62" s="26">
        <f>$I$19*$Q$19</f>
        <v>0</v>
      </c>
      <c r="R62" s="26">
        <f>$I$19*$R$19</f>
        <v>0</v>
      </c>
      <c r="S62" s="26">
        <f>$I$19*$S$19</f>
        <v>0</v>
      </c>
      <c r="T62" s="26">
        <f>$I$19*$T$19</f>
        <v>0</v>
      </c>
      <c r="U62" s="26">
        <f>$I$19*$U$19</f>
        <v>0</v>
      </c>
      <c r="V62" s="26">
        <f>$I$19*$V$19</f>
        <v>0</v>
      </c>
      <c r="X62" s="26">
        <f>$I$19*$X$19</f>
        <v>0</v>
      </c>
      <c r="Y62" s="26">
        <f>$I$19*$Y$19</f>
        <v>0</v>
      </c>
      <c r="Z62" s="26">
        <f>$I$19*$Z$19</f>
        <v>0</v>
      </c>
      <c r="AA62" s="26">
        <f>$I$19*$AA$19</f>
        <v>0</v>
      </c>
      <c r="AB62" s="26">
        <f>$I$19*$AB$19</f>
        <v>0</v>
      </c>
      <c r="AC62" s="26">
        <f>$I$19*$AC$19</f>
        <v>0</v>
      </c>
      <c r="AD62" s="26">
        <f>$I$19*$AD$19</f>
        <v>0</v>
      </c>
      <c r="AE62" s="26">
        <f>$I$19*$AE$19</f>
        <v>0</v>
      </c>
      <c r="AF62" s="26">
        <f>$I$19*$AF$19</f>
        <v>0</v>
      </c>
      <c r="AG62" s="26">
        <f>$I$19*$AG$19</f>
        <v>0</v>
      </c>
      <c r="AH62" s="26">
        <f>$I$19*$AH$19</f>
        <v>0</v>
      </c>
    </row>
    <row r="63" spans="1:34" ht="11.25" customHeight="1" x14ac:dyDescent="0.25">
      <c r="A63" s="9" t="s">
        <v>22</v>
      </c>
      <c r="B63" s="9" t="s">
        <v>1129</v>
      </c>
      <c r="C63" s="9" t="s">
        <v>1130</v>
      </c>
      <c r="D63" s="9" t="s">
        <v>1147</v>
      </c>
      <c r="E63" s="9" t="s">
        <v>1148</v>
      </c>
      <c r="F63" s="9" t="s">
        <v>1149</v>
      </c>
      <c r="G63" s="9" t="s">
        <v>1150</v>
      </c>
      <c r="L63" s="26">
        <f>$I$20*$L$20</f>
        <v>0</v>
      </c>
      <c r="M63" s="26">
        <f>$I$20*$M$20</f>
        <v>0</v>
      </c>
      <c r="N63" s="26">
        <f>$I$20*$N$20</f>
        <v>0</v>
      </c>
      <c r="O63" s="26">
        <f>$I$20*$O$20</f>
        <v>0</v>
      </c>
      <c r="P63" s="26">
        <f>$I$20*$P$20</f>
        <v>0</v>
      </c>
      <c r="Q63" s="26">
        <f>$I$20*$Q$20</f>
        <v>0</v>
      </c>
      <c r="R63" s="26">
        <f>$I$20*$R$20</f>
        <v>0</v>
      </c>
      <c r="S63" s="26">
        <f>$I$20*$S$20</f>
        <v>0</v>
      </c>
      <c r="T63" s="26">
        <f>$I$20*$T$20</f>
        <v>0</v>
      </c>
      <c r="U63" s="26">
        <f>$I$20*$U$20</f>
        <v>0</v>
      </c>
      <c r="V63" s="26">
        <f>$I$20*$V$20</f>
        <v>0</v>
      </c>
      <c r="X63" s="26">
        <f>$I$20*$X$20</f>
        <v>0</v>
      </c>
      <c r="Y63" s="26">
        <f>$I$20*$Y$20</f>
        <v>0</v>
      </c>
      <c r="Z63" s="26">
        <f>$I$20*$Z$20</f>
        <v>0</v>
      </c>
      <c r="AA63" s="26">
        <f>$I$20*$AA$20</f>
        <v>0</v>
      </c>
      <c r="AB63" s="26">
        <f>$I$20*$AB$20</f>
        <v>0</v>
      </c>
      <c r="AC63" s="26">
        <f>$I$20*$AC$20</f>
        <v>0</v>
      </c>
      <c r="AD63" s="26">
        <f>$I$20*$AD$20</f>
        <v>0</v>
      </c>
      <c r="AE63" s="26">
        <f>$I$20*$AE$20</f>
        <v>0</v>
      </c>
      <c r="AF63" s="26">
        <f>$I$20*$AF$20</f>
        <v>0</v>
      </c>
      <c r="AG63" s="26">
        <f>$I$20*$AG$20</f>
        <v>0</v>
      </c>
      <c r="AH63" s="26">
        <f>$I$20*$AH$20</f>
        <v>0</v>
      </c>
    </row>
    <row r="64" spans="1:34" ht="11.25" customHeight="1" x14ac:dyDescent="0.25">
      <c r="A64" s="9" t="s">
        <v>41</v>
      </c>
      <c r="B64" s="9" t="s">
        <v>1151</v>
      </c>
      <c r="C64" s="9" t="s">
        <v>1152</v>
      </c>
      <c r="D64" s="9" t="s">
        <v>1153</v>
      </c>
      <c r="E64" s="9" t="s">
        <v>1154</v>
      </c>
      <c r="F64" s="9" t="s">
        <v>1155</v>
      </c>
      <c r="G64" s="9" t="s">
        <v>1156</v>
      </c>
      <c r="L64" s="26">
        <f>$I$21*$L$21</f>
        <v>0</v>
      </c>
      <c r="M64" s="26">
        <f>$I$21*$M$21</f>
        <v>0</v>
      </c>
      <c r="N64" s="26">
        <f>$I$21*$N$21</f>
        <v>0</v>
      </c>
      <c r="O64" s="26">
        <f>$I$21*$O$21</f>
        <v>0</v>
      </c>
      <c r="P64" s="26">
        <f>$I$21*$P$21</f>
        <v>0</v>
      </c>
      <c r="Q64" s="26">
        <f>$I$21*$Q$21</f>
        <v>0</v>
      </c>
      <c r="R64" s="26">
        <f>$I$21*$R$21</f>
        <v>0</v>
      </c>
      <c r="S64" s="26">
        <f>$I$21*$S$21</f>
        <v>0</v>
      </c>
      <c r="T64" s="26">
        <f>$I$21*$T$21</f>
        <v>0</v>
      </c>
      <c r="U64" s="26">
        <f>$I$21*$U$21</f>
        <v>0</v>
      </c>
      <c r="V64" s="26">
        <f>$I$21*$V$21</f>
        <v>0</v>
      </c>
      <c r="X64" s="26">
        <f>$I$21*$X$21</f>
        <v>0</v>
      </c>
      <c r="Y64" s="26">
        <f>$I$21*$Y$21</f>
        <v>0</v>
      </c>
      <c r="Z64" s="26">
        <f>$I$21*$Z$21</f>
        <v>0</v>
      </c>
      <c r="AA64" s="26">
        <f>$I$21*$AA$21</f>
        <v>0</v>
      </c>
      <c r="AB64" s="26">
        <f>$I$21*$AB$21</f>
        <v>0</v>
      </c>
      <c r="AC64" s="26">
        <f>$I$21*$AC$21</f>
        <v>0</v>
      </c>
      <c r="AD64" s="26">
        <f>$I$21*$AD$21</f>
        <v>0</v>
      </c>
      <c r="AE64" s="26">
        <f>$I$21*$AE$21</f>
        <v>0</v>
      </c>
      <c r="AF64" s="26">
        <f>$I$21*$AF$21</f>
        <v>0</v>
      </c>
      <c r="AG64" s="26">
        <f>$I$21*$AG$21</f>
        <v>0</v>
      </c>
      <c r="AH64" s="26">
        <f>$I$21*$AH$21</f>
        <v>0</v>
      </c>
    </row>
    <row r="65" spans="1:34" ht="11.25" customHeight="1" x14ac:dyDescent="0.25">
      <c r="A65" s="9" t="s">
        <v>41</v>
      </c>
      <c r="B65" s="9" t="s">
        <v>1151</v>
      </c>
      <c r="C65" s="9" t="s">
        <v>1152</v>
      </c>
      <c r="D65" s="9" t="s">
        <v>1153</v>
      </c>
      <c r="E65" s="9" t="s">
        <v>1154</v>
      </c>
      <c r="F65" s="9" t="s">
        <v>1155</v>
      </c>
      <c r="G65" s="9" t="s">
        <v>1157</v>
      </c>
      <c r="L65" s="26">
        <f>$I$22*$L$22</f>
        <v>0</v>
      </c>
      <c r="M65" s="26">
        <f>$I$22*$M$22</f>
        <v>0</v>
      </c>
      <c r="N65" s="26">
        <f>$I$22*$N$22</f>
        <v>0</v>
      </c>
      <c r="O65" s="26">
        <f>$I$22*$O$22</f>
        <v>0</v>
      </c>
      <c r="P65" s="26">
        <f>$I$22*$P$22</f>
        <v>0</v>
      </c>
      <c r="Q65" s="26">
        <f>$I$22*$Q$22</f>
        <v>0</v>
      </c>
      <c r="R65" s="26">
        <f>$I$22*$R$22</f>
        <v>0</v>
      </c>
      <c r="S65" s="26">
        <f>$I$22*$S$22</f>
        <v>0</v>
      </c>
      <c r="T65" s="26">
        <f>$I$22*$T$22</f>
        <v>0</v>
      </c>
      <c r="U65" s="26">
        <f>$I$22*$U$22</f>
        <v>0</v>
      </c>
      <c r="V65" s="26">
        <f>$I$22*$V$22</f>
        <v>0</v>
      </c>
      <c r="X65" s="26">
        <f>$I$22*$X$22</f>
        <v>0</v>
      </c>
      <c r="Y65" s="26">
        <f>$I$22*$Y$22</f>
        <v>0</v>
      </c>
      <c r="Z65" s="26">
        <f>$I$22*$Z$22</f>
        <v>0</v>
      </c>
      <c r="AA65" s="26">
        <f>$I$22*$AA$22</f>
        <v>0</v>
      </c>
      <c r="AB65" s="26">
        <f>$I$22*$AB$22</f>
        <v>0</v>
      </c>
      <c r="AC65" s="26">
        <f>$I$22*$AC$22</f>
        <v>0</v>
      </c>
      <c r="AD65" s="26">
        <f>$I$22*$AD$22</f>
        <v>0</v>
      </c>
      <c r="AE65" s="26">
        <f>$I$22*$AE$22</f>
        <v>0</v>
      </c>
      <c r="AF65" s="26">
        <f>$I$22*$AF$22</f>
        <v>0</v>
      </c>
      <c r="AG65" s="26">
        <f>$I$22*$AG$22</f>
        <v>0</v>
      </c>
      <c r="AH65" s="26">
        <f>$I$22*$AH$22</f>
        <v>0</v>
      </c>
    </row>
    <row r="66" spans="1:34" ht="11.25" customHeight="1" x14ac:dyDescent="0.25">
      <c r="A66" s="9" t="s">
        <v>41</v>
      </c>
      <c r="B66" s="9" t="s">
        <v>1151</v>
      </c>
      <c r="C66" s="9" t="s">
        <v>1152</v>
      </c>
      <c r="D66" s="9" t="s">
        <v>1153</v>
      </c>
      <c r="E66" s="9" t="s">
        <v>1154</v>
      </c>
      <c r="F66" s="9" t="s">
        <v>1155</v>
      </c>
      <c r="G66" s="9" t="s">
        <v>1158</v>
      </c>
      <c r="L66" s="26">
        <f>$I$23*$L$23</f>
        <v>0</v>
      </c>
      <c r="M66" s="26">
        <f>$I$23*$M$23</f>
        <v>0</v>
      </c>
      <c r="N66" s="26">
        <f>$I$23*$N$23</f>
        <v>0</v>
      </c>
      <c r="O66" s="26">
        <f>$I$23*$O$23</f>
        <v>0</v>
      </c>
      <c r="P66" s="26">
        <f>$I$23*$P$23</f>
        <v>0</v>
      </c>
      <c r="Q66" s="26">
        <f>$I$23*$Q$23</f>
        <v>0</v>
      </c>
      <c r="R66" s="26">
        <f>$I$23*$R$23</f>
        <v>0</v>
      </c>
      <c r="S66" s="26">
        <f>$I$23*$S$23</f>
        <v>0</v>
      </c>
      <c r="T66" s="26">
        <f>$I$23*$T$23</f>
        <v>0</v>
      </c>
      <c r="U66" s="26">
        <f>$I$23*$U$23</f>
        <v>0</v>
      </c>
      <c r="V66" s="26">
        <f>$I$23*$V$23</f>
        <v>0</v>
      </c>
      <c r="X66" s="26">
        <f>$I$23*$X$23</f>
        <v>0</v>
      </c>
      <c r="Y66" s="26">
        <f>$I$23*$Y$23</f>
        <v>0</v>
      </c>
      <c r="Z66" s="26">
        <f>$I$23*$Z$23</f>
        <v>0</v>
      </c>
      <c r="AA66" s="26">
        <f>$I$23*$AA$23</f>
        <v>0</v>
      </c>
      <c r="AB66" s="26">
        <f>$I$23*$AB$23</f>
        <v>0</v>
      </c>
      <c r="AC66" s="26">
        <f>$I$23*$AC$23</f>
        <v>0</v>
      </c>
      <c r="AD66" s="26">
        <f>$I$23*$AD$23</f>
        <v>0</v>
      </c>
      <c r="AE66" s="26">
        <f>$I$23*$AE$23</f>
        <v>0</v>
      </c>
      <c r="AF66" s="26">
        <f>$I$23*$AF$23</f>
        <v>0</v>
      </c>
      <c r="AG66" s="26">
        <f>$I$23*$AG$23</f>
        <v>0</v>
      </c>
      <c r="AH66" s="26">
        <f>$I$23*$AH$23</f>
        <v>0</v>
      </c>
    </row>
    <row r="67" spans="1:34" ht="11.25" customHeight="1" x14ac:dyDescent="0.25">
      <c r="A67" s="9" t="s">
        <v>41</v>
      </c>
      <c r="B67" s="9" t="s">
        <v>1159</v>
      </c>
      <c r="C67" s="9" t="s">
        <v>1160</v>
      </c>
      <c r="D67" s="9" t="s">
        <v>1161</v>
      </c>
      <c r="E67" s="9" t="s">
        <v>1162</v>
      </c>
      <c r="F67" s="9" t="s">
        <v>1163</v>
      </c>
      <c r="G67" s="9" t="s">
        <v>1164</v>
      </c>
      <c r="L67" s="26">
        <f>$I$24*$L$24</f>
        <v>7636.7907693265552</v>
      </c>
      <c r="M67" s="26">
        <f>$I$24*$M$24</f>
        <v>99985.028199644905</v>
      </c>
      <c r="N67" s="26">
        <f>$I$24*$N$24</f>
        <v>0</v>
      </c>
      <c r="O67" s="26">
        <f>$I$24*$O$24</f>
        <v>0</v>
      </c>
      <c r="P67" s="26">
        <f>$I$24*$P$24</f>
        <v>-73185.7313697301</v>
      </c>
      <c r="Q67" s="26">
        <f>$I$24*$Q$24</f>
        <v>724243.32647429791</v>
      </c>
      <c r="R67" s="26">
        <f>$I$24*$R$24</f>
        <v>40762.533625925913</v>
      </c>
      <c r="S67" s="26">
        <f>$I$24*$S$24</f>
        <v>25444.590473846678</v>
      </c>
      <c r="T67" s="26">
        <f>$I$24*$T$24</f>
        <v>0</v>
      </c>
      <c r="U67" s="26">
        <f>$I$24*$U$24</f>
        <v>-192791.48929152187</v>
      </c>
      <c r="V67" s="26">
        <f>$I$24*$V$24</f>
        <v>18961.130606931056</v>
      </c>
      <c r="X67" s="26">
        <f>$I$24*$X$24</f>
        <v>7040.9434111517985</v>
      </c>
      <c r="Y67" s="26">
        <f>$I$24*$Y$24</f>
        <v>30130.534846302518</v>
      </c>
      <c r="Z67" s="26">
        <f>$I$24*$Z$24</f>
        <v>0</v>
      </c>
      <c r="AA67" s="26">
        <f>$I$24*$AA$24</f>
        <v>0</v>
      </c>
      <c r="AB67" s="26">
        <f>$I$24*$AB$24</f>
        <v>0</v>
      </c>
      <c r="AC67" s="26">
        <f>$I$24*$AC$24</f>
        <v>750916.34877613652</v>
      </c>
      <c r="AD67" s="26">
        <f>$I$24*$AD$24</f>
        <v>24517.592611647156</v>
      </c>
      <c r="AE67" s="26">
        <f>$I$24*$AE$24</f>
        <v>22975.562567431902</v>
      </c>
      <c r="AF67" s="26">
        <f>$I$24*$AF$24</f>
        <v>0</v>
      </c>
      <c r="AG67" s="26">
        <f>$I$24*$AG$24</f>
        <v>-27114.490902456306</v>
      </c>
      <c r="AH67" s="26">
        <f>$I$24*$AH$24</f>
        <v>17626.000149434411</v>
      </c>
    </row>
    <row r="68" spans="1:34" ht="11.25" customHeight="1" x14ac:dyDescent="0.25">
      <c r="A68" s="9" t="s">
        <v>41</v>
      </c>
      <c r="B68" s="9" t="s">
        <v>1151</v>
      </c>
      <c r="C68" s="9" t="s">
        <v>1152</v>
      </c>
      <c r="D68" s="9" t="s">
        <v>1165</v>
      </c>
      <c r="E68" s="9" t="s">
        <v>1166</v>
      </c>
      <c r="F68" s="9" t="s">
        <v>1167</v>
      </c>
      <c r="G68" s="9" t="s">
        <v>1168</v>
      </c>
      <c r="L68" s="26">
        <f>$I$25*$L$25</f>
        <v>0</v>
      </c>
      <c r="M68" s="26">
        <f>$I$25*$M$25</f>
        <v>0</v>
      </c>
      <c r="N68" s="26">
        <f>$I$25*$N$25</f>
        <v>0</v>
      </c>
      <c r="O68" s="26">
        <f>$I$25*$O$25</f>
        <v>0</v>
      </c>
      <c r="P68" s="26">
        <f>$I$25*$P$25</f>
        <v>0</v>
      </c>
      <c r="Q68" s="26">
        <f>$I$25*$Q$25</f>
        <v>0</v>
      </c>
      <c r="R68" s="26">
        <f>$I$25*$R$25</f>
        <v>0</v>
      </c>
      <c r="S68" s="26">
        <f>$I$25*$S$25</f>
        <v>0</v>
      </c>
      <c r="T68" s="26">
        <f>$I$25*$T$25</f>
        <v>0</v>
      </c>
      <c r="U68" s="26">
        <f>$I$25*$U$25</f>
        <v>0</v>
      </c>
      <c r="V68" s="26">
        <f>$I$25*$V$25</f>
        <v>0</v>
      </c>
      <c r="X68" s="26">
        <f>$I$25*$X$25</f>
        <v>0</v>
      </c>
      <c r="Y68" s="26">
        <f>$I$25*$Y$25</f>
        <v>0</v>
      </c>
      <c r="Z68" s="26">
        <f>$I$25*$Z$25</f>
        <v>0</v>
      </c>
      <c r="AA68" s="26">
        <f>$I$25*$AA$25</f>
        <v>0</v>
      </c>
      <c r="AB68" s="26">
        <f>$I$25*$AB$25</f>
        <v>0</v>
      </c>
      <c r="AC68" s="26">
        <f>$I$25*$AC$25</f>
        <v>0</v>
      </c>
      <c r="AD68" s="26">
        <f>$I$25*$AD$25</f>
        <v>0</v>
      </c>
      <c r="AE68" s="26">
        <f>$I$25*$AE$25</f>
        <v>0</v>
      </c>
      <c r="AF68" s="26">
        <f>$I$25*$AF$25</f>
        <v>0</v>
      </c>
      <c r="AG68" s="26">
        <f>$I$25*$AG$25</f>
        <v>0</v>
      </c>
      <c r="AH68" s="26">
        <f>$I$25*$AH$25</f>
        <v>0</v>
      </c>
    </row>
    <row r="69" spans="1:34" ht="11.25" customHeight="1" x14ac:dyDescent="0.25">
      <c r="A69" s="9" t="s">
        <v>41</v>
      </c>
      <c r="B69" s="9" t="s">
        <v>1151</v>
      </c>
      <c r="C69" s="9" t="s">
        <v>1152</v>
      </c>
      <c r="D69" s="9" t="s">
        <v>1165</v>
      </c>
      <c r="E69" s="9" t="s">
        <v>1166</v>
      </c>
      <c r="F69" s="9" t="s">
        <v>1167</v>
      </c>
      <c r="G69" s="9" t="s">
        <v>1169</v>
      </c>
      <c r="L69" s="26">
        <f>$I$26*$L$26</f>
        <v>0</v>
      </c>
      <c r="M69" s="26">
        <f>$I$26*$M$26</f>
        <v>0</v>
      </c>
      <c r="N69" s="26">
        <f>$I$26*$N$26</f>
        <v>0</v>
      </c>
      <c r="O69" s="26">
        <f>$I$26*$O$26</f>
        <v>0</v>
      </c>
      <c r="P69" s="26">
        <f>$I$26*$P$26</f>
        <v>0</v>
      </c>
      <c r="Q69" s="26">
        <f>$I$26*$Q$26</f>
        <v>0</v>
      </c>
      <c r="R69" s="26">
        <f>$I$26*$R$26</f>
        <v>0</v>
      </c>
      <c r="S69" s="26">
        <f>$I$26*$S$26</f>
        <v>0</v>
      </c>
      <c r="T69" s="26">
        <f>$I$26*$T$26</f>
        <v>0</v>
      </c>
      <c r="U69" s="26">
        <f>$I$26*$U$26</f>
        <v>0</v>
      </c>
      <c r="V69" s="26">
        <f>$I$26*$V$26</f>
        <v>0</v>
      </c>
      <c r="X69" s="26">
        <f>$I$26*$X$26</f>
        <v>0</v>
      </c>
      <c r="Y69" s="26">
        <f>$I$26*$Y$26</f>
        <v>0</v>
      </c>
      <c r="Z69" s="26">
        <f>$I$26*$Z$26</f>
        <v>0</v>
      </c>
      <c r="AA69" s="26">
        <f>$I$26*$AA$26</f>
        <v>0</v>
      </c>
      <c r="AB69" s="26">
        <f>$I$26*$AB$26</f>
        <v>0</v>
      </c>
      <c r="AC69" s="26">
        <f>$I$26*$AC$26</f>
        <v>0</v>
      </c>
      <c r="AD69" s="26">
        <f>$I$26*$AD$26</f>
        <v>0</v>
      </c>
      <c r="AE69" s="26">
        <f>$I$26*$AE$26</f>
        <v>0</v>
      </c>
      <c r="AF69" s="26">
        <f>$I$26*$AF$26</f>
        <v>0</v>
      </c>
      <c r="AG69" s="26">
        <f>$I$26*$AG$26</f>
        <v>0</v>
      </c>
      <c r="AH69" s="26">
        <f>$I$26*$AH$26</f>
        <v>0</v>
      </c>
    </row>
    <row r="70" spans="1:34" ht="11.25" customHeight="1" x14ac:dyDescent="0.25">
      <c r="A70" s="9" t="s">
        <v>41</v>
      </c>
      <c r="B70" s="9" t="s">
        <v>1151</v>
      </c>
      <c r="C70" s="9" t="s">
        <v>1152</v>
      </c>
      <c r="D70" s="9" t="s">
        <v>1165</v>
      </c>
      <c r="E70" s="9" t="s">
        <v>1166</v>
      </c>
      <c r="F70" s="9" t="s">
        <v>1167</v>
      </c>
      <c r="G70" s="9" t="s">
        <v>1170</v>
      </c>
      <c r="L70" s="26">
        <f>$I$27*$L$27</f>
        <v>0</v>
      </c>
      <c r="M70" s="26">
        <f>$I$27*$M$27</f>
        <v>0</v>
      </c>
      <c r="N70" s="26">
        <f>$I$27*$N$27</f>
        <v>0</v>
      </c>
      <c r="O70" s="26">
        <f>$I$27*$O$27</f>
        <v>0</v>
      </c>
      <c r="P70" s="26">
        <f>$I$27*$P$27</f>
        <v>0</v>
      </c>
      <c r="Q70" s="26">
        <f>$I$27*$Q$27</f>
        <v>0</v>
      </c>
      <c r="R70" s="26">
        <f>$I$27*$R$27</f>
        <v>0</v>
      </c>
      <c r="S70" s="26">
        <f>$I$27*$S$27</f>
        <v>0</v>
      </c>
      <c r="T70" s="26">
        <f>$I$27*$T$27</f>
        <v>0</v>
      </c>
      <c r="U70" s="26">
        <f>$I$27*$U$27</f>
        <v>0</v>
      </c>
      <c r="V70" s="26">
        <f>$I$27*$V$27</f>
        <v>0</v>
      </c>
      <c r="X70" s="26">
        <f>$I$27*$X$27</f>
        <v>0</v>
      </c>
      <c r="Y70" s="26">
        <f>$I$27*$Y$27</f>
        <v>0</v>
      </c>
      <c r="Z70" s="26">
        <f>$I$27*$Z$27</f>
        <v>0</v>
      </c>
      <c r="AA70" s="26">
        <f>$I$27*$AA$27</f>
        <v>0</v>
      </c>
      <c r="AB70" s="26">
        <f>$I$27*$AB$27</f>
        <v>0</v>
      </c>
      <c r="AC70" s="26">
        <f>$I$27*$AC$27</f>
        <v>0</v>
      </c>
      <c r="AD70" s="26">
        <f>$I$27*$AD$27</f>
        <v>0</v>
      </c>
      <c r="AE70" s="26">
        <f>$I$27*$AE$27</f>
        <v>0</v>
      </c>
      <c r="AF70" s="26">
        <f>$I$27*$AF$27</f>
        <v>0</v>
      </c>
      <c r="AG70" s="26">
        <f>$I$27*$AG$27</f>
        <v>0</v>
      </c>
      <c r="AH70" s="26">
        <f>$I$27*$AH$27</f>
        <v>0</v>
      </c>
    </row>
    <row r="71" spans="1:34" ht="11.25" customHeight="1" x14ac:dyDescent="0.25">
      <c r="A71" s="9" t="s">
        <v>41</v>
      </c>
      <c r="B71" s="9" t="s">
        <v>1159</v>
      </c>
      <c r="C71" s="9" t="s">
        <v>1160</v>
      </c>
      <c r="D71" s="9" t="s">
        <v>1171</v>
      </c>
      <c r="E71" s="9" t="s">
        <v>1172</v>
      </c>
      <c r="F71" s="9" t="s">
        <v>1173</v>
      </c>
      <c r="G71" s="9" t="s">
        <v>1174</v>
      </c>
      <c r="L71" s="26">
        <f>$I$28*$L$28</f>
        <v>0</v>
      </c>
      <c r="M71" s="26">
        <f>$I$28*$M$28</f>
        <v>0</v>
      </c>
      <c r="N71" s="26">
        <f>$I$28*$N$28</f>
        <v>0</v>
      </c>
      <c r="O71" s="26">
        <f>$I$28*$O$28</f>
        <v>0</v>
      </c>
      <c r="P71" s="26">
        <f>$I$28*$P$28</f>
        <v>0</v>
      </c>
      <c r="Q71" s="26">
        <f>$I$28*$Q$28</f>
        <v>0</v>
      </c>
      <c r="R71" s="26">
        <f>$I$28*$R$28</f>
        <v>0</v>
      </c>
      <c r="S71" s="26">
        <f>$I$28*$S$28</f>
        <v>0</v>
      </c>
      <c r="T71" s="26">
        <f>$I$28*$T$28</f>
        <v>0</v>
      </c>
      <c r="U71" s="26">
        <f>$I$28*$U$28</f>
        <v>0</v>
      </c>
      <c r="V71" s="26">
        <f>$I$28*$V$28</f>
        <v>0</v>
      </c>
      <c r="X71" s="26">
        <f>$I$28*$X$28</f>
        <v>0</v>
      </c>
      <c r="Y71" s="26">
        <f>$I$28*$Y$28</f>
        <v>0</v>
      </c>
      <c r="Z71" s="26">
        <f>$I$28*$Z$28</f>
        <v>0</v>
      </c>
      <c r="AA71" s="26">
        <f>$I$28*$AA$28</f>
        <v>0</v>
      </c>
      <c r="AB71" s="26">
        <f>$I$28*$AB$28</f>
        <v>0</v>
      </c>
      <c r="AC71" s="26">
        <f>$I$28*$AC$28</f>
        <v>0</v>
      </c>
      <c r="AD71" s="26">
        <f>$I$28*$AD$28</f>
        <v>0</v>
      </c>
      <c r="AE71" s="26">
        <f>$I$28*$AE$28</f>
        <v>0</v>
      </c>
      <c r="AF71" s="26">
        <f>$I$28*$AF$28</f>
        <v>0</v>
      </c>
      <c r="AG71" s="26">
        <f>$I$28*$AG$28</f>
        <v>0</v>
      </c>
      <c r="AH71" s="26">
        <f>$I$28*$AH$28</f>
        <v>0</v>
      </c>
    </row>
    <row r="72" spans="1:34" ht="11.25" customHeight="1" x14ac:dyDescent="0.25">
      <c r="A72" s="9" t="s">
        <v>41</v>
      </c>
      <c r="B72" s="9" t="s">
        <v>1151</v>
      </c>
      <c r="C72" s="9" t="s">
        <v>1152</v>
      </c>
      <c r="D72" s="9" t="s">
        <v>1175</v>
      </c>
      <c r="E72" s="9" t="s">
        <v>1176</v>
      </c>
      <c r="F72" s="9" t="s">
        <v>1177</v>
      </c>
      <c r="G72" s="9" t="s">
        <v>1178</v>
      </c>
      <c r="L72" s="26">
        <f>$I$29*$L$29</f>
        <v>0</v>
      </c>
      <c r="M72" s="26">
        <f>$I$29*$M$29</f>
        <v>0</v>
      </c>
      <c r="N72" s="26">
        <f>$I$29*$N$29</f>
        <v>0</v>
      </c>
      <c r="O72" s="26">
        <f>$I$29*$O$29</f>
        <v>0</v>
      </c>
      <c r="P72" s="26">
        <f>$I$29*$P$29</f>
        <v>0</v>
      </c>
      <c r="Q72" s="26">
        <f>$I$29*$Q$29</f>
        <v>0</v>
      </c>
      <c r="R72" s="26">
        <f>$I$29*$R$29</f>
        <v>0</v>
      </c>
      <c r="S72" s="26">
        <f>$I$29*$S$29</f>
        <v>0</v>
      </c>
      <c r="T72" s="26">
        <f>$I$29*$T$29</f>
        <v>0</v>
      </c>
      <c r="U72" s="26">
        <f>$I$29*$U$29</f>
        <v>0</v>
      </c>
      <c r="V72" s="26">
        <f>$I$29*$V$29</f>
        <v>0</v>
      </c>
      <c r="X72" s="26">
        <f>$I$29*$X$29</f>
        <v>0</v>
      </c>
      <c r="Y72" s="26">
        <f>$I$29*$Y$29</f>
        <v>0</v>
      </c>
      <c r="Z72" s="26">
        <f>$I$29*$Z$29</f>
        <v>0</v>
      </c>
      <c r="AA72" s="26">
        <f>$I$29*$AA$29</f>
        <v>0</v>
      </c>
      <c r="AB72" s="26">
        <f>$I$29*$AB$29</f>
        <v>0</v>
      </c>
      <c r="AC72" s="26">
        <f>$I$29*$AC$29</f>
        <v>0</v>
      </c>
      <c r="AD72" s="26">
        <f>$I$29*$AD$29</f>
        <v>0</v>
      </c>
      <c r="AE72" s="26">
        <f>$I$29*$AE$29</f>
        <v>0</v>
      </c>
      <c r="AF72" s="26">
        <f>$I$29*$AF$29</f>
        <v>0</v>
      </c>
      <c r="AG72" s="26">
        <f>$I$29*$AG$29</f>
        <v>0</v>
      </c>
      <c r="AH72" s="26">
        <f>$I$29*$AH$29</f>
        <v>0</v>
      </c>
    </row>
    <row r="73" spans="1:34" ht="11.25" customHeight="1" x14ac:dyDescent="0.25">
      <c r="A73" s="9" t="s">
        <v>41</v>
      </c>
      <c r="B73" s="9" t="s">
        <v>1151</v>
      </c>
      <c r="C73" s="9" t="s">
        <v>1152</v>
      </c>
      <c r="D73" s="9" t="s">
        <v>1175</v>
      </c>
      <c r="E73" s="9" t="s">
        <v>1176</v>
      </c>
      <c r="F73" s="9" t="s">
        <v>1177</v>
      </c>
      <c r="G73" s="9" t="s">
        <v>1179</v>
      </c>
      <c r="L73" s="26">
        <f>$I$30*$L$30</f>
        <v>0</v>
      </c>
      <c r="M73" s="26">
        <f>$I$30*$M$30</f>
        <v>0</v>
      </c>
      <c r="N73" s="26">
        <f>$I$30*$N$30</f>
        <v>0</v>
      </c>
      <c r="O73" s="26">
        <f>$I$30*$O$30</f>
        <v>0</v>
      </c>
      <c r="P73" s="26">
        <f>$I$30*$P$30</f>
        <v>0</v>
      </c>
      <c r="Q73" s="26">
        <f>$I$30*$Q$30</f>
        <v>0</v>
      </c>
      <c r="R73" s="26">
        <f>$I$30*$R$30</f>
        <v>0</v>
      </c>
      <c r="S73" s="26">
        <f>$I$30*$S$30</f>
        <v>0</v>
      </c>
      <c r="T73" s="26">
        <f>$I$30*$T$30</f>
        <v>0</v>
      </c>
      <c r="U73" s="26">
        <f>$I$30*$U$30</f>
        <v>0</v>
      </c>
      <c r="V73" s="26">
        <f>$I$30*$V$30</f>
        <v>0</v>
      </c>
      <c r="X73" s="26">
        <f>$I$30*$X$30</f>
        <v>0</v>
      </c>
      <c r="Y73" s="26">
        <f>$I$30*$Y$30</f>
        <v>0</v>
      </c>
      <c r="Z73" s="26">
        <f>$I$30*$Z$30</f>
        <v>0</v>
      </c>
      <c r="AA73" s="26">
        <f>$I$30*$AA$30</f>
        <v>0</v>
      </c>
      <c r="AB73" s="26">
        <f>$I$30*$AB$30</f>
        <v>0</v>
      </c>
      <c r="AC73" s="26">
        <f>$I$30*$AC$30</f>
        <v>0</v>
      </c>
      <c r="AD73" s="26">
        <f>$I$30*$AD$30</f>
        <v>0</v>
      </c>
      <c r="AE73" s="26">
        <f>$I$30*$AE$30</f>
        <v>0</v>
      </c>
      <c r="AF73" s="26">
        <f>$I$30*$AF$30</f>
        <v>0</v>
      </c>
      <c r="AG73" s="26">
        <f>$I$30*$AG$30</f>
        <v>0</v>
      </c>
      <c r="AH73" s="26">
        <f>$I$30*$AH$30</f>
        <v>0</v>
      </c>
    </row>
    <row r="74" spans="1:34" ht="11.25" customHeight="1" x14ac:dyDescent="0.25">
      <c r="A74" s="9" t="s">
        <v>41</v>
      </c>
      <c r="B74" s="9" t="s">
        <v>1151</v>
      </c>
      <c r="C74" s="9" t="s">
        <v>1152</v>
      </c>
      <c r="D74" s="9" t="s">
        <v>1175</v>
      </c>
      <c r="E74" s="9" t="s">
        <v>1176</v>
      </c>
      <c r="F74" s="9" t="s">
        <v>1177</v>
      </c>
      <c r="G74" s="9" t="s">
        <v>1180</v>
      </c>
      <c r="L74" s="26">
        <f>$I$31*$L$31</f>
        <v>0</v>
      </c>
      <c r="M74" s="26">
        <f>$I$31*$M$31</f>
        <v>0</v>
      </c>
      <c r="N74" s="26">
        <f>$I$31*$N$31</f>
        <v>0</v>
      </c>
      <c r="O74" s="26">
        <f>$I$31*$O$31</f>
        <v>0</v>
      </c>
      <c r="P74" s="26">
        <f>$I$31*$P$31</f>
        <v>0</v>
      </c>
      <c r="Q74" s="26">
        <f>$I$31*$Q$31</f>
        <v>0</v>
      </c>
      <c r="R74" s="26">
        <f>$I$31*$R$31</f>
        <v>0</v>
      </c>
      <c r="S74" s="26">
        <f>$I$31*$S$31</f>
        <v>0</v>
      </c>
      <c r="T74" s="26">
        <f>$I$31*$T$31</f>
        <v>0</v>
      </c>
      <c r="U74" s="26">
        <f>$I$31*$U$31</f>
        <v>0</v>
      </c>
      <c r="V74" s="26">
        <f>$I$31*$V$31</f>
        <v>0</v>
      </c>
      <c r="X74" s="26">
        <f>$I$31*$X$31</f>
        <v>0</v>
      </c>
      <c r="Y74" s="26">
        <f>$I$31*$Y$31</f>
        <v>0</v>
      </c>
      <c r="Z74" s="26">
        <f>$I$31*$Z$31</f>
        <v>0</v>
      </c>
      <c r="AA74" s="26">
        <f>$I$31*$AA$31</f>
        <v>0</v>
      </c>
      <c r="AB74" s="26">
        <f>$I$31*$AB$31</f>
        <v>0</v>
      </c>
      <c r="AC74" s="26">
        <f>$I$31*$AC$31</f>
        <v>0</v>
      </c>
      <c r="AD74" s="26">
        <f>$I$31*$AD$31</f>
        <v>0</v>
      </c>
      <c r="AE74" s="26">
        <f>$I$31*$AE$31</f>
        <v>0</v>
      </c>
      <c r="AF74" s="26">
        <f>$I$31*$AF$31</f>
        <v>0</v>
      </c>
      <c r="AG74" s="26">
        <f>$I$31*$AG$31</f>
        <v>0</v>
      </c>
      <c r="AH74" s="26">
        <f>$I$31*$AH$31</f>
        <v>0</v>
      </c>
    </row>
    <row r="75" spans="1:34" ht="11.25" customHeight="1" x14ac:dyDescent="0.25">
      <c r="A75" s="9" t="s">
        <v>41</v>
      </c>
      <c r="B75" s="9" t="s">
        <v>1159</v>
      </c>
      <c r="C75" s="9" t="s">
        <v>1160</v>
      </c>
      <c r="D75" s="9" t="s">
        <v>1181</v>
      </c>
      <c r="E75" s="9" t="s">
        <v>1182</v>
      </c>
      <c r="F75" s="9" t="s">
        <v>1183</v>
      </c>
      <c r="G75" s="9" t="s">
        <v>1184</v>
      </c>
      <c r="L75" s="26">
        <f>$I$32*$L$32</f>
        <v>0</v>
      </c>
      <c r="M75" s="26">
        <f>$I$32*$M$32</f>
        <v>0</v>
      </c>
      <c r="N75" s="26">
        <f>$I$32*$N$32</f>
        <v>0</v>
      </c>
      <c r="O75" s="26">
        <f>$I$32*$O$32</f>
        <v>0</v>
      </c>
      <c r="P75" s="26">
        <f>$I$32*$P$32</f>
        <v>0</v>
      </c>
      <c r="Q75" s="26">
        <f>$I$32*$Q$32</f>
        <v>0</v>
      </c>
      <c r="R75" s="26">
        <f>$I$32*$R$32</f>
        <v>0</v>
      </c>
      <c r="S75" s="26">
        <f>$I$32*$S$32</f>
        <v>0</v>
      </c>
      <c r="T75" s="26">
        <f>$I$32*$T$32</f>
        <v>0</v>
      </c>
      <c r="U75" s="26">
        <f>$I$32*$U$32</f>
        <v>0</v>
      </c>
      <c r="V75" s="26">
        <f>$I$32*$V$32</f>
        <v>0</v>
      </c>
      <c r="X75" s="26">
        <f>$I$32*$X$32</f>
        <v>0</v>
      </c>
      <c r="Y75" s="26">
        <f>$I$32*$Y$32</f>
        <v>0</v>
      </c>
      <c r="Z75" s="26">
        <f>$I$32*$Z$32</f>
        <v>0</v>
      </c>
      <c r="AA75" s="26">
        <f>$I$32*$AA$32</f>
        <v>0</v>
      </c>
      <c r="AB75" s="26">
        <f>$I$32*$AB$32</f>
        <v>0</v>
      </c>
      <c r="AC75" s="26">
        <f>$I$32*$AC$32</f>
        <v>0</v>
      </c>
      <c r="AD75" s="26">
        <f>$I$32*$AD$32</f>
        <v>0</v>
      </c>
      <c r="AE75" s="26">
        <f>$I$32*$AE$32</f>
        <v>0</v>
      </c>
      <c r="AF75" s="26">
        <f>$I$32*$AF$32</f>
        <v>0</v>
      </c>
      <c r="AG75" s="26">
        <f>$I$32*$AG$32</f>
        <v>0</v>
      </c>
      <c r="AH75" s="26">
        <f>$I$32*$AH$32</f>
        <v>0</v>
      </c>
    </row>
    <row r="76" spans="1:34" ht="11.25" customHeight="1" x14ac:dyDescent="0.25">
      <c r="A76" s="9" t="s">
        <v>41</v>
      </c>
      <c r="B76" s="9" t="s">
        <v>1185</v>
      </c>
      <c r="C76" s="9" t="s">
        <v>1186</v>
      </c>
      <c r="D76" s="9" t="s">
        <v>1187</v>
      </c>
      <c r="E76" s="9" t="s">
        <v>1188</v>
      </c>
      <c r="F76" s="9" t="s">
        <v>1189</v>
      </c>
      <c r="G76" s="9" t="s">
        <v>1190</v>
      </c>
      <c r="L76" s="26">
        <f>$I$33*$L$33</f>
        <v>0</v>
      </c>
      <c r="M76" s="26">
        <f>$I$33*$M$33</f>
        <v>0</v>
      </c>
      <c r="N76" s="26">
        <f>$I$33*$N$33</f>
        <v>0</v>
      </c>
      <c r="O76" s="26">
        <f>$I$33*$O$33</f>
        <v>0</v>
      </c>
      <c r="P76" s="26">
        <f>$I$33*$P$33</f>
        <v>0</v>
      </c>
      <c r="Q76" s="26">
        <f>$I$33*$Q$33</f>
        <v>0</v>
      </c>
      <c r="R76" s="26">
        <f>$I$33*$R$33</f>
        <v>0</v>
      </c>
      <c r="S76" s="26">
        <f>$I$33*$S$33</f>
        <v>0</v>
      </c>
      <c r="T76" s="26">
        <f>$I$33*$T$33</f>
        <v>0</v>
      </c>
      <c r="U76" s="26">
        <f>$I$33*$U$33</f>
        <v>0</v>
      </c>
      <c r="V76" s="26">
        <f>$I$33*$V$33</f>
        <v>0</v>
      </c>
      <c r="X76" s="26">
        <f>$I$33*$X$33</f>
        <v>0</v>
      </c>
      <c r="Y76" s="26">
        <f>$I$33*$Y$33</f>
        <v>0</v>
      </c>
      <c r="Z76" s="26">
        <f>$I$33*$Z$33</f>
        <v>0</v>
      </c>
      <c r="AA76" s="26">
        <f>$I$33*$AA$33</f>
        <v>0</v>
      </c>
      <c r="AB76" s="26">
        <f>$I$33*$AB$33</f>
        <v>0</v>
      </c>
      <c r="AC76" s="26">
        <f>$I$33*$AC$33</f>
        <v>0</v>
      </c>
      <c r="AD76" s="26">
        <f>$I$33*$AD$33</f>
        <v>0</v>
      </c>
      <c r="AE76" s="26">
        <f>$I$33*$AE$33</f>
        <v>0</v>
      </c>
      <c r="AF76" s="26">
        <f>$I$33*$AF$33</f>
        <v>0</v>
      </c>
      <c r="AG76" s="26">
        <f>$I$33*$AG$33</f>
        <v>0</v>
      </c>
      <c r="AH76" s="26">
        <f>$I$33*$AH$33</f>
        <v>0</v>
      </c>
    </row>
    <row r="77" spans="1:34" ht="11.25" customHeight="1" x14ac:dyDescent="0.25">
      <c r="A77" s="9" t="s">
        <v>41</v>
      </c>
      <c r="B77" s="9" t="s">
        <v>1185</v>
      </c>
      <c r="C77" s="9" t="s">
        <v>1186</v>
      </c>
      <c r="D77" s="9" t="s">
        <v>1191</v>
      </c>
      <c r="E77" s="9" t="s">
        <v>1192</v>
      </c>
      <c r="F77" s="9" t="s">
        <v>1193</v>
      </c>
      <c r="G77" s="9" t="s">
        <v>1194</v>
      </c>
      <c r="L77" s="26">
        <f>$I$34*$L$34</f>
        <v>0</v>
      </c>
      <c r="M77" s="26">
        <f>$I$34*$M$34</f>
        <v>0</v>
      </c>
      <c r="N77" s="26">
        <f>$I$34*$N$34</f>
        <v>0</v>
      </c>
      <c r="O77" s="26">
        <f>$I$34*$O$34</f>
        <v>0</v>
      </c>
      <c r="P77" s="26">
        <f>$I$34*$P$34</f>
        <v>0</v>
      </c>
      <c r="Q77" s="26">
        <f>$I$34*$Q$34</f>
        <v>0</v>
      </c>
      <c r="R77" s="26">
        <f>$I$34*$R$34</f>
        <v>0</v>
      </c>
      <c r="S77" s="26">
        <f>$I$34*$S$34</f>
        <v>0</v>
      </c>
      <c r="T77" s="26">
        <f>$I$34*$T$34</f>
        <v>0</v>
      </c>
      <c r="U77" s="26">
        <f>$I$34*$U$34</f>
        <v>0</v>
      </c>
      <c r="V77" s="26">
        <f>$I$34*$V$34</f>
        <v>0</v>
      </c>
      <c r="X77" s="26">
        <f>$I$34*$X$34</f>
        <v>0</v>
      </c>
      <c r="Y77" s="26">
        <f>$I$34*$Y$34</f>
        <v>0</v>
      </c>
      <c r="Z77" s="26">
        <f>$I$34*$Z$34</f>
        <v>0</v>
      </c>
      <c r="AA77" s="26">
        <f>$I$34*$AA$34</f>
        <v>0</v>
      </c>
      <c r="AB77" s="26">
        <f>$I$34*$AB$34</f>
        <v>0</v>
      </c>
      <c r="AC77" s="26">
        <f>$I$34*$AC$34</f>
        <v>0</v>
      </c>
      <c r="AD77" s="26">
        <f>$I$34*$AD$34</f>
        <v>0</v>
      </c>
      <c r="AE77" s="26">
        <f>$I$34*$AE$34</f>
        <v>0</v>
      </c>
      <c r="AF77" s="26">
        <f>$I$34*$AF$34</f>
        <v>0</v>
      </c>
      <c r="AG77" s="26">
        <f>$I$34*$AG$34</f>
        <v>0</v>
      </c>
      <c r="AH77" s="26">
        <f>$I$34*$AH$34</f>
        <v>0</v>
      </c>
    </row>
    <row r="78" spans="1:34" ht="11.25" customHeight="1" x14ac:dyDescent="0.25">
      <c r="A78" s="9" t="s">
        <v>41</v>
      </c>
      <c r="B78" s="9" t="s">
        <v>1185</v>
      </c>
      <c r="C78" s="9" t="s">
        <v>1186</v>
      </c>
      <c r="D78" s="9" t="s">
        <v>1195</v>
      </c>
      <c r="E78" s="9" t="s">
        <v>1196</v>
      </c>
      <c r="F78" s="9" t="s">
        <v>1197</v>
      </c>
      <c r="G78" s="9" t="s">
        <v>1198</v>
      </c>
      <c r="L78" s="26">
        <f>$I$35*$L$35</f>
        <v>0</v>
      </c>
      <c r="M78" s="26">
        <f>$I$35*$M$35</f>
        <v>0</v>
      </c>
      <c r="N78" s="26">
        <f>$I$35*$N$35</f>
        <v>0</v>
      </c>
      <c r="O78" s="26">
        <f>$I$35*$O$35</f>
        <v>0</v>
      </c>
      <c r="P78" s="26">
        <f>$I$35*$P$35</f>
        <v>0</v>
      </c>
      <c r="Q78" s="26">
        <f>$I$35*$Q$35</f>
        <v>0</v>
      </c>
      <c r="R78" s="26">
        <f>$I$35*$R$35</f>
        <v>0</v>
      </c>
      <c r="S78" s="26">
        <f>$I$35*$S$35</f>
        <v>0</v>
      </c>
      <c r="T78" s="26">
        <f>$I$35*$T$35</f>
        <v>0</v>
      </c>
      <c r="U78" s="26">
        <f>$I$35*$U$35</f>
        <v>0</v>
      </c>
      <c r="V78" s="26">
        <f>$I$35*$V$35</f>
        <v>0</v>
      </c>
      <c r="X78" s="26">
        <f>$I$35*$X$35</f>
        <v>0</v>
      </c>
      <c r="Y78" s="26">
        <f>$I$35*$Y$35</f>
        <v>0</v>
      </c>
      <c r="Z78" s="26">
        <f>$I$35*$Z$35</f>
        <v>0</v>
      </c>
      <c r="AA78" s="26">
        <f>$I$35*$AA$35</f>
        <v>0</v>
      </c>
      <c r="AB78" s="26">
        <f>$I$35*$AB$35</f>
        <v>0</v>
      </c>
      <c r="AC78" s="26">
        <f>$I$35*$AC$35</f>
        <v>0</v>
      </c>
      <c r="AD78" s="26">
        <f>$I$35*$AD$35</f>
        <v>0</v>
      </c>
      <c r="AE78" s="26">
        <f>$I$35*$AE$35</f>
        <v>0</v>
      </c>
      <c r="AF78" s="26">
        <f>$I$35*$AF$35</f>
        <v>0</v>
      </c>
      <c r="AG78" s="26">
        <f>$I$35*$AG$35</f>
        <v>0</v>
      </c>
      <c r="AH78" s="26">
        <f>$I$35*$AH$35</f>
        <v>0</v>
      </c>
    </row>
    <row r="79" spans="1:34" ht="11.25" customHeight="1" x14ac:dyDescent="0.25">
      <c r="A79" s="9" t="s">
        <v>36</v>
      </c>
      <c r="B79" s="9" t="s">
        <v>1199</v>
      </c>
      <c r="C79" s="9" t="s">
        <v>1200</v>
      </c>
      <c r="D79" s="9" t="s">
        <v>1201</v>
      </c>
      <c r="E79" s="9" t="s">
        <v>1202</v>
      </c>
      <c r="F79" s="9" t="s">
        <v>1203</v>
      </c>
      <c r="G79" s="9" t="s">
        <v>1204</v>
      </c>
      <c r="L79" s="26">
        <f>$I$36*$L$36</f>
        <v>0.81831912666126883</v>
      </c>
      <c r="M79" s="26">
        <f>$I$36*$M$36</f>
        <v>10.713880139831428</v>
      </c>
      <c r="N79" s="26">
        <f>$I$36*$N$36</f>
        <v>0</v>
      </c>
      <c r="O79" s="26">
        <f>$I$36*$O$36</f>
        <v>0</v>
      </c>
      <c r="P79" s="26">
        <f>$I$36*$P$36</f>
        <v>-7.8422056577864128</v>
      </c>
      <c r="Q79" s="26">
        <f>$I$36*$Q$36</f>
        <v>125.92701061703501</v>
      </c>
      <c r="R79" s="26">
        <f>$I$36*$R$36</f>
        <v>4.3679029483493146</v>
      </c>
      <c r="S79" s="26">
        <f>$I$36*$S$36</f>
        <v>2.7265111332424272</v>
      </c>
      <c r="T79" s="26">
        <f>$I$36*$T$36</f>
        <v>0</v>
      </c>
      <c r="U79" s="26">
        <f>$I$36*$U$36</f>
        <v>-32.237971954814086</v>
      </c>
      <c r="V79" s="26">
        <f>$I$36*$V$36</f>
        <v>2.0317769999795825</v>
      </c>
      <c r="X79" s="26">
        <f>$I$36*$X$36</f>
        <v>0.80591241359431842</v>
      </c>
      <c r="Y79" s="26">
        <f>$I$36*$Y$36</f>
        <v>3.4487668261061915</v>
      </c>
      <c r="Z79" s="26">
        <f>$I$36*$Z$36</f>
        <v>0</v>
      </c>
      <c r="AA79" s="26">
        <f>$I$36*$AA$36</f>
        <v>0</v>
      </c>
      <c r="AB79" s="26">
        <f>$I$36*$AB$36</f>
        <v>0</v>
      </c>
      <c r="AC79" s="26">
        <f>$I$36*$AC$36</f>
        <v>139.46689523793941</v>
      </c>
      <c r="AD79" s="26">
        <f>$I$36*$AD$36</f>
        <v>2.8063046502943707</v>
      </c>
      <c r="AE79" s="26">
        <f>$I$36*$AE$36</f>
        <v>2.6298025706440527</v>
      </c>
      <c r="AF79" s="26">
        <f>$I$36*$AF$36</f>
        <v>0</v>
      </c>
      <c r="AG79" s="26">
        <f>$I$36*$AG$36</f>
        <v>-4.8008073150212462</v>
      </c>
      <c r="AH79" s="26">
        <f>$I$36*$AH$36</f>
        <v>2.0174870742386477</v>
      </c>
    </row>
    <row r="80" spans="1:34" ht="11.25" customHeight="1" x14ac:dyDescent="0.25">
      <c r="A80" s="9" t="s">
        <v>36</v>
      </c>
      <c r="B80" s="9" t="s">
        <v>1199</v>
      </c>
      <c r="C80" s="9" t="s">
        <v>1200</v>
      </c>
      <c r="D80" s="9" t="s">
        <v>1201</v>
      </c>
      <c r="E80" s="9" t="s">
        <v>1202</v>
      </c>
      <c r="F80" s="9" t="s">
        <v>1203</v>
      </c>
      <c r="G80" s="9" t="s">
        <v>1205</v>
      </c>
      <c r="L80" s="26">
        <f>$I$37*$L$37</f>
        <v>1.1178823783854832</v>
      </c>
      <c r="M80" s="26">
        <f>$I$37*$M$37</f>
        <v>14.635925548162575</v>
      </c>
      <c r="N80" s="26">
        <f>$I$37*$N$37</f>
        <v>0</v>
      </c>
      <c r="O80" s="26">
        <f>$I$37*$O$37</f>
        <v>0</v>
      </c>
      <c r="P80" s="26">
        <f>$I$37*$P$37</f>
        <v>-10.713013086083224</v>
      </c>
      <c r="Q80" s="26">
        <f>$I$37*$Q$37</f>
        <v>100.01470423798979</v>
      </c>
      <c r="R80" s="26">
        <f>$I$37*$R$37</f>
        <v>5.9668674205129033</v>
      </c>
      <c r="S80" s="26">
        <f>$I$37*$S$37</f>
        <v>3.7246089588043865</v>
      </c>
      <c r="T80" s="26">
        <f>$I$37*$T$37</f>
        <v>0</v>
      </c>
      <c r="U80" s="26">
        <f>$I$37*$U$37</f>
        <v>-26.783014182609477</v>
      </c>
      <c r="V80" s="26">
        <f>$I$37*$V$37</f>
        <v>2.7755525089006792</v>
      </c>
      <c r="X80" s="26">
        <f>$I$37*$X$37</f>
        <v>1.1009339221422385</v>
      </c>
      <c r="Y80" s="26">
        <f>$I$37*$Y$37</f>
        <v>4.711261824948636</v>
      </c>
      <c r="Z80" s="26">
        <f>$I$37*$Z$37</f>
        <v>0</v>
      </c>
      <c r="AA80" s="26">
        <f>$I$37*$AA$37</f>
        <v>0</v>
      </c>
      <c r="AB80" s="26">
        <f>$I$37*$AB$37</f>
        <v>0</v>
      </c>
      <c r="AC80" s="26">
        <f>$I$37*$AC$37</f>
        <v>110.7684539628567</v>
      </c>
      <c r="AD80" s="26">
        <f>$I$37*$AD$37</f>
        <v>3.8336126026342741</v>
      </c>
      <c r="AE80" s="26">
        <f>$I$37*$AE$37</f>
        <v>3.5924981545405363</v>
      </c>
      <c r="AF80" s="26">
        <f>$I$37*$AF$37</f>
        <v>0</v>
      </c>
      <c r="AG80" s="26">
        <f>$I$37*$AG$37</f>
        <v>-4.0288882620608177</v>
      </c>
      <c r="AH80" s="26">
        <f>$I$37*$AH$37</f>
        <v>2.7560314496295812</v>
      </c>
    </row>
    <row r="81" spans="1:34" ht="11.25" customHeight="1" x14ac:dyDescent="0.25">
      <c r="A81" s="9" t="s">
        <v>36</v>
      </c>
      <c r="B81" s="9" t="s">
        <v>1199</v>
      </c>
      <c r="C81" s="9" t="s">
        <v>1200</v>
      </c>
      <c r="D81" s="9" t="s">
        <v>1201</v>
      </c>
      <c r="E81" s="9" t="s">
        <v>1202</v>
      </c>
      <c r="F81" s="9" t="s">
        <v>1203</v>
      </c>
      <c r="G81" s="9" t="s">
        <v>1206</v>
      </c>
      <c r="L81" s="26">
        <f>$I$38*$L$38</f>
        <v>25.757568701099935</v>
      </c>
      <c r="M81" s="26">
        <f>$I$38*$M$38</f>
        <v>337.23213202040824</v>
      </c>
      <c r="N81" s="26">
        <f>$I$38*$N$38</f>
        <v>0</v>
      </c>
      <c r="O81" s="26">
        <f>$I$38*$O$38</f>
        <v>0</v>
      </c>
      <c r="P81" s="26">
        <f>$I$38*$P$38</f>
        <v>-246.84275903794372</v>
      </c>
      <c r="Q81" s="26">
        <f>$I$38*$Q$38</f>
        <v>2304.4782396971241</v>
      </c>
      <c r="R81" s="26">
        <f>$I$38*$R$38</f>
        <v>137.48494518375699</v>
      </c>
      <c r="S81" s="26">
        <f>$I$38*$S$38</f>
        <v>85.820183765392571</v>
      </c>
      <c r="T81" s="26">
        <f>$I$38*$T$38</f>
        <v>0</v>
      </c>
      <c r="U81" s="26">
        <f>$I$38*$U$38</f>
        <v>-617.11799127511506</v>
      </c>
      <c r="V81" s="26">
        <f>$I$38*$V$38</f>
        <v>63.952599856500171</v>
      </c>
      <c r="X81" s="26">
        <f>$I$38*$X$38</f>
        <v>25.36705263742116</v>
      </c>
      <c r="Y81" s="26">
        <f>$I$38*$Y$38</f>
        <v>108.55404152648534</v>
      </c>
      <c r="Z81" s="26">
        <f>$I$38*$Z$38</f>
        <v>0</v>
      </c>
      <c r="AA81" s="26">
        <f>$I$38*$AA$38</f>
        <v>0</v>
      </c>
      <c r="AB81" s="26">
        <f>$I$38*$AB$38</f>
        <v>0</v>
      </c>
      <c r="AC81" s="26">
        <f>$I$38*$AC$38</f>
        <v>2552.2596276931858</v>
      </c>
      <c r="AD81" s="26">
        <f>$I$38*$AD$38</f>
        <v>88.331779706884703</v>
      </c>
      <c r="AE81" s="26">
        <f>$I$38*$AE$38</f>
        <v>82.776166628367548</v>
      </c>
      <c r="AF81" s="26">
        <f>$I$38*$AF$38</f>
        <v>0</v>
      </c>
      <c r="AG81" s="26">
        <f>$I$38*$AG$38</f>
        <v>-92.831203179858832</v>
      </c>
      <c r="AH81" s="26">
        <f>$I$38*$AH$38</f>
        <v>63.502807431987904</v>
      </c>
    </row>
    <row r="82" spans="1:34" ht="11.25" customHeight="1" x14ac:dyDescent="0.25">
      <c r="A82" s="9" t="s">
        <v>36</v>
      </c>
      <c r="B82" s="9" t="s">
        <v>1207</v>
      </c>
      <c r="C82" s="9" t="s">
        <v>1208</v>
      </c>
      <c r="D82" s="9" t="s">
        <v>1209</v>
      </c>
      <c r="E82" s="9" t="s">
        <v>1210</v>
      </c>
      <c r="F82" s="9" t="s">
        <v>1211</v>
      </c>
      <c r="G82" s="9" t="s">
        <v>1212</v>
      </c>
      <c r="L82" s="26">
        <f>$I$39*$L$39</f>
        <v>15909.546138872354</v>
      </c>
      <c r="M82" s="26">
        <f>$I$39*$M$39</f>
        <v>208296.45166237548</v>
      </c>
      <c r="N82" s="26">
        <f>$I$39*$N$39</f>
        <v>0</v>
      </c>
      <c r="O82" s="26">
        <f>$I$39*$O$39</f>
        <v>0</v>
      </c>
      <c r="P82" s="26">
        <f>$I$39*$P$39</f>
        <v>-152466.10848767779</v>
      </c>
      <c r="Q82" s="26">
        <f>$I$39*$Q$39</f>
        <v>1508799.0448282675</v>
      </c>
      <c r="R82" s="26">
        <f>$I$39*$R$39</f>
        <v>84919.625147225655</v>
      </c>
      <c r="S82" s="26">
        <f>$I$39*$S$39</f>
        <v>53008.115366250073</v>
      </c>
      <c r="T82" s="26">
        <f>$I$39*$T$39</f>
        <v>0</v>
      </c>
      <c r="U82" s="26">
        <f>$I$39*$U$39</f>
        <v>-401637.96373536938</v>
      </c>
      <c r="V82" s="26">
        <f>$I$39*$V$39</f>
        <v>39501.276301531609</v>
      </c>
      <c r="X82" s="26">
        <f>$I$39*$X$39</f>
        <v>15668.338072801937</v>
      </c>
      <c r="Y82" s="26">
        <f>$I$39*$Y$39</f>
        <v>67050.021384702093</v>
      </c>
      <c r="Z82" s="26">
        <f>$I$39*$Z$39</f>
        <v>0</v>
      </c>
      <c r="AA82" s="26">
        <f>$I$39*$AA$39</f>
        <v>0</v>
      </c>
      <c r="AB82" s="26">
        <f>$I$39*$AB$39</f>
        <v>0</v>
      </c>
      <c r="AC82" s="26">
        <f>$I$39*$AC$39</f>
        <v>1671027.6634781091</v>
      </c>
      <c r="AD82" s="26">
        <f>$I$39*$AD$39</f>
        <v>54559.440026471879</v>
      </c>
      <c r="AE82" s="26">
        <f>$I$39*$AE$39</f>
        <v>51127.932820645539</v>
      </c>
      <c r="AF82" s="26">
        <f>$I$39*$AF$39</f>
        <v>0</v>
      </c>
      <c r="AG82" s="26">
        <f>$I$39*$AG$39</f>
        <v>-60338.364523526296</v>
      </c>
      <c r="AH82" s="26">
        <f>$I$39*$AH$39</f>
        <v>39223.455307875956</v>
      </c>
    </row>
    <row r="83" spans="1:34" ht="11.25" customHeight="1" x14ac:dyDescent="0.25">
      <c r="A83" s="9" t="s">
        <v>36</v>
      </c>
      <c r="B83" s="9" t="s">
        <v>1213</v>
      </c>
      <c r="C83" s="9" t="s">
        <v>1214</v>
      </c>
      <c r="D83" s="9" t="s">
        <v>1215</v>
      </c>
      <c r="E83" s="9" t="s">
        <v>1216</v>
      </c>
      <c r="F83" s="9" t="s">
        <v>1217</v>
      </c>
      <c r="G83" s="9" t="s">
        <v>1218</v>
      </c>
      <c r="L83" s="26">
        <f>$I$40*$L$40</f>
        <v>0</v>
      </c>
      <c r="M83" s="26">
        <f>$I$40*$M$40</f>
        <v>0</v>
      </c>
      <c r="N83" s="26">
        <f>$I$40*$N$40</f>
        <v>0</v>
      </c>
      <c r="O83" s="26">
        <f>$I$40*$O$40</f>
        <v>0</v>
      </c>
      <c r="P83" s="26">
        <f>$I$40*$P$40</f>
        <v>0</v>
      </c>
      <c r="Q83" s="26">
        <f>$I$40*$Q$40</f>
        <v>0</v>
      </c>
      <c r="R83" s="26">
        <f>$I$40*$R$40</f>
        <v>0</v>
      </c>
      <c r="S83" s="26">
        <f>$I$40*$S$40</f>
        <v>0</v>
      </c>
      <c r="T83" s="26">
        <f>$I$40*$T$40</f>
        <v>0</v>
      </c>
      <c r="U83" s="26">
        <f>$I$40*$U$40</f>
        <v>0</v>
      </c>
      <c r="V83" s="26">
        <f>$I$40*$V$40</f>
        <v>0</v>
      </c>
      <c r="X83" s="26">
        <f>$I$40*$X$40</f>
        <v>0</v>
      </c>
      <c r="Y83" s="26">
        <f>$I$40*$Y$40</f>
        <v>0</v>
      </c>
      <c r="Z83" s="26">
        <f>$I$40*$Z$40</f>
        <v>0</v>
      </c>
      <c r="AA83" s="26">
        <f>$I$40*$AA$40</f>
        <v>0</v>
      </c>
      <c r="AB83" s="26">
        <f>$I$40*$AB$40</f>
        <v>0</v>
      </c>
      <c r="AC83" s="26">
        <f>$I$40*$AC$40</f>
        <v>0</v>
      </c>
      <c r="AD83" s="26">
        <f>$I$40*$AD$40</f>
        <v>0</v>
      </c>
      <c r="AE83" s="26">
        <f>$I$40*$AE$40</f>
        <v>0</v>
      </c>
      <c r="AF83" s="26">
        <f>$I$40*$AF$40</f>
        <v>0</v>
      </c>
      <c r="AG83" s="26">
        <f>$I$40*$AG$40</f>
        <v>0</v>
      </c>
      <c r="AH83" s="26">
        <f>$I$40*$AH$40</f>
        <v>0</v>
      </c>
    </row>
    <row r="84" spans="1:34" ht="11.25" customHeight="1" x14ac:dyDescent="0.25">
      <c r="A84" s="9" t="s">
        <v>44</v>
      </c>
      <c r="B84" s="9" t="s">
        <v>1219</v>
      </c>
      <c r="C84" s="9" t="s">
        <v>1220</v>
      </c>
      <c r="D84" s="9" t="s">
        <v>1221</v>
      </c>
      <c r="E84" s="9" t="s">
        <v>1222</v>
      </c>
      <c r="F84" s="9" t="s">
        <v>1223</v>
      </c>
      <c r="G84" s="9" t="s">
        <v>1224</v>
      </c>
      <c r="L84" s="26">
        <f>$I$41*$L$41</f>
        <v>0</v>
      </c>
      <c r="M84" s="26">
        <f>$I$41*$M$41</f>
        <v>0</v>
      </c>
      <c r="N84" s="26">
        <f>$I$41*$N$41</f>
        <v>0</v>
      </c>
      <c r="O84" s="26">
        <f>$I$41*$O$41</f>
        <v>0</v>
      </c>
      <c r="P84" s="26">
        <f>$I$41*$P$41</f>
        <v>0</v>
      </c>
      <c r="Q84" s="26">
        <f>$I$41*$Q$41</f>
        <v>0</v>
      </c>
      <c r="R84" s="26">
        <f>$I$41*$R$41</f>
        <v>0</v>
      </c>
      <c r="S84" s="26">
        <f>$I$41*$S$41</f>
        <v>0</v>
      </c>
      <c r="T84" s="26">
        <f>$I$41*$T$41</f>
        <v>0</v>
      </c>
      <c r="U84" s="26">
        <f>$I$41*$U$41</f>
        <v>0</v>
      </c>
      <c r="V84" s="26">
        <f>$I$41*$V$41</f>
        <v>0</v>
      </c>
      <c r="X84" s="26">
        <f>$I$41*$X$41</f>
        <v>0</v>
      </c>
      <c r="Y84" s="26">
        <f>$I$41*$Y$41</f>
        <v>0</v>
      </c>
      <c r="Z84" s="26">
        <f>$I$41*$Z$41</f>
        <v>0</v>
      </c>
      <c r="AA84" s="26">
        <f>$I$41*$AA$41</f>
        <v>0</v>
      </c>
      <c r="AB84" s="26">
        <f>$I$41*$AB$41</f>
        <v>0</v>
      </c>
      <c r="AC84" s="26">
        <f>$I$41*$AC$41</f>
        <v>0</v>
      </c>
      <c r="AD84" s="26">
        <f>$I$41*$AD$41</f>
        <v>0</v>
      </c>
      <c r="AE84" s="26">
        <f>$I$41*$AE$41</f>
        <v>0</v>
      </c>
      <c r="AF84" s="26">
        <f>$I$41*$AF$41</f>
        <v>0</v>
      </c>
      <c r="AG84" s="26">
        <f>$I$41*$AG$41</f>
        <v>0</v>
      </c>
      <c r="AH84" s="26">
        <f>$I$41*$AH$41</f>
        <v>0</v>
      </c>
    </row>
    <row r="85" spans="1:34" ht="11.25" customHeight="1" x14ac:dyDescent="0.25">
      <c r="A85" s="9" t="s">
        <v>44</v>
      </c>
      <c r="B85" s="9" t="s">
        <v>1219</v>
      </c>
      <c r="C85" s="9" t="s">
        <v>1220</v>
      </c>
      <c r="D85" s="9" t="s">
        <v>1225</v>
      </c>
      <c r="E85" s="9" t="s">
        <v>1226</v>
      </c>
      <c r="F85" s="9" t="s">
        <v>1227</v>
      </c>
      <c r="G85" s="9" t="s">
        <v>1228</v>
      </c>
      <c r="L85" s="26">
        <f>$I$42*$L$42</f>
        <v>2419.6892869088601</v>
      </c>
      <c r="M85" s="26">
        <f>$I$42*$M$42</f>
        <v>31679.891317396367</v>
      </c>
      <c r="N85" s="26">
        <f>$I$42*$N$42</f>
        <v>0</v>
      </c>
      <c r="O85" s="26">
        <f>$I$42*$O$42</f>
        <v>0</v>
      </c>
      <c r="P85" s="26">
        <f>$I$42*$P$42</f>
        <v>-23188.631913447316</v>
      </c>
      <c r="Q85" s="26">
        <f>$I$42*$Q$42</f>
        <v>229473.85506800169</v>
      </c>
      <c r="R85" s="26">
        <f>$I$42*$R$42</f>
        <v>12915.460027800782</v>
      </c>
      <c r="S85" s="26">
        <f>$I$42*$S$42</f>
        <v>8062.0256386544133</v>
      </c>
      <c r="T85" s="26">
        <f>$I$42*$T$42</f>
        <v>0</v>
      </c>
      <c r="U85" s="26">
        <f>$I$42*$U$42</f>
        <v>-61085.279842888405</v>
      </c>
      <c r="V85" s="26">
        <f>$I$42*$V$42</f>
        <v>6007.7650394128405</v>
      </c>
      <c r="X85" s="26">
        <f>$I$42*$X$42</f>
        <v>2383.0038548863599</v>
      </c>
      <c r="Y85" s="26">
        <f>$I$42*$Y$42</f>
        <v>10197.664786625619</v>
      </c>
      <c r="Z85" s="26">
        <f>$I$42*$Z$42</f>
        <v>0</v>
      </c>
      <c r="AA85" s="26">
        <f>$I$42*$AA$42</f>
        <v>0</v>
      </c>
      <c r="AB85" s="26">
        <f>$I$42*$AB$42</f>
        <v>0</v>
      </c>
      <c r="AC85" s="26">
        <f>$I$42*$AC$42</f>
        <v>254147.27108820705</v>
      </c>
      <c r="AD85" s="26">
        <f>$I$42*$AD$42</f>
        <v>8297.9672317137301</v>
      </c>
      <c r="AE85" s="26">
        <f>$I$42*$AE$42</f>
        <v>7776.0679172134242</v>
      </c>
      <c r="AF85" s="26">
        <f>$I$42*$AF$42</f>
        <v>0</v>
      </c>
      <c r="AG85" s="26">
        <f>$I$42*$AG$42</f>
        <v>-9176.8861885035894</v>
      </c>
      <c r="AH85" s="26">
        <f>$I$42*$AH$42</f>
        <v>5965.5111324717464</v>
      </c>
    </row>
  </sheetData>
  <mergeCells count="69">
    <mergeCell ref="L44:V44"/>
    <mergeCell ref="X44:AH44"/>
    <mergeCell ref="L45:V45"/>
    <mergeCell ref="X45:AH45"/>
    <mergeCell ref="L46:P46"/>
    <mergeCell ref="R46:T46"/>
    <mergeCell ref="X46:AB46"/>
    <mergeCell ref="AD46:AF46"/>
    <mergeCell ref="E36:E38"/>
    <mergeCell ref="F36:F38"/>
    <mergeCell ref="A41:A42"/>
    <mergeCell ref="B41:B42"/>
    <mergeCell ref="C41:C42"/>
    <mergeCell ref="A36:A40"/>
    <mergeCell ref="B36:B38"/>
    <mergeCell ref="C36:C38"/>
    <mergeCell ref="D36:D38"/>
    <mergeCell ref="X1:AH1"/>
    <mergeCell ref="X2:AH2"/>
    <mergeCell ref="X3:AB3"/>
    <mergeCell ref="AD3:AF3"/>
    <mergeCell ref="B33:B35"/>
    <mergeCell ref="C33:C35"/>
    <mergeCell ref="F25:F27"/>
    <mergeCell ref="B29:B31"/>
    <mergeCell ref="C29:C31"/>
    <mergeCell ref="D29:D31"/>
    <mergeCell ref="E29:E31"/>
    <mergeCell ref="F29:F31"/>
    <mergeCell ref="F21:F23"/>
    <mergeCell ref="F8:F10"/>
    <mergeCell ref="F5:F6"/>
    <mergeCell ref="G1:G4"/>
    <mergeCell ref="A21:A35"/>
    <mergeCell ref="B21:B23"/>
    <mergeCell ref="C21:C23"/>
    <mergeCell ref="D21:D23"/>
    <mergeCell ref="E21:E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B11:B15"/>
    <mergeCell ref="C11:C15"/>
    <mergeCell ref="B16:B20"/>
    <mergeCell ref="C16:C20"/>
    <mergeCell ref="A5:A7"/>
    <mergeCell ref="B5:B6"/>
    <mergeCell ref="C5:C6"/>
    <mergeCell ref="D5:D6"/>
    <mergeCell ref="E5:E6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E7E1F-970D-443B-AB26-B1B493688170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7" width="10.28515625" style="14" bestFit="1" customWidth="1"/>
    <col min="8" max="8" width="10" style="14" bestFit="1" customWidth="1"/>
    <col min="9" max="9" width="8" style="14" bestFit="1" customWidth="1"/>
    <col min="10" max="10" width="7.28515625" style="14" bestFit="1" customWidth="1"/>
    <col min="11" max="11" width="7.140625" style="14" bestFit="1" customWidth="1"/>
    <col min="12" max="12" width="9.5703125" style="14" bestFit="1" customWidth="1"/>
    <col min="13" max="13" width="9.7109375" style="14" bestFit="1" customWidth="1"/>
    <col min="14" max="14" width="10" style="14" bestFit="1" customWidth="1"/>
    <col min="15" max="15" width="7.42578125" style="14" bestFit="1" customWidth="1"/>
    <col min="16" max="16" width="9.7109375" style="14" bestFit="1" customWidth="1"/>
    <col min="17" max="17" width="11" style="14" bestFit="1" customWidth="1"/>
    <col min="18" max="18" width="7.710937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6" style="14" bestFit="1" customWidth="1"/>
    <col min="24" max="24" width="10.855468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65</v>
      </c>
      <c r="B1" s="14" t="s">
        <v>66</v>
      </c>
      <c r="C1" s="14" t="s">
        <v>67</v>
      </c>
      <c r="D1" s="14" t="s">
        <v>68</v>
      </c>
      <c r="E1" s="14" t="s">
        <v>69</v>
      </c>
      <c r="F1" s="14" t="s">
        <v>15</v>
      </c>
      <c r="G1" s="14" t="s">
        <v>71</v>
      </c>
      <c r="I1" s="14" t="s">
        <v>1236</v>
      </c>
      <c r="AA1" s="14" t="s">
        <v>38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38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85</v>
      </c>
      <c r="AB2" s="14" t="s">
        <v>56</v>
      </c>
      <c r="AC2" s="14" t="s">
        <v>24</v>
      </c>
      <c r="AD2" s="14" t="s">
        <v>24</v>
      </c>
      <c r="AE2" s="14" t="s">
        <v>83</v>
      </c>
      <c r="AG2" s="14" t="s">
        <v>81</v>
      </c>
    </row>
    <row r="3" spans="1:33" x14ac:dyDescent="0.2">
      <c r="AA3" s="14" t="s">
        <v>22</v>
      </c>
      <c r="AB3" s="14" t="s">
        <v>84</v>
      </c>
      <c r="AC3" s="14" t="s">
        <v>42</v>
      </c>
      <c r="AD3" s="14" t="s">
        <v>28</v>
      </c>
      <c r="AE3" s="14" t="s">
        <v>86</v>
      </c>
      <c r="AG3" s="14" t="s">
        <v>82</v>
      </c>
    </row>
    <row r="4" spans="1:33" x14ac:dyDescent="0.2">
      <c r="AA4" s="14" t="s">
        <v>41</v>
      </c>
      <c r="AB4" s="14" t="s">
        <v>39</v>
      </c>
      <c r="AC4" s="14" t="s">
        <v>45</v>
      </c>
      <c r="AD4" s="14" t="s">
        <v>29</v>
      </c>
      <c r="AE4" s="14" t="s">
        <v>87</v>
      </c>
      <c r="AG4" s="14" t="s">
        <v>79</v>
      </c>
    </row>
    <row r="5" spans="1:33" x14ac:dyDescent="0.2">
      <c r="A5" s="14" t="s">
        <v>1229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571</v>
      </c>
      <c r="AA5" s="14" t="s">
        <v>36</v>
      </c>
      <c r="AB5" s="14" t="s">
        <v>32</v>
      </c>
      <c r="AD5" s="14" t="s">
        <v>30</v>
      </c>
      <c r="AG5" s="14" t="s">
        <v>9</v>
      </c>
    </row>
    <row r="6" spans="1:33" x14ac:dyDescent="0.2">
      <c r="A6" s="14" t="s">
        <v>1230</v>
      </c>
      <c r="B6" s="45">
        <f>SUM(TUSD!$AI$57:'TUSD'!$AI$103)</f>
        <v>0</v>
      </c>
      <c r="C6" s="45">
        <f>SUM(TUSD!$AJ$57:'TUSD'!$AJ$103)</f>
        <v>25469.952562260602</v>
      </c>
      <c r="D6" s="45">
        <f>SUM(TUSD!$AK$57:'TUSD'!$AK$103)</f>
        <v>132691.05847035471</v>
      </c>
      <c r="E6" s="45">
        <f>SUM(TUSD!$AL$57:'TUSD'!$AL$103)</f>
        <v>0</v>
      </c>
      <c r="F6" s="45">
        <f>SUM(TUSD!$AM$57:'TUSD'!$AM$103)</f>
        <v>0</v>
      </c>
      <c r="G6" s="45">
        <f>SUM(TUSD!$AN$57:'TUSD'!$AN$103)</f>
        <v>4390991.2991287569</v>
      </c>
      <c r="H6" s="45">
        <f>SUM(TUSD!$AO$57:'TUSD'!$AO$103)</f>
        <v>724141.34480852832</v>
      </c>
      <c r="I6" s="45">
        <f>SUM(TUSD!$AP$57:'TUSD'!$AP$103)</f>
        <v>0</v>
      </c>
      <c r="J6" s="45">
        <f>SUM(TUSD!$AQ$57:'TUSD'!$AQ$103)</f>
        <v>0</v>
      </c>
      <c r="K6" s="45">
        <f>SUM(TUSD!$AR$57:'TUSD'!$AR$103)</f>
        <v>0</v>
      </c>
      <c r="L6" s="45">
        <f>SUM(TUSD!$AS$57:'TUSD'!$AS$103)</f>
        <v>0</v>
      </c>
      <c r="M6" s="45">
        <f>SUM(TUSD!$AT$57:'TUSD'!$AT$103)</f>
        <v>0</v>
      </c>
      <c r="N6" s="45">
        <f>SUM(TUSD!$AU$57:'TUSD'!$AU$103)</f>
        <v>5689676.4456446739</v>
      </c>
      <c r="O6" s="45">
        <f>SUM(TUSD!$AV$57:'TUSD'!$AV$103)</f>
        <v>0</v>
      </c>
      <c r="P6" s="45">
        <f>SUM(TUSD!$AW$57:'TUSD'!$AW$103)</f>
        <v>0</v>
      </c>
      <c r="Q6" s="45">
        <f>SUM(TUSD!$AX$57:'TUSD'!$AX$103)</f>
        <v>5607487.3553023087</v>
      </c>
      <c r="R6" s="45">
        <f>SUM(TUSD!$AY$57:'TUSD'!$AY$103)</f>
        <v>-710335.93657944899</v>
      </c>
      <c r="S6" s="45">
        <f>SUM(TUSD!$AZ$57:'TUSD'!$AZ$103)</f>
        <v>0</v>
      </c>
      <c r="T6" s="45">
        <f>SUM(TUSD!$BA$57:'TUSD'!$BA$103)</f>
        <v>677598.98529865022</v>
      </c>
      <c r="U6" s="45">
        <f>SUM(TUSD!$BB$57:'TUSD'!$BB$103)</f>
        <v>21011.902920158464</v>
      </c>
      <c r="V6" s="45">
        <f>SUM(TUSD!$BC$57:'TUSD'!$BC$103)</f>
        <v>209623.43784303649</v>
      </c>
      <c r="W6" s="45">
        <f>SUM(TUSD!$BD$57:'TUSD'!$BD$103)</f>
        <v>16642.876892808526</v>
      </c>
      <c r="X6" s="45">
        <f t="shared" ref="X6:X11" si="0">SUM(B6:W6)</f>
        <v>16784998.722292084</v>
      </c>
      <c r="AA6" s="14" t="s">
        <v>44</v>
      </c>
      <c r="AB6" s="14" t="s">
        <v>23</v>
      </c>
      <c r="AD6" s="14" t="s">
        <v>31</v>
      </c>
      <c r="AG6" s="14" t="s">
        <v>76</v>
      </c>
    </row>
    <row r="7" spans="1:33" x14ac:dyDescent="0.2">
      <c r="A7" s="14" t="s">
        <v>1231</v>
      </c>
      <c r="B7" s="45">
        <f>SUM(TUSD!$L$57:'TUSD'!$L$103)</f>
        <v>0</v>
      </c>
      <c r="C7" s="45">
        <f>SUM(TUSD!$M$57:'TUSD'!$M$103)</f>
        <v>26474.055429249976</v>
      </c>
      <c r="D7" s="45">
        <f ca="1">SUM(TUSD!$N$57:'TUSD'!$N$103)</f>
        <v>82113.954360595875</v>
      </c>
      <c r="E7" s="45">
        <f>SUM(TUSD!$O$57:'TUSD'!$O$103)</f>
        <v>0</v>
      </c>
      <c r="F7" s="45">
        <f>SUM(TUSD!$P$57:'TUSD'!$P$103)</f>
        <v>0</v>
      </c>
      <c r="G7" s="45">
        <f>SUM(TUSD!$Q$57:'TUSD'!$Q$103)</f>
        <v>6324924.8548442917</v>
      </c>
      <c r="H7" s="45">
        <f>SUM(TUSD!$R$57:'TUSD'!$R$103)</f>
        <v>1257462.0845390267</v>
      </c>
      <c r="I7" s="45">
        <f>SUM(TUSD!$S$57:'TUSD'!$S$103)</f>
        <v>0</v>
      </c>
      <c r="J7" s="45">
        <f>SUM(TUSD!$T$57:'TUSD'!$T$103)</f>
        <v>0</v>
      </c>
      <c r="K7" s="45">
        <f>SUM(TUSD!$U$57:'TUSD'!$U$103)</f>
        <v>0</v>
      </c>
      <c r="L7" s="45">
        <f>SUM(TUSD!$V$57:'TUSD'!$V$103)</f>
        <v>0</v>
      </c>
      <c r="M7" s="45">
        <f>SUM(TUSD!$W$57:'TUSD'!$W$103)</f>
        <v>0</v>
      </c>
      <c r="N7" s="45">
        <f>SUM(TUSD!$X$57:'TUSD'!$X$103)</f>
        <v>5990486.658296776</v>
      </c>
      <c r="O7" s="45">
        <f>SUM(TUSD!$Y$57:'TUSD'!$Y$103)</f>
        <v>0</v>
      </c>
      <c r="P7" s="45">
        <f>SUM(TUSD!$Z$57:'TUSD'!$Z$103)</f>
        <v>0</v>
      </c>
      <c r="Q7" s="45">
        <f>SUM(TUSD!$AA$57:'TUSD'!$AA$103)</f>
        <v>5943206.2569926996</v>
      </c>
      <c r="R7" s="45">
        <f ca="1">SUM(TUSD!$AB$57:'TUSD'!$AB$103)</f>
        <v>-5310483.2173079792</v>
      </c>
      <c r="S7" s="45">
        <f ca="1">SUM(TUSD!$AC$57:'TUSD'!$AC$103)</f>
        <v>0</v>
      </c>
      <c r="T7" s="45">
        <f>SUM(TUSD!$AD$57:'TUSD'!$AD$103)</f>
        <v>624491.00047760515</v>
      </c>
      <c r="U7" s="45">
        <f>SUM(TUSD!$AE$57:'TUSD'!$AE$103)</f>
        <v>21425.278484509796</v>
      </c>
      <c r="V7" s="45">
        <f ca="1">SUM(TUSD!$AF$57:'TUSD'!$AF$103)</f>
        <v>188150.39422256566</v>
      </c>
      <c r="W7" s="45">
        <f ca="1">SUM(TUSD!$AG$57:'TUSD'!$AG$103)</f>
        <v>10428.934468827963</v>
      </c>
      <c r="X7" s="45">
        <f t="shared" ca="1" si="0"/>
        <v>15158680.254808169</v>
      </c>
      <c r="AB7" s="14" t="s">
        <v>90</v>
      </c>
      <c r="AD7" s="14" t="s">
        <v>91</v>
      </c>
      <c r="AG7" s="14" t="s">
        <v>77</v>
      </c>
    </row>
    <row r="8" spans="1:33" x14ac:dyDescent="0.2">
      <c r="A8" s="14" t="s">
        <v>1234</v>
      </c>
      <c r="B8" s="45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0</v>
      </c>
      <c r="C8" s="45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7635.7405422307966</v>
      </c>
      <c r="D8" s="45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13139.117052202539</v>
      </c>
      <c r="E8" s="45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45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45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2927409.3778682267</v>
      </c>
      <c r="H8" s="45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504640.94555070478</v>
      </c>
      <c r="I8" s="45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45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0</v>
      </c>
      <c r="K8" s="45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0</v>
      </c>
      <c r="L8" s="45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0</v>
      </c>
      <c r="M8" s="45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45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3048861.3796802284</v>
      </c>
      <c r="O8" s="45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45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45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1626812.4033851635</v>
      </c>
      <c r="R8" s="45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-338523.35611843254</v>
      </c>
      <c r="S8" s="45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45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150041.28043603801</v>
      </c>
      <c r="U8" s="45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4652.6823193939372</v>
      </c>
      <c r="V8" s="45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102963.88139215669</v>
      </c>
      <c r="W8" s="45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8174.7309368074493</v>
      </c>
      <c r="X8" s="45">
        <f t="shared" si="0"/>
        <v>8055808.1830447214</v>
      </c>
      <c r="AD8" s="14" t="s">
        <v>92</v>
      </c>
      <c r="AG8" s="14" t="s">
        <v>88</v>
      </c>
    </row>
    <row r="9" spans="1:33" x14ac:dyDescent="0.2">
      <c r="A9" s="14" t="s">
        <v>1235</v>
      </c>
      <c r="B9" s="45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0</v>
      </c>
      <c r="C9" s="45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7630.0698140014028</v>
      </c>
      <c r="D9" s="45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8149.5330625227107</v>
      </c>
      <c r="E9" s="45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45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45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4153655.2953275107</v>
      </c>
      <c r="H9" s="45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873784.20123401273</v>
      </c>
      <c r="I9" s="45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45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0</v>
      </c>
      <c r="K9" s="45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0</v>
      </c>
      <c r="L9" s="45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0</v>
      </c>
      <c r="M9" s="45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45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3196250.7997429157</v>
      </c>
      <c r="O9" s="45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45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45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1712896.2301726101</v>
      </c>
      <c r="R9" s="45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-2600567.6922987187</v>
      </c>
      <c r="S9" s="45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45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137287.21933090413</v>
      </c>
      <c r="U9" s="45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4710.1029546927475</v>
      </c>
      <c r="V9" s="45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93647.310814590077</v>
      </c>
      <c r="W9" s="45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5190.7500470716068</v>
      </c>
      <c r="X9" s="45">
        <f t="shared" ca="1" si="0"/>
        <v>7592633.8202021141</v>
      </c>
      <c r="AD9" s="14" t="s">
        <v>93</v>
      </c>
    </row>
    <row r="10" spans="1:33" x14ac:dyDescent="0.2">
      <c r="A10" s="14" t="s">
        <v>1232</v>
      </c>
      <c r="B10" s="45">
        <f>SUMIF(TUSD!$A$57:'TUSD'!$A$103,$A$2,TUSD!$AI$57:'TUSD'!$AI$103)</f>
        <v>0</v>
      </c>
      <c r="C10" s="45">
        <f>SUMIF(TUSD!$A$57:'TUSD'!$A$103,$A$2,TUSD!$AJ$57:'TUSD'!$AJ$103)</f>
        <v>7635.7405422307966</v>
      </c>
      <c r="D10" s="45">
        <f>SUMIF(TUSD!$A$57:'TUSD'!$A$103,$A$2,TUSD!$AK$57:'TUSD'!$AK$103)</f>
        <v>13139.117052202539</v>
      </c>
      <c r="E10" s="45">
        <f>SUMIF(TUSD!$A$57:'TUSD'!$A$103,$A$2,TUSD!$AL$57:'TUSD'!$AL$103)</f>
        <v>0</v>
      </c>
      <c r="F10" s="45">
        <f>SUMIF(TUSD!$A$57:'TUSD'!$A$103,$A$2,TUSD!$AM$57:'TUSD'!$AM$103)</f>
        <v>0</v>
      </c>
      <c r="G10" s="45">
        <f>SUMIF(TUSD!$A$57:'TUSD'!$A$103,$A$2,TUSD!$AN$57:'TUSD'!$AN$103)</f>
        <v>2927409.3778682267</v>
      </c>
      <c r="H10" s="45">
        <f>SUMIF(TUSD!$A$57:'TUSD'!$A$103,$A$2,TUSD!$AO$57:'TUSD'!$AO$103)</f>
        <v>504640.94555070478</v>
      </c>
      <c r="I10" s="45">
        <f>SUMIF(TUSD!$A$57:'TUSD'!$A$103,$A$2,TUSD!$AP$57:'TUSD'!$AP$103)</f>
        <v>0</v>
      </c>
      <c r="J10" s="45">
        <f>SUMIF(TUSD!$A$57:'TUSD'!$A$103,$A$2,TUSD!$AQ$57:'TUSD'!$AQ$103)</f>
        <v>0</v>
      </c>
      <c r="K10" s="45">
        <f>SUMIF(TUSD!$A$57:'TUSD'!$A$103,$A$2,TUSD!$AR$57:'TUSD'!$AR$103)</f>
        <v>0</v>
      </c>
      <c r="L10" s="45">
        <f>SUMIF(TUSD!$A$57:'TUSD'!$A$103,$A$2,TUSD!$AS$57:'TUSD'!$AS$103)</f>
        <v>0</v>
      </c>
      <c r="M10" s="45">
        <f>SUMIF(TUSD!$A$57:'TUSD'!$A$103,$A$2,TUSD!$AT$57:'TUSD'!$AT$103)</f>
        <v>0</v>
      </c>
      <c r="N10" s="45">
        <f>SUMIF(TUSD!$A$57:'TUSD'!$A$103,$A$2,TUSD!$AU$57:'TUSD'!$AU$103)</f>
        <v>3048861.3796802284</v>
      </c>
      <c r="O10" s="45">
        <f>SUMIF(TUSD!$A$57:'TUSD'!$A$103,$A$2,TUSD!$AV$57:'TUSD'!$AV$103)</f>
        <v>0</v>
      </c>
      <c r="P10" s="45">
        <f>SUMIF(TUSD!$A$57:'TUSD'!$A$103,$A$2,TUSD!$AW$57:'TUSD'!$AW$103)</f>
        <v>0</v>
      </c>
      <c r="Q10" s="45">
        <f>SUMIF(TUSD!$A$57:'TUSD'!$A$103,$A$2,TUSD!$AX$57:'TUSD'!$AX$103)</f>
        <v>1626812.4033851635</v>
      </c>
      <c r="R10" s="45">
        <f>SUMIF(TUSD!$A$57:'TUSD'!$A$103,$A$2,TUSD!$AY$57:'TUSD'!$AY$103)</f>
        <v>-338523.35611843254</v>
      </c>
      <c r="S10" s="45">
        <f>SUMIF(TUSD!$A$57:'TUSD'!$A$103,$A$2,TUSD!$AZ$57:'TUSD'!$AZ$103)</f>
        <v>0</v>
      </c>
      <c r="T10" s="45">
        <f>SUMIF(TUSD!$A$57:'TUSD'!$A$103,$A$2,TUSD!$BA$57:'TUSD'!$BA$103)</f>
        <v>150041.28043603801</v>
      </c>
      <c r="U10" s="45">
        <f>SUMIF(TUSD!$A$57:'TUSD'!$A$103,$A$2,TUSD!$BB$57:'TUSD'!$BB$103)</f>
        <v>4652.6823193939372</v>
      </c>
      <c r="V10" s="45">
        <f>SUMIF(TUSD!$A$57:'TUSD'!$A$103,$A$2,TUSD!$BC$57:'TUSD'!$BC$103)</f>
        <v>102963.88139215669</v>
      </c>
      <c r="W10" s="45">
        <f>SUMIF(TUSD!$A$57:'TUSD'!$A$103,$A$2,TUSD!$BD$57:'TUSD'!$BD$103)</f>
        <v>8174.7309368074493</v>
      </c>
      <c r="X10" s="45">
        <f t="shared" si="0"/>
        <v>8055808.1830447214</v>
      </c>
      <c r="AD10" s="14" t="s">
        <v>46</v>
      </c>
    </row>
    <row r="11" spans="1:33" x14ac:dyDescent="0.2">
      <c r="A11" s="14" t="s">
        <v>1233</v>
      </c>
      <c r="B11" s="45">
        <f>SUMIF(TUSD!$A$57:'TUSD'!$A$103,$A$2,TUSD!$L$57:'TUSD'!$L$103)</f>
        <v>0</v>
      </c>
      <c r="C11" s="45">
        <f>SUMIF(TUSD!$A$57:'TUSD'!$A$103,$A$2,TUSD!$M$57:'TUSD'!$M$103)</f>
        <v>7630.0698140014028</v>
      </c>
      <c r="D11" s="45">
        <f ca="1">SUMIF(TUSD!$A$57:'TUSD'!$A$103,$A$2,TUSD!$N$57:'TUSD'!$N$103)</f>
        <v>8149.5330625227107</v>
      </c>
      <c r="E11" s="45">
        <f>SUMIF(TUSD!$A$57:'TUSD'!$A$103,$A$2,TUSD!$O$57:'TUSD'!$O$103)</f>
        <v>0</v>
      </c>
      <c r="F11" s="45">
        <f>SUMIF(TUSD!$A$57:'TUSD'!$A$103,$A$2,TUSD!$P$57:'TUSD'!$P$103)</f>
        <v>0</v>
      </c>
      <c r="G11" s="45">
        <f>SUMIF(TUSD!$A$57:'TUSD'!$A$103,$A$2,TUSD!$Q$57:'TUSD'!$Q$103)</f>
        <v>4153655.2953275107</v>
      </c>
      <c r="H11" s="45">
        <f>SUMIF(TUSD!$A$57:'TUSD'!$A$103,$A$2,TUSD!$R$57:'TUSD'!$R$103)</f>
        <v>873784.20123401273</v>
      </c>
      <c r="I11" s="45">
        <f>SUMIF(TUSD!$A$57:'TUSD'!$A$103,$A$2,TUSD!$S$57:'TUSD'!$S$103)</f>
        <v>0</v>
      </c>
      <c r="J11" s="45">
        <f>SUMIF(TUSD!$A$57:'TUSD'!$A$103,$A$2,TUSD!$T$57:'TUSD'!$T$103)</f>
        <v>0</v>
      </c>
      <c r="K11" s="45">
        <f>SUMIF(TUSD!$A$57:'TUSD'!$A$103,$A$2,TUSD!$U$57:'TUSD'!$U$103)</f>
        <v>0</v>
      </c>
      <c r="L11" s="45">
        <f>SUMIF(TUSD!$A$57:'TUSD'!$A$103,$A$2,TUSD!$V$57:'TUSD'!$V$103)</f>
        <v>0</v>
      </c>
      <c r="M11" s="45">
        <f>SUMIF(TUSD!$A$57:'TUSD'!$A$103,$A$2,TUSD!$W$57:'TUSD'!$W$103)</f>
        <v>0</v>
      </c>
      <c r="N11" s="45">
        <f>SUMIF(TUSD!$A$57:'TUSD'!$A$103,$A$2,TUSD!$X$57:'TUSD'!$X$103)</f>
        <v>3196250.7997429157</v>
      </c>
      <c r="O11" s="45">
        <f>SUMIF(TUSD!$A$57:'TUSD'!$A$103,$A$2,TUSD!$Y$57:'TUSD'!$Y$103)</f>
        <v>0</v>
      </c>
      <c r="P11" s="45">
        <f>SUMIF(TUSD!$A$57:'TUSD'!$A$103,$A$2,TUSD!$Z$57:'TUSD'!$Z$103)</f>
        <v>0</v>
      </c>
      <c r="Q11" s="45">
        <f>SUMIF(TUSD!$A$57:'TUSD'!$A$103,$A$2,TUSD!$AA$57:'TUSD'!$AA$103)</f>
        <v>1712896.2301726101</v>
      </c>
      <c r="R11" s="45">
        <f ca="1">SUMIF(TUSD!$A$57:'TUSD'!$A$103,$A$2,TUSD!$AB$57:'TUSD'!$AB$103)</f>
        <v>-2600567.6922987187</v>
      </c>
      <c r="S11" s="45">
        <f ca="1">SUMIF(TUSD!$A$57:'TUSD'!$A$103,$A$2,TUSD!$AC$57:'TUSD'!$AC$103)</f>
        <v>0</v>
      </c>
      <c r="T11" s="45">
        <f>SUMIF(TUSD!$A$57:'TUSD'!$A$103,$A$2,TUSD!$AD$57:'TUSD'!$AD$103)</f>
        <v>137287.21933090413</v>
      </c>
      <c r="U11" s="45">
        <f>SUMIF(TUSD!$A$57:'TUSD'!$A$103,$A$2,TUSD!$AE$57:'TUSD'!$AE$103)</f>
        <v>4710.1029546927475</v>
      </c>
      <c r="V11" s="45">
        <f ca="1">SUMIF(TUSD!$A$57:'TUSD'!$A$103,$A$2,TUSD!$AF$57:'TUSD'!$AF$103)</f>
        <v>93647.310814590077</v>
      </c>
      <c r="W11" s="45">
        <f ca="1">SUMIF(TUSD!$A$57:'TUSD'!$A$103,$A$2,TUSD!$AG$57:'TUSD'!$AG$103)</f>
        <v>5190.7500470716068</v>
      </c>
      <c r="X11" s="45">
        <f t="shared" ca="1" si="0"/>
        <v>7592633.8202021141</v>
      </c>
    </row>
    <row r="13" spans="1:33" x14ac:dyDescent="0.2">
      <c r="A13" s="14" t="s">
        <v>1237</v>
      </c>
      <c r="B13" s="100">
        <f t="shared" ref="B13:X13" si="1">IF($X$6&lt;&gt;0,(B$7-B$6)/$X$6,0)</f>
        <v>0</v>
      </c>
      <c r="C13" s="100">
        <f t="shared" si="1"/>
        <v>5.9821444350533686E-5</v>
      </c>
      <c r="D13" s="100">
        <f t="shared" ca="1" si="1"/>
        <v>-3.013232526648191E-3</v>
      </c>
      <c r="E13" s="100">
        <f t="shared" si="1"/>
        <v>0</v>
      </c>
      <c r="F13" s="100">
        <f t="shared" si="1"/>
        <v>0</v>
      </c>
      <c r="G13" s="100">
        <f t="shared" si="1"/>
        <v>0.1152179745564762</v>
      </c>
      <c r="H13" s="100">
        <f t="shared" si="1"/>
        <v>3.1773653877149088E-2</v>
      </c>
      <c r="I13" s="100">
        <f t="shared" si="1"/>
        <v>0</v>
      </c>
      <c r="J13" s="100">
        <f t="shared" si="1"/>
        <v>0</v>
      </c>
      <c r="K13" s="100">
        <f t="shared" si="1"/>
        <v>0</v>
      </c>
      <c r="L13" s="100">
        <f t="shared" si="1"/>
        <v>0</v>
      </c>
      <c r="M13" s="100">
        <f t="shared" si="1"/>
        <v>0</v>
      </c>
      <c r="N13" s="100">
        <f t="shared" si="1"/>
        <v>1.7921372389060559E-2</v>
      </c>
      <c r="O13" s="100">
        <f t="shared" si="1"/>
        <v>0</v>
      </c>
      <c r="P13" s="100">
        <f t="shared" si="1"/>
        <v>0</v>
      </c>
      <c r="Q13" s="100">
        <f t="shared" si="1"/>
        <v>2.0001127628596366E-2</v>
      </c>
      <c r="R13" s="100">
        <f t="shared" ca="1" si="1"/>
        <v>-0.27406301047965492</v>
      </c>
      <c r="S13" s="100">
        <f t="shared" ca="1" si="1"/>
        <v>0</v>
      </c>
      <c r="T13" s="100">
        <f t="shared" si="1"/>
        <v>-3.1640148265553686E-3</v>
      </c>
      <c r="U13" s="100">
        <f t="shared" si="1"/>
        <v>2.4627679226589991E-5</v>
      </c>
      <c r="V13" s="100">
        <f t="shared" ca="1" si="1"/>
        <v>-1.2792996875211297E-3</v>
      </c>
      <c r="W13" s="100">
        <f t="shared" ca="1" si="1"/>
        <v>-3.7020809633591767E-4</v>
      </c>
      <c r="X13" s="100">
        <f t="shared" ca="1" si="1"/>
        <v>-9.6891188041856022E-2</v>
      </c>
    </row>
    <row r="14" spans="1:33" x14ac:dyDescent="0.2">
      <c r="A14" s="14" t="s">
        <v>1238</v>
      </c>
      <c r="B14" s="100">
        <f t="shared" ref="B14:X14" si="2">IF($X$10&lt;&gt;0,(B$9-B$8)/$X$10,0)</f>
        <v>0</v>
      </c>
      <c r="C14" s="100">
        <f t="shared" si="2"/>
        <v>-7.0393039413836249E-7</v>
      </c>
      <c r="D14" s="100">
        <f t="shared" ca="1" si="2"/>
        <v>-6.1937720912738972E-4</v>
      </c>
      <c r="E14" s="100">
        <f t="shared" si="2"/>
        <v>0</v>
      </c>
      <c r="F14" s="100">
        <f t="shared" si="2"/>
        <v>0</v>
      </c>
      <c r="G14" s="100">
        <f t="shared" si="2"/>
        <v>0.15221885744998212</v>
      </c>
      <c r="H14" s="100">
        <f t="shared" si="2"/>
        <v>4.5823242968998916E-2</v>
      </c>
      <c r="I14" s="100">
        <f t="shared" si="2"/>
        <v>0</v>
      </c>
      <c r="J14" s="100">
        <f t="shared" si="2"/>
        <v>0</v>
      </c>
      <c r="K14" s="100">
        <f t="shared" si="2"/>
        <v>0</v>
      </c>
      <c r="L14" s="100">
        <f t="shared" si="2"/>
        <v>0</v>
      </c>
      <c r="M14" s="100">
        <f t="shared" si="2"/>
        <v>0</v>
      </c>
      <c r="N14" s="100">
        <f t="shared" si="2"/>
        <v>1.8296043887055524E-2</v>
      </c>
      <c r="O14" s="100">
        <f t="shared" si="2"/>
        <v>0</v>
      </c>
      <c r="P14" s="100">
        <f t="shared" si="2"/>
        <v>0</v>
      </c>
      <c r="Q14" s="100">
        <f t="shared" si="2"/>
        <v>1.0685933035077672E-2</v>
      </c>
      <c r="R14" s="100">
        <f t="shared" ca="1" si="2"/>
        <v>-0.28079669783365402</v>
      </c>
      <c r="S14" s="100">
        <f t="shared" ca="1" si="2"/>
        <v>0</v>
      </c>
      <c r="T14" s="100">
        <f t="shared" si="2"/>
        <v>-1.5832131072804959E-3</v>
      </c>
      <c r="U14" s="100">
        <f t="shared" si="2"/>
        <v>7.127855330476353E-6</v>
      </c>
      <c r="V14" s="100">
        <f t="shared" ca="1" si="2"/>
        <v>-1.1565035271290909E-3</v>
      </c>
      <c r="W14" s="100">
        <f t="shared" ca="1" si="2"/>
        <v>-3.7041359748563876E-4</v>
      </c>
      <c r="X14" s="100">
        <f t="shared" ca="1" si="2"/>
        <v>-5.7495704008626101E-2</v>
      </c>
    </row>
    <row r="15" spans="1:33" x14ac:dyDescent="0.2">
      <c r="A15" s="14" t="s">
        <v>1239</v>
      </c>
      <c r="B15" s="100">
        <f t="shared" ref="B15:X15" si="3">IF($X$8&lt;&gt;0,(B$9-B$8)/$X$8,0)</f>
        <v>0</v>
      </c>
      <c r="C15" s="100">
        <f t="shared" si="3"/>
        <v>-7.0393039413836249E-7</v>
      </c>
      <c r="D15" s="100">
        <f t="shared" ca="1" si="3"/>
        <v>-6.1937720912738972E-4</v>
      </c>
      <c r="E15" s="100">
        <f t="shared" si="3"/>
        <v>0</v>
      </c>
      <c r="F15" s="100">
        <f t="shared" si="3"/>
        <v>0</v>
      </c>
      <c r="G15" s="100">
        <f t="shared" si="3"/>
        <v>0.15221885744998212</v>
      </c>
      <c r="H15" s="100">
        <f t="shared" si="3"/>
        <v>4.5823242968998916E-2</v>
      </c>
      <c r="I15" s="100">
        <f t="shared" si="3"/>
        <v>0</v>
      </c>
      <c r="J15" s="100">
        <f t="shared" si="3"/>
        <v>0</v>
      </c>
      <c r="K15" s="100">
        <f t="shared" si="3"/>
        <v>0</v>
      </c>
      <c r="L15" s="100">
        <f t="shared" si="3"/>
        <v>0</v>
      </c>
      <c r="M15" s="100">
        <f t="shared" si="3"/>
        <v>0</v>
      </c>
      <c r="N15" s="100">
        <f t="shared" si="3"/>
        <v>1.8296043887055524E-2</v>
      </c>
      <c r="O15" s="100">
        <f t="shared" si="3"/>
        <v>0</v>
      </c>
      <c r="P15" s="100">
        <f t="shared" si="3"/>
        <v>0</v>
      </c>
      <c r="Q15" s="100">
        <f t="shared" si="3"/>
        <v>1.0685933035077672E-2</v>
      </c>
      <c r="R15" s="100">
        <f t="shared" ca="1" si="3"/>
        <v>-0.28079669783365402</v>
      </c>
      <c r="S15" s="100">
        <f t="shared" ca="1" si="3"/>
        <v>0</v>
      </c>
      <c r="T15" s="100">
        <f t="shared" si="3"/>
        <v>-1.5832131072804959E-3</v>
      </c>
      <c r="U15" s="100">
        <f t="shared" si="3"/>
        <v>7.127855330476353E-6</v>
      </c>
      <c r="V15" s="100">
        <f t="shared" ca="1" si="3"/>
        <v>-1.1565035271290909E-3</v>
      </c>
      <c r="W15" s="100">
        <f t="shared" ca="1" si="3"/>
        <v>-3.7041359748563876E-4</v>
      </c>
      <c r="X15" s="100">
        <f t="shared" ca="1" si="3"/>
        <v>-5.7495704008626101E-2</v>
      </c>
    </row>
  </sheetData>
  <dataValidations count="6">
    <dataValidation type="list" allowBlank="1" showInputMessage="1" showErrorMessage="1" error="Deve-se selecionar grupo válido" sqref="A2" xr:uid="{44FA9852-BB63-4AAC-B364-AA4080D1CF44}">
      <formula1>AA1:AA6</formula1>
    </dataValidation>
    <dataValidation type="list" allowBlank="1" showInputMessage="1" showErrorMessage="1" error="Deve-se selecionar grupo válido" sqref="B2" xr:uid="{C6BC7BE4-02D5-4C0D-BC5B-DC6F6C48D6F3}">
      <formula1>AB1:AB7</formula1>
    </dataValidation>
    <dataValidation type="list" allowBlank="1" showInputMessage="1" showErrorMessage="1" error="Deve-se selecionar grupo válido" sqref="C2 E2" xr:uid="{F15B455D-AD66-4450-A39B-88F947BC51AC}">
      <formula1>AC1:AC4</formula1>
    </dataValidation>
    <dataValidation type="list" allowBlank="1" showInputMessage="1" showErrorMessage="1" error="Deve-se selecionar grupo válido" sqref="D2" xr:uid="{FD33828C-5F67-46AA-896D-60BB61F0E4DC}">
      <formula1>AD1:AD10</formula1>
    </dataValidation>
    <dataValidation type="list" allowBlank="1" showInputMessage="1" showErrorMessage="1" error="Deve-se selecionar grupo válido" sqref="F2" xr:uid="{DB6B339A-BF5E-4611-B0DE-268BF5BF13F2}">
      <formula1>AF1:AF1</formula1>
    </dataValidation>
    <dataValidation type="list" allowBlank="1" showInputMessage="1" showErrorMessage="1" error="Deve-se selecionar grupo válido" sqref="G2" xr:uid="{B59B74B9-3386-4AA4-9303-951336B0DDE5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DA63E-69B7-4EEC-BBAC-7D524F921F35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6" width="10.28515625" style="14" bestFit="1" customWidth="1"/>
    <col min="7" max="7" width="14.85546875" style="14" bestFit="1" customWidth="1"/>
    <col min="8" max="8" width="8.7109375" style="14" bestFit="1" customWidth="1"/>
    <col min="9" max="9" width="9.5703125" style="14" bestFit="1" customWidth="1"/>
    <col min="10" max="10" width="6.42578125" style="14" bestFit="1" customWidth="1"/>
    <col min="11" max="11" width="10.5703125" style="14" bestFit="1" customWidth="1"/>
    <col min="12" max="12" width="10.7109375" style="14" bestFit="1" customWidth="1"/>
    <col min="13" max="13" width="10" style="14" bestFit="1" customWidth="1"/>
    <col min="14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65</v>
      </c>
      <c r="B1" s="14" t="s">
        <v>66</v>
      </c>
      <c r="C1" s="14" t="s">
        <v>67</v>
      </c>
      <c r="D1" s="14" t="s">
        <v>68</v>
      </c>
      <c r="E1" s="14" t="s">
        <v>69</v>
      </c>
      <c r="F1" s="14" t="s">
        <v>15</v>
      </c>
      <c r="G1" s="14" t="s">
        <v>71</v>
      </c>
      <c r="I1" s="14" t="s">
        <v>1236</v>
      </c>
      <c r="AA1" s="14" t="s">
        <v>38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38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74</v>
      </c>
      <c r="AC2" s="14" t="s">
        <v>24</v>
      </c>
      <c r="AD2" s="14" t="s">
        <v>24</v>
      </c>
      <c r="AG2" s="14" t="s">
        <v>76</v>
      </c>
    </row>
    <row r="3" spans="1:33" x14ac:dyDescent="0.2">
      <c r="AA3" s="14" t="s">
        <v>41</v>
      </c>
      <c r="AB3" s="14" t="s">
        <v>78</v>
      </c>
      <c r="AC3" s="14" t="s">
        <v>42</v>
      </c>
      <c r="AD3" s="14" t="s">
        <v>28</v>
      </c>
      <c r="AG3" s="14" t="s">
        <v>77</v>
      </c>
    </row>
    <row r="4" spans="1:33" x14ac:dyDescent="0.2">
      <c r="AA4" s="14" t="s">
        <v>36</v>
      </c>
      <c r="AB4" s="14" t="s">
        <v>89</v>
      </c>
      <c r="AC4" s="14" t="s">
        <v>45</v>
      </c>
      <c r="AD4" s="14" t="s">
        <v>29</v>
      </c>
      <c r="AG4" s="14" t="s">
        <v>79</v>
      </c>
    </row>
    <row r="5" spans="1:33" x14ac:dyDescent="0.2">
      <c r="A5" s="14" t="s">
        <v>1229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571</v>
      </c>
      <c r="AA5" s="14" t="s">
        <v>44</v>
      </c>
      <c r="AD5" s="14" t="s">
        <v>30</v>
      </c>
      <c r="AG5" s="14" t="s">
        <v>88</v>
      </c>
    </row>
    <row r="6" spans="1:33" x14ac:dyDescent="0.2">
      <c r="A6" s="14" t="s">
        <v>1230</v>
      </c>
      <c r="B6" s="45">
        <f>SUM(TE!$X$48:'TE'!$X$85)</f>
        <v>70408.77417478741</v>
      </c>
      <c r="C6" s="45">
        <f>SUM(TE!$Y$48:'TE'!$Y$85)</f>
        <v>301302.52437461779</v>
      </c>
      <c r="D6" s="45">
        <f>SUM(TE!$Z$48:'TE'!$Z$85)</f>
        <v>0</v>
      </c>
      <c r="E6" s="45">
        <f>SUM(TE!$AA$48:'TE'!$AA$85)</f>
        <v>0</v>
      </c>
      <c r="F6" s="45">
        <f>SUM(TE!$AB$48:'TE'!$AB$85)</f>
        <v>0</v>
      </c>
      <c r="G6" s="45">
        <f>SUM(TE!$AC$48:'TE'!$AC$85)</f>
        <v>7444207.8411098439</v>
      </c>
      <c r="H6" s="45">
        <f>SUM(TE!$AD$48:'TE'!$AD$85)</f>
        <v>245173.62812045534</v>
      </c>
      <c r="I6" s="45">
        <f>SUM(TE!$AE$48:'TE'!$AE$85)</f>
        <v>229753.47221039239</v>
      </c>
      <c r="J6" s="45">
        <f>SUM(TE!$AF$48:'TE'!$AF$85)</f>
        <v>0</v>
      </c>
      <c r="K6" s="45">
        <f>SUM(TE!$AG$48:'TE'!$AG$85)</f>
        <v>-269084.54614705534</v>
      </c>
      <c r="L6" s="45">
        <f>SUM(TE!$AH$48:'TE'!$AH$85)</f>
        <v>176258.34943662529</v>
      </c>
      <c r="M6" s="45">
        <f t="shared" ref="M6:M11" si="0">SUM(B6:L6)</f>
        <v>8198020.0432796665</v>
      </c>
      <c r="AD6" s="14" t="s">
        <v>31</v>
      </c>
    </row>
    <row r="7" spans="1:33" x14ac:dyDescent="0.2">
      <c r="A7" s="14" t="s">
        <v>1231</v>
      </c>
      <c r="B7" s="45">
        <f>SUM(TE!$L$48:'TE'!$L$85)</f>
        <v>71980.14502744854</v>
      </c>
      <c r="C7" s="45">
        <f>SUM(TE!$M$48:'TE'!$M$85)</f>
        <v>942403.30104246526</v>
      </c>
      <c r="D7" s="45">
        <f>SUM(TE!$N$48:'TE'!$N$85)</f>
        <v>0</v>
      </c>
      <c r="E7" s="45">
        <f>SUM(TE!$O$48:'TE'!$O$85)</f>
        <v>0</v>
      </c>
      <c r="F7" s="45">
        <f>SUM(TE!$P$48:'TE'!$P$85)</f>
        <v>-689808.02500074392</v>
      </c>
      <c r="G7" s="45">
        <f>SUM(TE!$Q$48:'TE'!$Q$85)</f>
        <v>6767729.0395536162</v>
      </c>
      <c r="H7" s="45">
        <f>SUM(TE!$R$48:'TE'!$R$85)</f>
        <v>384204.98488256149</v>
      </c>
      <c r="I7" s="45">
        <f>SUM(TE!$S$48:'TE'!$S$85)</f>
        <v>239826.56691706509</v>
      </c>
      <c r="J7" s="45">
        <f>SUM(TE!$T$48:'TE'!$T$85)</f>
        <v>0</v>
      </c>
      <c r="K7" s="45">
        <f>SUM(TE!$U$48:'TE'!$U$85)</f>
        <v>-1803106.080403931</v>
      </c>
      <c r="L7" s="45">
        <f>SUM(TE!$V$48:'TE'!$V$85)</f>
        <v>178717.07791879791</v>
      </c>
      <c r="M7" s="45">
        <f t="shared" si="0"/>
        <v>6091947.0099372789</v>
      </c>
      <c r="AD7" s="14" t="s">
        <v>91</v>
      </c>
    </row>
    <row r="8" spans="1:33" x14ac:dyDescent="0.2">
      <c r="A8" s="14" t="s">
        <v>1234</v>
      </c>
      <c r="B8" s="45">
        <f>IF($G$2&lt;&gt;"Não se aplica",SUMIF(TE!$G$48:'TE'!$G$85,$I$2,TE!$X$48:'TE'!$X$85),IF($F$2&lt;&gt;"Não se aplica",SUMIF(TE!$F$48:'TE'!$F$85,$I$2,TE!$X$48:'TE'!$X$85),IF($E$2&lt;&gt;"Não se aplica",SUMIF(TE!$E$48:'TE'!$E$85,$I$2,TE!$X$48:'TE'!$X$85),IF($D$2&lt;&gt;"Não se aplica",SUMIF(TE!$D$48:'TE'!$D$85,$I$2,TE!$X$48:'TE'!$X$85),IF($C$2&lt;&gt;"Não se aplica",SUMIF(TE!$C$48:'TE'!$C$85,$I$2,TE!$X$48:'TE'!$X$85),IF($B$2&lt;&gt;"Não se aplica",SUMIF(TE!$B$48:'TE'!$B$85,$I$2,TE!$X$48:'TE'!$X$85),SUMIF(TE!$A$48:'TE'!$A$85,$I$2,TE!$X$48:'TE'!$X$85)))))))</f>
        <v>18802.620195577692</v>
      </c>
      <c r="C8" s="45">
        <f>IF($G$2&lt;&gt;"Não se aplica",SUMIF(TE!$G$48:'TE'!$G$85,$I$2,TE!$Y$48:'TE'!$Y$85),IF($F$2&lt;&gt;"Não se aplica",SUMIF(TE!$F$48:'TE'!$F$85,$I$2,TE!$Y$48:'TE'!$Y$85),IF($E$2&lt;&gt;"Não se aplica",SUMIF(TE!$E$48:'TE'!$E$85,$I$2,TE!$Y$48:'TE'!$Y$85),IF($D$2&lt;&gt;"Não se aplica",SUMIF(TE!$D$48:'TE'!$D$85,$I$2,TE!$Y$48:'TE'!$Y$85),IF($C$2&lt;&gt;"Não se aplica",SUMIF(TE!$C$48:'TE'!$C$85,$I$2,TE!$Y$48:'TE'!$Y$85),IF($B$2&lt;&gt;"Não se aplica",SUMIF(TE!$B$48:'TE'!$B$85,$I$2,TE!$Y$48:'TE'!$Y$85),SUMIF(TE!$A$48:'TE'!$A$85,$I$2,TE!$Y$48:'TE'!$Y$85)))))))</f>
        <v>80462.655346347427</v>
      </c>
      <c r="D8" s="45">
        <f>IF($G$2&lt;&gt;"Não se aplica",SUMIF(TE!$G$48:'TE'!$G$85,$I$2,TE!$Z$48:'TE'!$Z$85),IF($F$2&lt;&gt;"Não se aplica",SUMIF(TE!$F$48:'TE'!$F$85,$I$2,TE!$Z$48:'TE'!$Z$85),IF($E$2&lt;&gt;"Não se aplica",SUMIF(TE!$E$48:'TE'!$E$85,$I$2,TE!$Z$48:'TE'!$Z$85),IF($D$2&lt;&gt;"Não se aplica",SUMIF(TE!$D$48:'TE'!$D$85,$I$2,TE!$Z$48:'TE'!$Z$85),IF($C$2&lt;&gt;"Não se aplica",SUMIF(TE!$C$48:'TE'!$C$85,$I$2,TE!$Z$48:'TE'!$Z$85),IF($B$2&lt;&gt;"Não se aplica",SUMIF(TE!$B$48:'TE'!$B$85,$I$2,TE!$Z$48:'TE'!$Z$85),SUMIF(TE!$A$48:'TE'!$A$85,$I$2,TE!$Z$48:'TE'!$Z$85)))))))</f>
        <v>0</v>
      </c>
      <c r="E8" s="45">
        <f>IF($G$2&lt;&gt;"Não se aplica",SUMIF(TE!$G$48:'TE'!$G$85,$I$2,TE!$AA$48:'TE'!$AA$85),IF($F$2&lt;&gt;"Não se aplica",SUMIF(TE!$F$48:'TE'!$F$85,$I$2,TE!$AA$48:'TE'!$AA$85),IF($E$2&lt;&gt;"Não se aplica",SUMIF(TE!$E$48:'TE'!$E$85,$I$2,TE!$AA$48:'TE'!$AA$85),IF($D$2&lt;&gt;"Não se aplica",SUMIF(TE!$D$48:'TE'!$D$85,$I$2,TE!$AA$48:'TE'!$AA$85),IF($C$2&lt;&gt;"Não se aplica",SUMIF(TE!$C$48:'TE'!$C$85,$I$2,TE!$AA$48:'TE'!$AA$85),IF($B$2&lt;&gt;"Não se aplica",SUMIF(TE!$B$48:'TE'!$B$85,$I$2,TE!$AA$48:'TE'!$AA$85),SUMIF(TE!$A$48:'TE'!$A$85,$I$2,TE!$AA$48:'TE'!$AA$85)))))))</f>
        <v>0</v>
      </c>
      <c r="F8" s="45">
        <f>IF($G$2&lt;&gt;"Não se aplica",SUMIF(TE!$G$48:'TE'!$G$85,$I$2,TE!$AB$48:'TE'!$AB$85),IF($F$2&lt;&gt;"Não se aplica",SUMIF(TE!$F$48:'TE'!$F$85,$I$2,TE!$AB$48:'TE'!$AB$85),IF($E$2&lt;&gt;"Não se aplica",SUMIF(TE!$E$48:'TE'!$E$85,$I$2,TE!$AB$48:'TE'!$AB$85),IF($D$2&lt;&gt;"Não se aplica",SUMIF(TE!$D$48:'TE'!$D$85,$I$2,TE!$AB$48:'TE'!$AB$85),IF($C$2&lt;&gt;"Não se aplica",SUMIF(TE!$C$48:'TE'!$C$85,$I$2,TE!$AB$48:'TE'!$AB$85),IF($B$2&lt;&gt;"Não se aplica",SUMIF(TE!$B$48:'TE'!$B$85,$I$2,TE!$AB$48:'TE'!$AB$85),SUMIF(TE!$A$48:'TE'!$A$85,$I$2,TE!$AB$48:'TE'!$AB$85)))))))</f>
        <v>0</v>
      </c>
      <c r="G8" s="45">
        <f>IF($G$2&lt;&gt;"Não se aplica",SUMIF(TE!$G$48:'TE'!$G$85,$I$2,TE!$AC$48:'TE'!$AC$85),IF($F$2&lt;&gt;"Não se aplica",SUMIF(TE!$F$48:'TE'!$F$85,$I$2,TE!$AC$48:'TE'!$AC$85),IF($E$2&lt;&gt;"Não se aplica",SUMIF(TE!$E$48:'TE'!$E$85,$I$2,TE!$AC$48:'TE'!$AC$85),IF($D$2&lt;&gt;"Não se aplica",SUMIF(TE!$D$48:'TE'!$D$85,$I$2,TE!$AC$48:'TE'!$AC$85),IF($C$2&lt;&gt;"Não se aplica",SUMIF(TE!$C$48:'TE'!$C$85,$I$2,TE!$AC$48:'TE'!$AC$85),IF($B$2&lt;&gt;"Não se aplica",SUMIF(TE!$B$48:'TE'!$B$85,$I$2,TE!$AC$48:'TE'!$AC$85),SUMIF(TE!$A$48:'TE'!$A$85,$I$2,TE!$AC$48:'TE'!$AC$85)))))))</f>
        <v>1940530.0727346914</v>
      </c>
      <c r="H8" s="45">
        <f>IF($G$2&lt;&gt;"Não se aplica",SUMIF(TE!$G$48:'TE'!$G$85,$I$2,TE!$AD$48:'TE'!$AD$85),IF($F$2&lt;&gt;"Não se aplica",SUMIF(TE!$F$48:'TE'!$F$85,$I$2,TE!$AD$48:'TE'!$AD$85),IF($E$2&lt;&gt;"Não se aplica",SUMIF(TE!$E$48:'TE'!$E$85,$I$2,TE!$AD$48:'TE'!$AD$85),IF($D$2&lt;&gt;"Não se aplica",SUMIF(TE!$D$48:'TE'!$D$85,$I$2,TE!$AD$48:'TE'!$AD$85),IF($C$2&lt;&gt;"Não se aplica",SUMIF(TE!$C$48:'TE'!$C$85,$I$2,TE!$AD$48:'TE'!$AD$85),IF($B$2&lt;&gt;"Não se aplica",SUMIF(TE!$B$48:'TE'!$B$85,$I$2,TE!$AD$48:'TE'!$AD$85),SUMIF(TE!$A$48:'TE'!$A$85,$I$2,TE!$AD$48:'TE'!$AD$85)))))))</f>
        <v>65473.467839062097</v>
      </c>
      <c r="I8" s="45">
        <f>IF($G$2&lt;&gt;"Não se aplica",SUMIF(TE!$G$48:'TE'!$G$85,$I$2,TE!$AE$48:'TE'!$AE$85),IF($F$2&lt;&gt;"Não se aplica",SUMIF(TE!$F$48:'TE'!$F$85,$I$2,TE!$AE$48:'TE'!$AE$85),IF($E$2&lt;&gt;"Não se aplica",SUMIF(TE!$E$48:'TE'!$E$85,$I$2,TE!$AE$48:'TE'!$AE$85),IF($D$2&lt;&gt;"Não se aplica",SUMIF(TE!$D$48:'TE'!$D$85,$I$2,TE!$AE$48:'TE'!$AE$85),IF($C$2&lt;&gt;"Não se aplica",SUMIF(TE!$C$48:'TE'!$C$85,$I$2,TE!$AE$48:'TE'!$AE$85),IF($B$2&lt;&gt;"Não se aplica",SUMIF(TE!$B$48:'TE'!$B$85,$I$2,TE!$AE$48:'TE'!$AE$85),SUMIF(TE!$A$48:'TE'!$A$85,$I$2,TE!$AE$48:'TE'!$AE$85)))))))</f>
        <v>61355.524609234766</v>
      </c>
      <c r="J8" s="45">
        <f>IF($G$2&lt;&gt;"Não se aplica",SUMIF(TE!$G$48:'TE'!$G$85,$I$2,TE!$AF$48:'TE'!$AF$85),IF($F$2&lt;&gt;"Não se aplica",SUMIF(TE!$F$48:'TE'!$F$85,$I$2,TE!$AF$48:'TE'!$AF$85),IF($E$2&lt;&gt;"Não se aplica",SUMIF(TE!$E$48:'TE'!$E$85,$I$2,TE!$AF$48:'TE'!$AF$85),IF($D$2&lt;&gt;"Não se aplica",SUMIF(TE!$D$48:'TE'!$D$85,$I$2,TE!$AF$48:'TE'!$AF$85),IF($C$2&lt;&gt;"Não se aplica",SUMIF(TE!$C$48:'TE'!$C$85,$I$2,TE!$AF$48:'TE'!$AF$85),IF($B$2&lt;&gt;"Não se aplica",SUMIF(TE!$B$48:'TE'!$B$85,$I$2,TE!$AF$48:'TE'!$AF$85),SUMIF(TE!$A$48:'TE'!$A$85,$I$2,TE!$AF$48:'TE'!$AF$85)))))))</f>
        <v>0</v>
      </c>
      <c r="K8" s="45">
        <f>IF($G$2&lt;&gt;"Não se aplica",SUMIF(TE!$G$48:'TE'!$G$85,$I$2,TE!$AG$48:'TE'!$AG$85),IF($F$2&lt;&gt;"Não se aplica",SUMIF(TE!$F$48:'TE'!$F$85,$I$2,TE!$AG$48:'TE'!$AG$85),IF($E$2&lt;&gt;"Não se aplica",SUMIF(TE!$E$48:'TE'!$E$85,$I$2,TE!$AG$48:'TE'!$AG$85),IF($D$2&lt;&gt;"Não se aplica",SUMIF(TE!$D$48:'TE'!$D$85,$I$2,TE!$AG$48:'TE'!$AG$85),IF($C$2&lt;&gt;"Não se aplica",SUMIF(TE!$C$48:'TE'!$C$85,$I$2,TE!$AG$48:'TE'!$AG$85),IF($B$2&lt;&gt;"Não se aplica",SUMIF(TE!$B$48:'TE'!$B$85,$I$2,TE!$AG$48:'TE'!$AG$85),SUMIF(TE!$A$48:'TE'!$A$85,$I$2,TE!$AG$48:'TE'!$AG$85)))))))</f>
        <v>-70354.280465422431</v>
      </c>
      <c r="L8" s="45">
        <f>IF($G$2&lt;&gt;"Não se aplica",SUMIF(TE!$G$48:'TE'!$G$85,$I$2,TE!$AH$48:'TE'!$AH$85),IF($F$2&lt;&gt;"Não se aplica",SUMIF(TE!$F$48:'TE'!$F$85,$I$2,TE!$AH$48:'TE'!$AH$85),IF($E$2&lt;&gt;"Não se aplica",SUMIF(TE!$E$48:'TE'!$E$85,$I$2,TE!$AH$48:'TE'!$AH$85),IF($D$2&lt;&gt;"Não se aplica",SUMIF(TE!$D$48:'TE'!$D$85,$I$2,TE!$AH$48:'TE'!$AH$85),IF($C$2&lt;&gt;"Não se aplica",SUMIF(TE!$C$48:'TE'!$C$85,$I$2,TE!$AH$48:'TE'!$AH$85),IF($B$2&lt;&gt;"Não se aplica",SUMIF(TE!$B$48:'TE'!$B$85,$I$2,TE!$AH$48:'TE'!$AH$85),SUMIF(TE!$A$48:'TE'!$A$85,$I$2,TE!$AH$48:'TE'!$AH$85)))))))</f>
        <v>47069.684703345258</v>
      </c>
      <c r="M8" s="45">
        <f t="shared" si="0"/>
        <v>2143339.7449628362</v>
      </c>
      <c r="AD8" s="14" t="s">
        <v>92</v>
      </c>
    </row>
    <row r="9" spans="1:33" x14ac:dyDescent="0.2">
      <c r="A9" s="14" t="s">
        <v>1235</v>
      </c>
      <c r="B9" s="45">
        <f>IF($G$2&lt;&gt;"Não se aplica",SUMIF(TE!$G$48:'TE'!$G$85,$I$2,TE!$L$48:'TE'!$L$85),IF($F$2&lt;&gt;"Não se aplica",SUMIF(TE!$F$48:'TE'!$F$85,$I$2,TE!$L$48:'TE'!$L$85),IF($E$2&lt;&gt;"Não se aplica",SUMIF(TE!$E$48:'TE'!$E$85,$I$2,TE!$L$48:'TE'!$L$85),IF($D$2&lt;&gt;"Não se aplica",SUMIF(TE!$D$48:'TE'!$D$85,$I$2,TE!$L$48:'TE'!$L$85),IF($C$2&lt;&gt;"Não se aplica",SUMIF(TE!$C$48:'TE'!$C$85,$I$2,TE!$L$48:'TE'!$L$85),IF($B$2&lt;&gt;"Não se aplica",SUMIF(TE!$B$48:'TE'!$B$85,$I$2,TE!$L$48:'TE'!$L$85),SUMIF(TE!$A$48:'TE'!$A$85,$I$2,TE!$L$48:'TE'!$L$85)))))))</f>
        <v>19092.079334980903</v>
      </c>
      <c r="C9" s="45">
        <f>IF($G$2&lt;&gt;"Não se aplica",SUMIF(TE!$G$48:'TE'!$G$85,$I$2,TE!$M$48:'TE'!$M$85),IF($F$2&lt;&gt;"Não se aplica",SUMIF(TE!$F$48:'TE'!$F$85,$I$2,TE!$M$48:'TE'!$M$85),IF($E$2&lt;&gt;"Não se aplica",SUMIF(TE!$E$48:'TE'!$E$85,$I$2,TE!$M$48:'TE'!$M$85),IF($D$2&lt;&gt;"Não se aplica",SUMIF(TE!$D$48:'TE'!$D$85,$I$2,TE!$M$48:'TE'!$M$85),IF($C$2&lt;&gt;"Não se aplica",SUMIF(TE!$C$48:'TE'!$C$85,$I$2,TE!$M$48:'TE'!$M$85),IF($B$2&lt;&gt;"Não se aplica",SUMIF(TE!$B$48:'TE'!$B$85,$I$2,TE!$M$48:'TE'!$M$85),SUMIF(TE!$A$48:'TE'!$A$85,$I$2,TE!$M$48:'TE'!$M$85)))))))</f>
        <v>249963.91132845721</v>
      </c>
      <c r="D9" s="45">
        <f>IF($G$2&lt;&gt;"Não se aplica",SUMIF(TE!$G$48:'TE'!$G$85,$I$2,TE!$N$48:'TE'!$N$85),IF($F$2&lt;&gt;"Não se aplica",SUMIF(TE!$F$48:'TE'!$F$85,$I$2,TE!$N$48:'TE'!$N$85),IF($E$2&lt;&gt;"Não se aplica",SUMIF(TE!$E$48:'TE'!$E$85,$I$2,TE!$N$48:'TE'!$N$85),IF($D$2&lt;&gt;"Não se aplica",SUMIF(TE!$D$48:'TE'!$D$85,$I$2,TE!$N$48:'TE'!$N$85),IF($C$2&lt;&gt;"Não se aplica",SUMIF(TE!$C$48:'TE'!$C$85,$I$2,TE!$N$48:'TE'!$N$85),IF($B$2&lt;&gt;"Não se aplica",SUMIF(TE!$B$48:'TE'!$B$85,$I$2,TE!$N$48:'TE'!$N$85),SUMIF(TE!$A$48:'TE'!$A$85,$I$2,TE!$N$48:'TE'!$N$85)))))))</f>
        <v>0</v>
      </c>
      <c r="E9" s="45">
        <f>IF($G$2&lt;&gt;"Não se aplica",SUMIF(TE!$G$48:'TE'!$G$85,$I$2,TE!$O$48:'TE'!$O$85),IF($F$2&lt;&gt;"Não se aplica",SUMIF(TE!$F$48:'TE'!$F$85,$I$2,TE!$O$48:'TE'!$O$85),IF($E$2&lt;&gt;"Não se aplica",SUMIF(TE!$E$48:'TE'!$E$85,$I$2,TE!$O$48:'TE'!$O$85),IF($D$2&lt;&gt;"Não se aplica",SUMIF(TE!$D$48:'TE'!$D$85,$I$2,TE!$O$48:'TE'!$O$85),IF($C$2&lt;&gt;"Não se aplica",SUMIF(TE!$C$48:'TE'!$C$85,$I$2,TE!$O$48:'TE'!$O$85),IF($B$2&lt;&gt;"Não se aplica",SUMIF(TE!$B$48:'TE'!$B$85,$I$2,TE!$O$48:'TE'!$O$85),SUMIF(TE!$A$48:'TE'!$A$85,$I$2,TE!$O$48:'TE'!$O$85)))))))</f>
        <v>0</v>
      </c>
      <c r="F9" s="45">
        <f>IF($G$2&lt;&gt;"Não se aplica",SUMIF(TE!$G$48:'TE'!$G$85,$I$2,TE!$P$48:'TE'!$P$85),IF($F$2&lt;&gt;"Não se aplica",SUMIF(TE!$F$48:'TE'!$F$85,$I$2,TE!$P$48:'TE'!$P$85),IF($E$2&lt;&gt;"Não se aplica",SUMIF(TE!$E$48:'TE'!$E$85,$I$2,TE!$P$48:'TE'!$P$85),IF($D$2&lt;&gt;"Não se aplica",SUMIF(TE!$D$48:'TE'!$D$85,$I$2,TE!$P$48:'TE'!$P$85),IF($C$2&lt;&gt;"Não se aplica",SUMIF(TE!$C$48:'TE'!$C$85,$I$2,TE!$P$48:'TE'!$P$85),IF($B$2&lt;&gt;"Não se aplica",SUMIF(TE!$B$48:'TE'!$B$85,$I$2,TE!$P$48:'TE'!$P$85),SUMIF(TE!$A$48:'TE'!$A$85,$I$2,TE!$P$48:'TE'!$P$85)))))))</f>
        <v>-182965.30986702739</v>
      </c>
      <c r="G9" s="45">
        <f>IF($G$2&lt;&gt;"Não se aplica",SUMIF(TE!$G$48:'TE'!$G$85,$I$2,TE!$Q$48:'TE'!$Q$85),IF($F$2&lt;&gt;"Não se aplica",SUMIF(TE!$F$48:'TE'!$F$85,$I$2,TE!$Q$48:'TE'!$Q$85),IF($E$2&lt;&gt;"Não se aplica",SUMIF(TE!$E$48:'TE'!$E$85,$I$2,TE!$Q$48:'TE'!$Q$85),IF($D$2&lt;&gt;"Não se aplica",SUMIF(TE!$D$48:'TE'!$D$85,$I$2,TE!$Q$48:'TE'!$Q$85),IF($C$2&lt;&gt;"Não se aplica",SUMIF(TE!$C$48:'TE'!$C$85,$I$2,TE!$Q$48:'TE'!$Q$85),IF($B$2&lt;&gt;"Não se aplica",SUMIF(TE!$B$48:'TE'!$B$85,$I$2,TE!$Q$48:'TE'!$Q$85),SUMIF(TE!$A$48:'TE'!$A$85,$I$2,TE!$Q$48:'TE'!$Q$85)))))))</f>
        <v>1752137.3129805094</v>
      </c>
      <c r="H9" s="45">
        <f>IF($G$2&lt;&gt;"Não se aplica",SUMIF(TE!$G$48:'TE'!$G$85,$I$2,TE!$R$48:'TE'!$R$85),IF($F$2&lt;&gt;"Não se aplica",SUMIF(TE!$F$48:'TE'!$F$85,$I$2,TE!$R$48:'TE'!$R$85),IF($E$2&lt;&gt;"Não se aplica",SUMIF(TE!$E$48:'TE'!$E$85,$I$2,TE!$R$48:'TE'!$R$85),IF($D$2&lt;&gt;"Não se aplica",SUMIF(TE!$D$48:'TE'!$D$85,$I$2,TE!$R$48:'TE'!$R$85),IF($C$2&lt;&gt;"Não se aplica",SUMIF(TE!$C$48:'TE'!$C$85,$I$2,TE!$R$48:'TE'!$R$85),IF($B$2&lt;&gt;"Não se aplica",SUMIF(TE!$B$48:'TE'!$B$85,$I$2,TE!$R$48:'TE'!$R$85),SUMIF(TE!$A$48:'TE'!$A$85,$I$2,TE!$R$48:'TE'!$R$85)))))))</f>
        <v>101906.8807026689</v>
      </c>
      <c r="I9" s="45">
        <f>IF($G$2&lt;&gt;"Não se aplica",SUMIF(TE!$G$48:'TE'!$G$85,$I$2,TE!$S$48:'TE'!$S$85),IF($F$2&lt;&gt;"Não se aplica",SUMIF(TE!$F$48:'TE'!$F$85,$I$2,TE!$S$48:'TE'!$S$85),IF($E$2&lt;&gt;"Não se aplica",SUMIF(TE!$E$48:'TE'!$E$85,$I$2,TE!$S$48:'TE'!$S$85),IF($D$2&lt;&gt;"Não se aplica",SUMIF(TE!$D$48:'TE'!$D$85,$I$2,TE!$S$48:'TE'!$S$85),IF($C$2&lt;&gt;"Não se aplica",SUMIF(TE!$C$48:'TE'!$C$85,$I$2,TE!$S$48:'TE'!$S$85),IF($B$2&lt;&gt;"Não se aplica",SUMIF(TE!$B$48:'TE'!$B$85,$I$2,TE!$S$48:'TE'!$S$85),SUMIF(TE!$A$48:'TE'!$A$85,$I$2,TE!$S$48:'TE'!$S$85)))))))</f>
        <v>63611.817404239184</v>
      </c>
      <c r="J9" s="45">
        <f>IF($G$2&lt;&gt;"Não se aplica",SUMIF(TE!$G$48:'TE'!$G$85,$I$2,TE!$T$48:'TE'!$T$85),IF($F$2&lt;&gt;"Não se aplica",SUMIF(TE!$F$48:'TE'!$F$85,$I$2,TE!$T$48:'TE'!$T$85),IF($E$2&lt;&gt;"Não se aplica",SUMIF(TE!$E$48:'TE'!$E$85,$I$2,TE!$T$48:'TE'!$T$85),IF($D$2&lt;&gt;"Não se aplica",SUMIF(TE!$D$48:'TE'!$D$85,$I$2,TE!$T$48:'TE'!$T$85),IF($C$2&lt;&gt;"Não se aplica",SUMIF(TE!$C$48:'TE'!$C$85,$I$2,TE!$T$48:'TE'!$T$85),IF($B$2&lt;&gt;"Não se aplica",SUMIF(TE!$B$48:'TE'!$B$85,$I$2,TE!$T$48:'TE'!$T$85),SUMIF(TE!$A$48:'TE'!$A$85,$I$2,TE!$T$48:'TE'!$T$85)))))))</f>
        <v>0</v>
      </c>
      <c r="K9" s="45">
        <f>IF($G$2&lt;&gt;"Não se aplica",SUMIF(TE!$G$48:'TE'!$G$85,$I$2,TE!$U$48:'TE'!$U$85),IF($F$2&lt;&gt;"Não se aplica",SUMIF(TE!$F$48:'TE'!$F$85,$I$2,TE!$U$48:'TE'!$U$85),IF($E$2&lt;&gt;"Não se aplica",SUMIF(TE!$E$48:'TE'!$E$85,$I$2,TE!$U$48:'TE'!$U$85),IF($D$2&lt;&gt;"Não se aplica",SUMIF(TE!$D$48:'TE'!$D$85,$I$2,TE!$U$48:'TE'!$U$85),IF($C$2&lt;&gt;"Não se aplica",SUMIF(TE!$C$48:'TE'!$C$85,$I$2,TE!$U$48:'TE'!$U$85),IF($B$2&lt;&gt;"Não se aplica",SUMIF(TE!$B$48:'TE'!$B$85,$I$2,TE!$U$48:'TE'!$U$85),SUMIF(TE!$A$48:'TE'!$A$85,$I$2,TE!$U$48:'TE'!$U$85)))))))</f>
        <v>-467967.20017634938</v>
      </c>
      <c r="L9" s="45">
        <f>IF($G$2&lt;&gt;"Não se aplica",SUMIF(TE!$G$48:'TE'!$G$85,$I$2,TE!$V$48:'TE'!$V$85),IF($F$2&lt;&gt;"Não se aplica",SUMIF(TE!$F$48:'TE'!$F$85,$I$2,TE!$V$48:'TE'!$V$85),IF($E$2&lt;&gt;"Não se aplica",SUMIF(TE!$E$48:'TE'!$E$85,$I$2,TE!$V$48:'TE'!$V$85),IF($D$2&lt;&gt;"Não se aplica",SUMIF(TE!$D$48:'TE'!$D$85,$I$2,TE!$V$48:'TE'!$V$85),IF($C$2&lt;&gt;"Não se aplica",SUMIF(TE!$C$48:'TE'!$C$85,$I$2,TE!$V$48:'TE'!$V$85),IF($B$2&lt;&gt;"Não se aplica",SUMIF(TE!$B$48:'TE'!$B$85,$I$2,TE!$V$48:'TE'!$V$85),SUMIF(TE!$A$48:'TE'!$A$85,$I$2,TE!$V$48:'TE'!$V$85)))))))</f>
        <v>47403.080791800414</v>
      </c>
      <c r="M9" s="45">
        <f t="shared" si="0"/>
        <v>1583182.5724992792</v>
      </c>
      <c r="AD9" s="14" t="s">
        <v>93</v>
      </c>
    </row>
    <row r="10" spans="1:33" x14ac:dyDescent="0.2">
      <c r="A10" s="14" t="s">
        <v>1232</v>
      </c>
      <c r="B10" s="45">
        <f>SUMIF(TE!$A$48:'TE'!$A$85,$A$2,TE!$X$48:'TE'!$X$85)</f>
        <v>18802.620195577692</v>
      </c>
      <c r="C10" s="45">
        <f>SUMIF(TE!$A$48:'TE'!$A$85,$A$2,TE!$Y$48:'TE'!$Y$85)</f>
        <v>80462.655346347427</v>
      </c>
      <c r="D10" s="45">
        <f>SUMIF(TE!$A$48:'TE'!$A$85,$A$2,TE!$Z$48:'TE'!$Z$85)</f>
        <v>0</v>
      </c>
      <c r="E10" s="45">
        <f>SUMIF(TE!$A$48:'TE'!$A$85,$A$2,TE!$AA$48:'TE'!$AA$85)</f>
        <v>0</v>
      </c>
      <c r="F10" s="45">
        <f>SUMIF(TE!$A$48:'TE'!$A$85,$A$2,TE!$AB$48:'TE'!$AB$85)</f>
        <v>0</v>
      </c>
      <c r="G10" s="45">
        <f>SUMIF(TE!$A$48:'TE'!$A$85,$A$2,TE!$AC$48:'TE'!$AC$85)</f>
        <v>1940530.0727346914</v>
      </c>
      <c r="H10" s="45">
        <f>SUMIF(TE!$A$48:'TE'!$A$85,$A$2,TE!$AD$48:'TE'!$AD$85)</f>
        <v>65473.467839062097</v>
      </c>
      <c r="I10" s="45">
        <f>SUMIF(TE!$A$48:'TE'!$A$85,$A$2,TE!$AE$48:'TE'!$AE$85)</f>
        <v>61355.524609234766</v>
      </c>
      <c r="J10" s="45">
        <f>SUMIF(TE!$A$48:'TE'!$A$85,$A$2,TE!$AF$48:'TE'!$AF$85)</f>
        <v>0</v>
      </c>
      <c r="K10" s="45">
        <f>SUMIF(TE!$A$48:'TE'!$A$85,$A$2,TE!$AG$48:'TE'!$AG$85)</f>
        <v>-70354.280465422431</v>
      </c>
      <c r="L10" s="45">
        <f>SUMIF(TE!$A$48:'TE'!$A$85,$A$2,TE!$AH$48:'TE'!$AH$85)</f>
        <v>47069.684703345258</v>
      </c>
      <c r="M10" s="45">
        <f t="shared" si="0"/>
        <v>2143339.7449628362</v>
      </c>
      <c r="AD10" s="14" t="s">
        <v>46</v>
      </c>
    </row>
    <row r="11" spans="1:33" x14ac:dyDescent="0.2">
      <c r="A11" s="14" t="s">
        <v>1233</v>
      </c>
      <c r="B11" s="45">
        <f>SUMIF(TE!$A$48:'TE'!$A$85,$A$2,TE!$L$48:'TE'!$L$85)</f>
        <v>19092.079334980903</v>
      </c>
      <c r="C11" s="45">
        <f>SUMIF(TE!$A$48:'TE'!$A$85,$A$2,TE!$M$48:'TE'!$M$85)</f>
        <v>249963.91132845721</v>
      </c>
      <c r="D11" s="45">
        <f>SUMIF(TE!$A$48:'TE'!$A$85,$A$2,TE!$N$48:'TE'!$N$85)</f>
        <v>0</v>
      </c>
      <c r="E11" s="45">
        <f>SUMIF(TE!$A$48:'TE'!$A$85,$A$2,TE!$O$48:'TE'!$O$85)</f>
        <v>0</v>
      </c>
      <c r="F11" s="45">
        <f>SUMIF(TE!$A$48:'TE'!$A$85,$A$2,TE!$P$48:'TE'!$P$85)</f>
        <v>-182965.30986702739</v>
      </c>
      <c r="G11" s="45">
        <f>SUMIF(TE!$A$48:'TE'!$A$85,$A$2,TE!$Q$48:'TE'!$Q$85)</f>
        <v>1752137.3129805094</v>
      </c>
      <c r="H11" s="45">
        <f>SUMIF(TE!$A$48:'TE'!$A$85,$A$2,TE!$R$48:'TE'!$R$85)</f>
        <v>101906.8807026689</v>
      </c>
      <c r="I11" s="45">
        <f>SUMIF(TE!$A$48:'TE'!$A$85,$A$2,TE!$S$48:'TE'!$S$85)</f>
        <v>63611.817404239184</v>
      </c>
      <c r="J11" s="45">
        <f>SUMIF(TE!$A$48:'TE'!$A$85,$A$2,TE!$T$48:'TE'!$T$85)</f>
        <v>0</v>
      </c>
      <c r="K11" s="45">
        <f>SUMIF(TE!$A$48:'TE'!$A$85,$A$2,TE!$U$48:'TE'!$U$85)</f>
        <v>-467967.20017634938</v>
      </c>
      <c r="L11" s="45">
        <f>SUMIF(TE!$A$48:'TE'!$A$85,$A$2,TE!$V$48:'TE'!$V$85)</f>
        <v>47403.080791800414</v>
      </c>
      <c r="M11" s="45">
        <f t="shared" si="0"/>
        <v>1583182.5724992792</v>
      </c>
    </row>
    <row r="13" spans="1:33" x14ac:dyDescent="0.2">
      <c r="A13" s="14" t="s">
        <v>1237</v>
      </c>
      <c r="B13" s="100">
        <f t="shared" ref="B13:M13" si="1">IF($M$6&lt;&gt;0,(B$7-B$6)/$M$6,0)</f>
        <v>1.9167687372870752E-4</v>
      </c>
      <c r="C13" s="100">
        <f t="shared" si="1"/>
        <v>7.8201904030887365E-2</v>
      </c>
      <c r="D13" s="100">
        <f t="shared" si="1"/>
        <v>0</v>
      </c>
      <c r="E13" s="100">
        <f t="shared" si="1"/>
        <v>0</v>
      </c>
      <c r="F13" s="100">
        <f t="shared" si="1"/>
        <v>-8.4143246949757652E-2</v>
      </c>
      <c r="G13" s="100">
        <f t="shared" si="1"/>
        <v>-8.2517339306918597E-2</v>
      </c>
      <c r="H13" s="100">
        <f t="shared" si="1"/>
        <v>1.69591384295379E-2</v>
      </c>
      <c r="I13" s="100">
        <f t="shared" si="1"/>
        <v>1.2287228688749228E-3</v>
      </c>
      <c r="J13" s="100">
        <f t="shared" si="1"/>
        <v>0</v>
      </c>
      <c r="K13" s="100">
        <f t="shared" si="1"/>
        <v>-0.1871209787434456</v>
      </c>
      <c r="L13" s="100">
        <f t="shared" si="1"/>
        <v>2.9991735433583934E-4</v>
      </c>
      <c r="M13" s="100">
        <f t="shared" si="1"/>
        <v>-0.25690020544275721</v>
      </c>
    </row>
    <row r="14" spans="1:33" x14ac:dyDescent="0.2">
      <c r="A14" s="14" t="s">
        <v>1238</v>
      </c>
      <c r="B14" s="100">
        <f t="shared" ref="B14:M14" si="2">IF($M$10&lt;&gt;0,(B$9-B$8)/$M$10,0)</f>
        <v>1.350505164118204E-4</v>
      </c>
      <c r="C14" s="100">
        <f t="shared" si="2"/>
        <v>7.9082775551782059E-2</v>
      </c>
      <c r="D14" s="100">
        <f t="shared" si="2"/>
        <v>0</v>
      </c>
      <c r="E14" s="100">
        <f t="shared" si="2"/>
        <v>0</v>
      </c>
      <c r="F14" s="100">
        <f t="shared" si="2"/>
        <v>-8.5364585944446181E-2</v>
      </c>
      <c r="G14" s="100">
        <f t="shared" si="2"/>
        <v>-8.789682559516418E-2</v>
      </c>
      <c r="H14" s="100">
        <f t="shared" si="2"/>
        <v>1.6998431046328838E-2</v>
      </c>
      <c r="I14" s="100">
        <f t="shared" si="2"/>
        <v>1.0526995546585826E-3</v>
      </c>
      <c r="J14" s="100">
        <f t="shared" si="2"/>
        <v>0</v>
      </c>
      <c r="K14" s="100">
        <f t="shared" si="2"/>
        <v>-0.18551091615100956</v>
      </c>
      <c r="L14" s="100">
        <f t="shared" si="2"/>
        <v>1.5554980923518355E-4</v>
      </c>
      <c r="M14" s="100">
        <f t="shared" si="2"/>
        <v>-0.2613478212122034</v>
      </c>
    </row>
    <row r="15" spans="1:33" x14ac:dyDescent="0.2">
      <c r="A15" s="14" t="s">
        <v>1239</v>
      </c>
      <c r="B15" s="100">
        <f t="shared" ref="B15:M15" si="3">IF($M$8&lt;&gt;0,(B$9-B$8)/$M$8,0)</f>
        <v>1.350505164118204E-4</v>
      </c>
      <c r="C15" s="100">
        <f t="shared" si="3"/>
        <v>7.9082775551782059E-2</v>
      </c>
      <c r="D15" s="100">
        <f t="shared" si="3"/>
        <v>0</v>
      </c>
      <c r="E15" s="100">
        <f t="shared" si="3"/>
        <v>0</v>
      </c>
      <c r="F15" s="100">
        <f t="shared" si="3"/>
        <v>-8.5364585944446181E-2</v>
      </c>
      <c r="G15" s="100">
        <f t="shared" si="3"/>
        <v>-8.789682559516418E-2</v>
      </c>
      <c r="H15" s="100">
        <f t="shared" si="3"/>
        <v>1.6998431046328838E-2</v>
      </c>
      <c r="I15" s="100">
        <f t="shared" si="3"/>
        <v>1.0526995546585826E-3</v>
      </c>
      <c r="J15" s="100">
        <f t="shared" si="3"/>
        <v>0</v>
      </c>
      <c r="K15" s="100">
        <f t="shared" si="3"/>
        <v>-0.18551091615100956</v>
      </c>
      <c r="L15" s="100">
        <f t="shared" si="3"/>
        <v>1.5554980923518355E-4</v>
      </c>
      <c r="M15" s="100">
        <f t="shared" si="3"/>
        <v>-0.2613478212122034</v>
      </c>
    </row>
  </sheetData>
  <dataValidations count="4">
    <dataValidation type="list" allowBlank="1" showInputMessage="1" showErrorMessage="1" sqref="A2 G2" xr:uid="{DD713BC2-ED81-43C5-850D-445937BD5E50}">
      <formula1>AA1:AA5</formula1>
    </dataValidation>
    <dataValidation type="list" allowBlank="1" showInputMessage="1" showErrorMessage="1" sqref="B2 C2" xr:uid="{A931DA4A-DF12-4A6F-8A25-1C406C728844}">
      <formula1>AB1:AB4</formula1>
    </dataValidation>
    <dataValidation type="list" allowBlank="1" showInputMessage="1" showErrorMessage="1" sqref="D2" xr:uid="{E688755A-1841-44EB-9ED2-69B5FC2A42DF}">
      <formula1>AD1:AD10</formula1>
    </dataValidation>
    <dataValidation type="list" allowBlank="1" showInputMessage="1" showErrorMessage="1" sqref="E2 F2" xr:uid="{9B306095-41E6-40BF-9191-8CD5A70895A9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441B-C644-41D7-BBA1-67CFDC6825D9}">
  <sheetPr>
    <tabColor theme="4" tint="-0.249977111117893"/>
  </sheetPr>
  <dimension ref="A1:AX219"/>
  <sheetViews>
    <sheetView showGridLines="0" topLeftCell="E193" workbookViewId="0">
      <selection activeCell="P219" sqref="P219"/>
    </sheetView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7" width="10.28515625" style="8" bestFit="1" customWidth="1"/>
    <col min="8" max="8" width="28.28515625" style="8" bestFit="1" customWidth="1"/>
    <col min="9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36" t="s">
        <v>681</v>
      </c>
      <c r="B1" s="36" t="s">
        <v>672</v>
      </c>
      <c r="C1" s="36" t="s">
        <v>1</v>
      </c>
      <c r="D1" s="36" t="s">
        <v>2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6" t="s">
        <v>673</v>
      </c>
      <c r="K1" s="36" t="s">
        <v>674</v>
      </c>
      <c r="L1" s="36" t="s">
        <v>675</v>
      </c>
      <c r="M1" s="36" t="s">
        <v>676</v>
      </c>
      <c r="N1" s="36" t="s">
        <v>677</v>
      </c>
      <c r="O1" s="36" t="s">
        <v>553</v>
      </c>
      <c r="P1" s="36" t="s">
        <v>539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37">
        <v>50</v>
      </c>
      <c r="B2" s="37" t="s">
        <v>561</v>
      </c>
      <c r="C2" s="37" t="s">
        <v>788</v>
      </c>
      <c r="D2" s="37" t="s">
        <v>74</v>
      </c>
      <c r="E2" s="37" t="s">
        <v>25</v>
      </c>
      <c r="F2" s="37" t="s">
        <v>25</v>
      </c>
      <c r="G2" s="37" t="s">
        <v>25</v>
      </c>
      <c r="H2" s="37" t="s">
        <v>25</v>
      </c>
      <c r="I2" s="37" t="s">
        <v>34</v>
      </c>
      <c r="J2" s="37" t="s">
        <v>678</v>
      </c>
      <c r="K2" s="37" t="s">
        <v>679</v>
      </c>
      <c r="L2" s="37" t="s">
        <v>75</v>
      </c>
      <c r="M2" s="37">
        <v>2021</v>
      </c>
      <c r="N2" s="37">
        <v>0</v>
      </c>
      <c r="O2" s="37">
        <v>275.36</v>
      </c>
      <c r="P2" s="37"/>
      <c r="R2" s="8" t="str">
        <f t="shared" ref="R2:R65" si="0">B2&amp;C2&amp;D2&amp;E2&amp;F2&amp;G2&amp;H2&amp;I2</f>
        <v>TEA1Energia horáriaNão se aplicaNão se aplicaNão se aplicaNão se aplicaFora ponta</v>
      </c>
      <c r="S2" s="8">
        <f t="shared" ref="S2:S65" si="1">O2</f>
        <v>275.36</v>
      </c>
    </row>
    <row r="3" spans="1:50" ht="11.25" customHeight="1" x14ac:dyDescent="0.25">
      <c r="A3" s="37">
        <v>48</v>
      </c>
      <c r="B3" s="37" t="s">
        <v>561</v>
      </c>
      <c r="C3" s="37" t="s">
        <v>788</v>
      </c>
      <c r="D3" s="37" t="s">
        <v>74</v>
      </c>
      <c r="E3" s="37" t="s">
        <v>25</v>
      </c>
      <c r="F3" s="37" t="s">
        <v>25</v>
      </c>
      <c r="G3" s="37" t="s">
        <v>25</v>
      </c>
      <c r="H3" s="37" t="s">
        <v>25</v>
      </c>
      <c r="I3" s="37" t="s">
        <v>33</v>
      </c>
      <c r="J3" s="37" t="s">
        <v>678</v>
      </c>
      <c r="K3" s="37" t="s">
        <v>679</v>
      </c>
      <c r="L3" s="37" t="s">
        <v>75</v>
      </c>
      <c r="M3" s="37">
        <v>2021</v>
      </c>
      <c r="N3" s="37">
        <v>0</v>
      </c>
      <c r="O3" s="37">
        <v>437.87</v>
      </c>
      <c r="P3" s="37"/>
      <c r="R3" s="8" t="str">
        <f t="shared" si="0"/>
        <v>TEA1Energia horáriaNão se aplicaNão se aplicaNão se aplicaNão se aplicaPonta</v>
      </c>
      <c r="S3" s="8">
        <f t="shared" si="1"/>
        <v>437.87</v>
      </c>
    </row>
    <row r="4" spans="1:50" ht="11.25" customHeight="1" x14ac:dyDescent="0.25">
      <c r="A4" s="37">
        <v>54</v>
      </c>
      <c r="B4" s="37" t="s">
        <v>561</v>
      </c>
      <c r="C4" s="37" t="s">
        <v>666</v>
      </c>
      <c r="D4" s="37" t="s">
        <v>74</v>
      </c>
      <c r="E4" s="37" t="s">
        <v>25</v>
      </c>
      <c r="F4" s="37" t="s">
        <v>25</v>
      </c>
      <c r="G4" s="37" t="s">
        <v>25</v>
      </c>
      <c r="H4" s="37" t="s">
        <v>25</v>
      </c>
      <c r="I4" s="37" t="s">
        <v>34</v>
      </c>
      <c r="J4" s="37" t="s">
        <v>678</v>
      </c>
      <c r="K4" s="37" t="s">
        <v>679</v>
      </c>
      <c r="L4" s="37" t="s">
        <v>75</v>
      </c>
      <c r="M4" s="37">
        <v>2021</v>
      </c>
      <c r="N4" s="37">
        <v>0</v>
      </c>
      <c r="O4" s="37">
        <v>275.36</v>
      </c>
      <c r="P4" s="37"/>
      <c r="R4" s="8" t="str">
        <f t="shared" si="0"/>
        <v>TEA2Energia horáriaNão se aplicaNão se aplicaNão se aplicaNão se aplicaFora ponta</v>
      </c>
      <c r="S4" s="8">
        <f t="shared" si="1"/>
        <v>275.36</v>
      </c>
    </row>
    <row r="5" spans="1:50" ht="11.25" customHeight="1" x14ac:dyDescent="0.25">
      <c r="A5" s="37">
        <v>52</v>
      </c>
      <c r="B5" s="37" t="s">
        <v>561</v>
      </c>
      <c r="C5" s="37" t="s">
        <v>666</v>
      </c>
      <c r="D5" s="37" t="s">
        <v>74</v>
      </c>
      <c r="E5" s="37" t="s">
        <v>25</v>
      </c>
      <c r="F5" s="37" t="s">
        <v>25</v>
      </c>
      <c r="G5" s="37" t="s">
        <v>25</v>
      </c>
      <c r="H5" s="37" t="s">
        <v>25</v>
      </c>
      <c r="I5" s="37" t="s">
        <v>33</v>
      </c>
      <c r="J5" s="37" t="s">
        <v>678</v>
      </c>
      <c r="K5" s="37" t="s">
        <v>679</v>
      </c>
      <c r="L5" s="37" t="s">
        <v>75</v>
      </c>
      <c r="M5" s="37">
        <v>2021</v>
      </c>
      <c r="N5" s="37">
        <v>0</v>
      </c>
      <c r="O5" s="37">
        <v>437.87</v>
      </c>
      <c r="P5" s="37"/>
      <c r="R5" s="8" t="str">
        <f t="shared" si="0"/>
        <v>TEA2Energia horáriaNão se aplicaNão se aplicaNão se aplicaNão se aplicaPonta</v>
      </c>
      <c r="S5" s="8">
        <f t="shared" si="1"/>
        <v>437.87</v>
      </c>
    </row>
    <row r="6" spans="1:50" ht="11.25" customHeight="1" x14ac:dyDescent="0.25">
      <c r="A6" s="37">
        <v>58</v>
      </c>
      <c r="B6" s="37" t="s">
        <v>561</v>
      </c>
      <c r="C6" s="37" t="s">
        <v>667</v>
      </c>
      <c r="D6" s="37" t="s">
        <v>74</v>
      </c>
      <c r="E6" s="37" t="s">
        <v>25</v>
      </c>
      <c r="F6" s="37" t="s">
        <v>25</v>
      </c>
      <c r="G6" s="37" t="s">
        <v>25</v>
      </c>
      <c r="H6" s="37" t="s">
        <v>25</v>
      </c>
      <c r="I6" s="37" t="s">
        <v>34</v>
      </c>
      <c r="J6" s="37" t="s">
        <v>678</v>
      </c>
      <c r="K6" s="37" t="s">
        <v>679</v>
      </c>
      <c r="L6" s="37" t="s">
        <v>75</v>
      </c>
      <c r="M6" s="37">
        <v>2021</v>
      </c>
      <c r="N6" s="37">
        <v>0</v>
      </c>
      <c r="O6" s="37">
        <v>275.36</v>
      </c>
      <c r="P6" s="37"/>
      <c r="R6" s="8" t="str">
        <f t="shared" si="0"/>
        <v>TEA3Energia horáriaNão se aplicaNão se aplicaNão se aplicaNão se aplicaFora ponta</v>
      </c>
      <c r="S6" s="8">
        <f t="shared" si="1"/>
        <v>275.36</v>
      </c>
    </row>
    <row r="7" spans="1:50" ht="11.25" customHeight="1" x14ac:dyDescent="0.25">
      <c r="A7" s="37">
        <v>56</v>
      </c>
      <c r="B7" s="37" t="s">
        <v>561</v>
      </c>
      <c r="C7" s="37" t="s">
        <v>667</v>
      </c>
      <c r="D7" s="37" t="s">
        <v>74</v>
      </c>
      <c r="E7" s="37" t="s">
        <v>25</v>
      </c>
      <c r="F7" s="37" t="s">
        <v>25</v>
      </c>
      <c r="G7" s="37" t="s">
        <v>25</v>
      </c>
      <c r="H7" s="37" t="s">
        <v>25</v>
      </c>
      <c r="I7" s="37" t="s">
        <v>33</v>
      </c>
      <c r="J7" s="37" t="s">
        <v>678</v>
      </c>
      <c r="K7" s="37" t="s">
        <v>679</v>
      </c>
      <c r="L7" s="37" t="s">
        <v>75</v>
      </c>
      <c r="M7" s="37">
        <v>2021</v>
      </c>
      <c r="N7" s="37">
        <v>0</v>
      </c>
      <c r="O7" s="37">
        <v>437.87</v>
      </c>
      <c r="P7" s="37"/>
      <c r="R7" s="8" t="str">
        <f t="shared" si="0"/>
        <v>TEA3Energia horáriaNão se aplicaNão se aplicaNão se aplicaNão se aplicaPonta</v>
      </c>
      <c r="S7" s="8">
        <f t="shared" si="1"/>
        <v>437.87</v>
      </c>
    </row>
    <row r="8" spans="1:50" ht="11.25" customHeight="1" x14ac:dyDescent="0.25">
      <c r="A8" s="37">
        <v>66</v>
      </c>
      <c r="B8" s="37" t="s">
        <v>561</v>
      </c>
      <c r="C8" s="37" t="s">
        <v>668</v>
      </c>
      <c r="D8" s="37" t="s">
        <v>78</v>
      </c>
      <c r="E8" s="37" t="s">
        <v>25</v>
      </c>
      <c r="F8" s="37" t="s">
        <v>25</v>
      </c>
      <c r="G8" s="37" t="s">
        <v>25</v>
      </c>
      <c r="H8" s="37" t="s">
        <v>25</v>
      </c>
      <c r="I8" s="37" t="s">
        <v>25</v>
      </c>
      <c r="J8" s="37" t="s">
        <v>678</v>
      </c>
      <c r="K8" s="37" t="s">
        <v>679</v>
      </c>
      <c r="L8" s="37" t="s">
        <v>75</v>
      </c>
      <c r="M8" s="37">
        <v>2021</v>
      </c>
      <c r="N8" s="37">
        <v>0</v>
      </c>
      <c r="O8" s="37">
        <v>288.89999999999998</v>
      </c>
      <c r="P8" s="37"/>
      <c r="R8" s="8" t="str">
        <f t="shared" si="0"/>
        <v>TEA3aEnergia convencionalNão se aplicaNão se aplicaNão se aplicaNão se aplicaNão se aplica</v>
      </c>
      <c r="S8" s="8">
        <f t="shared" si="1"/>
        <v>288.89999999999998</v>
      </c>
    </row>
    <row r="9" spans="1:50" ht="11.25" customHeight="1" x14ac:dyDescent="0.25">
      <c r="A9" s="37">
        <v>62</v>
      </c>
      <c r="B9" s="37" t="s">
        <v>561</v>
      </c>
      <c r="C9" s="37" t="s">
        <v>668</v>
      </c>
      <c r="D9" s="37" t="s">
        <v>74</v>
      </c>
      <c r="E9" s="37" t="s">
        <v>25</v>
      </c>
      <c r="F9" s="37" t="s">
        <v>25</v>
      </c>
      <c r="G9" s="37" t="s">
        <v>25</v>
      </c>
      <c r="H9" s="37" t="s">
        <v>25</v>
      </c>
      <c r="I9" s="37" t="s">
        <v>34</v>
      </c>
      <c r="J9" s="37" t="s">
        <v>678</v>
      </c>
      <c r="K9" s="37" t="s">
        <v>679</v>
      </c>
      <c r="L9" s="37" t="s">
        <v>75</v>
      </c>
      <c r="M9" s="37">
        <v>2021</v>
      </c>
      <c r="N9" s="37">
        <v>0</v>
      </c>
      <c r="O9" s="37">
        <v>275.36</v>
      </c>
      <c r="P9" s="37"/>
      <c r="R9" s="8" t="str">
        <f t="shared" si="0"/>
        <v>TEA3aEnergia horáriaNão se aplicaNão se aplicaNão se aplicaNão se aplicaFora ponta</v>
      </c>
      <c r="S9" s="8">
        <f t="shared" si="1"/>
        <v>275.36</v>
      </c>
    </row>
    <row r="10" spans="1:50" ht="11.25" customHeight="1" x14ac:dyDescent="0.25">
      <c r="A10" s="37">
        <v>60</v>
      </c>
      <c r="B10" s="37" t="s">
        <v>561</v>
      </c>
      <c r="C10" s="37" t="s">
        <v>668</v>
      </c>
      <c r="D10" s="37" t="s">
        <v>74</v>
      </c>
      <c r="E10" s="37" t="s">
        <v>25</v>
      </c>
      <c r="F10" s="37" t="s">
        <v>25</v>
      </c>
      <c r="G10" s="37" t="s">
        <v>25</v>
      </c>
      <c r="H10" s="37" t="s">
        <v>25</v>
      </c>
      <c r="I10" s="37" t="s">
        <v>33</v>
      </c>
      <c r="J10" s="37" t="s">
        <v>678</v>
      </c>
      <c r="K10" s="37" t="s">
        <v>679</v>
      </c>
      <c r="L10" s="37" t="s">
        <v>75</v>
      </c>
      <c r="M10" s="37">
        <v>2021</v>
      </c>
      <c r="N10" s="37">
        <v>0</v>
      </c>
      <c r="O10" s="37">
        <v>437.87</v>
      </c>
      <c r="P10" s="37"/>
      <c r="R10" s="8" t="str">
        <f t="shared" si="0"/>
        <v>TEA3aEnergia horáriaNão se aplicaNão se aplicaNão se aplicaNão se aplicaPonta</v>
      </c>
      <c r="S10" s="8">
        <f t="shared" si="1"/>
        <v>437.87</v>
      </c>
    </row>
    <row r="11" spans="1:50" ht="11.25" customHeight="1" x14ac:dyDescent="0.25">
      <c r="A11" s="37">
        <v>64</v>
      </c>
      <c r="B11" s="37" t="s">
        <v>561</v>
      </c>
      <c r="C11" s="37" t="s">
        <v>668</v>
      </c>
      <c r="D11" s="37" t="s">
        <v>1240</v>
      </c>
      <c r="E11" s="37" t="s">
        <v>25</v>
      </c>
      <c r="F11" s="37" t="s">
        <v>25</v>
      </c>
      <c r="G11" s="37" t="s">
        <v>1241</v>
      </c>
      <c r="H11" s="37" t="s">
        <v>25</v>
      </c>
      <c r="I11" s="37" t="s">
        <v>25</v>
      </c>
      <c r="J11" s="37" t="s">
        <v>678</v>
      </c>
      <c r="K11" s="37" t="s">
        <v>679</v>
      </c>
      <c r="L11" s="37" t="s">
        <v>75</v>
      </c>
      <c r="M11" s="37">
        <v>2021</v>
      </c>
      <c r="N11" s="37">
        <v>0</v>
      </c>
      <c r="O11" s="37">
        <v>303.57</v>
      </c>
      <c r="P11" s="37"/>
      <c r="R11" s="8" t="str">
        <f t="shared" si="0"/>
        <v>TEA3aEnergia suprimento concessionáriaNão se aplicaNão se aplica&lt;500GWhNão se aplicaNão se aplica</v>
      </c>
      <c r="S11" s="8">
        <f t="shared" si="1"/>
        <v>303.57</v>
      </c>
    </row>
    <row r="12" spans="1:50" ht="11.25" customHeight="1" x14ac:dyDescent="0.25">
      <c r="A12" s="37">
        <v>70</v>
      </c>
      <c r="B12" s="37" t="s">
        <v>561</v>
      </c>
      <c r="C12" s="37" t="s">
        <v>668</v>
      </c>
      <c r="D12" s="37" t="s">
        <v>1240</v>
      </c>
      <c r="E12" s="37" t="s">
        <v>25</v>
      </c>
      <c r="F12" s="37" t="s">
        <v>25</v>
      </c>
      <c r="G12" s="37" t="s">
        <v>25</v>
      </c>
      <c r="H12" s="37" t="s">
        <v>25</v>
      </c>
      <c r="I12" s="37" t="s">
        <v>25</v>
      </c>
      <c r="J12" s="37" t="s">
        <v>678</v>
      </c>
      <c r="K12" s="37" t="s">
        <v>679</v>
      </c>
      <c r="L12" s="37" t="s">
        <v>75</v>
      </c>
      <c r="M12" s="37">
        <v>2021</v>
      </c>
      <c r="N12" s="37">
        <v>0</v>
      </c>
      <c r="O12" s="37">
        <v>278.45</v>
      </c>
      <c r="P12" s="37"/>
      <c r="R12" s="8" t="str">
        <f t="shared" si="0"/>
        <v>TEA3aEnergia suprimento concessionáriaNão se aplicaNão se aplicaNão se aplicaNão se aplicaNão se aplica</v>
      </c>
      <c r="S12" s="8">
        <f t="shared" si="1"/>
        <v>278.45</v>
      </c>
    </row>
    <row r="13" spans="1:50" ht="11.25" customHeight="1" x14ac:dyDescent="0.25">
      <c r="A13" s="37">
        <v>68</v>
      </c>
      <c r="B13" s="37" t="s">
        <v>561</v>
      </c>
      <c r="C13" s="37" t="s">
        <v>668</v>
      </c>
      <c r="D13" s="37" t="s">
        <v>1242</v>
      </c>
      <c r="E13" s="37" t="s">
        <v>25</v>
      </c>
      <c r="F13" s="37" t="s">
        <v>25</v>
      </c>
      <c r="G13" s="37" t="s">
        <v>1241</v>
      </c>
      <c r="H13" s="37" t="s">
        <v>25</v>
      </c>
      <c r="I13" s="37" t="s">
        <v>25</v>
      </c>
      <c r="J13" s="37" t="s">
        <v>678</v>
      </c>
      <c r="K13" s="37" t="s">
        <v>679</v>
      </c>
      <c r="L13" s="37" t="s">
        <v>75</v>
      </c>
      <c r="M13" s="37">
        <v>2021</v>
      </c>
      <c r="N13" s="37">
        <v>0</v>
      </c>
      <c r="O13" s="37">
        <v>303.57</v>
      </c>
      <c r="P13" s="37"/>
      <c r="R13" s="8" t="str">
        <f t="shared" si="0"/>
        <v>TEA3aEnergia suprimento permissionáriaNão se aplicaNão se aplica&lt;500GWhNão se aplicaNão se aplica</v>
      </c>
      <c r="S13" s="8">
        <f t="shared" si="1"/>
        <v>303.57</v>
      </c>
    </row>
    <row r="14" spans="1:50" ht="11.25" customHeight="1" x14ac:dyDescent="0.25">
      <c r="A14" s="37">
        <v>78</v>
      </c>
      <c r="B14" s="37" t="s">
        <v>561</v>
      </c>
      <c r="C14" s="37" t="s">
        <v>38</v>
      </c>
      <c r="D14" s="37" t="s">
        <v>78</v>
      </c>
      <c r="E14" s="37" t="s">
        <v>25</v>
      </c>
      <c r="F14" s="37" t="s">
        <v>25</v>
      </c>
      <c r="G14" s="37" t="s">
        <v>25</v>
      </c>
      <c r="H14" s="37" t="s">
        <v>25</v>
      </c>
      <c r="I14" s="37" t="s">
        <v>25</v>
      </c>
      <c r="J14" s="37" t="s">
        <v>678</v>
      </c>
      <c r="K14" s="37" t="s">
        <v>679</v>
      </c>
      <c r="L14" s="37" t="s">
        <v>75</v>
      </c>
      <c r="M14" s="37">
        <v>2021</v>
      </c>
      <c r="N14" s="37">
        <v>0</v>
      </c>
      <c r="O14" s="37">
        <v>288.89999999999998</v>
      </c>
      <c r="P14" s="37"/>
      <c r="R14" s="8" t="str">
        <f t="shared" si="0"/>
        <v>TEA4Energia convencionalNão se aplicaNão se aplicaNão se aplicaNão se aplicaNão se aplica</v>
      </c>
      <c r="S14" s="8">
        <f t="shared" si="1"/>
        <v>288.89999999999998</v>
      </c>
    </row>
    <row r="15" spans="1:50" ht="11.25" customHeight="1" x14ac:dyDescent="0.25">
      <c r="A15" s="37">
        <v>74</v>
      </c>
      <c r="B15" s="37" t="s">
        <v>561</v>
      </c>
      <c r="C15" s="37" t="s">
        <v>38</v>
      </c>
      <c r="D15" s="37" t="s">
        <v>74</v>
      </c>
      <c r="E15" s="37" t="s">
        <v>25</v>
      </c>
      <c r="F15" s="37" t="s">
        <v>25</v>
      </c>
      <c r="G15" s="37" t="s">
        <v>25</v>
      </c>
      <c r="H15" s="37" t="s">
        <v>25</v>
      </c>
      <c r="I15" s="37" t="s">
        <v>34</v>
      </c>
      <c r="J15" s="37" t="s">
        <v>678</v>
      </c>
      <c r="K15" s="37" t="s">
        <v>679</v>
      </c>
      <c r="L15" s="37" t="s">
        <v>75</v>
      </c>
      <c r="M15" s="37">
        <v>2021</v>
      </c>
      <c r="N15" s="37">
        <v>0</v>
      </c>
      <c r="O15" s="37">
        <v>275.36</v>
      </c>
      <c r="P15" s="37"/>
      <c r="R15" s="8" t="str">
        <f t="shared" si="0"/>
        <v>TEA4Energia horáriaNão se aplicaNão se aplicaNão se aplicaNão se aplicaFora ponta</v>
      </c>
      <c r="S15" s="8">
        <f t="shared" si="1"/>
        <v>275.36</v>
      </c>
    </row>
    <row r="16" spans="1:50" ht="11.25" customHeight="1" x14ac:dyDescent="0.25">
      <c r="A16" s="37">
        <v>72</v>
      </c>
      <c r="B16" s="37" t="s">
        <v>561</v>
      </c>
      <c r="C16" s="37" t="s">
        <v>38</v>
      </c>
      <c r="D16" s="37" t="s">
        <v>74</v>
      </c>
      <c r="E16" s="37" t="s">
        <v>25</v>
      </c>
      <c r="F16" s="37" t="s">
        <v>25</v>
      </c>
      <c r="G16" s="37" t="s">
        <v>25</v>
      </c>
      <c r="H16" s="37" t="s">
        <v>25</v>
      </c>
      <c r="I16" s="37" t="s">
        <v>33</v>
      </c>
      <c r="J16" s="37" t="s">
        <v>678</v>
      </c>
      <c r="K16" s="37" t="s">
        <v>679</v>
      </c>
      <c r="L16" s="37" t="s">
        <v>75</v>
      </c>
      <c r="M16" s="37">
        <v>2021</v>
      </c>
      <c r="N16" s="37">
        <v>0</v>
      </c>
      <c r="O16" s="37">
        <v>437.87</v>
      </c>
      <c r="P16" s="37"/>
      <c r="R16" s="8" t="str">
        <f t="shared" si="0"/>
        <v>TEA4Energia horáriaNão se aplicaNão se aplicaNão se aplicaNão se aplicaPonta</v>
      </c>
      <c r="S16" s="8">
        <f t="shared" si="1"/>
        <v>437.87</v>
      </c>
    </row>
    <row r="17" spans="1:19" ht="11.25" customHeight="1" x14ac:dyDescent="0.25">
      <c r="A17" s="37">
        <v>76</v>
      </c>
      <c r="B17" s="37" t="s">
        <v>561</v>
      </c>
      <c r="C17" s="37" t="s">
        <v>38</v>
      </c>
      <c r="D17" s="37" t="s">
        <v>1240</v>
      </c>
      <c r="E17" s="37" t="s">
        <v>25</v>
      </c>
      <c r="F17" s="37" t="s">
        <v>25</v>
      </c>
      <c r="G17" s="37" t="s">
        <v>1241</v>
      </c>
      <c r="H17" s="37" t="s">
        <v>25</v>
      </c>
      <c r="I17" s="37" t="s">
        <v>25</v>
      </c>
      <c r="J17" s="37" t="s">
        <v>678</v>
      </c>
      <c r="K17" s="37" t="s">
        <v>679</v>
      </c>
      <c r="L17" s="37" t="s">
        <v>75</v>
      </c>
      <c r="M17" s="37">
        <v>2021</v>
      </c>
      <c r="N17" s="37">
        <v>0</v>
      </c>
      <c r="O17" s="37">
        <v>303.57</v>
      </c>
      <c r="P17" s="37"/>
      <c r="R17" s="8" t="str">
        <f t="shared" si="0"/>
        <v>TEA4Energia suprimento concessionáriaNão se aplicaNão se aplica&lt;500GWhNão se aplicaNão se aplica</v>
      </c>
      <c r="S17" s="8">
        <f t="shared" si="1"/>
        <v>303.57</v>
      </c>
    </row>
    <row r="18" spans="1:19" ht="11.25" customHeight="1" x14ac:dyDescent="0.25">
      <c r="A18" s="37">
        <v>82</v>
      </c>
      <c r="B18" s="37" t="s">
        <v>561</v>
      </c>
      <c r="C18" s="37" t="s">
        <v>38</v>
      </c>
      <c r="D18" s="37" t="s">
        <v>1240</v>
      </c>
      <c r="E18" s="37" t="s">
        <v>25</v>
      </c>
      <c r="F18" s="37" t="s">
        <v>25</v>
      </c>
      <c r="G18" s="37" t="s">
        <v>25</v>
      </c>
      <c r="H18" s="37" t="s">
        <v>25</v>
      </c>
      <c r="I18" s="37" t="s">
        <v>25</v>
      </c>
      <c r="J18" s="37" t="s">
        <v>678</v>
      </c>
      <c r="K18" s="37" t="s">
        <v>679</v>
      </c>
      <c r="L18" s="37" t="s">
        <v>75</v>
      </c>
      <c r="M18" s="37">
        <v>2021</v>
      </c>
      <c r="N18" s="37">
        <v>0</v>
      </c>
      <c r="O18" s="37">
        <v>278.45</v>
      </c>
      <c r="P18" s="37"/>
      <c r="R18" s="8" t="str">
        <f t="shared" si="0"/>
        <v>TEA4Energia suprimento concessionáriaNão se aplicaNão se aplicaNão se aplicaNão se aplicaNão se aplica</v>
      </c>
      <c r="S18" s="8">
        <f t="shared" si="1"/>
        <v>278.45</v>
      </c>
    </row>
    <row r="19" spans="1:19" ht="11.25" customHeight="1" x14ac:dyDescent="0.25">
      <c r="A19" s="37">
        <v>80</v>
      </c>
      <c r="B19" s="37" t="s">
        <v>561</v>
      </c>
      <c r="C19" s="37" t="s">
        <v>38</v>
      </c>
      <c r="D19" s="37" t="s">
        <v>1242</v>
      </c>
      <c r="E19" s="37" t="s">
        <v>25</v>
      </c>
      <c r="F19" s="37" t="s">
        <v>25</v>
      </c>
      <c r="G19" s="37" t="s">
        <v>1241</v>
      </c>
      <c r="H19" s="37" t="s">
        <v>25</v>
      </c>
      <c r="I19" s="37" t="s">
        <v>25</v>
      </c>
      <c r="J19" s="37" t="s">
        <v>678</v>
      </c>
      <c r="K19" s="37" t="s">
        <v>679</v>
      </c>
      <c r="L19" s="37" t="s">
        <v>75</v>
      </c>
      <c r="M19" s="37">
        <v>2021</v>
      </c>
      <c r="N19" s="37">
        <v>0</v>
      </c>
      <c r="O19" s="37">
        <v>303.57</v>
      </c>
      <c r="P19" s="37"/>
      <c r="R19" s="8" t="str">
        <f t="shared" si="0"/>
        <v>TEA4Energia suprimento permissionáriaNão se aplicaNão se aplica&lt;500GWhNão se aplicaNão se aplica</v>
      </c>
      <c r="S19" s="8">
        <f t="shared" si="1"/>
        <v>303.57</v>
      </c>
    </row>
    <row r="20" spans="1:19" ht="11.25" customHeight="1" x14ac:dyDescent="0.25">
      <c r="A20" s="37">
        <v>88</v>
      </c>
      <c r="B20" s="37" t="s">
        <v>561</v>
      </c>
      <c r="C20" s="37" t="s">
        <v>669</v>
      </c>
      <c r="D20" s="37" t="s">
        <v>78</v>
      </c>
      <c r="E20" s="37" t="s">
        <v>25</v>
      </c>
      <c r="F20" s="37" t="s">
        <v>25</v>
      </c>
      <c r="G20" s="37" t="s">
        <v>25</v>
      </c>
      <c r="H20" s="37" t="s">
        <v>25</v>
      </c>
      <c r="I20" s="37" t="s">
        <v>25</v>
      </c>
      <c r="J20" s="37" t="s">
        <v>678</v>
      </c>
      <c r="K20" s="37" t="s">
        <v>679</v>
      </c>
      <c r="L20" s="37" t="s">
        <v>75</v>
      </c>
      <c r="M20" s="37">
        <v>2021</v>
      </c>
      <c r="N20" s="37">
        <v>0</v>
      </c>
      <c r="O20" s="37">
        <v>288.89999999999998</v>
      </c>
      <c r="P20" s="37"/>
      <c r="R20" s="8" t="str">
        <f t="shared" si="0"/>
        <v>TEASEnergia convencionalNão se aplicaNão se aplicaNão se aplicaNão se aplicaNão se aplica</v>
      </c>
      <c r="S20" s="8">
        <f t="shared" si="1"/>
        <v>288.89999999999998</v>
      </c>
    </row>
    <row r="21" spans="1:19" ht="11.25" customHeight="1" x14ac:dyDescent="0.25">
      <c r="A21" s="37">
        <v>86</v>
      </c>
      <c r="B21" s="37" t="s">
        <v>561</v>
      </c>
      <c r="C21" s="37" t="s">
        <v>669</v>
      </c>
      <c r="D21" s="37" t="s">
        <v>74</v>
      </c>
      <c r="E21" s="37" t="s">
        <v>25</v>
      </c>
      <c r="F21" s="37" t="s">
        <v>25</v>
      </c>
      <c r="G21" s="37" t="s">
        <v>25</v>
      </c>
      <c r="H21" s="37" t="s">
        <v>25</v>
      </c>
      <c r="I21" s="37" t="s">
        <v>34</v>
      </c>
      <c r="J21" s="37" t="s">
        <v>678</v>
      </c>
      <c r="K21" s="37" t="s">
        <v>679</v>
      </c>
      <c r="L21" s="37" t="s">
        <v>75</v>
      </c>
      <c r="M21" s="37">
        <v>2021</v>
      </c>
      <c r="N21" s="37">
        <v>0</v>
      </c>
      <c r="O21" s="37">
        <v>275.36</v>
      </c>
      <c r="P21" s="37"/>
      <c r="R21" s="8" t="str">
        <f t="shared" si="0"/>
        <v>TEASEnergia horáriaNão se aplicaNão se aplicaNão se aplicaNão se aplicaFora ponta</v>
      </c>
      <c r="S21" s="8">
        <f t="shared" si="1"/>
        <v>275.36</v>
      </c>
    </row>
    <row r="22" spans="1:19" ht="11.25" customHeight="1" x14ac:dyDescent="0.25">
      <c r="A22" s="37">
        <v>84</v>
      </c>
      <c r="B22" s="37" t="s">
        <v>561</v>
      </c>
      <c r="C22" s="37" t="s">
        <v>669</v>
      </c>
      <c r="D22" s="37" t="s">
        <v>74</v>
      </c>
      <c r="E22" s="37" t="s">
        <v>25</v>
      </c>
      <c r="F22" s="37" t="s">
        <v>25</v>
      </c>
      <c r="G22" s="37" t="s">
        <v>25</v>
      </c>
      <c r="H22" s="37" t="s">
        <v>25</v>
      </c>
      <c r="I22" s="37" t="s">
        <v>33</v>
      </c>
      <c r="J22" s="37" t="s">
        <v>678</v>
      </c>
      <c r="K22" s="37" t="s">
        <v>679</v>
      </c>
      <c r="L22" s="37" t="s">
        <v>75</v>
      </c>
      <c r="M22" s="37">
        <v>2021</v>
      </c>
      <c r="N22" s="37">
        <v>0</v>
      </c>
      <c r="O22" s="37">
        <v>437.87</v>
      </c>
      <c r="P22" s="37"/>
      <c r="R22" s="8" t="str">
        <f t="shared" si="0"/>
        <v>TEASEnergia horáriaNão se aplicaNão se aplicaNão se aplicaNão se aplicaPonta</v>
      </c>
      <c r="S22" s="8">
        <f t="shared" si="1"/>
        <v>437.87</v>
      </c>
    </row>
    <row r="23" spans="1:19" ht="11.25" customHeight="1" x14ac:dyDescent="0.25">
      <c r="A23" s="37">
        <v>96</v>
      </c>
      <c r="B23" s="37" t="s">
        <v>561</v>
      </c>
      <c r="C23" s="37" t="s">
        <v>22</v>
      </c>
      <c r="D23" s="37" t="s">
        <v>78</v>
      </c>
      <c r="E23" s="37" t="s">
        <v>24</v>
      </c>
      <c r="F23" s="37" t="s">
        <v>24</v>
      </c>
      <c r="G23" s="37" t="s">
        <v>25</v>
      </c>
      <c r="H23" s="37" t="s">
        <v>25</v>
      </c>
      <c r="I23" s="37" t="s">
        <v>25</v>
      </c>
      <c r="J23" s="37" t="s">
        <v>678</v>
      </c>
      <c r="K23" s="37" t="s">
        <v>679</v>
      </c>
      <c r="L23" s="37" t="s">
        <v>75</v>
      </c>
      <c r="M23" s="37">
        <v>2021</v>
      </c>
      <c r="N23" s="37">
        <v>0</v>
      </c>
      <c r="O23" s="37">
        <v>288.89999999999998</v>
      </c>
      <c r="P23" s="37"/>
      <c r="R23" s="8" t="str">
        <f t="shared" si="0"/>
        <v>TEB1Energia convencionalResidencialResidencialNão se aplicaNão se aplicaNão se aplica</v>
      </c>
      <c r="S23" s="8">
        <f t="shared" si="1"/>
        <v>288.89999999999998</v>
      </c>
    </row>
    <row r="24" spans="1:19" ht="11.25" customHeight="1" x14ac:dyDescent="0.25">
      <c r="A24" s="37">
        <v>98</v>
      </c>
      <c r="B24" s="37" t="s">
        <v>561</v>
      </c>
      <c r="C24" s="37" t="s">
        <v>22</v>
      </c>
      <c r="D24" s="37" t="s">
        <v>78</v>
      </c>
      <c r="E24" s="37" t="s">
        <v>24</v>
      </c>
      <c r="F24" s="37" t="s">
        <v>28</v>
      </c>
      <c r="G24" s="37" t="s">
        <v>25</v>
      </c>
      <c r="H24" s="37" t="s">
        <v>25</v>
      </c>
      <c r="I24" s="37" t="s">
        <v>25</v>
      </c>
      <c r="J24" s="37" t="s">
        <v>678</v>
      </c>
      <c r="K24" s="37" t="s">
        <v>679</v>
      </c>
      <c r="L24" s="37" t="s">
        <v>75</v>
      </c>
      <c r="M24" s="37">
        <v>2021</v>
      </c>
      <c r="N24" s="37">
        <v>0</v>
      </c>
      <c r="O24" s="37">
        <v>101.12</v>
      </c>
      <c r="P24" s="37"/>
      <c r="R24" s="8" t="str">
        <f t="shared" si="0"/>
        <v>TEB1Energia convencionalResidencialResidencial baixa renda – faixa 01Não se aplicaNão se aplicaNão se aplica</v>
      </c>
      <c r="S24" s="8">
        <f t="shared" si="1"/>
        <v>101.12</v>
      </c>
    </row>
    <row r="25" spans="1:19" ht="11.25" customHeight="1" x14ac:dyDescent="0.25">
      <c r="A25" s="37">
        <v>100</v>
      </c>
      <c r="B25" s="37" t="s">
        <v>561</v>
      </c>
      <c r="C25" s="37" t="s">
        <v>22</v>
      </c>
      <c r="D25" s="37" t="s">
        <v>78</v>
      </c>
      <c r="E25" s="37" t="s">
        <v>24</v>
      </c>
      <c r="F25" s="37" t="s">
        <v>29</v>
      </c>
      <c r="G25" s="37" t="s">
        <v>25</v>
      </c>
      <c r="H25" s="37" t="s">
        <v>25</v>
      </c>
      <c r="I25" s="37" t="s">
        <v>25</v>
      </c>
      <c r="J25" s="37" t="s">
        <v>678</v>
      </c>
      <c r="K25" s="37" t="s">
        <v>679</v>
      </c>
      <c r="L25" s="37" t="s">
        <v>75</v>
      </c>
      <c r="M25" s="37">
        <v>2021</v>
      </c>
      <c r="N25" s="37">
        <v>0</v>
      </c>
      <c r="O25" s="37">
        <v>173.34</v>
      </c>
      <c r="P25" s="37"/>
      <c r="R25" s="8" t="str">
        <f t="shared" si="0"/>
        <v>TEB1Energia convencionalResidencialResidencial baixa renda – faixa 02Não se aplicaNão se aplicaNão se aplica</v>
      </c>
      <c r="S25" s="8">
        <f t="shared" si="1"/>
        <v>173.34</v>
      </c>
    </row>
    <row r="26" spans="1:19" ht="11.25" customHeight="1" x14ac:dyDescent="0.25">
      <c r="A26" s="37">
        <v>102</v>
      </c>
      <c r="B26" s="37" t="s">
        <v>561</v>
      </c>
      <c r="C26" s="37" t="s">
        <v>22</v>
      </c>
      <c r="D26" s="37" t="s">
        <v>78</v>
      </c>
      <c r="E26" s="37" t="s">
        <v>24</v>
      </c>
      <c r="F26" s="37" t="s">
        <v>30</v>
      </c>
      <c r="G26" s="37" t="s">
        <v>25</v>
      </c>
      <c r="H26" s="37" t="s">
        <v>25</v>
      </c>
      <c r="I26" s="37" t="s">
        <v>25</v>
      </c>
      <c r="J26" s="37" t="s">
        <v>678</v>
      </c>
      <c r="K26" s="37" t="s">
        <v>679</v>
      </c>
      <c r="L26" s="37" t="s">
        <v>75</v>
      </c>
      <c r="M26" s="37">
        <v>2021</v>
      </c>
      <c r="N26" s="37">
        <v>0</v>
      </c>
      <c r="O26" s="37">
        <v>260.01</v>
      </c>
      <c r="P26" s="37"/>
      <c r="R26" s="8" t="str">
        <f t="shared" si="0"/>
        <v>TEB1Energia convencionalResidencialResidencial baixa renda – faixa 03Não se aplicaNão se aplicaNão se aplica</v>
      </c>
      <c r="S26" s="8">
        <f t="shared" si="1"/>
        <v>260.01</v>
      </c>
    </row>
    <row r="27" spans="1:19" ht="11.25" customHeight="1" x14ac:dyDescent="0.25">
      <c r="A27" s="37">
        <v>104</v>
      </c>
      <c r="B27" s="37" t="s">
        <v>561</v>
      </c>
      <c r="C27" s="37" t="s">
        <v>22</v>
      </c>
      <c r="D27" s="37" t="s">
        <v>78</v>
      </c>
      <c r="E27" s="37" t="s">
        <v>24</v>
      </c>
      <c r="F27" s="37" t="s">
        <v>31</v>
      </c>
      <c r="G27" s="37" t="s">
        <v>25</v>
      </c>
      <c r="H27" s="37" t="s">
        <v>25</v>
      </c>
      <c r="I27" s="37" t="s">
        <v>25</v>
      </c>
      <c r="J27" s="37" t="s">
        <v>678</v>
      </c>
      <c r="K27" s="37" t="s">
        <v>679</v>
      </c>
      <c r="L27" s="37" t="s">
        <v>75</v>
      </c>
      <c r="M27" s="37">
        <v>2021</v>
      </c>
      <c r="N27" s="37">
        <v>0</v>
      </c>
      <c r="O27" s="37">
        <v>288.89999999999998</v>
      </c>
      <c r="P27" s="37"/>
      <c r="R27" s="8" t="str">
        <f t="shared" si="0"/>
        <v>TEB1Energia convencionalResidencialResidencial baixa renda – faixa 04Não se aplicaNão se aplicaNão se aplica</v>
      </c>
      <c r="S27" s="8">
        <f t="shared" si="1"/>
        <v>288.89999999999998</v>
      </c>
    </row>
    <row r="28" spans="1:19" ht="11.25" customHeight="1" x14ac:dyDescent="0.25">
      <c r="A28" s="37">
        <v>106</v>
      </c>
      <c r="B28" s="37" t="s">
        <v>561</v>
      </c>
      <c r="C28" s="37" t="s">
        <v>22</v>
      </c>
      <c r="D28" s="37" t="s">
        <v>89</v>
      </c>
      <c r="E28" s="37" t="s">
        <v>24</v>
      </c>
      <c r="F28" s="37" t="s">
        <v>24</v>
      </c>
      <c r="G28" s="37" t="s">
        <v>25</v>
      </c>
      <c r="H28" s="37" t="s">
        <v>25</v>
      </c>
      <c r="I28" s="37" t="s">
        <v>25</v>
      </c>
      <c r="J28" s="37" t="s">
        <v>678</v>
      </c>
      <c r="K28" s="37" t="s">
        <v>679</v>
      </c>
      <c r="L28" s="37" t="s">
        <v>75</v>
      </c>
      <c r="M28" s="37">
        <v>2021</v>
      </c>
      <c r="N28" s="37">
        <v>0</v>
      </c>
      <c r="O28" s="37">
        <v>288.89999999999998</v>
      </c>
      <c r="P28" s="37"/>
      <c r="R28" s="8" t="str">
        <f t="shared" si="0"/>
        <v>TEB1Energia convencional pré-pagamentoResidencialResidencialNão se aplicaNão se aplicaNão se aplica</v>
      </c>
      <c r="S28" s="8">
        <f t="shared" si="1"/>
        <v>288.89999999999998</v>
      </c>
    </row>
    <row r="29" spans="1:19" ht="11.25" customHeight="1" x14ac:dyDescent="0.25">
      <c r="A29" s="37">
        <v>108</v>
      </c>
      <c r="B29" s="37" t="s">
        <v>561</v>
      </c>
      <c r="C29" s="37" t="s">
        <v>22</v>
      </c>
      <c r="D29" s="37" t="s">
        <v>89</v>
      </c>
      <c r="E29" s="37" t="s">
        <v>24</v>
      </c>
      <c r="F29" s="37" t="s">
        <v>28</v>
      </c>
      <c r="G29" s="37" t="s">
        <v>25</v>
      </c>
      <c r="H29" s="37" t="s">
        <v>25</v>
      </c>
      <c r="I29" s="37" t="s">
        <v>25</v>
      </c>
      <c r="J29" s="37" t="s">
        <v>678</v>
      </c>
      <c r="K29" s="37" t="s">
        <v>679</v>
      </c>
      <c r="L29" s="37" t="s">
        <v>75</v>
      </c>
      <c r="M29" s="37">
        <v>2021</v>
      </c>
      <c r="N29" s="37">
        <v>0</v>
      </c>
      <c r="O29" s="37">
        <v>101.12</v>
      </c>
      <c r="P29" s="37"/>
      <c r="R29" s="8" t="str">
        <f t="shared" si="0"/>
        <v>TEB1Energia convencional pré-pagamentoResidencialResidencial baixa renda – faixa 01Não se aplicaNão se aplicaNão se aplica</v>
      </c>
      <c r="S29" s="8">
        <f t="shared" si="1"/>
        <v>101.12</v>
      </c>
    </row>
    <row r="30" spans="1:19" ht="11.25" customHeight="1" x14ac:dyDescent="0.25">
      <c r="A30" s="37">
        <v>110</v>
      </c>
      <c r="B30" s="37" t="s">
        <v>561</v>
      </c>
      <c r="C30" s="37" t="s">
        <v>22</v>
      </c>
      <c r="D30" s="37" t="s">
        <v>89</v>
      </c>
      <c r="E30" s="37" t="s">
        <v>24</v>
      </c>
      <c r="F30" s="37" t="s">
        <v>29</v>
      </c>
      <c r="G30" s="37" t="s">
        <v>25</v>
      </c>
      <c r="H30" s="37" t="s">
        <v>25</v>
      </c>
      <c r="I30" s="37" t="s">
        <v>25</v>
      </c>
      <c r="J30" s="37" t="s">
        <v>678</v>
      </c>
      <c r="K30" s="37" t="s">
        <v>679</v>
      </c>
      <c r="L30" s="37" t="s">
        <v>75</v>
      </c>
      <c r="M30" s="37">
        <v>2021</v>
      </c>
      <c r="N30" s="37">
        <v>0</v>
      </c>
      <c r="O30" s="37">
        <v>173.34</v>
      </c>
      <c r="P30" s="37"/>
      <c r="R30" s="8" t="str">
        <f t="shared" si="0"/>
        <v>TEB1Energia convencional pré-pagamentoResidencialResidencial baixa renda – faixa 02Não se aplicaNão se aplicaNão se aplica</v>
      </c>
      <c r="S30" s="8">
        <f t="shared" si="1"/>
        <v>173.34</v>
      </c>
    </row>
    <row r="31" spans="1:19" ht="11.25" customHeight="1" x14ac:dyDescent="0.25">
      <c r="A31" s="37">
        <v>112</v>
      </c>
      <c r="B31" s="37" t="s">
        <v>561</v>
      </c>
      <c r="C31" s="37" t="s">
        <v>22</v>
      </c>
      <c r="D31" s="37" t="s">
        <v>89</v>
      </c>
      <c r="E31" s="37" t="s">
        <v>24</v>
      </c>
      <c r="F31" s="37" t="s">
        <v>30</v>
      </c>
      <c r="G31" s="37" t="s">
        <v>25</v>
      </c>
      <c r="H31" s="37" t="s">
        <v>25</v>
      </c>
      <c r="I31" s="37" t="s">
        <v>25</v>
      </c>
      <c r="J31" s="37" t="s">
        <v>678</v>
      </c>
      <c r="K31" s="37" t="s">
        <v>679</v>
      </c>
      <c r="L31" s="37" t="s">
        <v>75</v>
      </c>
      <c r="M31" s="37">
        <v>2021</v>
      </c>
      <c r="N31" s="37">
        <v>0</v>
      </c>
      <c r="O31" s="37">
        <v>260.01</v>
      </c>
      <c r="P31" s="37"/>
      <c r="R31" s="8" t="str">
        <f t="shared" si="0"/>
        <v>TEB1Energia convencional pré-pagamentoResidencialResidencial baixa renda – faixa 03Não se aplicaNão se aplicaNão se aplica</v>
      </c>
      <c r="S31" s="8">
        <f t="shared" si="1"/>
        <v>260.01</v>
      </c>
    </row>
    <row r="32" spans="1:19" ht="11.25" customHeight="1" x14ac:dyDescent="0.25">
      <c r="A32" s="37">
        <v>114</v>
      </c>
      <c r="B32" s="37" t="s">
        <v>561</v>
      </c>
      <c r="C32" s="37" t="s">
        <v>22</v>
      </c>
      <c r="D32" s="37" t="s">
        <v>89</v>
      </c>
      <c r="E32" s="37" t="s">
        <v>24</v>
      </c>
      <c r="F32" s="37" t="s">
        <v>31</v>
      </c>
      <c r="G32" s="37" t="s">
        <v>25</v>
      </c>
      <c r="H32" s="37" t="s">
        <v>25</v>
      </c>
      <c r="I32" s="37" t="s">
        <v>25</v>
      </c>
      <c r="J32" s="37" t="s">
        <v>678</v>
      </c>
      <c r="K32" s="37" t="s">
        <v>679</v>
      </c>
      <c r="L32" s="37" t="s">
        <v>75</v>
      </c>
      <c r="M32" s="37">
        <v>2021</v>
      </c>
      <c r="N32" s="37">
        <v>0</v>
      </c>
      <c r="O32" s="37">
        <v>288.89999999999998</v>
      </c>
      <c r="P32" s="37"/>
      <c r="R32" s="8" t="str">
        <f t="shared" si="0"/>
        <v>TEB1Energia convencional pré-pagamentoResidencialResidencial baixa renda – faixa 04Não se aplicaNão se aplicaNão se aplica</v>
      </c>
      <c r="S32" s="8">
        <f t="shared" si="1"/>
        <v>288.89999999999998</v>
      </c>
    </row>
    <row r="33" spans="1:19" ht="11.25" customHeight="1" x14ac:dyDescent="0.25">
      <c r="A33" s="37">
        <v>94</v>
      </c>
      <c r="B33" s="37" t="s">
        <v>561</v>
      </c>
      <c r="C33" s="37" t="s">
        <v>22</v>
      </c>
      <c r="D33" s="37" t="s">
        <v>74</v>
      </c>
      <c r="E33" s="37" t="s">
        <v>24</v>
      </c>
      <c r="F33" s="37" t="s">
        <v>24</v>
      </c>
      <c r="G33" s="37" t="s">
        <v>25</v>
      </c>
      <c r="H33" s="37" t="s">
        <v>25</v>
      </c>
      <c r="I33" s="37" t="s">
        <v>34</v>
      </c>
      <c r="J33" s="37" t="s">
        <v>678</v>
      </c>
      <c r="K33" s="37" t="s">
        <v>679</v>
      </c>
      <c r="L33" s="37" t="s">
        <v>75</v>
      </c>
      <c r="M33" s="37">
        <v>2021</v>
      </c>
      <c r="N33" s="37">
        <v>0</v>
      </c>
      <c r="O33" s="37">
        <v>275.36</v>
      </c>
      <c r="P33" s="37"/>
      <c r="R33" s="8" t="str">
        <f t="shared" si="0"/>
        <v>TEB1Energia horáriaResidencialResidencialNão se aplicaNão se aplicaFora ponta</v>
      </c>
      <c r="S33" s="8">
        <f t="shared" si="1"/>
        <v>275.36</v>
      </c>
    </row>
    <row r="34" spans="1:19" ht="11.25" customHeight="1" x14ac:dyDescent="0.25">
      <c r="A34" s="37">
        <v>92</v>
      </c>
      <c r="B34" s="37" t="s">
        <v>561</v>
      </c>
      <c r="C34" s="37" t="s">
        <v>22</v>
      </c>
      <c r="D34" s="37" t="s">
        <v>74</v>
      </c>
      <c r="E34" s="37" t="s">
        <v>24</v>
      </c>
      <c r="F34" s="37" t="s">
        <v>24</v>
      </c>
      <c r="G34" s="37" t="s">
        <v>25</v>
      </c>
      <c r="H34" s="37" t="s">
        <v>25</v>
      </c>
      <c r="I34" s="37" t="s">
        <v>35</v>
      </c>
      <c r="J34" s="37" t="s">
        <v>678</v>
      </c>
      <c r="K34" s="37" t="s">
        <v>679</v>
      </c>
      <c r="L34" s="37" t="s">
        <v>75</v>
      </c>
      <c r="M34" s="37">
        <v>2021</v>
      </c>
      <c r="N34" s="37">
        <v>0</v>
      </c>
      <c r="O34" s="37">
        <v>275.36</v>
      </c>
      <c r="P34" s="37"/>
      <c r="R34" s="8" t="str">
        <f t="shared" si="0"/>
        <v>TEB1Energia horáriaResidencialResidencialNão se aplicaNão se aplicaIntermediário</v>
      </c>
      <c r="S34" s="8">
        <f t="shared" si="1"/>
        <v>275.36</v>
      </c>
    </row>
    <row r="35" spans="1:19" ht="11.25" customHeight="1" x14ac:dyDescent="0.25">
      <c r="A35" s="37">
        <v>90</v>
      </c>
      <c r="B35" s="37" t="s">
        <v>561</v>
      </c>
      <c r="C35" s="37" t="s">
        <v>22</v>
      </c>
      <c r="D35" s="37" t="s">
        <v>74</v>
      </c>
      <c r="E35" s="37" t="s">
        <v>24</v>
      </c>
      <c r="F35" s="37" t="s">
        <v>24</v>
      </c>
      <c r="G35" s="37" t="s">
        <v>25</v>
      </c>
      <c r="H35" s="37" t="s">
        <v>25</v>
      </c>
      <c r="I35" s="37" t="s">
        <v>33</v>
      </c>
      <c r="J35" s="37" t="s">
        <v>678</v>
      </c>
      <c r="K35" s="37" t="s">
        <v>679</v>
      </c>
      <c r="L35" s="37" t="s">
        <v>75</v>
      </c>
      <c r="M35" s="37">
        <v>2021</v>
      </c>
      <c r="N35" s="37">
        <v>0</v>
      </c>
      <c r="O35" s="37">
        <v>437.87</v>
      </c>
      <c r="P35" s="37"/>
      <c r="R35" s="8" t="str">
        <f t="shared" si="0"/>
        <v>TEB1Energia horáriaResidencialResidencialNão se aplicaNão se aplicaPonta</v>
      </c>
      <c r="S35" s="8">
        <f t="shared" si="1"/>
        <v>437.87</v>
      </c>
    </row>
    <row r="36" spans="1:19" ht="11.25" customHeight="1" x14ac:dyDescent="0.25">
      <c r="A36" s="37">
        <v>130</v>
      </c>
      <c r="B36" s="37" t="s">
        <v>561</v>
      </c>
      <c r="C36" s="37" t="s">
        <v>41</v>
      </c>
      <c r="D36" s="37" t="s">
        <v>78</v>
      </c>
      <c r="E36" s="37" t="s">
        <v>42</v>
      </c>
      <c r="F36" s="37" t="s">
        <v>91</v>
      </c>
      <c r="G36" s="37" t="s">
        <v>25</v>
      </c>
      <c r="H36" s="37" t="s">
        <v>25</v>
      </c>
      <c r="I36" s="37" t="s">
        <v>25</v>
      </c>
      <c r="J36" s="37" t="s">
        <v>678</v>
      </c>
      <c r="K36" s="37" t="s">
        <v>679</v>
      </c>
      <c r="L36" s="37" t="s">
        <v>75</v>
      </c>
      <c r="M36" s="37">
        <v>2021</v>
      </c>
      <c r="N36" s="37">
        <v>0</v>
      </c>
      <c r="O36" s="37">
        <v>246.87</v>
      </c>
      <c r="P36" s="37"/>
      <c r="R36" s="8" t="str">
        <f t="shared" si="0"/>
        <v>TEB2Energia convencionalRuralCooperativa de eletrificação ruralNão se aplicaNão se aplicaNão se aplica</v>
      </c>
      <c r="S36" s="8">
        <f t="shared" si="1"/>
        <v>246.87</v>
      </c>
    </row>
    <row r="37" spans="1:19" ht="11.25" customHeight="1" x14ac:dyDescent="0.25">
      <c r="A37" s="37">
        <v>122</v>
      </c>
      <c r="B37" s="37" t="s">
        <v>561</v>
      </c>
      <c r="C37" s="37" t="s">
        <v>41</v>
      </c>
      <c r="D37" s="37" t="s">
        <v>78</v>
      </c>
      <c r="E37" s="37" t="s">
        <v>42</v>
      </c>
      <c r="F37" s="37" t="s">
        <v>25</v>
      </c>
      <c r="G37" s="37" t="s">
        <v>25</v>
      </c>
      <c r="H37" s="37" t="s">
        <v>25</v>
      </c>
      <c r="I37" s="37" t="s">
        <v>25</v>
      </c>
      <c r="J37" s="37" t="s">
        <v>678</v>
      </c>
      <c r="K37" s="37" t="s">
        <v>679</v>
      </c>
      <c r="L37" s="37" t="s">
        <v>75</v>
      </c>
      <c r="M37" s="37">
        <v>2021</v>
      </c>
      <c r="N37" s="37">
        <v>0</v>
      </c>
      <c r="O37" s="37">
        <v>254.23</v>
      </c>
      <c r="P37" s="37"/>
      <c r="R37" s="8" t="str">
        <f t="shared" si="0"/>
        <v>TEB2Energia convencionalRuralNão se aplicaNão se aplicaNão se aplicaNão se aplica</v>
      </c>
      <c r="S37" s="8">
        <f t="shared" si="1"/>
        <v>254.23</v>
      </c>
    </row>
    <row r="38" spans="1:19" ht="11.25" customHeight="1" x14ac:dyDescent="0.25">
      <c r="A38" s="37">
        <v>138</v>
      </c>
      <c r="B38" s="37" t="s">
        <v>561</v>
      </c>
      <c r="C38" s="37" t="s">
        <v>41</v>
      </c>
      <c r="D38" s="37" t="s">
        <v>78</v>
      </c>
      <c r="E38" s="37" t="s">
        <v>42</v>
      </c>
      <c r="F38" s="37" t="s">
        <v>92</v>
      </c>
      <c r="G38" s="37" t="s">
        <v>25</v>
      </c>
      <c r="H38" s="37" t="s">
        <v>25</v>
      </c>
      <c r="I38" s="37" t="s">
        <v>25</v>
      </c>
      <c r="J38" s="37" t="s">
        <v>678</v>
      </c>
      <c r="K38" s="37" t="s">
        <v>679</v>
      </c>
      <c r="L38" s="37" t="s">
        <v>75</v>
      </c>
      <c r="M38" s="37">
        <v>2021</v>
      </c>
      <c r="N38" s="37">
        <v>0</v>
      </c>
      <c r="O38" s="37">
        <v>242.68</v>
      </c>
      <c r="P38" s="37"/>
      <c r="R38" s="8" t="str">
        <f t="shared" si="0"/>
        <v>TEB2Energia convencionalRuralServiço público de irrigação ruralNão se aplicaNão se aplicaNão se aplica</v>
      </c>
      <c r="S38" s="8">
        <f t="shared" si="1"/>
        <v>242.68</v>
      </c>
    </row>
    <row r="39" spans="1:19" ht="11.25" customHeight="1" x14ac:dyDescent="0.25">
      <c r="A39" s="37">
        <v>142</v>
      </c>
      <c r="B39" s="37" t="s">
        <v>561</v>
      </c>
      <c r="C39" s="37" t="s">
        <v>41</v>
      </c>
      <c r="D39" s="37" t="s">
        <v>89</v>
      </c>
      <c r="E39" s="37" t="s">
        <v>42</v>
      </c>
      <c r="F39" s="37" t="s">
        <v>91</v>
      </c>
      <c r="G39" s="37" t="s">
        <v>25</v>
      </c>
      <c r="H39" s="37" t="s">
        <v>25</v>
      </c>
      <c r="I39" s="37" t="s">
        <v>25</v>
      </c>
      <c r="J39" s="37" t="s">
        <v>678</v>
      </c>
      <c r="K39" s="37" t="s">
        <v>679</v>
      </c>
      <c r="L39" s="37" t="s">
        <v>75</v>
      </c>
      <c r="M39" s="37">
        <v>2021</v>
      </c>
      <c r="N39" s="37">
        <v>0</v>
      </c>
      <c r="O39" s="37">
        <v>246.87</v>
      </c>
      <c r="P39" s="37"/>
      <c r="R39" s="8" t="str">
        <f t="shared" si="0"/>
        <v>TEB2Energia convencional pré-pagamentoRuralCooperativa de eletrificação ruralNão se aplicaNão se aplicaNão se aplica</v>
      </c>
      <c r="S39" s="8">
        <f t="shared" si="1"/>
        <v>246.87</v>
      </c>
    </row>
    <row r="40" spans="1:19" ht="11.25" customHeight="1" x14ac:dyDescent="0.25">
      <c r="A40" s="37">
        <v>140</v>
      </c>
      <c r="B40" s="37" t="s">
        <v>561</v>
      </c>
      <c r="C40" s="37" t="s">
        <v>41</v>
      </c>
      <c r="D40" s="37" t="s">
        <v>89</v>
      </c>
      <c r="E40" s="37" t="s">
        <v>42</v>
      </c>
      <c r="F40" s="37" t="s">
        <v>25</v>
      </c>
      <c r="G40" s="37" t="s">
        <v>25</v>
      </c>
      <c r="H40" s="37" t="s">
        <v>25</v>
      </c>
      <c r="I40" s="37" t="s">
        <v>25</v>
      </c>
      <c r="J40" s="37" t="s">
        <v>678</v>
      </c>
      <c r="K40" s="37" t="s">
        <v>679</v>
      </c>
      <c r="L40" s="37" t="s">
        <v>75</v>
      </c>
      <c r="M40" s="37">
        <v>2021</v>
      </c>
      <c r="N40" s="37">
        <v>0</v>
      </c>
      <c r="O40" s="37">
        <v>254.23</v>
      </c>
      <c r="P40" s="37"/>
      <c r="R40" s="8" t="str">
        <f t="shared" si="0"/>
        <v>TEB2Energia convencional pré-pagamentoRuralNão se aplicaNão se aplicaNão se aplicaNão se aplica</v>
      </c>
      <c r="S40" s="8">
        <f t="shared" si="1"/>
        <v>254.23</v>
      </c>
    </row>
    <row r="41" spans="1:19" ht="11.25" customHeight="1" x14ac:dyDescent="0.25">
      <c r="A41" s="37">
        <v>144</v>
      </c>
      <c r="B41" s="37" t="s">
        <v>561</v>
      </c>
      <c r="C41" s="37" t="s">
        <v>41</v>
      </c>
      <c r="D41" s="37" t="s">
        <v>89</v>
      </c>
      <c r="E41" s="37" t="s">
        <v>42</v>
      </c>
      <c r="F41" s="37" t="s">
        <v>92</v>
      </c>
      <c r="G41" s="37" t="s">
        <v>25</v>
      </c>
      <c r="H41" s="37" t="s">
        <v>25</v>
      </c>
      <c r="I41" s="37" t="s">
        <v>25</v>
      </c>
      <c r="J41" s="37" t="s">
        <v>678</v>
      </c>
      <c r="K41" s="37" t="s">
        <v>679</v>
      </c>
      <c r="L41" s="37" t="s">
        <v>75</v>
      </c>
      <c r="M41" s="37">
        <v>2021</v>
      </c>
      <c r="N41" s="37">
        <v>0</v>
      </c>
      <c r="O41" s="37">
        <v>242.68</v>
      </c>
      <c r="P41" s="37"/>
      <c r="R41" s="8" t="str">
        <f t="shared" si="0"/>
        <v>TEB2Energia convencional pré-pagamentoRuralServiço público de irrigação ruralNão se aplicaNão se aplicaNão se aplica</v>
      </c>
      <c r="S41" s="8">
        <f t="shared" si="1"/>
        <v>242.68</v>
      </c>
    </row>
    <row r="42" spans="1:19" ht="11.25" customHeight="1" x14ac:dyDescent="0.25">
      <c r="A42" s="37">
        <v>128</v>
      </c>
      <c r="B42" s="37" t="s">
        <v>561</v>
      </c>
      <c r="C42" s="37" t="s">
        <v>41</v>
      </c>
      <c r="D42" s="37" t="s">
        <v>74</v>
      </c>
      <c r="E42" s="37" t="s">
        <v>42</v>
      </c>
      <c r="F42" s="37" t="s">
        <v>91</v>
      </c>
      <c r="G42" s="37" t="s">
        <v>25</v>
      </c>
      <c r="H42" s="37" t="s">
        <v>25</v>
      </c>
      <c r="I42" s="37" t="s">
        <v>34</v>
      </c>
      <c r="J42" s="37" t="s">
        <v>678</v>
      </c>
      <c r="K42" s="37" t="s">
        <v>679</v>
      </c>
      <c r="L42" s="37" t="s">
        <v>75</v>
      </c>
      <c r="M42" s="37">
        <v>2021</v>
      </c>
      <c r="N42" s="37">
        <v>0</v>
      </c>
      <c r="O42" s="37">
        <v>235.29</v>
      </c>
      <c r="P42" s="37"/>
      <c r="R42" s="8" t="str">
        <f t="shared" si="0"/>
        <v>TEB2Energia horáriaRuralCooperativa de eletrificação ruralNão se aplicaNão se aplicaFora ponta</v>
      </c>
      <c r="S42" s="8">
        <f t="shared" si="1"/>
        <v>235.29</v>
      </c>
    </row>
    <row r="43" spans="1:19" ht="11.25" customHeight="1" x14ac:dyDescent="0.25">
      <c r="A43" s="37">
        <v>126</v>
      </c>
      <c r="B43" s="37" t="s">
        <v>561</v>
      </c>
      <c r="C43" s="37" t="s">
        <v>41</v>
      </c>
      <c r="D43" s="37" t="s">
        <v>74</v>
      </c>
      <c r="E43" s="37" t="s">
        <v>42</v>
      </c>
      <c r="F43" s="37" t="s">
        <v>91</v>
      </c>
      <c r="G43" s="37" t="s">
        <v>25</v>
      </c>
      <c r="H43" s="37" t="s">
        <v>25</v>
      </c>
      <c r="I43" s="37" t="s">
        <v>35</v>
      </c>
      <c r="J43" s="37" t="s">
        <v>678</v>
      </c>
      <c r="K43" s="37" t="s">
        <v>679</v>
      </c>
      <c r="L43" s="37" t="s">
        <v>75</v>
      </c>
      <c r="M43" s="37">
        <v>2021</v>
      </c>
      <c r="N43" s="37">
        <v>0</v>
      </c>
      <c r="O43" s="37">
        <v>235.29</v>
      </c>
      <c r="P43" s="37"/>
      <c r="R43" s="8" t="str">
        <f t="shared" si="0"/>
        <v>TEB2Energia horáriaRuralCooperativa de eletrificação ruralNão se aplicaNão se aplicaIntermediário</v>
      </c>
      <c r="S43" s="8">
        <f t="shared" si="1"/>
        <v>235.29</v>
      </c>
    </row>
    <row r="44" spans="1:19" ht="11.25" customHeight="1" x14ac:dyDescent="0.25">
      <c r="A44" s="37">
        <v>124</v>
      </c>
      <c r="B44" s="37" t="s">
        <v>561</v>
      </c>
      <c r="C44" s="37" t="s">
        <v>41</v>
      </c>
      <c r="D44" s="37" t="s">
        <v>74</v>
      </c>
      <c r="E44" s="37" t="s">
        <v>42</v>
      </c>
      <c r="F44" s="37" t="s">
        <v>91</v>
      </c>
      <c r="G44" s="37" t="s">
        <v>25</v>
      </c>
      <c r="H44" s="37" t="s">
        <v>25</v>
      </c>
      <c r="I44" s="37" t="s">
        <v>33</v>
      </c>
      <c r="J44" s="37" t="s">
        <v>678</v>
      </c>
      <c r="K44" s="37" t="s">
        <v>679</v>
      </c>
      <c r="L44" s="37" t="s">
        <v>75</v>
      </c>
      <c r="M44" s="37">
        <v>2021</v>
      </c>
      <c r="N44" s="37">
        <v>0</v>
      </c>
      <c r="O44" s="37">
        <v>374.16</v>
      </c>
      <c r="P44" s="37"/>
      <c r="R44" s="8" t="str">
        <f t="shared" si="0"/>
        <v>TEB2Energia horáriaRuralCooperativa de eletrificação ruralNão se aplicaNão se aplicaPonta</v>
      </c>
      <c r="S44" s="8">
        <f t="shared" si="1"/>
        <v>374.16</v>
      </c>
    </row>
    <row r="45" spans="1:19" ht="11.25" customHeight="1" x14ac:dyDescent="0.25">
      <c r="A45" s="37">
        <v>120</v>
      </c>
      <c r="B45" s="37" t="s">
        <v>561</v>
      </c>
      <c r="C45" s="37" t="s">
        <v>41</v>
      </c>
      <c r="D45" s="37" t="s">
        <v>74</v>
      </c>
      <c r="E45" s="37" t="s">
        <v>42</v>
      </c>
      <c r="F45" s="37" t="s">
        <v>25</v>
      </c>
      <c r="G45" s="37" t="s">
        <v>25</v>
      </c>
      <c r="H45" s="37" t="s">
        <v>25</v>
      </c>
      <c r="I45" s="37" t="s">
        <v>34</v>
      </c>
      <c r="J45" s="37" t="s">
        <v>678</v>
      </c>
      <c r="K45" s="37" t="s">
        <v>679</v>
      </c>
      <c r="L45" s="37" t="s">
        <v>75</v>
      </c>
      <c r="M45" s="37">
        <v>2021</v>
      </c>
      <c r="N45" s="37">
        <v>0</v>
      </c>
      <c r="O45" s="37">
        <v>242.31</v>
      </c>
      <c r="P45" s="37"/>
      <c r="R45" s="8" t="str">
        <f t="shared" si="0"/>
        <v>TEB2Energia horáriaRuralNão se aplicaNão se aplicaNão se aplicaFora ponta</v>
      </c>
      <c r="S45" s="8">
        <f t="shared" si="1"/>
        <v>242.31</v>
      </c>
    </row>
    <row r="46" spans="1:19" ht="11.25" customHeight="1" x14ac:dyDescent="0.25">
      <c r="A46" s="37">
        <v>118</v>
      </c>
      <c r="B46" s="37" t="s">
        <v>561</v>
      </c>
      <c r="C46" s="37" t="s">
        <v>41</v>
      </c>
      <c r="D46" s="37" t="s">
        <v>74</v>
      </c>
      <c r="E46" s="37" t="s">
        <v>42</v>
      </c>
      <c r="F46" s="37" t="s">
        <v>25</v>
      </c>
      <c r="G46" s="37" t="s">
        <v>25</v>
      </c>
      <c r="H46" s="37" t="s">
        <v>25</v>
      </c>
      <c r="I46" s="37" t="s">
        <v>35</v>
      </c>
      <c r="J46" s="37" t="s">
        <v>678</v>
      </c>
      <c r="K46" s="37" t="s">
        <v>679</v>
      </c>
      <c r="L46" s="37" t="s">
        <v>75</v>
      </c>
      <c r="M46" s="37">
        <v>2021</v>
      </c>
      <c r="N46" s="37">
        <v>0</v>
      </c>
      <c r="O46" s="37">
        <v>242.31</v>
      </c>
      <c r="P46" s="37"/>
      <c r="R46" s="8" t="str">
        <f t="shared" si="0"/>
        <v>TEB2Energia horáriaRuralNão se aplicaNão se aplicaNão se aplicaIntermediário</v>
      </c>
      <c r="S46" s="8">
        <f t="shared" si="1"/>
        <v>242.31</v>
      </c>
    </row>
    <row r="47" spans="1:19" ht="11.25" customHeight="1" x14ac:dyDescent="0.25">
      <c r="A47" s="37">
        <v>116</v>
      </c>
      <c r="B47" s="37" t="s">
        <v>561</v>
      </c>
      <c r="C47" s="37" t="s">
        <v>41</v>
      </c>
      <c r="D47" s="37" t="s">
        <v>74</v>
      </c>
      <c r="E47" s="37" t="s">
        <v>42</v>
      </c>
      <c r="F47" s="37" t="s">
        <v>25</v>
      </c>
      <c r="G47" s="37" t="s">
        <v>25</v>
      </c>
      <c r="H47" s="37" t="s">
        <v>25</v>
      </c>
      <c r="I47" s="37" t="s">
        <v>33</v>
      </c>
      <c r="J47" s="37" t="s">
        <v>678</v>
      </c>
      <c r="K47" s="37" t="s">
        <v>679</v>
      </c>
      <c r="L47" s="37" t="s">
        <v>75</v>
      </c>
      <c r="M47" s="37">
        <v>2021</v>
      </c>
      <c r="N47" s="37">
        <v>0</v>
      </c>
      <c r="O47" s="37">
        <v>385.33</v>
      </c>
      <c r="P47" s="37"/>
      <c r="R47" s="8" t="str">
        <f t="shared" si="0"/>
        <v>TEB2Energia horáriaRuralNão se aplicaNão se aplicaNão se aplicaPonta</v>
      </c>
      <c r="S47" s="8">
        <f t="shared" si="1"/>
        <v>385.33</v>
      </c>
    </row>
    <row r="48" spans="1:19" ht="11.25" customHeight="1" x14ac:dyDescent="0.25">
      <c r="A48" s="37">
        <v>136</v>
      </c>
      <c r="B48" s="37" t="s">
        <v>561</v>
      </c>
      <c r="C48" s="37" t="s">
        <v>41</v>
      </c>
      <c r="D48" s="37" t="s">
        <v>74</v>
      </c>
      <c r="E48" s="37" t="s">
        <v>42</v>
      </c>
      <c r="F48" s="37" t="s">
        <v>92</v>
      </c>
      <c r="G48" s="37" t="s">
        <v>25</v>
      </c>
      <c r="H48" s="37" t="s">
        <v>25</v>
      </c>
      <c r="I48" s="37" t="s">
        <v>34</v>
      </c>
      <c r="J48" s="37" t="s">
        <v>678</v>
      </c>
      <c r="K48" s="37" t="s">
        <v>679</v>
      </c>
      <c r="L48" s="37" t="s">
        <v>75</v>
      </c>
      <c r="M48" s="37">
        <v>2021</v>
      </c>
      <c r="N48" s="37">
        <v>0</v>
      </c>
      <c r="O48" s="37">
        <v>231.3</v>
      </c>
      <c r="P48" s="37"/>
      <c r="R48" s="8" t="str">
        <f t="shared" si="0"/>
        <v>TEB2Energia horáriaRuralServiço público de irrigação ruralNão se aplicaNão se aplicaFora ponta</v>
      </c>
      <c r="S48" s="8">
        <f t="shared" si="1"/>
        <v>231.3</v>
      </c>
    </row>
    <row r="49" spans="1:19" ht="11.25" customHeight="1" x14ac:dyDescent="0.25">
      <c r="A49" s="37">
        <v>134</v>
      </c>
      <c r="B49" s="37" t="s">
        <v>561</v>
      </c>
      <c r="C49" s="37" t="s">
        <v>41</v>
      </c>
      <c r="D49" s="37" t="s">
        <v>74</v>
      </c>
      <c r="E49" s="37" t="s">
        <v>42</v>
      </c>
      <c r="F49" s="37" t="s">
        <v>92</v>
      </c>
      <c r="G49" s="37" t="s">
        <v>25</v>
      </c>
      <c r="H49" s="37" t="s">
        <v>25</v>
      </c>
      <c r="I49" s="37" t="s">
        <v>35</v>
      </c>
      <c r="J49" s="37" t="s">
        <v>678</v>
      </c>
      <c r="K49" s="37" t="s">
        <v>679</v>
      </c>
      <c r="L49" s="37" t="s">
        <v>75</v>
      </c>
      <c r="M49" s="37">
        <v>2021</v>
      </c>
      <c r="N49" s="37">
        <v>0</v>
      </c>
      <c r="O49" s="37">
        <v>231.3</v>
      </c>
      <c r="P49" s="37"/>
      <c r="R49" s="8" t="str">
        <f t="shared" si="0"/>
        <v>TEB2Energia horáriaRuralServiço público de irrigação ruralNão se aplicaNão se aplicaIntermediário</v>
      </c>
      <c r="S49" s="8">
        <f t="shared" si="1"/>
        <v>231.3</v>
      </c>
    </row>
    <row r="50" spans="1:19" ht="11.25" customHeight="1" x14ac:dyDescent="0.25">
      <c r="A50" s="37">
        <v>132</v>
      </c>
      <c r="B50" s="37" t="s">
        <v>561</v>
      </c>
      <c r="C50" s="37" t="s">
        <v>41</v>
      </c>
      <c r="D50" s="37" t="s">
        <v>74</v>
      </c>
      <c r="E50" s="37" t="s">
        <v>42</v>
      </c>
      <c r="F50" s="37" t="s">
        <v>92</v>
      </c>
      <c r="G50" s="37" t="s">
        <v>25</v>
      </c>
      <c r="H50" s="37" t="s">
        <v>25</v>
      </c>
      <c r="I50" s="37" t="s">
        <v>33</v>
      </c>
      <c r="J50" s="37" t="s">
        <v>678</v>
      </c>
      <c r="K50" s="37" t="s">
        <v>679</v>
      </c>
      <c r="L50" s="37" t="s">
        <v>75</v>
      </c>
      <c r="M50" s="37">
        <v>2021</v>
      </c>
      <c r="N50" s="37">
        <v>0</v>
      </c>
      <c r="O50" s="37">
        <v>367.81</v>
      </c>
      <c r="P50" s="37"/>
      <c r="R50" s="8" t="str">
        <f t="shared" si="0"/>
        <v>TEB2Energia horáriaRuralServiço público de irrigação ruralNão se aplicaNão se aplicaPonta</v>
      </c>
      <c r="S50" s="8">
        <f t="shared" si="1"/>
        <v>367.81</v>
      </c>
    </row>
    <row r="51" spans="1:19" ht="11.25" customHeight="1" x14ac:dyDescent="0.25">
      <c r="A51" s="37">
        <v>152</v>
      </c>
      <c r="B51" s="37" t="s">
        <v>561</v>
      </c>
      <c r="C51" s="37" t="s">
        <v>36</v>
      </c>
      <c r="D51" s="37" t="s">
        <v>78</v>
      </c>
      <c r="E51" s="37" t="s">
        <v>25</v>
      </c>
      <c r="F51" s="37" t="s">
        <v>25</v>
      </c>
      <c r="G51" s="37" t="s">
        <v>25</v>
      </c>
      <c r="H51" s="37" t="s">
        <v>25</v>
      </c>
      <c r="I51" s="37" t="s">
        <v>25</v>
      </c>
      <c r="J51" s="37" t="s">
        <v>678</v>
      </c>
      <c r="K51" s="37" t="s">
        <v>679</v>
      </c>
      <c r="L51" s="37" t="s">
        <v>75</v>
      </c>
      <c r="M51" s="37">
        <v>2021</v>
      </c>
      <c r="N51" s="37">
        <v>0</v>
      </c>
      <c r="O51" s="37">
        <v>288.89999999999998</v>
      </c>
      <c r="P51" s="37"/>
      <c r="R51" s="8" t="str">
        <f t="shared" si="0"/>
        <v>TEB3Energia convencionalNão se aplicaNão se aplicaNão se aplicaNão se aplicaNão se aplica</v>
      </c>
      <c r="S51" s="8">
        <f t="shared" si="1"/>
        <v>288.89999999999998</v>
      </c>
    </row>
    <row r="52" spans="1:19" ht="11.25" customHeight="1" x14ac:dyDescent="0.25">
      <c r="A52" s="37">
        <v>154</v>
      </c>
      <c r="B52" s="37" t="s">
        <v>561</v>
      </c>
      <c r="C52" s="37" t="s">
        <v>36</v>
      </c>
      <c r="D52" s="37" t="s">
        <v>89</v>
      </c>
      <c r="E52" s="37" t="s">
        <v>25</v>
      </c>
      <c r="F52" s="37" t="s">
        <v>25</v>
      </c>
      <c r="G52" s="37" t="s">
        <v>25</v>
      </c>
      <c r="H52" s="37" t="s">
        <v>25</v>
      </c>
      <c r="I52" s="37" t="s">
        <v>25</v>
      </c>
      <c r="J52" s="37" t="s">
        <v>678</v>
      </c>
      <c r="K52" s="37" t="s">
        <v>679</v>
      </c>
      <c r="L52" s="37" t="s">
        <v>75</v>
      </c>
      <c r="M52" s="37">
        <v>2021</v>
      </c>
      <c r="N52" s="37">
        <v>0</v>
      </c>
      <c r="O52" s="37">
        <v>288.89999999999998</v>
      </c>
      <c r="P52" s="37"/>
      <c r="R52" s="8" t="str">
        <f t="shared" si="0"/>
        <v>TEB3Energia convencional pré-pagamentoNão se aplicaNão se aplicaNão se aplicaNão se aplicaNão se aplica</v>
      </c>
      <c r="S52" s="8">
        <f t="shared" si="1"/>
        <v>288.89999999999998</v>
      </c>
    </row>
    <row r="53" spans="1:19" ht="11.25" customHeight="1" x14ac:dyDescent="0.25">
      <c r="A53" s="37">
        <v>150</v>
      </c>
      <c r="B53" s="37" t="s">
        <v>561</v>
      </c>
      <c r="C53" s="37" t="s">
        <v>36</v>
      </c>
      <c r="D53" s="37" t="s">
        <v>74</v>
      </c>
      <c r="E53" s="37" t="s">
        <v>25</v>
      </c>
      <c r="F53" s="37" t="s">
        <v>25</v>
      </c>
      <c r="G53" s="37" t="s">
        <v>25</v>
      </c>
      <c r="H53" s="37" t="s">
        <v>25</v>
      </c>
      <c r="I53" s="37" t="s">
        <v>34</v>
      </c>
      <c r="J53" s="37" t="s">
        <v>678</v>
      </c>
      <c r="K53" s="37" t="s">
        <v>679</v>
      </c>
      <c r="L53" s="37" t="s">
        <v>75</v>
      </c>
      <c r="M53" s="37">
        <v>2021</v>
      </c>
      <c r="N53" s="37">
        <v>0</v>
      </c>
      <c r="O53" s="37">
        <v>275.36</v>
      </c>
      <c r="P53" s="37"/>
      <c r="R53" s="8" t="str">
        <f t="shared" si="0"/>
        <v>TEB3Energia horáriaNão se aplicaNão se aplicaNão se aplicaNão se aplicaFora ponta</v>
      </c>
      <c r="S53" s="8">
        <f t="shared" si="1"/>
        <v>275.36</v>
      </c>
    </row>
    <row r="54" spans="1:19" ht="11.25" customHeight="1" x14ac:dyDescent="0.25">
      <c r="A54" s="37">
        <v>148</v>
      </c>
      <c r="B54" s="37" t="s">
        <v>561</v>
      </c>
      <c r="C54" s="37" t="s">
        <v>36</v>
      </c>
      <c r="D54" s="37" t="s">
        <v>74</v>
      </c>
      <c r="E54" s="37" t="s">
        <v>25</v>
      </c>
      <c r="F54" s="37" t="s">
        <v>25</v>
      </c>
      <c r="G54" s="37" t="s">
        <v>25</v>
      </c>
      <c r="H54" s="37" t="s">
        <v>25</v>
      </c>
      <c r="I54" s="37" t="s">
        <v>35</v>
      </c>
      <c r="J54" s="37" t="s">
        <v>678</v>
      </c>
      <c r="K54" s="37" t="s">
        <v>679</v>
      </c>
      <c r="L54" s="37" t="s">
        <v>75</v>
      </c>
      <c r="M54" s="37">
        <v>2021</v>
      </c>
      <c r="N54" s="37">
        <v>0</v>
      </c>
      <c r="O54" s="37">
        <v>275.36</v>
      </c>
      <c r="P54" s="37"/>
      <c r="R54" s="8" t="str">
        <f t="shared" si="0"/>
        <v>TEB3Energia horáriaNão se aplicaNão se aplicaNão se aplicaNão se aplicaIntermediário</v>
      </c>
      <c r="S54" s="8">
        <f t="shared" si="1"/>
        <v>275.36</v>
      </c>
    </row>
    <row r="55" spans="1:19" ht="11.25" customHeight="1" x14ac:dyDescent="0.25">
      <c r="A55" s="37">
        <v>146</v>
      </c>
      <c r="B55" s="37" t="s">
        <v>561</v>
      </c>
      <c r="C55" s="37" t="s">
        <v>36</v>
      </c>
      <c r="D55" s="37" t="s">
        <v>74</v>
      </c>
      <c r="E55" s="37" t="s">
        <v>25</v>
      </c>
      <c r="F55" s="37" t="s">
        <v>25</v>
      </c>
      <c r="G55" s="37" t="s">
        <v>25</v>
      </c>
      <c r="H55" s="37" t="s">
        <v>25</v>
      </c>
      <c r="I55" s="37" t="s">
        <v>33</v>
      </c>
      <c r="J55" s="37" t="s">
        <v>678</v>
      </c>
      <c r="K55" s="37" t="s">
        <v>679</v>
      </c>
      <c r="L55" s="37" t="s">
        <v>75</v>
      </c>
      <c r="M55" s="37">
        <v>2021</v>
      </c>
      <c r="N55" s="37">
        <v>0</v>
      </c>
      <c r="O55" s="37">
        <v>437.87</v>
      </c>
      <c r="P55" s="37"/>
      <c r="R55" s="8" t="str">
        <f t="shared" si="0"/>
        <v>TEB3Energia horáriaNão se aplicaNão se aplicaNão se aplicaNão se aplicaPonta</v>
      </c>
      <c r="S55" s="8">
        <f t="shared" si="1"/>
        <v>437.87</v>
      </c>
    </row>
    <row r="56" spans="1:19" ht="11.25" customHeight="1" x14ac:dyDescent="0.25">
      <c r="A56" s="37">
        <v>156</v>
      </c>
      <c r="B56" s="37" t="s">
        <v>561</v>
      </c>
      <c r="C56" s="37" t="s">
        <v>44</v>
      </c>
      <c r="D56" s="37" t="s">
        <v>78</v>
      </c>
      <c r="E56" s="37" t="s">
        <v>45</v>
      </c>
      <c r="F56" s="37" t="s">
        <v>93</v>
      </c>
      <c r="G56" s="37" t="s">
        <v>25</v>
      </c>
      <c r="H56" s="37" t="s">
        <v>25</v>
      </c>
      <c r="I56" s="37" t="s">
        <v>25</v>
      </c>
      <c r="J56" s="37" t="s">
        <v>678</v>
      </c>
      <c r="K56" s="37" t="s">
        <v>679</v>
      </c>
      <c r="L56" s="37" t="s">
        <v>75</v>
      </c>
      <c r="M56" s="37">
        <v>2021</v>
      </c>
      <c r="N56" s="37">
        <v>0</v>
      </c>
      <c r="O56" s="37">
        <v>158.9</v>
      </c>
      <c r="P56" s="37"/>
      <c r="R56" s="8" t="str">
        <f t="shared" si="0"/>
        <v>TEB4Energia convencionalIluminação públicaIluminação pública – B4aNão se aplicaNão se aplicaNão se aplica</v>
      </c>
      <c r="S56" s="8">
        <f t="shared" si="1"/>
        <v>158.9</v>
      </c>
    </row>
    <row r="57" spans="1:19" ht="11.25" customHeight="1" x14ac:dyDescent="0.25">
      <c r="A57" s="37">
        <v>158</v>
      </c>
      <c r="B57" s="37" t="s">
        <v>561</v>
      </c>
      <c r="C57" s="37" t="s">
        <v>44</v>
      </c>
      <c r="D57" s="37" t="s">
        <v>78</v>
      </c>
      <c r="E57" s="37" t="s">
        <v>45</v>
      </c>
      <c r="F57" s="37" t="s">
        <v>46</v>
      </c>
      <c r="G57" s="37" t="s">
        <v>25</v>
      </c>
      <c r="H57" s="37" t="s">
        <v>25</v>
      </c>
      <c r="I57" s="37" t="s">
        <v>25</v>
      </c>
      <c r="J57" s="37" t="s">
        <v>678</v>
      </c>
      <c r="K57" s="37" t="s">
        <v>679</v>
      </c>
      <c r="L57" s="37" t="s">
        <v>75</v>
      </c>
      <c r="M57" s="37">
        <v>2021</v>
      </c>
      <c r="N57" s="37">
        <v>0</v>
      </c>
      <c r="O57" s="37">
        <v>173.34</v>
      </c>
      <c r="P57" s="37"/>
      <c r="R57" s="8" t="str">
        <f t="shared" si="0"/>
        <v>TEB4Energia convencionalIluminação públicaIluminação pública – B4bNão se aplicaNão se aplicaNão se aplica</v>
      </c>
      <c r="S57" s="8">
        <f t="shared" si="1"/>
        <v>173.34</v>
      </c>
    </row>
    <row r="58" spans="1:19" ht="11.25" customHeight="1" x14ac:dyDescent="0.25">
      <c r="A58" s="37">
        <v>7</v>
      </c>
      <c r="B58" s="37" t="s">
        <v>533</v>
      </c>
      <c r="C58" s="37" t="s">
        <v>788</v>
      </c>
      <c r="D58" s="37" t="s">
        <v>56</v>
      </c>
      <c r="E58" s="37" t="s">
        <v>25</v>
      </c>
      <c r="F58" s="37" t="s">
        <v>25</v>
      </c>
      <c r="G58" s="37" t="s">
        <v>83</v>
      </c>
      <c r="H58" s="37" t="s">
        <v>1243</v>
      </c>
      <c r="I58" s="37" t="s">
        <v>25</v>
      </c>
      <c r="J58" s="37" t="s">
        <v>678</v>
      </c>
      <c r="K58" s="37" t="s">
        <v>679</v>
      </c>
      <c r="L58" s="37" t="s">
        <v>75</v>
      </c>
      <c r="M58" s="37">
        <v>2021</v>
      </c>
      <c r="N58" s="37">
        <v>0</v>
      </c>
      <c r="O58" s="37">
        <v>2.56</v>
      </c>
      <c r="P58" s="37">
        <v>0</v>
      </c>
      <c r="R58" s="8" t="str">
        <f t="shared" si="0"/>
        <v>TUSDA1AzulNão se aplicaNão se aplicaAPEGERDAU AÇOS LONGOS - COPELNão se aplica</v>
      </c>
      <c r="S58" s="8">
        <f t="shared" si="1"/>
        <v>2.56</v>
      </c>
    </row>
    <row r="59" spans="1:19" ht="11.25" customHeight="1" x14ac:dyDescent="0.25">
      <c r="A59" s="37">
        <v>31</v>
      </c>
      <c r="B59" s="37" t="s">
        <v>533</v>
      </c>
      <c r="C59" s="37" t="s">
        <v>788</v>
      </c>
      <c r="D59" s="37" t="s">
        <v>56</v>
      </c>
      <c r="E59" s="37" t="s">
        <v>25</v>
      </c>
      <c r="F59" s="37" t="s">
        <v>25</v>
      </c>
      <c r="G59" s="37" t="s">
        <v>83</v>
      </c>
      <c r="H59" s="37" t="s">
        <v>1244</v>
      </c>
      <c r="I59" s="37" t="s">
        <v>25</v>
      </c>
      <c r="J59" s="37" t="s">
        <v>678</v>
      </c>
      <c r="K59" s="37" t="s">
        <v>679</v>
      </c>
      <c r="L59" s="37" t="s">
        <v>75</v>
      </c>
      <c r="M59" s="37">
        <v>2021</v>
      </c>
      <c r="N59" s="37">
        <v>0</v>
      </c>
      <c r="O59" s="37">
        <v>2.56</v>
      </c>
      <c r="P59" s="37">
        <v>0</v>
      </c>
      <c r="R59" s="8" t="str">
        <f t="shared" si="0"/>
        <v>TUSDA1AzulNão se aplicaNão se aplicaAPELINDE GASESNão se aplica</v>
      </c>
      <c r="S59" s="8">
        <f t="shared" si="1"/>
        <v>2.56</v>
      </c>
    </row>
    <row r="60" spans="1:19" ht="11.25" customHeight="1" x14ac:dyDescent="0.25">
      <c r="A60" s="37">
        <v>15</v>
      </c>
      <c r="B60" s="37" t="s">
        <v>533</v>
      </c>
      <c r="C60" s="37" t="s">
        <v>788</v>
      </c>
      <c r="D60" s="37" t="s">
        <v>56</v>
      </c>
      <c r="E60" s="37" t="s">
        <v>25</v>
      </c>
      <c r="F60" s="37" t="s">
        <v>25</v>
      </c>
      <c r="G60" s="37" t="s">
        <v>83</v>
      </c>
      <c r="H60" s="37" t="s">
        <v>1245</v>
      </c>
      <c r="I60" s="37" t="s">
        <v>25</v>
      </c>
      <c r="J60" s="37" t="s">
        <v>678</v>
      </c>
      <c r="K60" s="37" t="s">
        <v>679</v>
      </c>
      <c r="L60" s="37" t="s">
        <v>75</v>
      </c>
      <c r="M60" s="37">
        <v>2021</v>
      </c>
      <c r="N60" s="37">
        <v>0</v>
      </c>
      <c r="O60" s="37">
        <v>2.56</v>
      </c>
      <c r="P60" s="37">
        <v>0</v>
      </c>
      <c r="R60" s="8" t="str">
        <f t="shared" si="0"/>
        <v>TUSDA1AzulNão se aplicaNão se aplicaAPEPERÓXIDOS DO BRASILNão se aplica</v>
      </c>
      <c r="S60" s="8">
        <f t="shared" si="1"/>
        <v>2.56</v>
      </c>
    </row>
    <row r="61" spans="1:19" ht="11.25" customHeight="1" x14ac:dyDescent="0.25">
      <c r="A61" s="37">
        <v>23</v>
      </c>
      <c r="B61" s="37" t="s">
        <v>533</v>
      </c>
      <c r="C61" s="37" t="s">
        <v>788</v>
      </c>
      <c r="D61" s="37" t="s">
        <v>56</v>
      </c>
      <c r="E61" s="37" t="s">
        <v>25</v>
      </c>
      <c r="F61" s="37" t="s">
        <v>25</v>
      </c>
      <c r="G61" s="37" t="s">
        <v>83</v>
      </c>
      <c r="H61" s="37" t="s">
        <v>1246</v>
      </c>
      <c r="I61" s="37" t="s">
        <v>25</v>
      </c>
      <c r="J61" s="37" t="s">
        <v>678</v>
      </c>
      <c r="K61" s="37" t="s">
        <v>679</v>
      </c>
      <c r="L61" s="37" t="s">
        <v>75</v>
      </c>
      <c r="M61" s="37">
        <v>2021</v>
      </c>
      <c r="N61" s="37">
        <v>0</v>
      </c>
      <c r="O61" s="37">
        <v>2.56</v>
      </c>
      <c r="P61" s="37">
        <v>0</v>
      </c>
      <c r="R61" s="8" t="str">
        <f t="shared" si="0"/>
        <v>TUSDA1AzulNão se aplicaNão se aplicaAPEWHB FUNDIÇÃONão se aplica</v>
      </c>
      <c r="S61" s="8">
        <f t="shared" si="1"/>
        <v>2.56</v>
      </c>
    </row>
    <row r="62" spans="1:19" ht="11.25" customHeight="1" x14ac:dyDescent="0.25">
      <c r="A62" s="37">
        <v>3</v>
      </c>
      <c r="B62" s="37" t="s">
        <v>533</v>
      </c>
      <c r="C62" s="37" t="s">
        <v>788</v>
      </c>
      <c r="D62" s="37" t="s">
        <v>56</v>
      </c>
      <c r="E62" s="37" t="s">
        <v>25</v>
      </c>
      <c r="F62" s="37" t="s">
        <v>25</v>
      </c>
      <c r="G62" s="37" t="s">
        <v>25</v>
      </c>
      <c r="H62" s="37" t="s">
        <v>1243</v>
      </c>
      <c r="I62" s="37" t="s">
        <v>34</v>
      </c>
      <c r="J62" s="37" t="s">
        <v>680</v>
      </c>
      <c r="K62" s="37" t="s">
        <v>679</v>
      </c>
      <c r="L62" s="37" t="s">
        <v>80</v>
      </c>
      <c r="M62" s="37">
        <v>2021</v>
      </c>
      <c r="N62" s="37">
        <v>0</v>
      </c>
      <c r="O62" s="37">
        <v>5.36</v>
      </c>
      <c r="P62" s="37">
        <v>0</v>
      </c>
      <c r="R62" s="8" t="str">
        <f t="shared" si="0"/>
        <v>TUSDA1AzulNão se aplicaNão se aplicaNão se aplicaGERDAU AÇOS LONGOS - COPELFora ponta</v>
      </c>
      <c r="S62" s="8">
        <f t="shared" si="1"/>
        <v>5.36</v>
      </c>
    </row>
    <row r="63" spans="1:19" ht="11.25" customHeight="1" x14ac:dyDescent="0.25">
      <c r="A63" s="37">
        <v>5</v>
      </c>
      <c r="B63" s="37" t="s">
        <v>533</v>
      </c>
      <c r="C63" s="37" t="s">
        <v>788</v>
      </c>
      <c r="D63" s="37" t="s">
        <v>56</v>
      </c>
      <c r="E63" s="37" t="s">
        <v>25</v>
      </c>
      <c r="F63" s="37" t="s">
        <v>25</v>
      </c>
      <c r="G63" s="37" t="s">
        <v>25</v>
      </c>
      <c r="H63" s="37" t="s">
        <v>1243</v>
      </c>
      <c r="I63" s="37" t="s">
        <v>25</v>
      </c>
      <c r="J63" s="37" t="s">
        <v>678</v>
      </c>
      <c r="K63" s="37" t="s">
        <v>679</v>
      </c>
      <c r="L63" s="37" t="s">
        <v>75</v>
      </c>
      <c r="M63" s="37">
        <v>2021</v>
      </c>
      <c r="N63" s="37">
        <v>0</v>
      </c>
      <c r="O63" s="37">
        <v>55.37</v>
      </c>
      <c r="P63" s="37">
        <v>41.137505263872498</v>
      </c>
      <c r="R63" s="8" t="str">
        <f t="shared" si="0"/>
        <v>TUSDA1AzulNão se aplicaNão se aplicaNão se aplicaGERDAU AÇOS LONGOS - COPELNão se aplica</v>
      </c>
      <c r="S63" s="8">
        <f t="shared" si="1"/>
        <v>55.37</v>
      </c>
    </row>
    <row r="64" spans="1:19" ht="11.25" customHeight="1" x14ac:dyDescent="0.25">
      <c r="A64" s="37">
        <v>1</v>
      </c>
      <c r="B64" s="37" t="s">
        <v>533</v>
      </c>
      <c r="C64" s="37" t="s">
        <v>788</v>
      </c>
      <c r="D64" s="37" t="s">
        <v>56</v>
      </c>
      <c r="E64" s="37" t="s">
        <v>25</v>
      </c>
      <c r="F64" s="37" t="s">
        <v>25</v>
      </c>
      <c r="G64" s="37" t="s">
        <v>25</v>
      </c>
      <c r="H64" s="37" t="s">
        <v>1243</v>
      </c>
      <c r="I64" s="37" t="s">
        <v>33</v>
      </c>
      <c r="J64" s="37" t="s">
        <v>680</v>
      </c>
      <c r="K64" s="37" t="s">
        <v>679</v>
      </c>
      <c r="L64" s="37" t="s">
        <v>80</v>
      </c>
      <c r="M64" s="37">
        <v>2021</v>
      </c>
      <c r="N64" s="37">
        <v>0</v>
      </c>
      <c r="O64" s="37">
        <v>4.97</v>
      </c>
      <c r="P64" s="37">
        <v>0</v>
      </c>
      <c r="R64" s="8" t="str">
        <f t="shared" si="0"/>
        <v>TUSDA1AzulNão se aplicaNão se aplicaNão se aplicaGERDAU AÇOS LONGOS - COPELPonta</v>
      </c>
      <c r="S64" s="8">
        <f t="shared" si="1"/>
        <v>4.97</v>
      </c>
    </row>
    <row r="65" spans="1:19" ht="11.25" customHeight="1" x14ac:dyDescent="0.25">
      <c r="A65" s="37">
        <v>27</v>
      </c>
      <c r="B65" s="37" t="s">
        <v>533</v>
      </c>
      <c r="C65" s="37" t="s">
        <v>788</v>
      </c>
      <c r="D65" s="37" t="s">
        <v>56</v>
      </c>
      <c r="E65" s="37" t="s">
        <v>25</v>
      </c>
      <c r="F65" s="37" t="s">
        <v>25</v>
      </c>
      <c r="G65" s="37" t="s">
        <v>25</v>
      </c>
      <c r="H65" s="37" t="s">
        <v>1244</v>
      </c>
      <c r="I65" s="37" t="s">
        <v>34</v>
      </c>
      <c r="J65" s="37" t="s">
        <v>680</v>
      </c>
      <c r="K65" s="37" t="s">
        <v>679</v>
      </c>
      <c r="L65" s="37" t="s">
        <v>80</v>
      </c>
      <c r="M65" s="37">
        <v>2021</v>
      </c>
      <c r="N65" s="37">
        <v>0</v>
      </c>
      <c r="O65" s="37">
        <v>5.36</v>
      </c>
      <c r="P65" s="37">
        <v>0</v>
      </c>
      <c r="R65" s="8" t="str">
        <f t="shared" si="0"/>
        <v>TUSDA1AzulNão se aplicaNão se aplicaNão se aplicaLINDE GASESFora ponta</v>
      </c>
      <c r="S65" s="8">
        <f t="shared" si="1"/>
        <v>5.36</v>
      </c>
    </row>
    <row r="66" spans="1:19" ht="11.25" customHeight="1" x14ac:dyDescent="0.25">
      <c r="A66" s="37">
        <v>29</v>
      </c>
      <c r="B66" s="37" t="s">
        <v>533</v>
      </c>
      <c r="C66" s="37" t="s">
        <v>788</v>
      </c>
      <c r="D66" s="37" t="s">
        <v>56</v>
      </c>
      <c r="E66" s="37" t="s">
        <v>25</v>
      </c>
      <c r="F66" s="37" t="s">
        <v>25</v>
      </c>
      <c r="G66" s="37" t="s">
        <v>25</v>
      </c>
      <c r="H66" s="37" t="s">
        <v>1244</v>
      </c>
      <c r="I66" s="37" t="s">
        <v>25</v>
      </c>
      <c r="J66" s="37" t="s">
        <v>678</v>
      </c>
      <c r="K66" s="37" t="s">
        <v>679</v>
      </c>
      <c r="L66" s="37" t="s">
        <v>75</v>
      </c>
      <c r="M66" s="37">
        <v>2021</v>
      </c>
      <c r="N66" s="37">
        <v>0</v>
      </c>
      <c r="O66" s="37">
        <v>55.37</v>
      </c>
      <c r="P66" s="37">
        <v>41.137505263872498</v>
      </c>
      <c r="R66" s="8" t="str">
        <f t="shared" ref="R66:R129" si="2">B66&amp;C66&amp;D66&amp;E66&amp;F66&amp;G66&amp;H66&amp;I66</f>
        <v>TUSDA1AzulNão se aplicaNão se aplicaNão se aplicaLINDE GASESNão se aplica</v>
      </c>
      <c r="S66" s="8">
        <f t="shared" ref="S66:S129" si="3">O66</f>
        <v>55.37</v>
      </c>
    </row>
    <row r="67" spans="1:19" ht="11.25" customHeight="1" x14ac:dyDescent="0.25">
      <c r="A67" s="37">
        <v>25</v>
      </c>
      <c r="B67" s="37" t="s">
        <v>533</v>
      </c>
      <c r="C67" s="37" t="s">
        <v>788</v>
      </c>
      <c r="D67" s="37" t="s">
        <v>56</v>
      </c>
      <c r="E67" s="37" t="s">
        <v>25</v>
      </c>
      <c r="F67" s="37" t="s">
        <v>25</v>
      </c>
      <c r="G67" s="37" t="s">
        <v>25</v>
      </c>
      <c r="H67" s="37" t="s">
        <v>1244</v>
      </c>
      <c r="I67" s="37" t="s">
        <v>33</v>
      </c>
      <c r="J67" s="37" t="s">
        <v>680</v>
      </c>
      <c r="K67" s="37" t="s">
        <v>679</v>
      </c>
      <c r="L67" s="37" t="s">
        <v>80</v>
      </c>
      <c r="M67" s="37">
        <v>2021</v>
      </c>
      <c r="N67" s="37">
        <v>0</v>
      </c>
      <c r="O67" s="37">
        <v>4.97</v>
      </c>
      <c r="P67" s="37">
        <v>0</v>
      </c>
      <c r="R67" s="8" t="str">
        <f t="shared" si="2"/>
        <v>TUSDA1AzulNão se aplicaNão se aplicaNão se aplicaLINDE GASESPonta</v>
      </c>
      <c r="S67" s="8">
        <f t="shared" si="3"/>
        <v>4.97</v>
      </c>
    </row>
    <row r="68" spans="1:19" ht="11.25" customHeight="1" x14ac:dyDescent="0.25">
      <c r="A68" s="37">
        <v>11</v>
      </c>
      <c r="B68" s="37" t="s">
        <v>533</v>
      </c>
      <c r="C68" s="37" t="s">
        <v>788</v>
      </c>
      <c r="D68" s="37" t="s">
        <v>56</v>
      </c>
      <c r="E68" s="37" t="s">
        <v>25</v>
      </c>
      <c r="F68" s="37" t="s">
        <v>25</v>
      </c>
      <c r="G68" s="37" t="s">
        <v>25</v>
      </c>
      <c r="H68" s="37" t="s">
        <v>1245</v>
      </c>
      <c r="I68" s="37" t="s">
        <v>34</v>
      </c>
      <c r="J68" s="37" t="s">
        <v>680</v>
      </c>
      <c r="K68" s="37" t="s">
        <v>679</v>
      </c>
      <c r="L68" s="37" t="s">
        <v>80</v>
      </c>
      <c r="M68" s="37">
        <v>2021</v>
      </c>
      <c r="N68" s="37">
        <v>0</v>
      </c>
      <c r="O68" s="37">
        <v>5.36</v>
      </c>
      <c r="P68" s="37">
        <v>0</v>
      </c>
      <c r="R68" s="8" t="str">
        <f t="shared" si="2"/>
        <v>TUSDA1AzulNão se aplicaNão se aplicaNão se aplicaPERÓXIDOS DO BRASILFora ponta</v>
      </c>
      <c r="S68" s="8">
        <f t="shared" si="3"/>
        <v>5.36</v>
      </c>
    </row>
    <row r="69" spans="1:19" ht="11.25" customHeight="1" x14ac:dyDescent="0.25">
      <c r="A69" s="37">
        <v>13</v>
      </c>
      <c r="B69" s="37" t="s">
        <v>533</v>
      </c>
      <c r="C69" s="37" t="s">
        <v>788</v>
      </c>
      <c r="D69" s="37" t="s">
        <v>56</v>
      </c>
      <c r="E69" s="37" t="s">
        <v>25</v>
      </c>
      <c r="F69" s="37" t="s">
        <v>25</v>
      </c>
      <c r="G69" s="37" t="s">
        <v>25</v>
      </c>
      <c r="H69" s="37" t="s">
        <v>1245</v>
      </c>
      <c r="I69" s="37" t="s">
        <v>25</v>
      </c>
      <c r="J69" s="37" t="s">
        <v>678</v>
      </c>
      <c r="K69" s="37" t="s">
        <v>679</v>
      </c>
      <c r="L69" s="37" t="s">
        <v>75</v>
      </c>
      <c r="M69" s="37">
        <v>2021</v>
      </c>
      <c r="N69" s="37">
        <v>0</v>
      </c>
      <c r="O69" s="37">
        <v>55.37</v>
      </c>
      <c r="P69" s="37">
        <v>41.137505263872498</v>
      </c>
      <c r="R69" s="8" t="str">
        <f t="shared" si="2"/>
        <v>TUSDA1AzulNão se aplicaNão se aplicaNão se aplicaPERÓXIDOS DO BRASILNão se aplica</v>
      </c>
      <c r="S69" s="8">
        <f t="shared" si="3"/>
        <v>55.37</v>
      </c>
    </row>
    <row r="70" spans="1:19" ht="11.25" customHeight="1" x14ac:dyDescent="0.25">
      <c r="A70" s="37">
        <v>9</v>
      </c>
      <c r="B70" s="37" t="s">
        <v>533</v>
      </c>
      <c r="C70" s="37" t="s">
        <v>788</v>
      </c>
      <c r="D70" s="37" t="s">
        <v>56</v>
      </c>
      <c r="E70" s="37" t="s">
        <v>25</v>
      </c>
      <c r="F70" s="37" t="s">
        <v>25</v>
      </c>
      <c r="G70" s="37" t="s">
        <v>25</v>
      </c>
      <c r="H70" s="37" t="s">
        <v>1245</v>
      </c>
      <c r="I70" s="37" t="s">
        <v>33</v>
      </c>
      <c r="J70" s="37" t="s">
        <v>680</v>
      </c>
      <c r="K70" s="37" t="s">
        <v>679</v>
      </c>
      <c r="L70" s="37" t="s">
        <v>80</v>
      </c>
      <c r="M70" s="37">
        <v>2021</v>
      </c>
      <c r="N70" s="37">
        <v>0</v>
      </c>
      <c r="O70" s="37">
        <v>4.97</v>
      </c>
      <c r="P70" s="37">
        <v>0</v>
      </c>
      <c r="R70" s="8" t="str">
        <f t="shared" si="2"/>
        <v>TUSDA1AzulNão se aplicaNão se aplicaNão se aplicaPERÓXIDOS DO BRASILPonta</v>
      </c>
      <c r="S70" s="8">
        <f t="shared" si="3"/>
        <v>4.97</v>
      </c>
    </row>
    <row r="71" spans="1:19" ht="11.25" customHeight="1" x14ac:dyDescent="0.25">
      <c r="A71" s="37">
        <v>19</v>
      </c>
      <c r="B71" s="37" t="s">
        <v>533</v>
      </c>
      <c r="C71" s="37" t="s">
        <v>788</v>
      </c>
      <c r="D71" s="37" t="s">
        <v>56</v>
      </c>
      <c r="E71" s="37" t="s">
        <v>25</v>
      </c>
      <c r="F71" s="37" t="s">
        <v>25</v>
      </c>
      <c r="G71" s="37" t="s">
        <v>25</v>
      </c>
      <c r="H71" s="37" t="s">
        <v>1246</v>
      </c>
      <c r="I71" s="37" t="s">
        <v>34</v>
      </c>
      <c r="J71" s="37" t="s">
        <v>680</v>
      </c>
      <c r="K71" s="37" t="s">
        <v>679</v>
      </c>
      <c r="L71" s="37" t="s">
        <v>80</v>
      </c>
      <c r="M71" s="37">
        <v>2021</v>
      </c>
      <c r="N71" s="37">
        <v>0</v>
      </c>
      <c r="O71" s="37">
        <v>5.36</v>
      </c>
      <c r="P71" s="37">
        <v>0</v>
      </c>
      <c r="R71" s="8" t="str">
        <f t="shared" si="2"/>
        <v>TUSDA1AzulNão se aplicaNão se aplicaNão se aplicaWHB FUNDIÇÃOFora ponta</v>
      </c>
      <c r="S71" s="8">
        <f t="shared" si="3"/>
        <v>5.36</v>
      </c>
    </row>
    <row r="72" spans="1:19" ht="11.25" customHeight="1" x14ac:dyDescent="0.25">
      <c r="A72" s="37">
        <v>21</v>
      </c>
      <c r="B72" s="37" t="s">
        <v>533</v>
      </c>
      <c r="C72" s="37" t="s">
        <v>788</v>
      </c>
      <c r="D72" s="37" t="s">
        <v>56</v>
      </c>
      <c r="E72" s="37" t="s">
        <v>25</v>
      </c>
      <c r="F72" s="37" t="s">
        <v>25</v>
      </c>
      <c r="G72" s="37" t="s">
        <v>25</v>
      </c>
      <c r="H72" s="37" t="s">
        <v>1246</v>
      </c>
      <c r="I72" s="37" t="s">
        <v>25</v>
      </c>
      <c r="J72" s="37" t="s">
        <v>678</v>
      </c>
      <c r="K72" s="37" t="s">
        <v>679</v>
      </c>
      <c r="L72" s="37" t="s">
        <v>75</v>
      </c>
      <c r="M72" s="37">
        <v>2021</v>
      </c>
      <c r="N72" s="37">
        <v>0</v>
      </c>
      <c r="O72" s="37">
        <v>55.37</v>
      </c>
      <c r="P72" s="37">
        <v>41.137505263872498</v>
      </c>
      <c r="R72" s="8" t="str">
        <f t="shared" si="2"/>
        <v>TUSDA1AzulNão se aplicaNão se aplicaNão se aplicaWHB FUNDIÇÃONão se aplica</v>
      </c>
      <c r="S72" s="8">
        <f t="shared" si="3"/>
        <v>55.37</v>
      </c>
    </row>
    <row r="73" spans="1:19" ht="11.25" customHeight="1" x14ac:dyDescent="0.25">
      <c r="A73" s="37">
        <v>17</v>
      </c>
      <c r="B73" s="37" t="s">
        <v>533</v>
      </c>
      <c r="C73" s="37" t="s">
        <v>788</v>
      </c>
      <c r="D73" s="37" t="s">
        <v>56</v>
      </c>
      <c r="E73" s="37" t="s">
        <v>25</v>
      </c>
      <c r="F73" s="37" t="s">
        <v>25</v>
      </c>
      <c r="G73" s="37" t="s">
        <v>25</v>
      </c>
      <c r="H73" s="37" t="s">
        <v>1246</v>
      </c>
      <c r="I73" s="37" t="s">
        <v>33</v>
      </c>
      <c r="J73" s="37" t="s">
        <v>680</v>
      </c>
      <c r="K73" s="37" t="s">
        <v>679</v>
      </c>
      <c r="L73" s="37" t="s">
        <v>80</v>
      </c>
      <c r="M73" s="37">
        <v>2021</v>
      </c>
      <c r="N73" s="37">
        <v>0</v>
      </c>
      <c r="O73" s="37">
        <v>4.97</v>
      </c>
      <c r="P73" s="37">
        <v>0</v>
      </c>
      <c r="R73" s="8" t="str">
        <f t="shared" si="2"/>
        <v>TUSDA1AzulNão se aplicaNão se aplicaNão se aplicaWHB FUNDIÇÃOPonta</v>
      </c>
      <c r="S73" s="8">
        <f t="shared" si="3"/>
        <v>4.97</v>
      </c>
    </row>
    <row r="74" spans="1:19" ht="11.25" customHeight="1" x14ac:dyDescent="0.25">
      <c r="A74" s="37">
        <v>39</v>
      </c>
      <c r="B74" s="37" t="s">
        <v>533</v>
      </c>
      <c r="C74" s="37" t="s">
        <v>666</v>
      </c>
      <c r="D74" s="37" t="s">
        <v>56</v>
      </c>
      <c r="E74" s="37" t="s">
        <v>25</v>
      </c>
      <c r="F74" s="37" t="s">
        <v>25</v>
      </c>
      <c r="G74" s="37" t="s">
        <v>83</v>
      </c>
      <c r="H74" s="37" t="s">
        <v>25</v>
      </c>
      <c r="I74" s="37" t="s">
        <v>25</v>
      </c>
      <c r="J74" s="37" t="s">
        <v>678</v>
      </c>
      <c r="K74" s="37" t="s">
        <v>679</v>
      </c>
      <c r="L74" s="37" t="s">
        <v>75</v>
      </c>
      <c r="M74" s="37">
        <v>2021</v>
      </c>
      <c r="N74" s="37">
        <v>0</v>
      </c>
      <c r="O74" s="37">
        <v>8.1199999999999992</v>
      </c>
      <c r="P74" s="37">
        <v>0</v>
      </c>
      <c r="R74" s="8" t="str">
        <f t="shared" si="2"/>
        <v>TUSDA2AzulNão se aplicaNão se aplicaAPENão se aplicaNão se aplica</v>
      </c>
      <c r="S74" s="8">
        <f t="shared" si="3"/>
        <v>8.1199999999999992</v>
      </c>
    </row>
    <row r="75" spans="1:19" ht="11.25" customHeight="1" x14ac:dyDescent="0.25">
      <c r="A75" s="37">
        <v>35</v>
      </c>
      <c r="B75" s="37" t="s">
        <v>533</v>
      </c>
      <c r="C75" s="37" t="s">
        <v>666</v>
      </c>
      <c r="D75" s="37" t="s">
        <v>56</v>
      </c>
      <c r="E75" s="37" t="s">
        <v>25</v>
      </c>
      <c r="F75" s="37" t="s">
        <v>25</v>
      </c>
      <c r="G75" s="37" t="s">
        <v>25</v>
      </c>
      <c r="H75" s="37" t="s">
        <v>25</v>
      </c>
      <c r="I75" s="37" t="s">
        <v>34</v>
      </c>
      <c r="J75" s="37" t="s">
        <v>680</v>
      </c>
      <c r="K75" s="37" t="s">
        <v>679</v>
      </c>
      <c r="L75" s="37" t="s">
        <v>80</v>
      </c>
      <c r="M75" s="37">
        <v>2021</v>
      </c>
      <c r="N75" s="37">
        <v>0</v>
      </c>
      <c r="O75" s="37">
        <v>9.7200000000000006</v>
      </c>
      <c r="P75" s="37">
        <v>0</v>
      </c>
      <c r="R75" s="8" t="str">
        <f t="shared" si="2"/>
        <v>TUSDA2AzulNão se aplicaNão se aplicaNão se aplicaNão se aplicaFora ponta</v>
      </c>
      <c r="S75" s="8">
        <f t="shared" si="3"/>
        <v>9.7200000000000006</v>
      </c>
    </row>
    <row r="76" spans="1:19" ht="11.25" customHeight="1" x14ac:dyDescent="0.25">
      <c r="A76" s="37">
        <v>37</v>
      </c>
      <c r="B76" s="37" t="s">
        <v>533</v>
      </c>
      <c r="C76" s="37" t="s">
        <v>666</v>
      </c>
      <c r="D76" s="37" t="s">
        <v>56</v>
      </c>
      <c r="E76" s="37" t="s">
        <v>25</v>
      </c>
      <c r="F76" s="37" t="s">
        <v>25</v>
      </c>
      <c r="G76" s="37" t="s">
        <v>25</v>
      </c>
      <c r="H76" s="37" t="s">
        <v>25</v>
      </c>
      <c r="I76" s="37" t="s">
        <v>25</v>
      </c>
      <c r="J76" s="37" t="s">
        <v>678</v>
      </c>
      <c r="K76" s="37" t="s">
        <v>679</v>
      </c>
      <c r="L76" s="37" t="s">
        <v>75</v>
      </c>
      <c r="M76" s="37">
        <v>2021</v>
      </c>
      <c r="N76" s="37">
        <v>0</v>
      </c>
      <c r="O76" s="37">
        <v>60.94</v>
      </c>
      <c r="P76" s="37">
        <v>41.137505263872498</v>
      </c>
      <c r="R76" s="8" t="str">
        <f t="shared" si="2"/>
        <v>TUSDA2AzulNão se aplicaNão se aplicaNão se aplicaNão se aplicaNão se aplica</v>
      </c>
      <c r="S76" s="8">
        <f t="shared" si="3"/>
        <v>60.94</v>
      </c>
    </row>
    <row r="77" spans="1:19" ht="11.25" customHeight="1" x14ac:dyDescent="0.25">
      <c r="A77" s="37">
        <v>33</v>
      </c>
      <c r="B77" s="37" t="s">
        <v>533</v>
      </c>
      <c r="C77" s="37" t="s">
        <v>666</v>
      </c>
      <c r="D77" s="37" t="s">
        <v>56</v>
      </c>
      <c r="E77" s="37" t="s">
        <v>25</v>
      </c>
      <c r="F77" s="37" t="s">
        <v>25</v>
      </c>
      <c r="G77" s="37" t="s">
        <v>25</v>
      </c>
      <c r="H77" s="37" t="s">
        <v>25</v>
      </c>
      <c r="I77" s="37" t="s">
        <v>33</v>
      </c>
      <c r="J77" s="37" t="s">
        <v>680</v>
      </c>
      <c r="K77" s="37" t="s">
        <v>679</v>
      </c>
      <c r="L77" s="37" t="s">
        <v>80</v>
      </c>
      <c r="M77" s="37">
        <v>2021</v>
      </c>
      <c r="N77" s="37">
        <v>0</v>
      </c>
      <c r="O77" s="37">
        <v>18.23</v>
      </c>
      <c r="P77" s="37">
        <v>0</v>
      </c>
      <c r="R77" s="8" t="str">
        <f t="shared" si="2"/>
        <v>TUSDA2AzulNão se aplicaNão se aplicaNão se aplicaNão se aplicaPonta</v>
      </c>
      <c r="S77" s="8">
        <f t="shared" si="3"/>
        <v>18.23</v>
      </c>
    </row>
    <row r="78" spans="1:19" ht="11.25" customHeight="1" x14ac:dyDescent="0.25">
      <c r="A78" s="37">
        <v>43</v>
      </c>
      <c r="B78" s="37" t="s">
        <v>533</v>
      </c>
      <c r="C78" s="37" t="s">
        <v>666</v>
      </c>
      <c r="D78" s="37" t="s">
        <v>1247</v>
      </c>
      <c r="E78" s="37" t="s">
        <v>25</v>
      </c>
      <c r="F78" s="37" t="s">
        <v>25</v>
      </c>
      <c r="G78" s="37" t="s">
        <v>25</v>
      </c>
      <c r="H78" s="37" t="s">
        <v>1248</v>
      </c>
      <c r="I78" s="37" t="s">
        <v>34</v>
      </c>
      <c r="J78" s="37" t="s">
        <v>680</v>
      </c>
      <c r="K78" s="37" t="s">
        <v>679</v>
      </c>
      <c r="L78" s="37" t="s">
        <v>80</v>
      </c>
      <c r="M78" s="37">
        <v>2021</v>
      </c>
      <c r="N78" s="37">
        <v>0</v>
      </c>
      <c r="O78" s="37">
        <v>10.26</v>
      </c>
      <c r="P78" s="37">
        <v>0</v>
      </c>
      <c r="R78" s="8" t="str">
        <f t="shared" si="2"/>
        <v>TUSDA2DistribuiçãoNão se aplicaNão se aplicaNão se aplicaCocelFora ponta</v>
      </c>
      <c r="S78" s="8">
        <f t="shared" si="3"/>
        <v>10.26</v>
      </c>
    </row>
    <row r="79" spans="1:19" ht="11.25" customHeight="1" x14ac:dyDescent="0.25">
      <c r="A79" s="37">
        <v>45</v>
      </c>
      <c r="B79" s="37" t="s">
        <v>533</v>
      </c>
      <c r="C79" s="37" t="s">
        <v>666</v>
      </c>
      <c r="D79" s="37" t="s">
        <v>1247</v>
      </c>
      <c r="E79" s="37" t="s">
        <v>25</v>
      </c>
      <c r="F79" s="37" t="s">
        <v>25</v>
      </c>
      <c r="G79" s="37" t="s">
        <v>25</v>
      </c>
      <c r="H79" s="37" t="s">
        <v>1248</v>
      </c>
      <c r="I79" s="37" t="s">
        <v>25</v>
      </c>
      <c r="J79" s="37" t="s">
        <v>678</v>
      </c>
      <c r="K79" s="37" t="s">
        <v>679</v>
      </c>
      <c r="L79" s="37" t="s">
        <v>75</v>
      </c>
      <c r="M79" s="37">
        <v>2021</v>
      </c>
      <c r="N79" s="37">
        <v>0</v>
      </c>
      <c r="O79" s="37">
        <v>4.6900000000000004</v>
      </c>
      <c r="P79" s="37">
        <v>0</v>
      </c>
      <c r="R79" s="8" t="str">
        <f t="shared" si="2"/>
        <v>TUSDA2DistribuiçãoNão se aplicaNão se aplicaNão se aplicaCocelNão se aplica</v>
      </c>
      <c r="S79" s="8">
        <f t="shared" si="3"/>
        <v>4.6900000000000004</v>
      </c>
    </row>
    <row r="80" spans="1:19" ht="11.25" customHeight="1" x14ac:dyDescent="0.25">
      <c r="A80" s="37">
        <v>41</v>
      </c>
      <c r="B80" s="37" t="s">
        <v>533</v>
      </c>
      <c r="C80" s="37" t="s">
        <v>666</v>
      </c>
      <c r="D80" s="37" t="s">
        <v>1247</v>
      </c>
      <c r="E80" s="37" t="s">
        <v>25</v>
      </c>
      <c r="F80" s="37" t="s">
        <v>25</v>
      </c>
      <c r="G80" s="37" t="s">
        <v>25</v>
      </c>
      <c r="H80" s="37" t="s">
        <v>1248</v>
      </c>
      <c r="I80" s="37" t="s">
        <v>33</v>
      </c>
      <c r="J80" s="37" t="s">
        <v>680</v>
      </c>
      <c r="K80" s="37" t="s">
        <v>679</v>
      </c>
      <c r="L80" s="37" t="s">
        <v>80</v>
      </c>
      <c r="M80" s="37">
        <v>2021</v>
      </c>
      <c r="N80" s="37">
        <v>0</v>
      </c>
      <c r="O80" s="37">
        <v>19.309999999999999</v>
      </c>
      <c r="P80" s="37">
        <v>0</v>
      </c>
      <c r="R80" s="8" t="str">
        <f t="shared" si="2"/>
        <v>TUSDA2DistribuiçãoNão se aplicaNão se aplicaNão se aplicaCocelPonta</v>
      </c>
      <c r="S80" s="8">
        <f t="shared" si="3"/>
        <v>19.309999999999999</v>
      </c>
    </row>
    <row r="81" spans="1:19" ht="11.25" customHeight="1" x14ac:dyDescent="0.25">
      <c r="A81" s="37">
        <v>49</v>
      </c>
      <c r="B81" s="37" t="s">
        <v>533</v>
      </c>
      <c r="C81" s="37" t="s">
        <v>666</v>
      </c>
      <c r="D81" s="37" t="s">
        <v>1247</v>
      </c>
      <c r="E81" s="37" t="s">
        <v>25</v>
      </c>
      <c r="F81" s="37" t="s">
        <v>25</v>
      </c>
      <c r="G81" s="37" t="s">
        <v>25</v>
      </c>
      <c r="H81" s="37" t="s">
        <v>1249</v>
      </c>
      <c r="I81" s="37" t="s">
        <v>34</v>
      </c>
      <c r="J81" s="37" t="s">
        <v>680</v>
      </c>
      <c r="K81" s="37" t="s">
        <v>679</v>
      </c>
      <c r="L81" s="37" t="s">
        <v>80</v>
      </c>
      <c r="M81" s="37">
        <v>2021</v>
      </c>
      <c r="N81" s="37">
        <v>0</v>
      </c>
      <c r="O81" s="37">
        <v>10.26</v>
      </c>
      <c r="P81" s="37">
        <v>0</v>
      </c>
      <c r="R81" s="8" t="str">
        <f t="shared" si="2"/>
        <v>TUSDA2DistribuiçãoNão se aplicaNão se aplicaNão se aplicaESSFora ponta</v>
      </c>
      <c r="S81" s="8">
        <f t="shared" si="3"/>
        <v>10.26</v>
      </c>
    </row>
    <row r="82" spans="1:19" ht="11.25" customHeight="1" x14ac:dyDescent="0.25">
      <c r="A82" s="37">
        <v>51</v>
      </c>
      <c r="B82" s="37" t="s">
        <v>533</v>
      </c>
      <c r="C82" s="37" t="s">
        <v>666</v>
      </c>
      <c r="D82" s="37" t="s">
        <v>1247</v>
      </c>
      <c r="E82" s="37" t="s">
        <v>25</v>
      </c>
      <c r="F82" s="37" t="s">
        <v>25</v>
      </c>
      <c r="G82" s="37" t="s">
        <v>25</v>
      </c>
      <c r="H82" s="37" t="s">
        <v>1249</v>
      </c>
      <c r="I82" s="37" t="s">
        <v>25</v>
      </c>
      <c r="J82" s="37" t="s">
        <v>678</v>
      </c>
      <c r="K82" s="37" t="s">
        <v>679</v>
      </c>
      <c r="L82" s="37" t="s">
        <v>75</v>
      </c>
      <c r="M82" s="37">
        <v>2021</v>
      </c>
      <c r="N82" s="37">
        <v>0</v>
      </c>
      <c r="O82" s="37">
        <v>4.6900000000000004</v>
      </c>
      <c r="P82" s="37">
        <v>0</v>
      </c>
      <c r="R82" s="8" t="str">
        <f t="shared" si="2"/>
        <v>TUSDA2DistribuiçãoNão se aplicaNão se aplicaNão se aplicaESSNão se aplica</v>
      </c>
      <c r="S82" s="8">
        <f t="shared" si="3"/>
        <v>4.6900000000000004</v>
      </c>
    </row>
    <row r="83" spans="1:19" ht="11.25" customHeight="1" x14ac:dyDescent="0.25">
      <c r="A83" s="37">
        <v>47</v>
      </c>
      <c r="B83" s="37" t="s">
        <v>533</v>
      </c>
      <c r="C83" s="37" t="s">
        <v>666</v>
      </c>
      <c r="D83" s="37" t="s">
        <v>1247</v>
      </c>
      <c r="E83" s="37" t="s">
        <v>25</v>
      </c>
      <c r="F83" s="37" t="s">
        <v>25</v>
      </c>
      <c r="G83" s="37" t="s">
        <v>25</v>
      </c>
      <c r="H83" s="37" t="s">
        <v>1249</v>
      </c>
      <c r="I83" s="37" t="s">
        <v>33</v>
      </c>
      <c r="J83" s="37" t="s">
        <v>680</v>
      </c>
      <c r="K83" s="37" t="s">
        <v>679</v>
      </c>
      <c r="L83" s="37" t="s">
        <v>80</v>
      </c>
      <c r="M83" s="37">
        <v>2021</v>
      </c>
      <c r="N83" s="37">
        <v>0</v>
      </c>
      <c r="O83" s="37">
        <v>19.309999999999999</v>
      </c>
      <c r="P83" s="37">
        <v>0</v>
      </c>
      <c r="R83" s="8" t="str">
        <f t="shared" si="2"/>
        <v>TUSDA2DistribuiçãoNão se aplicaNão se aplicaNão se aplicaESSPonta</v>
      </c>
      <c r="S83" s="8">
        <f t="shared" si="3"/>
        <v>19.309999999999999</v>
      </c>
    </row>
    <row r="84" spans="1:19" ht="11.25" customHeight="1" x14ac:dyDescent="0.25">
      <c r="A84" s="37">
        <v>97</v>
      </c>
      <c r="B84" s="37" t="s">
        <v>533</v>
      </c>
      <c r="C84" s="37" t="s">
        <v>666</v>
      </c>
      <c r="D84" s="37" t="s">
        <v>84</v>
      </c>
      <c r="E84" s="37" t="s">
        <v>25</v>
      </c>
      <c r="F84" s="37" t="s">
        <v>25</v>
      </c>
      <c r="G84" s="37" t="s">
        <v>25</v>
      </c>
      <c r="H84" s="37" t="s">
        <v>1250</v>
      </c>
      <c r="I84" s="37" t="s">
        <v>25</v>
      </c>
      <c r="J84" s="37" t="s">
        <v>680</v>
      </c>
      <c r="K84" s="37" t="s">
        <v>679</v>
      </c>
      <c r="L84" s="37" t="s">
        <v>80</v>
      </c>
      <c r="M84" s="37">
        <v>2021</v>
      </c>
      <c r="N84" s="37">
        <v>0</v>
      </c>
      <c r="O84" s="37">
        <v>5.35</v>
      </c>
      <c r="P84" s="37">
        <v>0</v>
      </c>
      <c r="R84" s="8" t="str">
        <f t="shared" si="2"/>
        <v>TUSDA2GeraçãoNão se aplicaNão se aplicaNão se aplicaIMP IMPORTACAO ANDENão se aplica</v>
      </c>
      <c r="S84" s="8">
        <f t="shared" si="3"/>
        <v>5.35</v>
      </c>
    </row>
    <row r="85" spans="1:19" ht="11.25" customHeight="1" x14ac:dyDescent="0.25">
      <c r="A85" s="37">
        <v>99</v>
      </c>
      <c r="B85" s="37" t="s">
        <v>533</v>
      </c>
      <c r="C85" s="37" t="s">
        <v>666</v>
      </c>
      <c r="D85" s="37" t="s">
        <v>84</v>
      </c>
      <c r="E85" s="37" t="s">
        <v>25</v>
      </c>
      <c r="F85" s="37" t="s">
        <v>25</v>
      </c>
      <c r="G85" s="37" t="s">
        <v>25</v>
      </c>
      <c r="H85" s="37" t="s">
        <v>1251</v>
      </c>
      <c r="I85" s="37" t="s">
        <v>25</v>
      </c>
      <c r="J85" s="37" t="s">
        <v>680</v>
      </c>
      <c r="K85" s="37" t="s">
        <v>679</v>
      </c>
      <c r="L85" s="37" t="s">
        <v>80</v>
      </c>
      <c r="M85" s="37">
        <v>2021</v>
      </c>
      <c r="N85" s="37">
        <v>0</v>
      </c>
      <c r="O85" s="37">
        <v>6.53</v>
      </c>
      <c r="P85" s="37">
        <v>0</v>
      </c>
      <c r="R85" s="8" t="str">
        <f t="shared" si="2"/>
        <v>TUSDA2GeraçãoNão se aplicaNão se aplicaNão se aplicaNOVO GERADORNão se aplica</v>
      </c>
      <c r="S85" s="8">
        <f t="shared" si="3"/>
        <v>6.53</v>
      </c>
    </row>
    <row r="86" spans="1:19" ht="11.25" customHeight="1" x14ac:dyDescent="0.25">
      <c r="A86" s="37">
        <v>71</v>
      </c>
      <c r="B86" s="37" t="s">
        <v>533</v>
      </c>
      <c r="C86" s="37" t="s">
        <v>666</v>
      </c>
      <c r="D86" s="37" t="s">
        <v>84</v>
      </c>
      <c r="E86" s="37" t="s">
        <v>25</v>
      </c>
      <c r="F86" s="37" t="s">
        <v>25</v>
      </c>
      <c r="G86" s="37" t="s">
        <v>25</v>
      </c>
      <c r="H86" s="37" t="s">
        <v>1252</v>
      </c>
      <c r="I86" s="37" t="s">
        <v>25</v>
      </c>
      <c r="J86" s="37" t="s">
        <v>680</v>
      </c>
      <c r="K86" s="37" t="s">
        <v>679</v>
      </c>
      <c r="L86" s="37" t="s">
        <v>80</v>
      </c>
      <c r="M86" s="37">
        <v>2021</v>
      </c>
      <c r="N86" s="37">
        <v>0</v>
      </c>
      <c r="O86" s="37">
        <v>6.15</v>
      </c>
      <c r="P86" s="37">
        <v>0</v>
      </c>
      <c r="R86" s="8" t="str">
        <f t="shared" si="2"/>
        <v>TUSDA2GeraçãoNão se aplicaNão se aplicaNão se aplicaPCH ARTURO ANDREOLINão se aplica</v>
      </c>
      <c r="S86" s="8">
        <f t="shared" si="3"/>
        <v>6.15</v>
      </c>
    </row>
    <row r="87" spans="1:19" ht="11.25" customHeight="1" x14ac:dyDescent="0.25">
      <c r="A87" s="37">
        <v>89</v>
      </c>
      <c r="B87" s="37" t="s">
        <v>533</v>
      </c>
      <c r="C87" s="37" t="s">
        <v>666</v>
      </c>
      <c r="D87" s="37" t="s">
        <v>84</v>
      </c>
      <c r="E87" s="37" t="s">
        <v>25</v>
      </c>
      <c r="F87" s="37" t="s">
        <v>25</v>
      </c>
      <c r="G87" s="37" t="s">
        <v>25</v>
      </c>
      <c r="H87" s="37" t="s">
        <v>1253</v>
      </c>
      <c r="I87" s="37" t="s">
        <v>25</v>
      </c>
      <c r="J87" s="37" t="s">
        <v>680</v>
      </c>
      <c r="K87" s="37" t="s">
        <v>679</v>
      </c>
      <c r="L87" s="37" t="s">
        <v>80</v>
      </c>
      <c r="M87" s="37">
        <v>2021</v>
      </c>
      <c r="N87" s="37">
        <v>0</v>
      </c>
      <c r="O87" s="37">
        <v>8.0500000000000007</v>
      </c>
      <c r="P87" s="37">
        <v>0</v>
      </c>
      <c r="R87" s="8" t="str">
        <f t="shared" si="2"/>
        <v>TUSDA2GeraçãoNão se aplicaNão se aplicaNão se aplicaPCH CANHADAONão se aplica</v>
      </c>
      <c r="S87" s="8">
        <f t="shared" si="3"/>
        <v>8.0500000000000007</v>
      </c>
    </row>
    <row r="88" spans="1:19" ht="11.25" customHeight="1" x14ac:dyDescent="0.25">
      <c r="A88" s="37">
        <v>83</v>
      </c>
      <c r="B88" s="37" t="s">
        <v>533</v>
      </c>
      <c r="C88" s="37" t="s">
        <v>666</v>
      </c>
      <c r="D88" s="37" t="s">
        <v>84</v>
      </c>
      <c r="E88" s="37" t="s">
        <v>25</v>
      </c>
      <c r="F88" s="37" t="s">
        <v>25</v>
      </c>
      <c r="G88" s="37" t="s">
        <v>25</v>
      </c>
      <c r="H88" s="37" t="s">
        <v>1254</v>
      </c>
      <c r="I88" s="37" t="s">
        <v>25</v>
      </c>
      <c r="J88" s="37" t="s">
        <v>680</v>
      </c>
      <c r="K88" s="37" t="s">
        <v>679</v>
      </c>
      <c r="L88" s="37" t="s">
        <v>80</v>
      </c>
      <c r="M88" s="37">
        <v>2021</v>
      </c>
      <c r="N88" s="37">
        <v>0</v>
      </c>
      <c r="O88" s="37">
        <v>3.33</v>
      </c>
      <c r="P88" s="37">
        <v>0</v>
      </c>
      <c r="R88" s="8" t="str">
        <f t="shared" si="2"/>
        <v>TUSDA2GeraçãoNão se aplicaNão se aplicaNão se aplicaPCH CANTU 2Não se aplica</v>
      </c>
      <c r="S88" s="8">
        <f t="shared" si="3"/>
        <v>3.33</v>
      </c>
    </row>
    <row r="89" spans="1:19" ht="11.25" customHeight="1" x14ac:dyDescent="0.25">
      <c r="A89" s="37">
        <v>87</v>
      </c>
      <c r="B89" s="37" t="s">
        <v>533</v>
      </c>
      <c r="C89" s="37" t="s">
        <v>666</v>
      </c>
      <c r="D89" s="37" t="s">
        <v>84</v>
      </c>
      <c r="E89" s="37" t="s">
        <v>25</v>
      </c>
      <c r="F89" s="37" t="s">
        <v>25</v>
      </c>
      <c r="G89" s="37" t="s">
        <v>25</v>
      </c>
      <c r="H89" s="37" t="s">
        <v>1255</v>
      </c>
      <c r="I89" s="37" t="s">
        <v>25</v>
      </c>
      <c r="J89" s="37" t="s">
        <v>680</v>
      </c>
      <c r="K89" s="37" t="s">
        <v>679</v>
      </c>
      <c r="L89" s="37" t="s">
        <v>80</v>
      </c>
      <c r="M89" s="37">
        <v>2021</v>
      </c>
      <c r="N89" s="37">
        <v>0</v>
      </c>
      <c r="O89" s="37">
        <v>6.93</v>
      </c>
      <c r="P89" s="37">
        <v>0</v>
      </c>
      <c r="R89" s="8" t="str">
        <f t="shared" si="2"/>
        <v>TUSDA2GeraçãoNão se aplicaNão se aplicaNão se aplicaPCH CAVERNOSO IINão se aplica</v>
      </c>
      <c r="S89" s="8">
        <f t="shared" si="3"/>
        <v>6.93</v>
      </c>
    </row>
    <row r="90" spans="1:19" ht="11.25" customHeight="1" x14ac:dyDescent="0.25">
      <c r="A90" s="37">
        <v>101</v>
      </c>
      <c r="B90" s="37" t="s">
        <v>533</v>
      </c>
      <c r="C90" s="37" t="s">
        <v>666</v>
      </c>
      <c r="D90" s="37" t="s">
        <v>84</v>
      </c>
      <c r="E90" s="37" t="s">
        <v>25</v>
      </c>
      <c r="F90" s="37" t="s">
        <v>25</v>
      </c>
      <c r="G90" s="37" t="s">
        <v>25</v>
      </c>
      <c r="H90" s="37" t="s">
        <v>1256</v>
      </c>
      <c r="I90" s="37" t="s">
        <v>25</v>
      </c>
      <c r="J90" s="37" t="s">
        <v>680</v>
      </c>
      <c r="K90" s="37" t="s">
        <v>679</v>
      </c>
      <c r="L90" s="37" t="s">
        <v>80</v>
      </c>
      <c r="M90" s="37">
        <v>2021</v>
      </c>
      <c r="N90" s="37">
        <v>0</v>
      </c>
      <c r="O90" s="37">
        <v>3.79</v>
      </c>
      <c r="P90" s="37">
        <v>0</v>
      </c>
      <c r="R90" s="8" t="str">
        <f t="shared" si="2"/>
        <v>TUSDA2GeraçãoNão se aplicaNão se aplicaNão se aplicaPCH CONFLUENCIANão se aplica</v>
      </c>
      <c r="S90" s="8">
        <f t="shared" si="3"/>
        <v>3.79</v>
      </c>
    </row>
    <row r="91" spans="1:19" ht="11.25" customHeight="1" x14ac:dyDescent="0.25">
      <c r="A91" s="37">
        <v>95</v>
      </c>
      <c r="B91" s="37" t="s">
        <v>533</v>
      </c>
      <c r="C91" s="37" t="s">
        <v>666</v>
      </c>
      <c r="D91" s="37" t="s">
        <v>84</v>
      </c>
      <c r="E91" s="37" t="s">
        <v>25</v>
      </c>
      <c r="F91" s="37" t="s">
        <v>25</v>
      </c>
      <c r="G91" s="37" t="s">
        <v>25</v>
      </c>
      <c r="H91" s="37" t="s">
        <v>1257</v>
      </c>
      <c r="I91" s="37" t="s">
        <v>25</v>
      </c>
      <c r="J91" s="37" t="s">
        <v>680</v>
      </c>
      <c r="K91" s="37" t="s">
        <v>679</v>
      </c>
      <c r="L91" s="37" t="s">
        <v>80</v>
      </c>
      <c r="M91" s="37">
        <v>2021</v>
      </c>
      <c r="N91" s="37">
        <v>0</v>
      </c>
      <c r="O91" s="37">
        <v>6.53</v>
      </c>
      <c r="P91" s="37">
        <v>0</v>
      </c>
      <c r="R91" s="8" t="str">
        <f t="shared" si="2"/>
        <v>TUSDA2GeraçãoNão se aplicaNão se aplicaNão se aplicaPCH FORQUILHANão se aplica</v>
      </c>
      <c r="S91" s="8">
        <f t="shared" si="3"/>
        <v>6.53</v>
      </c>
    </row>
    <row r="92" spans="1:19" ht="11.25" customHeight="1" x14ac:dyDescent="0.25">
      <c r="A92" s="37">
        <v>79</v>
      </c>
      <c r="B92" s="37" t="s">
        <v>533</v>
      </c>
      <c r="C92" s="37" t="s">
        <v>666</v>
      </c>
      <c r="D92" s="37" t="s">
        <v>84</v>
      </c>
      <c r="E92" s="37" t="s">
        <v>25</v>
      </c>
      <c r="F92" s="37" t="s">
        <v>25</v>
      </c>
      <c r="G92" s="37" t="s">
        <v>25</v>
      </c>
      <c r="H92" s="37" t="s">
        <v>1258</v>
      </c>
      <c r="I92" s="37" t="s">
        <v>25</v>
      </c>
      <c r="J92" s="37" t="s">
        <v>680</v>
      </c>
      <c r="K92" s="37" t="s">
        <v>679</v>
      </c>
      <c r="L92" s="37" t="s">
        <v>80</v>
      </c>
      <c r="M92" s="37">
        <v>2021</v>
      </c>
      <c r="N92" s="37">
        <v>0</v>
      </c>
      <c r="O92" s="37">
        <v>6.05</v>
      </c>
      <c r="P92" s="37">
        <v>0</v>
      </c>
      <c r="R92" s="8" t="str">
        <f t="shared" si="2"/>
        <v>TUSDA2GeraçãoNão se aplicaNão se aplicaNão se aplicaPCH LUDESANão se aplica</v>
      </c>
      <c r="S92" s="8">
        <f t="shared" si="3"/>
        <v>6.05</v>
      </c>
    </row>
    <row r="93" spans="1:19" ht="11.25" customHeight="1" x14ac:dyDescent="0.25">
      <c r="A93" s="37">
        <v>93</v>
      </c>
      <c r="B93" s="37" t="s">
        <v>533</v>
      </c>
      <c r="C93" s="37" t="s">
        <v>666</v>
      </c>
      <c r="D93" s="37" t="s">
        <v>84</v>
      </c>
      <c r="E93" s="37" t="s">
        <v>25</v>
      </c>
      <c r="F93" s="37" t="s">
        <v>25</v>
      </c>
      <c r="G93" s="37" t="s">
        <v>25</v>
      </c>
      <c r="H93" s="37" t="s">
        <v>1259</v>
      </c>
      <c r="I93" s="37" t="s">
        <v>25</v>
      </c>
      <c r="J93" s="37" t="s">
        <v>680</v>
      </c>
      <c r="K93" s="37" t="s">
        <v>679</v>
      </c>
      <c r="L93" s="37" t="s">
        <v>80</v>
      </c>
      <c r="M93" s="37">
        <v>2021</v>
      </c>
      <c r="N93" s="37">
        <v>0</v>
      </c>
      <c r="O93" s="37">
        <v>6.49</v>
      </c>
      <c r="P93" s="37">
        <v>0</v>
      </c>
      <c r="R93" s="8" t="str">
        <f t="shared" si="2"/>
        <v>TUSDA2GeraçãoNão se aplicaNão se aplicaNão se aplicaPCH MACACOSNão se aplica</v>
      </c>
      <c r="S93" s="8">
        <f t="shared" si="3"/>
        <v>6.49</v>
      </c>
    </row>
    <row r="94" spans="1:19" ht="11.25" customHeight="1" x14ac:dyDescent="0.25">
      <c r="A94" s="37">
        <v>77</v>
      </c>
      <c r="B94" s="37" t="s">
        <v>533</v>
      </c>
      <c r="C94" s="37" t="s">
        <v>666</v>
      </c>
      <c r="D94" s="37" t="s">
        <v>84</v>
      </c>
      <c r="E94" s="37" t="s">
        <v>25</v>
      </c>
      <c r="F94" s="37" t="s">
        <v>25</v>
      </c>
      <c r="G94" s="37" t="s">
        <v>25</v>
      </c>
      <c r="H94" s="37" t="s">
        <v>1260</v>
      </c>
      <c r="I94" s="37" t="s">
        <v>25</v>
      </c>
      <c r="J94" s="37" t="s">
        <v>680</v>
      </c>
      <c r="K94" s="37" t="s">
        <v>679</v>
      </c>
      <c r="L94" s="37" t="s">
        <v>80</v>
      </c>
      <c r="M94" s="37">
        <v>2021</v>
      </c>
      <c r="N94" s="37">
        <v>0</v>
      </c>
      <c r="O94" s="37">
        <v>6.67</v>
      </c>
      <c r="P94" s="37">
        <v>0</v>
      </c>
      <c r="R94" s="8" t="str">
        <f t="shared" si="2"/>
        <v>TUSDA2GeraçãoNão se aplicaNão se aplicaNão se aplicaPCH NOVO HORIZONTENão se aplica</v>
      </c>
      <c r="S94" s="8">
        <f t="shared" si="3"/>
        <v>6.67</v>
      </c>
    </row>
    <row r="95" spans="1:19" ht="11.25" customHeight="1" x14ac:dyDescent="0.25">
      <c r="A95" s="37">
        <v>85</v>
      </c>
      <c r="B95" s="37" t="s">
        <v>533</v>
      </c>
      <c r="C95" s="37" t="s">
        <v>666</v>
      </c>
      <c r="D95" s="37" t="s">
        <v>84</v>
      </c>
      <c r="E95" s="37" t="s">
        <v>25</v>
      </c>
      <c r="F95" s="37" t="s">
        <v>25</v>
      </c>
      <c r="G95" s="37" t="s">
        <v>25</v>
      </c>
      <c r="H95" s="37" t="s">
        <v>1261</v>
      </c>
      <c r="I95" s="37" t="s">
        <v>25</v>
      </c>
      <c r="J95" s="37" t="s">
        <v>680</v>
      </c>
      <c r="K95" s="37" t="s">
        <v>679</v>
      </c>
      <c r="L95" s="37" t="s">
        <v>80</v>
      </c>
      <c r="M95" s="37">
        <v>2021</v>
      </c>
      <c r="N95" s="37">
        <v>0</v>
      </c>
      <c r="O95" s="37">
        <v>6.05</v>
      </c>
      <c r="P95" s="37">
        <v>0</v>
      </c>
      <c r="R95" s="8" t="str">
        <f t="shared" si="2"/>
        <v>TUSDA2GeraçãoNão se aplicaNão se aplicaNão se aplicaPCH SANTA LUZIA ALTONão se aplica</v>
      </c>
      <c r="S95" s="8">
        <f t="shared" si="3"/>
        <v>6.05</v>
      </c>
    </row>
    <row r="96" spans="1:19" ht="11.25" customHeight="1" x14ac:dyDescent="0.25">
      <c r="A96" s="37">
        <v>81</v>
      </c>
      <c r="B96" s="37" t="s">
        <v>533</v>
      </c>
      <c r="C96" s="37" t="s">
        <v>666</v>
      </c>
      <c r="D96" s="37" t="s">
        <v>84</v>
      </c>
      <c r="E96" s="37" t="s">
        <v>25</v>
      </c>
      <c r="F96" s="37" t="s">
        <v>25</v>
      </c>
      <c r="G96" s="37" t="s">
        <v>25</v>
      </c>
      <c r="H96" s="37" t="s">
        <v>1262</v>
      </c>
      <c r="I96" s="37" t="s">
        <v>25</v>
      </c>
      <c r="J96" s="37" t="s">
        <v>680</v>
      </c>
      <c r="K96" s="37" t="s">
        <v>679</v>
      </c>
      <c r="L96" s="37" t="s">
        <v>80</v>
      </c>
      <c r="M96" s="37">
        <v>2021</v>
      </c>
      <c r="N96" s="37">
        <v>0</v>
      </c>
      <c r="O96" s="37">
        <v>6.13</v>
      </c>
      <c r="P96" s="37">
        <v>0</v>
      </c>
      <c r="R96" s="8" t="str">
        <f t="shared" si="2"/>
        <v>TUSDA2GeraçãoNão se aplicaNão se aplicaNão se aplicaPCH VICTOR BAPTISTA ADAMINão se aplica</v>
      </c>
      <c r="S96" s="8">
        <f t="shared" si="3"/>
        <v>6.13</v>
      </c>
    </row>
    <row r="97" spans="1:19" ht="11.25" customHeight="1" x14ac:dyDescent="0.25">
      <c r="A97" s="37">
        <v>73</v>
      </c>
      <c r="B97" s="37" t="s">
        <v>533</v>
      </c>
      <c r="C97" s="37" t="s">
        <v>666</v>
      </c>
      <c r="D97" s="37" t="s">
        <v>84</v>
      </c>
      <c r="E97" s="37" t="s">
        <v>25</v>
      </c>
      <c r="F97" s="37" t="s">
        <v>25</v>
      </c>
      <c r="G97" s="37" t="s">
        <v>25</v>
      </c>
      <c r="H97" s="37" t="s">
        <v>1263</v>
      </c>
      <c r="I97" s="37" t="s">
        <v>25</v>
      </c>
      <c r="J97" s="37" t="s">
        <v>680</v>
      </c>
      <c r="K97" s="37" t="s">
        <v>679</v>
      </c>
      <c r="L97" s="37" t="s">
        <v>80</v>
      </c>
      <c r="M97" s="37">
        <v>2021</v>
      </c>
      <c r="N97" s="37">
        <v>0</v>
      </c>
      <c r="O97" s="37">
        <v>8.43</v>
      </c>
      <c r="P97" s="37">
        <v>0</v>
      </c>
      <c r="R97" s="8" t="str">
        <f t="shared" si="2"/>
        <v>TUSDA2GeraçãoNão se aplicaNão se aplicaNão se aplicaUHE FUNDAONão se aplica</v>
      </c>
      <c r="S97" s="8">
        <f t="shared" si="3"/>
        <v>8.43</v>
      </c>
    </row>
    <row r="98" spans="1:19" ht="11.25" customHeight="1" x14ac:dyDescent="0.25">
      <c r="A98" s="37">
        <v>160</v>
      </c>
      <c r="B98" s="37" t="s">
        <v>533</v>
      </c>
      <c r="C98" s="37" t="s">
        <v>666</v>
      </c>
      <c r="D98" s="37" t="s">
        <v>84</v>
      </c>
      <c r="E98" s="37" t="s">
        <v>25</v>
      </c>
      <c r="F98" s="37" t="s">
        <v>25</v>
      </c>
      <c r="G98" s="37" t="s">
        <v>25</v>
      </c>
      <c r="H98" s="37" t="s">
        <v>1264</v>
      </c>
      <c r="I98" s="37" t="s">
        <v>25</v>
      </c>
      <c r="J98" s="37" t="s">
        <v>680</v>
      </c>
      <c r="K98" s="37" t="s">
        <v>679</v>
      </c>
      <c r="L98" s="37" t="s">
        <v>80</v>
      </c>
      <c r="M98" s="37">
        <v>2021</v>
      </c>
      <c r="N98" s="37">
        <v>0</v>
      </c>
      <c r="O98" s="37">
        <v>5.91</v>
      </c>
      <c r="P98" s="37">
        <v>0</v>
      </c>
      <c r="R98" s="8" t="str">
        <f t="shared" si="2"/>
        <v>TUSDA2GeraçãoNão se aplicaNão se aplicaNão se aplicaUHE SANTA BRANCA 35290Não se aplica</v>
      </c>
      <c r="S98" s="8">
        <f t="shared" si="3"/>
        <v>5.91</v>
      </c>
    </row>
    <row r="99" spans="1:19" ht="11.25" customHeight="1" x14ac:dyDescent="0.25">
      <c r="A99" s="37">
        <v>75</v>
      </c>
      <c r="B99" s="37" t="s">
        <v>533</v>
      </c>
      <c r="C99" s="37" t="s">
        <v>666</v>
      </c>
      <c r="D99" s="37" t="s">
        <v>84</v>
      </c>
      <c r="E99" s="37" t="s">
        <v>25</v>
      </c>
      <c r="F99" s="37" t="s">
        <v>25</v>
      </c>
      <c r="G99" s="37" t="s">
        <v>25</v>
      </c>
      <c r="H99" s="37" t="s">
        <v>1265</v>
      </c>
      <c r="I99" s="37" t="s">
        <v>25</v>
      </c>
      <c r="J99" s="37" t="s">
        <v>680</v>
      </c>
      <c r="K99" s="37" t="s">
        <v>679</v>
      </c>
      <c r="L99" s="37" t="s">
        <v>80</v>
      </c>
      <c r="M99" s="37">
        <v>2021</v>
      </c>
      <c r="N99" s="37">
        <v>0</v>
      </c>
      <c r="O99" s="37">
        <v>8.59</v>
      </c>
      <c r="P99" s="37">
        <v>0</v>
      </c>
      <c r="R99" s="8" t="str">
        <f t="shared" si="2"/>
        <v>TUSDA2GeraçãoNão se aplicaNão se aplicaNão se aplicaUHE SANTA CLARA 28361Não se aplica</v>
      </c>
      <c r="S99" s="8">
        <f t="shared" si="3"/>
        <v>8.59</v>
      </c>
    </row>
    <row r="100" spans="1:19" ht="11.25" customHeight="1" x14ac:dyDescent="0.25">
      <c r="A100" s="37">
        <v>91</v>
      </c>
      <c r="B100" s="37" t="s">
        <v>533</v>
      </c>
      <c r="C100" s="37" t="s">
        <v>666</v>
      </c>
      <c r="D100" s="37" t="s">
        <v>84</v>
      </c>
      <c r="E100" s="37" t="s">
        <v>25</v>
      </c>
      <c r="F100" s="37" t="s">
        <v>25</v>
      </c>
      <c r="G100" s="37" t="s">
        <v>25</v>
      </c>
      <c r="H100" s="37" t="s">
        <v>1266</v>
      </c>
      <c r="I100" s="37" t="s">
        <v>25</v>
      </c>
      <c r="J100" s="37" t="s">
        <v>680</v>
      </c>
      <c r="K100" s="37" t="s">
        <v>679</v>
      </c>
      <c r="L100" s="37" t="s">
        <v>80</v>
      </c>
      <c r="M100" s="37">
        <v>2021</v>
      </c>
      <c r="N100" s="37">
        <v>0</v>
      </c>
      <c r="O100" s="37">
        <v>3.84</v>
      </c>
      <c r="P100" s="37">
        <v>0</v>
      </c>
      <c r="R100" s="8" t="str">
        <f t="shared" si="2"/>
        <v>TUSDA2GeraçãoNão se aplicaNão se aplicaNão se aplicaUHE TIBAGI MONTANTENão se aplica</v>
      </c>
      <c r="S100" s="8">
        <f t="shared" si="3"/>
        <v>3.84</v>
      </c>
    </row>
    <row r="101" spans="1:19" ht="11.25" customHeight="1" x14ac:dyDescent="0.25">
      <c r="A101" s="37">
        <v>59</v>
      </c>
      <c r="B101" s="37" t="s">
        <v>533</v>
      </c>
      <c r="C101" s="37" t="s">
        <v>666</v>
      </c>
      <c r="D101" s="37" t="s">
        <v>84</v>
      </c>
      <c r="E101" s="37" t="s">
        <v>25</v>
      </c>
      <c r="F101" s="37" t="s">
        <v>25</v>
      </c>
      <c r="G101" s="37" t="s">
        <v>25</v>
      </c>
      <c r="H101" s="37" t="s">
        <v>1267</v>
      </c>
      <c r="I101" s="37" t="s">
        <v>25</v>
      </c>
      <c r="J101" s="37" t="s">
        <v>680</v>
      </c>
      <c r="K101" s="37" t="s">
        <v>679</v>
      </c>
      <c r="L101" s="37" t="s">
        <v>80</v>
      </c>
      <c r="M101" s="37">
        <v>2021</v>
      </c>
      <c r="N101" s="37">
        <v>0</v>
      </c>
      <c r="O101" s="37">
        <v>5.9</v>
      </c>
      <c r="P101" s="37">
        <v>0</v>
      </c>
      <c r="R101" s="8" t="str">
        <f t="shared" si="2"/>
        <v>TUSDA2GeraçãoNão se aplicaNão se aplicaNão se aplicaUTE ALTO ALEGRE - UJUNão se aplica</v>
      </c>
      <c r="S101" s="8">
        <f t="shared" si="3"/>
        <v>5.9</v>
      </c>
    </row>
    <row r="102" spans="1:19" ht="11.25" customHeight="1" x14ac:dyDescent="0.25">
      <c r="A102" s="37">
        <v>55</v>
      </c>
      <c r="B102" s="37" t="s">
        <v>533</v>
      </c>
      <c r="C102" s="37" t="s">
        <v>666</v>
      </c>
      <c r="D102" s="37" t="s">
        <v>84</v>
      </c>
      <c r="E102" s="37" t="s">
        <v>25</v>
      </c>
      <c r="F102" s="37" t="s">
        <v>25</v>
      </c>
      <c r="G102" s="37" t="s">
        <v>25</v>
      </c>
      <c r="H102" s="37" t="s">
        <v>1268</v>
      </c>
      <c r="I102" s="37" t="s">
        <v>25</v>
      </c>
      <c r="J102" s="37" t="s">
        <v>680</v>
      </c>
      <c r="K102" s="37" t="s">
        <v>679</v>
      </c>
      <c r="L102" s="37" t="s">
        <v>80</v>
      </c>
      <c r="M102" s="37">
        <v>2021</v>
      </c>
      <c r="N102" s="37">
        <v>0</v>
      </c>
      <c r="O102" s="37">
        <v>4.58</v>
      </c>
      <c r="P102" s="37">
        <v>0</v>
      </c>
      <c r="R102" s="8" t="str">
        <f t="shared" si="2"/>
        <v>TUSDA2GeraçãoNão se aplicaNão se aplicaNão se aplicaUTE BIO COOPCANANão se aplica</v>
      </c>
      <c r="S102" s="8">
        <f t="shared" si="3"/>
        <v>4.58</v>
      </c>
    </row>
    <row r="103" spans="1:19" ht="11.25" customHeight="1" x14ac:dyDescent="0.25">
      <c r="A103" s="37">
        <v>69</v>
      </c>
      <c r="B103" s="37" t="s">
        <v>533</v>
      </c>
      <c r="C103" s="37" t="s">
        <v>666</v>
      </c>
      <c r="D103" s="37" t="s">
        <v>84</v>
      </c>
      <c r="E103" s="37" t="s">
        <v>25</v>
      </c>
      <c r="F103" s="37" t="s">
        <v>25</v>
      </c>
      <c r="G103" s="37" t="s">
        <v>25</v>
      </c>
      <c r="H103" s="37" t="s">
        <v>1269</v>
      </c>
      <c r="I103" s="37" t="s">
        <v>25</v>
      </c>
      <c r="J103" s="37" t="s">
        <v>680</v>
      </c>
      <c r="K103" s="37" t="s">
        <v>679</v>
      </c>
      <c r="L103" s="37" t="s">
        <v>80</v>
      </c>
      <c r="M103" s="37">
        <v>2021</v>
      </c>
      <c r="N103" s="37">
        <v>0</v>
      </c>
      <c r="O103" s="37">
        <v>6.59</v>
      </c>
      <c r="P103" s="37">
        <v>0</v>
      </c>
      <c r="R103" s="8" t="str">
        <f t="shared" si="2"/>
        <v>TUSDA2GeraçãoNão se aplicaNão se aplicaNão se aplicaUTE FIGUEIRANão se aplica</v>
      </c>
      <c r="S103" s="8">
        <f t="shared" si="3"/>
        <v>6.59</v>
      </c>
    </row>
    <row r="104" spans="1:19" ht="11.25" customHeight="1" x14ac:dyDescent="0.25">
      <c r="A104" s="37">
        <v>57</v>
      </c>
      <c r="B104" s="37" t="s">
        <v>533</v>
      </c>
      <c r="C104" s="37" t="s">
        <v>666</v>
      </c>
      <c r="D104" s="37" t="s">
        <v>84</v>
      </c>
      <c r="E104" s="37" t="s">
        <v>25</v>
      </c>
      <c r="F104" s="37" t="s">
        <v>25</v>
      </c>
      <c r="G104" s="37" t="s">
        <v>25</v>
      </c>
      <c r="H104" s="37" t="s">
        <v>1270</v>
      </c>
      <c r="I104" s="37" t="s">
        <v>25</v>
      </c>
      <c r="J104" s="37" t="s">
        <v>680</v>
      </c>
      <c r="K104" s="37" t="s">
        <v>679</v>
      </c>
      <c r="L104" s="37" t="s">
        <v>80</v>
      </c>
      <c r="M104" s="37">
        <v>2021</v>
      </c>
      <c r="N104" s="37">
        <v>0</v>
      </c>
      <c r="O104" s="37">
        <v>5.75</v>
      </c>
      <c r="P104" s="37">
        <v>0</v>
      </c>
      <c r="R104" s="8" t="str">
        <f t="shared" si="2"/>
        <v>TUSDA2GeraçãoNão se aplicaNão se aplicaNão se aplicaUTE SANTA TEREZINHANão se aplica</v>
      </c>
      <c r="S104" s="8">
        <f t="shared" si="3"/>
        <v>5.75</v>
      </c>
    </row>
    <row r="105" spans="1:19" ht="11.25" customHeight="1" x14ac:dyDescent="0.25">
      <c r="A105" s="37">
        <v>53</v>
      </c>
      <c r="B105" s="37" t="s">
        <v>533</v>
      </c>
      <c r="C105" s="37" t="s">
        <v>666</v>
      </c>
      <c r="D105" s="37" t="s">
        <v>84</v>
      </c>
      <c r="E105" s="37" t="s">
        <v>25</v>
      </c>
      <c r="F105" s="37" t="s">
        <v>25</v>
      </c>
      <c r="G105" s="37" t="s">
        <v>25</v>
      </c>
      <c r="H105" s="37" t="s">
        <v>1271</v>
      </c>
      <c r="I105" s="37" t="s">
        <v>25</v>
      </c>
      <c r="J105" s="37" t="s">
        <v>680</v>
      </c>
      <c r="K105" s="37" t="s">
        <v>679</v>
      </c>
      <c r="L105" s="37" t="s">
        <v>80</v>
      </c>
      <c r="M105" s="37">
        <v>2021</v>
      </c>
      <c r="N105" s="37">
        <v>0</v>
      </c>
      <c r="O105" s="37">
        <v>5.36</v>
      </c>
      <c r="P105" s="37">
        <v>0</v>
      </c>
      <c r="R105" s="8" t="str">
        <f t="shared" si="2"/>
        <v>TUSDA2GeraçãoNão se aplicaNão se aplicaNão se aplicaUTE SANTA TEREZINHA PARANACITYNão se aplica</v>
      </c>
      <c r="S105" s="8">
        <f t="shared" si="3"/>
        <v>5.36</v>
      </c>
    </row>
    <row r="106" spans="1:19" ht="11.25" customHeight="1" x14ac:dyDescent="0.25">
      <c r="A106" s="37">
        <v>65</v>
      </c>
      <c r="B106" s="37" t="s">
        <v>533</v>
      </c>
      <c r="C106" s="37" t="s">
        <v>666</v>
      </c>
      <c r="D106" s="37" t="s">
        <v>84</v>
      </c>
      <c r="E106" s="37" t="s">
        <v>25</v>
      </c>
      <c r="F106" s="37" t="s">
        <v>25</v>
      </c>
      <c r="G106" s="37" t="s">
        <v>25</v>
      </c>
      <c r="H106" s="37" t="s">
        <v>1272</v>
      </c>
      <c r="I106" s="37" t="s">
        <v>25</v>
      </c>
      <c r="J106" s="37" t="s">
        <v>680</v>
      </c>
      <c r="K106" s="37" t="s">
        <v>679</v>
      </c>
      <c r="L106" s="37" t="s">
        <v>80</v>
      </c>
      <c r="M106" s="37">
        <v>2021</v>
      </c>
      <c r="N106" s="37">
        <v>0</v>
      </c>
      <c r="O106" s="37">
        <v>6.7</v>
      </c>
      <c r="P106" s="37">
        <v>0</v>
      </c>
      <c r="R106" s="8" t="str">
        <f t="shared" si="2"/>
        <v>TUSDA2GeraçãoNão se aplicaNão se aplicaNão se aplicaUTE UFLNão se aplica</v>
      </c>
      <c r="S106" s="8">
        <f t="shared" si="3"/>
        <v>6.7</v>
      </c>
    </row>
    <row r="107" spans="1:19" ht="11.25" customHeight="1" x14ac:dyDescent="0.25">
      <c r="A107" s="37">
        <v>61</v>
      </c>
      <c r="B107" s="37" t="s">
        <v>533</v>
      </c>
      <c r="C107" s="37" t="s">
        <v>666</v>
      </c>
      <c r="D107" s="37" t="s">
        <v>84</v>
      </c>
      <c r="E107" s="37" t="s">
        <v>25</v>
      </c>
      <c r="F107" s="37" t="s">
        <v>25</v>
      </c>
      <c r="G107" s="37" t="s">
        <v>25</v>
      </c>
      <c r="H107" s="37" t="s">
        <v>1273</v>
      </c>
      <c r="I107" s="37" t="s">
        <v>25</v>
      </c>
      <c r="J107" s="37" t="s">
        <v>680</v>
      </c>
      <c r="K107" s="37" t="s">
        <v>679</v>
      </c>
      <c r="L107" s="37" t="s">
        <v>80</v>
      </c>
      <c r="M107" s="37">
        <v>2021</v>
      </c>
      <c r="N107" s="37">
        <v>0</v>
      </c>
      <c r="O107" s="37">
        <v>5.35</v>
      </c>
      <c r="P107" s="37">
        <v>0</v>
      </c>
      <c r="R107" s="8" t="str">
        <f t="shared" si="2"/>
        <v>TUSDA2GeraçãoNão se aplicaNão se aplicaNão se aplicaUTE USACIGANão se aplica</v>
      </c>
      <c r="S107" s="8">
        <f t="shared" si="3"/>
        <v>5.35</v>
      </c>
    </row>
    <row r="108" spans="1:19" ht="11.25" customHeight="1" x14ac:dyDescent="0.25">
      <c r="A108" s="37">
        <v>63</v>
      </c>
      <c r="B108" s="37" t="s">
        <v>533</v>
      </c>
      <c r="C108" s="37" t="s">
        <v>666</v>
      </c>
      <c r="D108" s="37" t="s">
        <v>84</v>
      </c>
      <c r="E108" s="37" t="s">
        <v>25</v>
      </c>
      <c r="F108" s="37" t="s">
        <v>25</v>
      </c>
      <c r="G108" s="37" t="s">
        <v>25</v>
      </c>
      <c r="H108" s="37" t="s">
        <v>1274</v>
      </c>
      <c r="I108" s="37" t="s">
        <v>25</v>
      </c>
      <c r="J108" s="37" t="s">
        <v>680</v>
      </c>
      <c r="K108" s="37" t="s">
        <v>679</v>
      </c>
      <c r="L108" s="37" t="s">
        <v>80</v>
      </c>
      <c r="M108" s="37">
        <v>2021</v>
      </c>
      <c r="N108" s="37">
        <v>0</v>
      </c>
      <c r="O108" s="37">
        <v>6.7</v>
      </c>
      <c r="P108" s="37">
        <v>0</v>
      </c>
      <c r="R108" s="8" t="str">
        <f t="shared" si="2"/>
        <v>TUSDA2GeraçãoNão se aplicaNão se aplicaNão se aplicaUTE USINão se aplica</v>
      </c>
      <c r="S108" s="8">
        <f t="shared" si="3"/>
        <v>6.7</v>
      </c>
    </row>
    <row r="109" spans="1:19" ht="11.25" customHeight="1" x14ac:dyDescent="0.25">
      <c r="A109" s="37">
        <v>67</v>
      </c>
      <c r="B109" s="37" t="s">
        <v>533</v>
      </c>
      <c r="C109" s="37" t="s">
        <v>666</v>
      </c>
      <c r="D109" s="37" t="s">
        <v>84</v>
      </c>
      <c r="E109" s="37" t="s">
        <v>25</v>
      </c>
      <c r="F109" s="37" t="s">
        <v>25</v>
      </c>
      <c r="G109" s="37" t="s">
        <v>25</v>
      </c>
      <c r="H109" s="37" t="s">
        <v>1275</v>
      </c>
      <c r="I109" s="37" t="s">
        <v>25</v>
      </c>
      <c r="J109" s="37" t="s">
        <v>680</v>
      </c>
      <c r="K109" s="37" t="s">
        <v>679</v>
      </c>
      <c r="L109" s="37" t="s">
        <v>80</v>
      </c>
      <c r="M109" s="37">
        <v>2021</v>
      </c>
      <c r="N109" s="37">
        <v>0</v>
      </c>
      <c r="O109" s="37">
        <v>6.7</v>
      </c>
      <c r="P109" s="37">
        <v>0</v>
      </c>
      <c r="R109" s="8" t="str">
        <f t="shared" si="2"/>
        <v>TUSDA2GeraçãoNão se aplicaNão se aplicaNão se aplicaUTE USI BIONão se aplica</v>
      </c>
      <c r="S109" s="8">
        <f t="shared" si="3"/>
        <v>6.7</v>
      </c>
    </row>
    <row r="110" spans="1:19" ht="11.25" customHeight="1" x14ac:dyDescent="0.25">
      <c r="A110" s="37">
        <v>109</v>
      </c>
      <c r="B110" s="37" t="s">
        <v>533</v>
      </c>
      <c r="C110" s="37" t="s">
        <v>667</v>
      </c>
      <c r="D110" s="37" t="s">
        <v>56</v>
      </c>
      <c r="E110" s="37" t="s">
        <v>25</v>
      </c>
      <c r="F110" s="37" t="s">
        <v>25</v>
      </c>
      <c r="G110" s="37" t="s">
        <v>83</v>
      </c>
      <c r="H110" s="37" t="s">
        <v>25</v>
      </c>
      <c r="I110" s="37" t="s">
        <v>25</v>
      </c>
      <c r="J110" s="37" t="s">
        <v>678</v>
      </c>
      <c r="K110" s="37" t="s">
        <v>679</v>
      </c>
      <c r="L110" s="37" t="s">
        <v>75</v>
      </c>
      <c r="M110" s="37">
        <v>2021</v>
      </c>
      <c r="N110" s="37">
        <v>0</v>
      </c>
      <c r="O110" s="37">
        <v>8.32</v>
      </c>
      <c r="P110" s="37">
        <v>0</v>
      </c>
      <c r="R110" s="8" t="str">
        <f t="shared" si="2"/>
        <v>TUSDA3AzulNão se aplicaNão se aplicaAPENão se aplicaNão se aplica</v>
      </c>
      <c r="S110" s="8">
        <f t="shared" si="3"/>
        <v>8.32</v>
      </c>
    </row>
    <row r="111" spans="1:19" ht="11.25" customHeight="1" x14ac:dyDescent="0.25">
      <c r="A111" s="37">
        <v>105</v>
      </c>
      <c r="B111" s="37" t="s">
        <v>533</v>
      </c>
      <c r="C111" s="37" t="s">
        <v>667</v>
      </c>
      <c r="D111" s="37" t="s">
        <v>56</v>
      </c>
      <c r="E111" s="37" t="s">
        <v>25</v>
      </c>
      <c r="F111" s="37" t="s">
        <v>25</v>
      </c>
      <c r="G111" s="37" t="s">
        <v>25</v>
      </c>
      <c r="H111" s="37" t="s">
        <v>25</v>
      </c>
      <c r="I111" s="37" t="s">
        <v>34</v>
      </c>
      <c r="J111" s="37" t="s">
        <v>680</v>
      </c>
      <c r="K111" s="37" t="s">
        <v>679</v>
      </c>
      <c r="L111" s="37" t="s">
        <v>80</v>
      </c>
      <c r="M111" s="37">
        <v>2021</v>
      </c>
      <c r="N111" s="37">
        <v>0</v>
      </c>
      <c r="O111" s="37">
        <v>7.6</v>
      </c>
      <c r="P111" s="37">
        <v>0</v>
      </c>
      <c r="R111" s="8" t="str">
        <f t="shared" si="2"/>
        <v>TUSDA3AzulNão se aplicaNão se aplicaNão se aplicaNão se aplicaFora ponta</v>
      </c>
      <c r="S111" s="8">
        <f t="shared" si="3"/>
        <v>7.6</v>
      </c>
    </row>
    <row r="112" spans="1:19" ht="11.25" customHeight="1" x14ac:dyDescent="0.25">
      <c r="A112" s="37">
        <v>107</v>
      </c>
      <c r="B112" s="37" t="s">
        <v>533</v>
      </c>
      <c r="C112" s="37" t="s">
        <v>667</v>
      </c>
      <c r="D112" s="37" t="s">
        <v>56</v>
      </c>
      <c r="E112" s="37" t="s">
        <v>25</v>
      </c>
      <c r="F112" s="37" t="s">
        <v>25</v>
      </c>
      <c r="G112" s="37" t="s">
        <v>25</v>
      </c>
      <c r="H112" s="37" t="s">
        <v>25</v>
      </c>
      <c r="I112" s="37" t="s">
        <v>25</v>
      </c>
      <c r="J112" s="37" t="s">
        <v>678</v>
      </c>
      <c r="K112" s="37" t="s">
        <v>679</v>
      </c>
      <c r="L112" s="37" t="s">
        <v>75</v>
      </c>
      <c r="M112" s="37">
        <v>2021</v>
      </c>
      <c r="N112" s="37">
        <v>0</v>
      </c>
      <c r="O112" s="37">
        <v>61.14</v>
      </c>
      <c r="P112" s="37">
        <v>41.137505263872498</v>
      </c>
      <c r="R112" s="8" t="str">
        <f t="shared" si="2"/>
        <v>TUSDA3AzulNão se aplicaNão se aplicaNão se aplicaNão se aplicaNão se aplica</v>
      </c>
      <c r="S112" s="8">
        <f t="shared" si="3"/>
        <v>61.14</v>
      </c>
    </row>
    <row r="113" spans="1:19" ht="11.25" customHeight="1" x14ac:dyDescent="0.25">
      <c r="A113" s="37">
        <v>103</v>
      </c>
      <c r="B113" s="37" t="s">
        <v>533</v>
      </c>
      <c r="C113" s="37" t="s">
        <v>667</v>
      </c>
      <c r="D113" s="37" t="s">
        <v>56</v>
      </c>
      <c r="E113" s="37" t="s">
        <v>25</v>
      </c>
      <c r="F113" s="37" t="s">
        <v>25</v>
      </c>
      <c r="G113" s="37" t="s">
        <v>25</v>
      </c>
      <c r="H113" s="37" t="s">
        <v>25</v>
      </c>
      <c r="I113" s="37" t="s">
        <v>33</v>
      </c>
      <c r="J113" s="37" t="s">
        <v>680</v>
      </c>
      <c r="K113" s="37" t="s">
        <v>679</v>
      </c>
      <c r="L113" s="37" t="s">
        <v>80</v>
      </c>
      <c r="M113" s="37">
        <v>2021</v>
      </c>
      <c r="N113" s="37">
        <v>0</v>
      </c>
      <c r="O113" s="37">
        <v>12.77</v>
      </c>
      <c r="P113" s="37">
        <v>0</v>
      </c>
      <c r="R113" s="8" t="str">
        <f t="shared" si="2"/>
        <v>TUSDA3AzulNão se aplicaNão se aplicaNão se aplicaNão se aplicaPonta</v>
      </c>
      <c r="S113" s="8">
        <f t="shared" si="3"/>
        <v>12.77</v>
      </c>
    </row>
    <row r="114" spans="1:19" ht="11.25" customHeight="1" x14ac:dyDescent="0.25">
      <c r="A114" s="37">
        <v>111</v>
      </c>
      <c r="B114" s="37" t="s">
        <v>533</v>
      </c>
      <c r="C114" s="37" t="s">
        <v>667</v>
      </c>
      <c r="D114" s="37" t="s">
        <v>84</v>
      </c>
      <c r="E114" s="37" t="s">
        <v>25</v>
      </c>
      <c r="F114" s="37" t="s">
        <v>25</v>
      </c>
      <c r="G114" s="37" t="s">
        <v>25</v>
      </c>
      <c r="H114" s="37" t="s">
        <v>25</v>
      </c>
      <c r="I114" s="37" t="s">
        <v>25</v>
      </c>
      <c r="J114" s="37" t="s">
        <v>680</v>
      </c>
      <c r="K114" s="37" t="s">
        <v>679</v>
      </c>
      <c r="L114" s="37" t="s">
        <v>80</v>
      </c>
      <c r="M114" s="37">
        <v>2021</v>
      </c>
      <c r="N114" s="37">
        <v>0</v>
      </c>
      <c r="O114" s="37">
        <v>6.68</v>
      </c>
      <c r="P114" s="37">
        <v>0</v>
      </c>
      <c r="R114" s="8" t="str">
        <f t="shared" si="2"/>
        <v>TUSDA3GeraçãoNão se aplicaNão se aplicaNão se aplicaNão se aplicaNão se aplica</v>
      </c>
      <c r="S114" s="8">
        <f t="shared" si="3"/>
        <v>6.68</v>
      </c>
    </row>
    <row r="115" spans="1:19" ht="11.25" customHeight="1" x14ac:dyDescent="0.25">
      <c r="A115" s="37">
        <v>119</v>
      </c>
      <c r="B115" s="37" t="s">
        <v>533</v>
      </c>
      <c r="C115" s="37" t="s">
        <v>668</v>
      </c>
      <c r="D115" s="37" t="s">
        <v>56</v>
      </c>
      <c r="E115" s="37" t="s">
        <v>25</v>
      </c>
      <c r="F115" s="37" t="s">
        <v>25</v>
      </c>
      <c r="G115" s="37" t="s">
        <v>83</v>
      </c>
      <c r="H115" s="37" t="s">
        <v>25</v>
      </c>
      <c r="I115" s="37" t="s">
        <v>25</v>
      </c>
      <c r="J115" s="37" t="s">
        <v>678</v>
      </c>
      <c r="K115" s="37" t="s">
        <v>679</v>
      </c>
      <c r="L115" s="37" t="s">
        <v>75</v>
      </c>
      <c r="M115" s="37">
        <v>2021</v>
      </c>
      <c r="N115" s="37">
        <v>0</v>
      </c>
      <c r="O115" s="37">
        <v>16.87</v>
      </c>
      <c r="P115" s="37">
        <v>0</v>
      </c>
      <c r="R115" s="8" t="str">
        <f t="shared" si="2"/>
        <v>TUSDA3aAzulNão se aplicaNão se aplicaAPENão se aplicaNão se aplica</v>
      </c>
      <c r="S115" s="8">
        <f t="shared" si="3"/>
        <v>16.87</v>
      </c>
    </row>
    <row r="116" spans="1:19" ht="11.25" customHeight="1" x14ac:dyDescent="0.25">
      <c r="A116" s="37">
        <v>115</v>
      </c>
      <c r="B116" s="37" t="s">
        <v>533</v>
      </c>
      <c r="C116" s="37" t="s">
        <v>668</v>
      </c>
      <c r="D116" s="37" t="s">
        <v>56</v>
      </c>
      <c r="E116" s="37" t="s">
        <v>25</v>
      </c>
      <c r="F116" s="37" t="s">
        <v>25</v>
      </c>
      <c r="G116" s="37" t="s">
        <v>25</v>
      </c>
      <c r="H116" s="37" t="s">
        <v>25</v>
      </c>
      <c r="I116" s="37" t="s">
        <v>34</v>
      </c>
      <c r="J116" s="37" t="s">
        <v>680</v>
      </c>
      <c r="K116" s="37" t="s">
        <v>679</v>
      </c>
      <c r="L116" s="37" t="s">
        <v>80</v>
      </c>
      <c r="M116" s="37">
        <v>2021</v>
      </c>
      <c r="N116" s="37">
        <v>0</v>
      </c>
      <c r="O116" s="37">
        <v>17.07</v>
      </c>
      <c r="P116" s="37">
        <v>0</v>
      </c>
      <c r="R116" s="8" t="str">
        <f t="shared" si="2"/>
        <v>TUSDA3aAzulNão se aplicaNão se aplicaNão se aplicaNão se aplicaFora ponta</v>
      </c>
      <c r="S116" s="8">
        <f t="shared" si="3"/>
        <v>17.07</v>
      </c>
    </row>
    <row r="117" spans="1:19" ht="11.25" customHeight="1" x14ac:dyDescent="0.25">
      <c r="A117" s="37">
        <v>117</v>
      </c>
      <c r="B117" s="37" t="s">
        <v>533</v>
      </c>
      <c r="C117" s="37" t="s">
        <v>668</v>
      </c>
      <c r="D117" s="37" t="s">
        <v>56</v>
      </c>
      <c r="E117" s="37" t="s">
        <v>25</v>
      </c>
      <c r="F117" s="37" t="s">
        <v>25</v>
      </c>
      <c r="G117" s="37" t="s">
        <v>25</v>
      </c>
      <c r="H117" s="37" t="s">
        <v>25</v>
      </c>
      <c r="I117" s="37" t="s">
        <v>25</v>
      </c>
      <c r="J117" s="37" t="s">
        <v>678</v>
      </c>
      <c r="K117" s="37" t="s">
        <v>679</v>
      </c>
      <c r="L117" s="37" t="s">
        <v>75</v>
      </c>
      <c r="M117" s="37">
        <v>2021</v>
      </c>
      <c r="N117" s="37">
        <v>0</v>
      </c>
      <c r="O117" s="37">
        <v>82.6</v>
      </c>
      <c r="P117" s="37">
        <v>53.417357581446403</v>
      </c>
      <c r="R117" s="8" t="str">
        <f t="shared" si="2"/>
        <v>TUSDA3aAzulNão se aplicaNão se aplicaNão se aplicaNão se aplicaNão se aplica</v>
      </c>
      <c r="S117" s="8">
        <f t="shared" si="3"/>
        <v>82.6</v>
      </c>
    </row>
    <row r="118" spans="1:19" ht="11.25" customHeight="1" x14ac:dyDescent="0.25">
      <c r="A118" s="37">
        <v>113</v>
      </c>
      <c r="B118" s="37" t="s">
        <v>533</v>
      </c>
      <c r="C118" s="37" t="s">
        <v>668</v>
      </c>
      <c r="D118" s="37" t="s">
        <v>56</v>
      </c>
      <c r="E118" s="37" t="s">
        <v>25</v>
      </c>
      <c r="F118" s="37" t="s">
        <v>25</v>
      </c>
      <c r="G118" s="37" t="s">
        <v>25</v>
      </c>
      <c r="H118" s="37" t="s">
        <v>25</v>
      </c>
      <c r="I118" s="37" t="s">
        <v>33</v>
      </c>
      <c r="J118" s="37" t="s">
        <v>680</v>
      </c>
      <c r="K118" s="37" t="s">
        <v>679</v>
      </c>
      <c r="L118" s="37" t="s">
        <v>80</v>
      </c>
      <c r="M118" s="37">
        <v>2021</v>
      </c>
      <c r="N118" s="37">
        <v>0</v>
      </c>
      <c r="O118" s="37">
        <v>36.08</v>
      </c>
      <c r="P118" s="37">
        <v>0</v>
      </c>
      <c r="R118" s="8" t="str">
        <f t="shared" si="2"/>
        <v>TUSDA3aAzulNão se aplicaNão se aplicaNão se aplicaNão se aplicaPonta</v>
      </c>
      <c r="S118" s="8">
        <f t="shared" si="3"/>
        <v>36.08</v>
      </c>
    </row>
    <row r="119" spans="1:19" ht="11.25" customHeight="1" x14ac:dyDescent="0.25">
      <c r="A119" s="37">
        <v>165</v>
      </c>
      <c r="B119" s="37" t="s">
        <v>533</v>
      </c>
      <c r="C119" s="37" t="s">
        <v>668</v>
      </c>
      <c r="D119" s="37" t="s">
        <v>23</v>
      </c>
      <c r="E119" s="37" t="s">
        <v>25</v>
      </c>
      <c r="F119" s="37" t="s">
        <v>25</v>
      </c>
      <c r="G119" s="37" t="s">
        <v>25</v>
      </c>
      <c r="H119" s="37" t="s">
        <v>25</v>
      </c>
      <c r="I119" s="37" t="s">
        <v>25</v>
      </c>
      <c r="J119" s="37" t="s">
        <v>680</v>
      </c>
      <c r="K119" s="37" t="s">
        <v>679</v>
      </c>
      <c r="L119" s="37" t="s">
        <v>80</v>
      </c>
      <c r="M119" s="37">
        <v>2021</v>
      </c>
      <c r="N119" s="37">
        <v>0</v>
      </c>
      <c r="O119" s="37">
        <v>43.17</v>
      </c>
      <c r="P119" s="37">
        <v>0</v>
      </c>
      <c r="R119" s="8" t="str">
        <f t="shared" si="2"/>
        <v>TUSDA3aConvencionalNão se aplicaNão se aplicaNão se aplicaNão se aplicaNão se aplica</v>
      </c>
      <c r="S119" s="8">
        <f t="shared" si="3"/>
        <v>43.17</v>
      </c>
    </row>
    <row r="120" spans="1:19" ht="11.25" customHeight="1" x14ac:dyDescent="0.25">
      <c r="A120" s="37">
        <v>166</v>
      </c>
      <c r="B120" s="37" t="s">
        <v>533</v>
      </c>
      <c r="C120" s="37" t="s">
        <v>668</v>
      </c>
      <c r="D120" s="37" t="s">
        <v>23</v>
      </c>
      <c r="E120" s="37" t="s">
        <v>25</v>
      </c>
      <c r="F120" s="37" t="s">
        <v>25</v>
      </c>
      <c r="G120" s="37" t="s">
        <v>25</v>
      </c>
      <c r="H120" s="37" t="s">
        <v>25</v>
      </c>
      <c r="I120" s="37" t="s">
        <v>25</v>
      </c>
      <c r="J120" s="37" t="s">
        <v>678</v>
      </c>
      <c r="K120" s="37" t="s">
        <v>679</v>
      </c>
      <c r="L120" s="37" t="s">
        <v>75</v>
      </c>
      <c r="M120" s="37">
        <v>2021</v>
      </c>
      <c r="N120" s="37">
        <v>0</v>
      </c>
      <c r="O120" s="37">
        <v>82.6</v>
      </c>
      <c r="P120" s="37">
        <v>53.417357581446403</v>
      </c>
      <c r="R120" s="8" t="str">
        <f t="shared" si="2"/>
        <v>TUSDA3aConvencionalNão se aplicaNão se aplicaNão se aplicaNão se aplicaNão se aplica</v>
      </c>
      <c r="S120" s="8">
        <f t="shared" si="3"/>
        <v>82.6</v>
      </c>
    </row>
    <row r="121" spans="1:19" ht="11.25" customHeight="1" x14ac:dyDescent="0.25">
      <c r="A121" s="37">
        <v>135</v>
      </c>
      <c r="B121" s="37" t="s">
        <v>533</v>
      </c>
      <c r="C121" s="37" t="s">
        <v>668</v>
      </c>
      <c r="D121" s="37" t="s">
        <v>1247</v>
      </c>
      <c r="E121" s="37" t="s">
        <v>25</v>
      </c>
      <c r="F121" s="37" t="s">
        <v>25</v>
      </c>
      <c r="G121" s="37" t="s">
        <v>25</v>
      </c>
      <c r="H121" s="37" t="s">
        <v>1276</v>
      </c>
      <c r="I121" s="37" t="s">
        <v>34</v>
      </c>
      <c r="J121" s="37" t="s">
        <v>680</v>
      </c>
      <c r="K121" s="37" t="s">
        <v>679</v>
      </c>
      <c r="L121" s="37" t="s">
        <v>80</v>
      </c>
      <c r="M121" s="37">
        <v>2021</v>
      </c>
      <c r="N121" s="37">
        <v>0</v>
      </c>
      <c r="O121" s="37">
        <v>12.85</v>
      </c>
      <c r="P121" s="37">
        <v>0</v>
      </c>
      <c r="R121" s="8" t="str">
        <f t="shared" si="2"/>
        <v>TUSDA3aDistribuiçãoNão se aplicaNão se aplicaNão se aplicaCastro - DISFora ponta</v>
      </c>
      <c r="S121" s="8">
        <f t="shared" si="3"/>
        <v>12.85</v>
      </c>
    </row>
    <row r="122" spans="1:19" ht="11.25" customHeight="1" x14ac:dyDescent="0.25">
      <c r="A122" s="37">
        <v>137</v>
      </c>
      <c r="B122" s="37" t="s">
        <v>533</v>
      </c>
      <c r="C122" s="37" t="s">
        <v>668</v>
      </c>
      <c r="D122" s="37" t="s">
        <v>1247</v>
      </c>
      <c r="E122" s="37" t="s">
        <v>25</v>
      </c>
      <c r="F122" s="37" t="s">
        <v>25</v>
      </c>
      <c r="G122" s="37" t="s">
        <v>25</v>
      </c>
      <c r="H122" s="37" t="s">
        <v>1276</v>
      </c>
      <c r="I122" s="37" t="s">
        <v>25</v>
      </c>
      <c r="J122" s="37" t="s">
        <v>678</v>
      </c>
      <c r="K122" s="37" t="s">
        <v>679</v>
      </c>
      <c r="L122" s="37" t="s">
        <v>75</v>
      </c>
      <c r="M122" s="37">
        <v>2021</v>
      </c>
      <c r="N122" s="37">
        <v>0</v>
      </c>
      <c r="O122" s="37">
        <v>9.81</v>
      </c>
      <c r="P122" s="37">
        <v>0</v>
      </c>
      <c r="R122" s="8" t="str">
        <f t="shared" si="2"/>
        <v>TUSDA3aDistribuiçãoNão se aplicaNão se aplicaNão se aplicaCastro - DISNão se aplica</v>
      </c>
      <c r="S122" s="8">
        <f t="shared" si="3"/>
        <v>9.81</v>
      </c>
    </row>
    <row r="123" spans="1:19" ht="11.25" customHeight="1" x14ac:dyDescent="0.25">
      <c r="A123" s="37">
        <v>133</v>
      </c>
      <c r="B123" s="37" t="s">
        <v>533</v>
      </c>
      <c r="C123" s="37" t="s">
        <v>668</v>
      </c>
      <c r="D123" s="37" t="s">
        <v>1247</v>
      </c>
      <c r="E123" s="37" t="s">
        <v>25</v>
      </c>
      <c r="F123" s="37" t="s">
        <v>25</v>
      </c>
      <c r="G123" s="37" t="s">
        <v>25</v>
      </c>
      <c r="H123" s="37" t="s">
        <v>1276</v>
      </c>
      <c r="I123" s="37" t="s">
        <v>33</v>
      </c>
      <c r="J123" s="37" t="s">
        <v>680</v>
      </c>
      <c r="K123" s="37" t="s">
        <v>679</v>
      </c>
      <c r="L123" s="37" t="s">
        <v>80</v>
      </c>
      <c r="M123" s="37">
        <v>2021</v>
      </c>
      <c r="N123" s="37">
        <v>0</v>
      </c>
      <c r="O123" s="37">
        <v>21.92</v>
      </c>
      <c r="P123" s="37">
        <v>0</v>
      </c>
      <c r="R123" s="8" t="str">
        <f t="shared" si="2"/>
        <v>TUSDA3aDistribuiçãoNão se aplicaNão se aplicaNão se aplicaCastro - DISPonta</v>
      </c>
      <c r="S123" s="8">
        <f t="shared" si="3"/>
        <v>21.92</v>
      </c>
    </row>
    <row r="124" spans="1:19" ht="11.25" customHeight="1" x14ac:dyDescent="0.25">
      <c r="A124" s="37">
        <v>153</v>
      </c>
      <c r="B124" s="37" t="s">
        <v>533</v>
      </c>
      <c r="C124" s="37" t="s">
        <v>668</v>
      </c>
      <c r="D124" s="37" t="s">
        <v>1247</v>
      </c>
      <c r="E124" s="37" t="s">
        <v>25</v>
      </c>
      <c r="F124" s="37" t="s">
        <v>25</v>
      </c>
      <c r="G124" s="37" t="s">
        <v>25</v>
      </c>
      <c r="H124" s="37" t="s">
        <v>1277</v>
      </c>
      <c r="I124" s="37" t="s">
        <v>34</v>
      </c>
      <c r="J124" s="37" t="s">
        <v>680</v>
      </c>
      <c r="K124" s="37" t="s">
        <v>679</v>
      </c>
      <c r="L124" s="37" t="s">
        <v>80</v>
      </c>
      <c r="M124" s="37">
        <v>2021</v>
      </c>
      <c r="N124" s="37">
        <v>0</v>
      </c>
      <c r="O124" s="37">
        <v>12.85</v>
      </c>
      <c r="P124" s="37">
        <v>0</v>
      </c>
      <c r="R124" s="8" t="str">
        <f t="shared" si="2"/>
        <v>TUSDA3aDistribuiçãoNão se aplicaNão se aplicaNão se aplicaCelesc-DISFora ponta</v>
      </c>
      <c r="S124" s="8">
        <f t="shared" si="3"/>
        <v>12.85</v>
      </c>
    </row>
    <row r="125" spans="1:19" ht="11.25" customHeight="1" x14ac:dyDescent="0.25">
      <c r="A125" s="37">
        <v>155</v>
      </c>
      <c r="B125" s="37" t="s">
        <v>533</v>
      </c>
      <c r="C125" s="37" t="s">
        <v>668</v>
      </c>
      <c r="D125" s="37" t="s">
        <v>1247</v>
      </c>
      <c r="E125" s="37" t="s">
        <v>25</v>
      </c>
      <c r="F125" s="37" t="s">
        <v>25</v>
      </c>
      <c r="G125" s="37" t="s">
        <v>25</v>
      </c>
      <c r="H125" s="37" t="s">
        <v>1277</v>
      </c>
      <c r="I125" s="37" t="s">
        <v>25</v>
      </c>
      <c r="J125" s="37" t="s">
        <v>678</v>
      </c>
      <c r="K125" s="37" t="s">
        <v>679</v>
      </c>
      <c r="L125" s="37" t="s">
        <v>75</v>
      </c>
      <c r="M125" s="37">
        <v>2021</v>
      </c>
      <c r="N125" s="37">
        <v>0</v>
      </c>
      <c r="O125" s="37">
        <v>9.81</v>
      </c>
      <c r="P125" s="37">
        <v>0</v>
      </c>
      <c r="R125" s="8" t="str">
        <f t="shared" si="2"/>
        <v>TUSDA3aDistribuiçãoNão se aplicaNão se aplicaNão se aplicaCelesc-DISNão se aplica</v>
      </c>
      <c r="S125" s="8">
        <f t="shared" si="3"/>
        <v>9.81</v>
      </c>
    </row>
    <row r="126" spans="1:19" ht="11.25" customHeight="1" x14ac:dyDescent="0.25">
      <c r="A126" s="37">
        <v>151</v>
      </c>
      <c r="B126" s="37" t="s">
        <v>533</v>
      </c>
      <c r="C126" s="37" t="s">
        <v>668</v>
      </c>
      <c r="D126" s="37" t="s">
        <v>1247</v>
      </c>
      <c r="E126" s="37" t="s">
        <v>25</v>
      </c>
      <c r="F126" s="37" t="s">
        <v>25</v>
      </c>
      <c r="G126" s="37" t="s">
        <v>25</v>
      </c>
      <c r="H126" s="37" t="s">
        <v>1277</v>
      </c>
      <c r="I126" s="37" t="s">
        <v>33</v>
      </c>
      <c r="J126" s="37" t="s">
        <v>680</v>
      </c>
      <c r="K126" s="37" t="s">
        <v>679</v>
      </c>
      <c r="L126" s="37" t="s">
        <v>80</v>
      </c>
      <c r="M126" s="37">
        <v>2021</v>
      </c>
      <c r="N126" s="37">
        <v>0</v>
      </c>
      <c r="O126" s="37">
        <v>21.92</v>
      </c>
      <c r="P126" s="37">
        <v>0</v>
      </c>
      <c r="R126" s="8" t="str">
        <f t="shared" si="2"/>
        <v>TUSDA3aDistribuiçãoNão se aplicaNão se aplicaNão se aplicaCelesc-DISPonta</v>
      </c>
      <c r="S126" s="8">
        <f t="shared" si="3"/>
        <v>21.92</v>
      </c>
    </row>
    <row r="127" spans="1:19" ht="11.25" customHeight="1" x14ac:dyDescent="0.25">
      <c r="A127" s="37">
        <v>129</v>
      </c>
      <c r="B127" s="37" t="s">
        <v>533</v>
      </c>
      <c r="C127" s="37" t="s">
        <v>668</v>
      </c>
      <c r="D127" s="37" t="s">
        <v>1247</v>
      </c>
      <c r="E127" s="37" t="s">
        <v>25</v>
      </c>
      <c r="F127" s="37" t="s">
        <v>25</v>
      </c>
      <c r="G127" s="37" t="s">
        <v>25</v>
      </c>
      <c r="H127" s="37" t="s">
        <v>1278</v>
      </c>
      <c r="I127" s="37" t="s">
        <v>34</v>
      </c>
      <c r="J127" s="37" t="s">
        <v>680</v>
      </c>
      <c r="K127" s="37" t="s">
        <v>679</v>
      </c>
      <c r="L127" s="37" t="s">
        <v>80</v>
      </c>
      <c r="M127" s="37">
        <v>2021</v>
      </c>
      <c r="N127" s="37">
        <v>0</v>
      </c>
      <c r="O127" s="37">
        <v>12.85</v>
      </c>
      <c r="P127" s="37">
        <v>0</v>
      </c>
      <c r="R127" s="8" t="str">
        <f t="shared" si="2"/>
        <v>TUSDA3aDistribuiçãoNão se aplicaNão se aplicaNão se aplicaCeral DISFora ponta</v>
      </c>
      <c r="S127" s="8">
        <f t="shared" si="3"/>
        <v>12.85</v>
      </c>
    </row>
    <row r="128" spans="1:19" ht="11.25" customHeight="1" x14ac:dyDescent="0.25">
      <c r="A128" s="37">
        <v>131</v>
      </c>
      <c r="B128" s="37" t="s">
        <v>533</v>
      </c>
      <c r="C128" s="37" t="s">
        <v>668</v>
      </c>
      <c r="D128" s="37" t="s">
        <v>1247</v>
      </c>
      <c r="E128" s="37" t="s">
        <v>25</v>
      </c>
      <c r="F128" s="37" t="s">
        <v>25</v>
      </c>
      <c r="G128" s="37" t="s">
        <v>25</v>
      </c>
      <c r="H128" s="37" t="s">
        <v>1278</v>
      </c>
      <c r="I128" s="37" t="s">
        <v>25</v>
      </c>
      <c r="J128" s="37" t="s">
        <v>678</v>
      </c>
      <c r="K128" s="37" t="s">
        <v>679</v>
      </c>
      <c r="L128" s="37" t="s">
        <v>75</v>
      </c>
      <c r="M128" s="37">
        <v>2021</v>
      </c>
      <c r="N128" s="37">
        <v>0</v>
      </c>
      <c r="O128" s="37">
        <v>9.81</v>
      </c>
      <c r="P128" s="37">
        <v>0</v>
      </c>
      <c r="R128" s="8" t="str">
        <f t="shared" si="2"/>
        <v>TUSDA3aDistribuiçãoNão se aplicaNão se aplicaNão se aplicaCeral DISNão se aplica</v>
      </c>
      <c r="S128" s="8">
        <f t="shared" si="3"/>
        <v>9.81</v>
      </c>
    </row>
    <row r="129" spans="1:19" ht="11.25" customHeight="1" x14ac:dyDescent="0.25">
      <c r="A129" s="37">
        <v>127</v>
      </c>
      <c r="B129" s="37" t="s">
        <v>533</v>
      </c>
      <c r="C129" s="37" t="s">
        <v>668</v>
      </c>
      <c r="D129" s="37" t="s">
        <v>1247</v>
      </c>
      <c r="E129" s="37" t="s">
        <v>25</v>
      </c>
      <c r="F129" s="37" t="s">
        <v>25</v>
      </c>
      <c r="G129" s="37" t="s">
        <v>25</v>
      </c>
      <c r="H129" s="37" t="s">
        <v>1278</v>
      </c>
      <c r="I129" s="37" t="s">
        <v>33</v>
      </c>
      <c r="J129" s="37" t="s">
        <v>680</v>
      </c>
      <c r="K129" s="37" t="s">
        <v>679</v>
      </c>
      <c r="L129" s="37" t="s">
        <v>80</v>
      </c>
      <c r="M129" s="37">
        <v>2021</v>
      </c>
      <c r="N129" s="37">
        <v>0</v>
      </c>
      <c r="O129" s="37">
        <v>21.92</v>
      </c>
      <c r="P129" s="37">
        <v>0</v>
      </c>
      <c r="R129" s="8" t="str">
        <f t="shared" si="2"/>
        <v>TUSDA3aDistribuiçãoNão se aplicaNão se aplicaNão se aplicaCeral DISPonta</v>
      </c>
      <c r="S129" s="8">
        <f t="shared" si="3"/>
        <v>21.92</v>
      </c>
    </row>
    <row r="130" spans="1:19" ht="11.25" customHeight="1" x14ac:dyDescent="0.25">
      <c r="A130" s="37">
        <v>123</v>
      </c>
      <c r="B130" s="37" t="s">
        <v>533</v>
      </c>
      <c r="C130" s="37" t="s">
        <v>668</v>
      </c>
      <c r="D130" s="37" t="s">
        <v>1247</v>
      </c>
      <c r="E130" s="37" t="s">
        <v>25</v>
      </c>
      <c r="F130" s="37" t="s">
        <v>25</v>
      </c>
      <c r="G130" s="37" t="s">
        <v>25</v>
      </c>
      <c r="H130" s="37" t="s">
        <v>1248</v>
      </c>
      <c r="I130" s="37" t="s">
        <v>34</v>
      </c>
      <c r="J130" s="37" t="s">
        <v>680</v>
      </c>
      <c r="K130" s="37" t="s">
        <v>679</v>
      </c>
      <c r="L130" s="37" t="s">
        <v>80</v>
      </c>
      <c r="M130" s="37">
        <v>2021</v>
      </c>
      <c r="N130" s="37">
        <v>0</v>
      </c>
      <c r="O130" s="37">
        <v>12.85</v>
      </c>
      <c r="P130" s="37">
        <v>0</v>
      </c>
      <c r="R130" s="8" t="str">
        <f t="shared" ref="R130:R193" si="4">B130&amp;C130&amp;D130&amp;E130&amp;F130&amp;G130&amp;H130&amp;I130</f>
        <v>TUSDA3aDistribuiçãoNão se aplicaNão se aplicaNão se aplicaCocelFora ponta</v>
      </c>
      <c r="S130" s="8">
        <f t="shared" ref="S130:S193" si="5">O130</f>
        <v>12.85</v>
      </c>
    </row>
    <row r="131" spans="1:19" ht="11.25" customHeight="1" x14ac:dyDescent="0.25">
      <c r="A131" s="37">
        <v>125</v>
      </c>
      <c r="B131" s="37" t="s">
        <v>533</v>
      </c>
      <c r="C131" s="37" t="s">
        <v>668</v>
      </c>
      <c r="D131" s="37" t="s">
        <v>1247</v>
      </c>
      <c r="E131" s="37" t="s">
        <v>25</v>
      </c>
      <c r="F131" s="37" t="s">
        <v>25</v>
      </c>
      <c r="G131" s="37" t="s">
        <v>25</v>
      </c>
      <c r="H131" s="37" t="s">
        <v>1248</v>
      </c>
      <c r="I131" s="37" t="s">
        <v>25</v>
      </c>
      <c r="J131" s="37" t="s">
        <v>678</v>
      </c>
      <c r="K131" s="37" t="s">
        <v>679</v>
      </c>
      <c r="L131" s="37" t="s">
        <v>75</v>
      </c>
      <c r="M131" s="37">
        <v>2021</v>
      </c>
      <c r="N131" s="37">
        <v>0</v>
      </c>
      <c r="O131" s="37">
        <v>9.81</v>
      </c>
      <c r="P131" s="37">
        <v>0</v>
      </c>
      <c r="R131" s="8" t="str">
        <f t="shared" si="4"/>
        <v>TUSDA3aDistribuiçãoNão se aplicaNão se aplicaNão se aplicaCocelNão se aplica</v>
      </c>
      <c r="S131" s="8">
        <f t="shared" si="5"/>
        <v>9.81</v>
      </c>
    </row>
    <row r="132" spans="1:19" ht="11.25" customHeight="1" x14ac:dyDescent="0.25">
      <c r="A132" s="37">
        <v>121</v>
      </c>
      <c r="B132" s="37" t="s">
        <v>533</v>
      </c>
      <c r="C132" s="37" t="s">
        <v>668</v>
      </c>
      <c r="D132" s="37" t="s">
        <v>1247</v>
      </c>
      <c r="E132" s="37" t="s">
        <v>25</v>
      </c>
      <c r="F132" s="37" t="s">
        <v>25</v>
      </c>
      <c r="G132" s="37" t="s">
        <v>25</v>
      </c>
      <c r="H132" s="37" t="s">
        <v>1248</v>
      </c>
      <c r="I132" s="37" t="s">
        <v>33</v>
      </c>
      <c r="J132" s="37" t="s">
        <v>680</v>
      </c>
      <c r="K132" s="37" t="s">
        <v>679</v>
      </c>
      <c r="L132" s="37" t="s">
        <v>80</v>
      </c>
      <c r="M132" s="37">
        <v>2021</v>
      </c>
      <c r="N132" s="37">
        <v>0</v>
      </c>
      <c r="O132" s="37">
        <v>21.92</v>
      </c>
      <c r="P132" s="37">
        <v>0</v>
      </c>
      <c r="R132" s="8" t="str">
        <f t="shared" si="4"/>
        <v>TUSDA3aDistribuiçãoNão se aplicaNão se aplicaNão se aplicaCocelPonta</v>
      </c>
      <c r="S132" s="8">
        <f t="shared" si="5"/>
        <v>21.92</v>
      </c>
    </row>
    <row r="133" spans="1:19" ht="11.25" customHeight="1" x14ac:dyDescent="0.25">
      <c r="A133" s="37">
        <v>141</v>
      </c>
      <c r="B133" s="37" t="s">
        <v>533</v>
      </c>
      <c r="C133" s="37" t="s">
        <v>668</v>
      </c>
      <c r="D133" s="37" t="s">
        <v>1247</v>
      </c>
      <c r="E133" s="37" t="s">
        <v>25</v>
      </c>
      <c r="F133" s="37" t="s">
        <v>25</v>
      </c>
      <c r="G133" s="37" t="s">
        <v>25</v>
      </c>
      <c r="H133" s="37" t="s">
        <v>1279</v>
      </c>
      <c r="I133" s="37" t="s">
        <v>34</v>
      </c>
      <c r="J133" s="37" t="s">
        <v>680</v>
      </c>
      <c r="K133" s="37" t="s">
        <v>679</v>
      </c>
      <c r="L133" s="37" t="s">
        <v>80</v>
      </c>
      <c r="M133" s="37">
        <v>2021</v>
      </c>
      <c r="N133" s="37">
        <v>0</v>
      </c>
      <c r="O133" s="37">
        <v>12.85</v>
      </c>
      <c r="P133" s="37">
        <v>0</v>
      </c>
      <c r="R133" s="8" t="str">
        <f t="shared" si="4"/>
        <v>TUSDA3aDistribuiçãoNão se aplicaNão se aplicaNão se aplicaCPFL Santa CruzFora ponta</v>
      </c>
      <c r="S133" s="8">
        <f t="shared" si="5"/>
        <v>12.85</v>
      </c>
    </row>
    <row r="134" spans="1:19" ht="11.25" customHeight="1" x14ac:dyDescent="0.25">
      <c r="A134" s="37">
        <v>143</v>
      </c>
      <c r="B134" s="37" t="s">
        <v>533</v>
      </c>
      <c r="C134" s="37" t="s">
        <v>668</v>
      </c>
      <c r="D134" s="37" t="s">
        <v>1247</v>
      </c>
      <c r="E134" s="37" t="s">
        <v>25</v>
      </c>
      <c r="F134" s="37" t="s">
        <v>25</v>
      </c>
      <c r="G134" s="37" t="s">
        <v>25</v>
      </c>
      <c r="H134" s="37" t="s">
        <v>1279</v>
      </c>
      <c r="I134" s="37" t="s">
        <v>25</v>
      </c>
      <c r="J134" s="37" t="s">
        <v>678</v>
      </c>
      <c r="K134" s="37" t="s">
        <v>679</v>
      </c>
      <c r="L134" s="37" t="s">
        <v>75</v>
      </c>
      <c r="M134" s="37">
        <v>2021</v>
      </c>
      <c r="N134" s="37">
        <v>0</v>
      </c>
      <c r="O134" s="37">
        <v>9.81</v>
      </c>
      <c r="P134" s="37">
        <v>0</v>
      </c>
      <c r="R134" s="8" t="str">
        <f t="shared" si="4"/>
        <v>TUSDA3aDistribuiçãoNão se aplicaNão se aplicaNão se aplicaCPFL Santa CruzNão se aplica</v>
      </c>
      <c r="S134" s="8">
        <f t="shared" si="5"/>
        <v>9.81</v>
      </c>
    </row>
    <row r="135" spans="1:19" ht="11.25" customHeight="1" x14ac:dyDescent="0.25">
      <c r="A135" s="37">
        <v>139</v>
      </c>
      <c r="B135" s="37" t="s">
        <v>533</v>
      </c>
      <c r="C135" s="37" t="s">
        <v>668</v>
      </c>
      <c r="D135" s="37" t="s">
        <v>1247</v>
      </c>
      <c r="E135" s="37" t="s">
        <v>25</v>
      </c>
      <c r="F135" s="37" t="s">
        <v>25</v>
      </c>
      <c r="G135" s="37" t="s">
        <v>25</v>
      </c>
      <c r="H135" s="37" t="s">
        <v>1279</v>
      </c>
      <c r="I135" s="37" t="s">
        <v>33</v>
      </c>
      <c r="J135" s="37" t="s">
        <v>680</v>
      </c>
      <c r="K135" s="37" t="s">
        <v>679</v>
      </c>
      <c r="L135" s="37" t="s">
        <v>80</v>
      </c>
      <c r="M135" s="37">
        <v>2021</v>
      </c>
      <c r="N135" s="37">
        <v>0</v>
      </c>
      <c r="O135" s="37">
        <v>21.92</v>
      </c>
      <c r="P135" s="37">
        <v>0</v>
      </c>
      <c r="R135" s="8" t="str">
        <f t="shared" si="4"/>
        <v>TUSDA3aDistribuiçãoNão se aplicaNão se aplicaNão se aplicaCPFL Santa CruzPonta</v>
      </c>
      <c r="S135" s="8">
        <f t="shared" si="5"/>
        <v>21.92</v>
      </c>
    </row>
    <row r="136" spans="1:19" ht="11.25" customHeight="1" x14ac:dyDescent="0.25">
      <c r="A136" s="37">
        <v>147</v>
      </c>
      <c r="B136" s="37" t="s">
        <v>533</v>
      </c>
      <c r="C136" s="37" t="s">
        <v>668</v>
      </c>
      <c r="D136" s="37" t="s">
        <v>1247</v>
      </c>
      <c r="E136" s="37" t="s">
        <v>25</v>
      </c>
      <c r="F136" s="37" t="s">
        <v>25</v>
      </c>
      <c r="G136" s="37" t="s">
        <v>25</v>
      </c>
      <c r="H136" s="37" t="s">
        <v>1249</v>
      </c>
      <c r="I136" s="37" t="s">
        <v>34</v>
      </c>
      <c r="J136" s="37" t="s">
        <v>680</v>
      </c>
      <c r="K136" s="37" t="s">
        <v>679</v>
      </c>
      <c r="L136" s="37" t="s">
        <v>80</v>
      </c>
      <c r="M136" s="37">
        <v>2021</v>
      </c>
      <c r="N136" s="37">
        <v>0</v>
      </c>
      <c r="O136" s="37">
        <v>12.85</v>
      </c>
      <c r="P136" s="37">
        <v>0</v>
      </c>
      <c r="R136" s="8" t="str">
        <f t="shared" si="4"/>
        <v>TUSDA3aDistribuiçãoNão se aplicaNão se aplicaNão se aplicaESSFora ponta</v>
      </c>
      <c r="S136" s="8">
        <f t="shared" si="5"/>
        <v>12.85</v>
      </c>
    </row>
    <row r="137" spans="1:19" ht="11.25" customHeight="1" x14ac:dyDescent="0.25">
      <c r="A137" s="37">
        <v>149</v>
      </c>
      <c r="B137" s="37" t="s">
        <v>533</v>
      </c>
      <c r="C137" s="37" t="s">
        <v>668</v>
      </c>
      <c r="D137" s="37" t="s">
        <v>1247</v>
      </c>
      <c r="E137" s="37" t="s">
        <v>25</v>
      </c>
      <c r="F137" s="37" t="s">
        <v>25</v>
      </c>
      <c r="G137" s="37" t="s">
        <v>25</v>
      </c>
      <c r="H137" s="37" t="s">
        <v>1249</v>
      </c>
      <c r="I137" s="37" t="s">
        <v>25</v>
      </c>
      <c r="J137" s="37" t="s">
        <v>678</v>
      </c>
      <c r="K137" s="37" t="s">
        <v>679</v>
      </c>
      <c r="L137" s="37" t="s">
        <v>75</v>
      </c>
      <c r="M137" s="37">
        <v>2021</v>
      </c>
      <c r="N137" s="37">
        <v>0</v>
      </c>
      <c r="O137" s="37">
        <v>9.81</v>
      </c>
      <c r="P137" s="37">
        <v>0</v>
      </c>
      <c r="R137" s="8" t="str">
        <f t="shared" si="4"/>
        <v>TUSDA3aDistribuiçãoNão se aplicaNão se aplicaNão se aplicaESSNão se aplica</v>
      </c>
      <c r="S137" s="8">
        <f t="shared" si="5"/>
        <v>9.81</v>
      </c>
    </row>
    <row r="138" spans="1:19" ht="11.25" customHeight="1" x14ac:dyDescent="0.25">
      <c r="A138" s="37">
        <v>145</v>
      </c>
      <c r="B138" s="37" t="s">
        <v>533</v>
      </c>
      <c r="C138" s="37" t="s">
        <v>668</v>
      </c>
      <c r="D138" s="37" t="s">
        <v>1247</v>
      </c>
      <c r="E138" s="37" t="s">
        <v>25</v>
      </c>
      <c r="F138" s="37" t="s">
        <v>25</v>
      </c>
      <c r="G138" s="37" t="s">
        <v>25</v>
      </c>
      <c r="H138" s="37" t="s">
        <v>1249</v>
      </c>
      <c r="I138" s="37" t="s">
        <v>33</v>
      </c>
      <c r="J138" s="37" t="s">
        <v>680</v>
      </c>
      <c r="K138" s="37" t="s">
        <v>679</v>
      </c>
      <c r="L138" s="37" t="s">
        <v>80</v>
      </c>
      <c r="M138" s="37">
        <v>2021</v>
      </c>
      <c r="N138" s="37">
        <v>0</v>
      </c>
      <c r="O138" s="37">
        <v>21.92</v>
      </c>
      <c r="P138" s="37">
        <v>0</v>
      </c>
      <c r="R138" s="8" t="str">
        <f t="shared" si="4"/>
        <v>TUSDA3aDistribuiçãoNão se aplicaNão se aplicaNão se aplicaESSPonta</v>
      </c>
      <c r="S138" s="8">
        <f t="shared" si="5"/>
        <v>21.92</v>
      </c>
    </row>
    <row r="139" spans="1:19" ht="11.25" customHeight="1" x14ac:dyDescent="0.25">
      <c r="A139" s="37">
        <v>157</v>
      </c>
      <c r="B139" s="37" t="s">
        <v>533</v>
      </c>
      <c r="C139" s="37" t="s">
        <v>668</v>
      </c>
      <c r="D139" s="37" t="s">
        <v>84</v>
      </c>
      <c r="E139" s="37" t="s">
        <v>25</v>
      </c>
      <c r="F139" s="37" t="s">
        <v>25</v>
      </c>
      <c r="G139" s="37" t="s">
        <v>25</v>
      </c>
      <c r="H139" s="37" t="s">
        <v>25</v>
      </c>
      <c r="I139" s="37" t="s">
        <v>25</v>
      </c>
      <c r="J139" s="37" t="s">
        <v>680</v>
      </c>
      <c r="K139" s="37" t="s">
        <v>679</v>
      </c>
      <c r="L139" s="37" t="s">
        <v>80</v>
      </c>
      <c r="M139" s="37">
        <v>2021</v>
      </c>
      <c r="N139" s="37">
        <v>0</v>
      </c>
      <c r="O139" s="37">
        <v>6.06</v>
      </c>
      <c r="P139" s="37">
        <v>0</v>
      </c>
      <c r="R139" s="8" t="str">
        <f t="shared" si="4"/>
        <v>TUSDA3aGeraçãoNão se aplicaNão se aplicaNão se aplicaNão se aplicaNão se aplica</v>
      </c>
      <c r="S139" s="8">
        <f t="shared" si="5"/>
        <v>6.06</v>
      </c>
    </row>
    <row r="140" spans="1:19" ht="11.25" customHeight="1" x14ac:dyDescent="0.25">
      <c r="A140" s="37">
        <v>164</v>
      </c>
      <c r="B140" s="37" t="s">
        <v>533</v>
      </c>
      <c r="C140" s="37" t="s">
        <v>668</v>
      </c>
      <c r="D140" s="37" t="s">
        <v>39</v>
      </c>
      <c r="E140" s="37" t="s">
        <v>25</v>
      </c>
      <c r="F140" s="37" t="s">
        <v>25</v>
      </c>
      <c r="G140" s="37" t="s">
        <v>83</v>
      </c>
      <c r="H140" s="37" t="s">
        <v>25</v>
      </c>
      <c r="I140" s="37" t="s">
        <v>34</v>
      </c>
      <c r="J140" s="37" t="s">
        <v>678</v>
      </c>
      <c r="K140" s="37" t="s">
        <v>679</v>
      </c>
      <c r="L140" s="37" t="s">
        <v>75</v>
      </c>
      <c r="M140" s="37">
        <v>2021</v>
      </c>
      <c r="N140" s="37">
        <v>0</v>
      </c>
      <c r="O140" s="37">
        <v>16.87</v>
      </c>
      <c r="P140" s="37">
        <v>0</v>
      </c>
      <c r="R140" s="8" t="str">
        <f t="shared" si="4"/>
        <v>TUSDA3aVerdeNão se aplicaNão se aplicaAPENão se aplicaFora ponta</v>
      </c>
      <c r="S140" s="8">
        <f t="shared" si="5"/>
        <v>16.87</v>
      </c>
    </row>
    <row r="141" spans="1:19" ht="11.25" customHeight="1" x14ac:dyDescent="0.25">
      <c r="A141" s="37">
        <v>163</v>
      </c>
      <c r="B141" s="37" t="s">
        <v>533</v>
      </c>
      <c r="C141" s="37" t="s">
        <v>668</v>
      </c>
      <c r="D141" s="37" t="s">
        <v>39</v>
      </c>
      <c r="E141" s="37" t="s">
        <v>25</v>
      </c>
      <c r="F141" s="37" t="s">
        <v>25</v>
      </c>
      <c r="G141" s="37" t="s">
        <v>83</v>
      </c>
      <c r="H141" s="37" t="s">
        <v>25</v>
      </c>
      <c r="I141" s="37" t="s">
        <v>33</v>
      </c>
      <c r="J141" s="37" t="s">
        <v>678</v>
      </c>
      <c r="K141" s="37" t="s">
        <v>679</v>
      </c>
      <c r="L141" s="37" t="s">
        <v>75</v>
      </c>
      <c r="M141" s="37">
        <v>2021</v>
      </c>
      <c r="N141" s="37">
        <v>0</v>
      </c>
      <c r="O141" s="37">
        <v>893.5</v>
      </c>
      <c r="P141" s="37">
        <v>0</v>
      </c>
      <c r="R141" s="8" t="str">
        <f t="shared" si="4"/>
        <v>TUSDA3aVerdeNão se aplicaNão se aplicaAPENão se aplicaPonta</v>
      </c>
      <c r="S141" s="8">
        <f t="shared" si="5"/>
        <v>893.5</v>
      </c>
    </row>
    <row r="142" spans="1:19" ht="11.25" customHeight="1" x14ac:dyDescent="0.25">
      <c r="A142" s="37">
        <v>162</v>
      </c>
      <c r="B142" s="37" t="s">
        <v>533</v>
      </c>
      <c r="C142" s="37" t="s">
        <v>668</v>
      </c>
      <c r="D142" s="37" t="s">
        <v>39</v>
      </c>
      <c r="E142" s="37" t="s">
        <v>25</v>
      </c>
      <c r="F142" s="37" t="s">
        <v>25</v>
      </c>
      <c r="G142" s="37" t="s">
        <v>25</v>
      </c>
      <c r="H142" s="37" t="s">
        <v>25</v>
      </c>
      <c r="I142" s="37" t="s">
        <v>34</v>
      </c>
      <c r="J142" s="37" t="s">
        <v>678</v>
      </c>
      <c r="K142" s="37" t="s">
        <v>679</v>
      </c>
      <c r="L142" s="37" t="s">
        <v>75</v>
      </c>
      <c r="M142" s="37">
        <v>2021</v>
      </c>
      <c r="N142" s="37">
        <v>0</v>
      </c>
      <c r="O142" s="37">
        <v>82.6</v>
      </c>
      <c r="P142" s="37">
        <v>53.417357581446403</v>
      </c>
      <c r="R142" s="8" t="str">
        <f t="shared" si="4"/>
        <v>TUSDA3aVerdeNão se aplicaNão se aplicaNão se aplicaNão se aplicaFora ponta</v>
      </c>
      <c r="S142" s="8">
        <f t="shared" si="5"/>
        <v>82.6</v>
      </c>
    </row>
    <row r="143" spans="1:19" ht="11.25" customHeight="1" x14ac:dyDescent="0.25">
      <c r="A143" s="37">
        <v>159</v>
      </c>
      <c r="B143" s="37" t="s">
        <v>533</v>
      </c>
      <c r="C143" s="37" t="s">
        <v>668</v>
      </c>
      <c r="D143" s="37" t="s">
        <v>39</v>
      </c>
      <c r="E143" s="37" t="s">
        <v>25</v>
      </c>
      <c r="F143" s="37" t="s">
        <v>25</v>
      </c>
      <c r="G143" s="37" t="s">
        <v>25</v>
      </c>
      <c r="H143" s="37" t="s">
        <v>25</v>
      </c>
      <c r="I143" s="37" t="s">
        <v>25</v>
      </c>
      <c r="J143" s="37" t="s">
        <v>680</v>
      </c>
      <c r="K143" s="37" t="s">
        <v>679</v>
      </c>
      <c r="L143" s="37" t="s">
        <v>80</v>
      </c>
      <c r="M143" s="37">
        <v>2021</v>
      </c>
      <c r="N143" s="37">
        <v>0</v>
      </c>
      <c r="O143" s="37">
        <v>17.07</v>
      </c>
      <c r="P143" s="37">
        <v>0</v>
      </c>
      <c r="R143" s="8" t="str">
        <f t="shared" si="4"/>
        <v>TUSDA3aVerdeNão se aplicaNão se aplicaNão se aplicaNão se aplicaNão se aplica</v>
      </c>
      <c r="S143" s="8">
        <f t="shared" si="5"/>
        <v>17.07</v>
      </c>
    </row>
    <row r="144" spans="1:19" ht="11.25" customHeight="1" x14ac:dyDescent="0.25">
      <c r="A144" s="37">
        <v>161</v>
      </c>
      <c r="B144" s="37" t="s">
        <v>533</v>
      </c>
      <c r="C144" s="37" t="s">
        <v>668</v>
      </c>
      <c r="D144" s="37" t="s">
        <v>39</v>
      </c>
      <c r="E144" s="37" t="s">
        <v>25</v>
      </c>
      <c r="F144" s="37" t="s">
        <v>25</v>
      </c>
      <c r="G144" s="37" t="s">
        <v>25</v>
      </c>
      <c r="H144" s="37" t="s">
        <v>25</v>
      </c>
      <c r="I144" s="37" t="s">
        <v>33</v>
      </c>
      <c r="J144" s="37" t="s">
        <v>678</v>
      </c>
      <c r="K144" s="37" t="s">
        <v>679</v>
      </c>
      <c r="L144" s="37" t="s">
        <v>75</v>
      </c>
      <c r="M144" s="37">
        <v>2021</v>
      </c>
      <c r="N144" s="37">
        <v>0</v>
      </c>
      <c r="O144" s="37">
        <v>959.22</v>
      </c>
      <c r="P144" s="37">
        <v>53.417357581446403</v>
      </c>
      <c r="R144" s="8" t="str">
        <f t="shared" si="4"/>
        <v>TUSDA3aVerdeNão se aplicaNão se aplicaNão se aplicaNão se aplicaPonta</v>
      </c>
      <c r="S144" s="8">
        <f t="shared" si="5"/>
        <v>959.22</v>
      </c>
    </row>
    <row r="145" spans="1:19" ht="11.25" customHeight="1" x14ac:dyDescent="0.25">
      <c r="A145" s="37">
        <v>170</v>
      </c>
      <c r="B145" s="37" t="s">
        <v>533</v>
      </c>
      <c r="C145" s="37" t="s">
        <v>38</v>
      </c>
      <c r="D145" s="37" t="s">
        <v>56</v>
      </c>
      <c r="E145" s="37" t="s">
        <v>25</v>
      </c>
      <c r="F145" s="37" t="s">
        <v>25</v>
      </c>
      <c r="G145" s="37" t="s">
        <v>83</v>
      </c>
      <c r="H145" s="37" t="s">
        <v>25</v>
      </c>
      <c r="I145" s="37" t="s">
        <v>25</v>
      </c>
      <c r="J145" s="37" t="s">
        <v>678</v>
      </c>
      <c r="K145" s="37" t="s">
        <v>679</v>
      </c>
      <c r="L145" s="37" t="s">
        <v>75</v>
      </c>
      <c r="M145" s="37">
        <v>2021</v>
      </c>
      <c r="N145" s="37">
        <v>0</v>
      </c>
      <c r="O145" s="37">
        <v>16.87</v>
      </c>
      <c r="P145" s="37">
        <v>0</v>
      </c>
      <c r="R145" s="8" t="str">
        <f t="shared" si="4"/>
        <v>TUSDA4AzulNão se aplicaNão se aplicaAPENão se aplicaNão se aplica</v>
      </c>
      <c r="S145" s="8">
        <f t="shared" si="5"/>
        <v>16.87</v>
      </c>
    </row>
    <row r="146" spans="1:19" ht="11.25" customHeight="1" x14ac:dyDescent="0.25">
      <c r="A146" s="37">
        <v>168</v>
      </c>
      <c r="B146" s="37" t="s">
        <v>533</v>
      </c>
      <c r="C146" s="37" t="s">
        <v>38</v>
      </c>
      <c r="D146" s="37" t="s">
        <v>56</v>
      </c>
      <c r="E146" s="37" t="s">
        <v>25</v>
      </c>
      <c r="F146" s="37" t="s">
        <v>25</v>
      </c>
      <c r="G146" s="37" t="s">
        <v>25</v>
      </c>
      <c r="H146" s="37" t="s">
        <v>25</v>
      </c>
      <c r="I146" s="37" t="s">
        <v>34</v>
      </c>
      <c r="J146" s="37" t="s">
        <v>680</v>
      </c>
      <c r="K146" s="37" t="s">
        <v>679</v>
      </c>
      <c r="L146" s="37" t="s">
        <v>80</v>
      </c>
      <c r="M146" s="37">
        <v>2021</v>
      </c>
      <c r="N146" s="37">
        <v>0</v>
      </c>
      <c r="O146" s="37">
        <v>17.07</v>
      </c>
      <c r="P146" s="37">
        <v>0</v>
      </c>
      <c r="R146" s="8" t="str">
        <f t="shared" si="4"/>
        <v>TUSDA4AzulNão se aplicaNão se aplicaNão se aplicaNão se aplicaFora ponta</v>
      </c>
      <c r="S146" s="8">
        <f t="shared" si="5"/>
        <v>17.07</v>
      </c>
    </row>
    <row r="147" spans="1:19" ht="11.25" customHeight="1" x14ac:dyDescent="0.25">
      <c r="A147" s="37">
        <v>169</v>
      </c>
      <c r="B147" s="37" t="s">
        <v>533</v>
      </c>
      <c r="C147" s="37" t="s">
        <v>38</v>
      </c>
      <c r="D147" s="37" t="s">
        <v>56</v>
      </c>
      <c r="E147" s="37" t="s">
        <v>25</v>
      </c>
      <c r="F147" s="37" t="s">
        <v>25</v>
      </c>
      <c r="G147" s="37" t="s">
        <v>25</v>
      </c>
      <c r="H147" s="37" t="s">
        <v>25</v>
      </c>
      <c r="I147" s="37" t="s">
        <v>25</v>
      </c>
      <c r="J147" s="37" t="s">
        <v>678</v>
      </c>
      <c r="K147" s="37" t="s">
        <v>679</v>
      </c>
      <c r="L147" s="37" t="s">
        <v>75</v>
      </c>
      <c r="M147" s="37">
        <v>2021</v>
      </c>
      <c r="N147" s="37">
        <v>0</v>
      </c>
      <c r="O147" s="37">
        <v>82.6</v>
      </c>
      <c r="P147" s="37">
        <v>53.417357581446403</v>
      </c>
      <c r="R147" s="8" t="str">
        <f t="shared" si="4"/>
        <v>TUSDA4AzulNão se aplicaNão se aplicaNão se aplicaNão se aplicaNão se aplica</v>
      </c>
      <c r="S147" s="8">
        <f t="shared" si="5"/>
        <v>82.6</v>
      </c>
    </row>
    <row r="148" spans="1:19" ht="11.25" customHeight="1" x14ac:dyDescent="0.25">
      <c r="A148" s="37">
        <v>167</v>
      </c>
      <c r="B148" s="37" t="s">
        <v>533</v>
      </c>
      <c r="C148" s="37" t="s">
        <v>38</v>
      </c>
      <c r="D148" s="37" t="s">
        <v>56</v>
      </c>
      <c r="E148" s="37" t="s">
        <v>25</v>
      </c>
      <c r="F148" s="37" t="s">
        <v>25</v>
      </c>
      <c r="G148" s="37" t="s">
        <v>25</v>
      </c>
      <c r="H148" s="37" t="s">
        <v>25</v>
      </c>
      <c r="I148" s="37" t="s">
        <v>33</v>
      </c>
      <c r="J148" s="37" t="s">
        <v>680</v>
      </c>
      <c r="K148" s="37" t="s">
        <v>679</v>
      </c>
      <c r="L148" s="37" t="s">
        <v>80</v>
      </c>
      <c r="M148" s="37">
        <v>2021</v>
      </c>
      <c r="N148" s="37">
        <v>0</v>
      </c>
      <c r="O148" s="37">
        <v>36.08</v>
      </c>
      <c r="P148" s="37">
        <v>0</v>
      </c>
      <c r="R148" s="8" t="str">
        <f t="shared" si="4"/>
        <v>TUSDA4AzulNão se aplicaNão se aplicaNão se aplicaNão se aplicaPonta</v>
      </c>
      <c r="S148" s="8">
        <f t="shared" si="5"/>
        <v>36.08</v>
      </c>
    </row>
    <row r="149" spans="1:19" ht="11.25" customHeight="1" x14ac:dyDescent="0.25">
      <c r="A149" s="37">
        <v>192</v>
      </c>
      <c r="B149" s="37" t="s">
        <v>533</v>
      </c>
      <c r="C149" s="37" t="s">
        <v>38</v>
      </c>
      <c r="D149" s="37" t="s">
        <v>23</v>
      </c>
      <c r="E149" s="37" t="s">
        <v>25</v>
      </c>
      <c r="F149" s="37" t="s">
        <v>25</v>
      </c>
      <c r="G149" s="37" t="s">
        <v>25</v>
      </c>
      <c r="H149" s="37" t="s">
        <v>25</v>
      </c>
      <c r="I149" s="37" t="s">
        <v>25</v>
      </c>
      <c r="J149" s="37" t="s">
        <v>680</v>
      </c>
      <c r="K149" s="37" t="s">
        <v>679</v>
      </c>
      <c r="L149" s="37" t="s">
        <v>80</v>
      </c>
      <c r="M149" s="37">
        <v>2021</v>
      </c>
      <c r="N149" s="37">
        <v>0</v>
      </c>
      <c r="O149" s="37">
        <v>43.17</v>
      </c>
      <c r="P149" s="37">
        <v>0</v>
      </c>
      <c r="R149" s="8" t="str">
        <f t="shared" si="4"/>
        <v>TUSDA4ConvencionalNão se aplicaNão se aplicaNão se aplicaNão se aplicaNão se aplica</v>
      </c>
      <c r="S149" s="8">
        <f t="shared" si="5"/>
        <v>43.17</v>
      </c>
    </row>
    <row r="150" spans="1:19" ht="11.25" customHeight="1" x14ac:dyDescent="0.25">
      <c r="A150" s="37">
        <v>193</v>
      </c>
      <c r="B150" s="37" t="s">
        <v>533</v>
      </c>
      <c r="C150" s="37" t="s">
        <v>38</v>
      </c>
      <c r="D150" s="37" t="s">
        <v>23</v>
      </c>
      <c r="E150" s="37" t="s">
        <v>25</v>
      </c>
      <c r="F150" s="37" t="s">
        <v>25</v>
      </c>
      <c r="G150" s="37" t="s">
        <v>25</v>
      </c>
      <c r="H150" s="37" t="s">
        <v>25</v>
      </c>
      <c r="I150" s="37" t="s">
        <v>25</v>
      </c>
      <c r="J150" s="37" t="s">
        <v>678</v>
      </c>
      <c r="K150" s="37" t="s">
        <v>679</v>
      </c>
      <c r="L150" s="37" t="s">
        <v>75</v>
      </c>
      <c r="M150" s="37">
        <v>2021</v>
      </c>
      <c r="N150" s="37">
        <v>0</v>
      </c>
      <c r="O150" s="37">
        <v>82.6</v>
      </c>
      <c r="P150" s="37">
        <v>53.417357581446403</v>
      </c>
      <c r="R150" s="8" t="str">
        <f t="shared" si="4"/>
        <v>TUSDA4ConvencionalNão se aplicaNão se aplicaNão se aplicaNão se aplicaNão se aplica</v>
      </c>
      <c r="S150" s="8">
        <f t="shared" si="5"/>
        <v>82.6</v>
      </c>
    </row>
    <row r="151" spans="1:19" ht="11.25" customHeight="1" x14ac:dyDescent="0.25">
      <c r="A151" s="37">
        <v>181</v>
      </c>
      <c r="B151" s="37" t="s">
        <v>533</v>
      </c>
      <c r="C151" s="37" t="s">
        <v>38</v>
      </c>
      <c r="D151" s="37" t="s">
        <v>1247</v>
      </c>
      <c r="E151" s="37" t="s">
        <v>25</v>
      </c>
      <c r="F151" s="37" t="s">
        <v>25</v>
      </c>
      <c r="G151" s="37" t="s">
        <v>25</v>
      </c>
      <c r="H151" s="37" t="s">
        <v>1276</v>
      </c>
      <c r="I151" s="37" t="s">
        <v>34</v>
      </c>
      <c r="J151" s="37" t="s">
        <v>680</v>
      </c>
      <c r="K151" s="37" t="s">
        <v>679</v>
      </c>
      <c r="L151" s="37" t="s">
        <v>80</v>
      </c>
      <c r="M151" s="37">
        <v>2021</v>
      </c>
      <c r="N151" s="37">
        <v>0</v>
      </c>
      <c r="O151" s="37">
        <v>12.85</v>
      </c>
      <c r="P151" s="37">
        <v>0</v>
      </c>
      <c r="R151" s="8" t="str">
        <f t="shared" si="4"/>
        <v>TUSDA4DistribuiçãoNão se aplicaNão se aplicaNão se aplicaCastro - DISFora ponta</v>
      </c>
      <c r="S151" s="8">
        <f t="shared" si="5"/>
        <v>12.85</v>
      </c>
    </row>
    <row r="152" spans="1:19" ht="11.25" customHeight="1" x14ac:dyDescent="0.25">
      <c r="A152" s="37">
        <v>182</v>
      </c>
      <c r="B152" s="37" t="s">
        <v>533</v>
      </c>
      <c r="C152" s="37" t="s">
        <v>38</v>
      </c>
      <c r="D152" s="37" t="s">
        <v>1247</v>
      </c>
      <c r="E152" s="37" t="s">
        <v>25</v>
      </c>
      <c r="F152" s="37" t="s">
        <v>25</v>
      </c>
      <c r="G152" s="37" t="s">
        <v>25</v>
      </c>
      <c r="H152" s="37" t="s">
        <v>1276</v>
      </c>
      <c r="I152" s="37" t="s">
        <v>25</v>
      </c>
      <c r="J152" s="37" t="s">
        <v>678</v>
      </c>
      <c r="K152" s="37" t="s">
        <v>679</v>
      </c>
      <c r="L152" s="37" t="s">
        <v>75</v>
      </c>
      <c r="M152" s="37">
        <v>2021</v>
      </c>
      <c r="N152" s="37">
        <v>0</v>
      </c>
      <c r="O152" s="37">
        <v>9.81</v>
      </c>
      <c r="P152" s="37">
        <v>0</v>
      </c>
      <c r="R152" s="8" t="str">
        <f t="shared" si="4"/>
        <v>TUSDA4DistribuiçãoNão se aplicaNão se aplicaNão se aplicaCastro - DISNão se aplica</v>
      </c>
      <c r="S152" s="8">
        <f t="shared" si="5"/>
        <v>9.81</v>
      </c>
    </row>
    <row r="153" spans="1:19" ht="11.25" customHeight="1" x14ac:dyDescent="0.25">
      <c r="A153" s="37">
        <v>180</v>
      </c>
      <c r="B153" s="37" t="s">
        <v>533</v>
      </c>
      <c r="C153" s="37" t="s">
        <v>38</v>
      </c>
      <c r="D153" s="37" t="s">
        <v>1247</v>
      </c>
      <c r="E153" s="37" t="s">
        <v>25</v>
      </c>
      <c r="F153" s="37" t="s">
        <v>25</v>
      </c>
      <c r="G153" s="37" t="s">
        <v>25</v>
      </c>
      <c r="H153" s="37" t="s">
        <v>1276</v>
      </c>
      <c r="I153" s="37" t="s">
        <v>33</v>
      </c>
      <c r="J153" s="37" t="s">
        <v>680</v>
      </c>
      <c r="K153" s="37" t="s">
        <v>679</v>
      </c>
      <c r="L153" s="37" t="s">
        <v>80</v>
      </c>
      <c r="M153" s="37">
        <v>2021</v>
      </c>
      <c r="N153" s="37">
        <v>0</v>
      </c>
      <c r="O153" s="37">
        <v>21.92</v>
      </c>
      <c r="P153" s="37">
        <v>0</v>
      </c>
      <c r="R153" s="8" t="str">
        <f t="shared" si="4"/>
        <v>TUSDA4DistribuiçãoNão se aplicaNão se aplicaNão se aplicaCastro - DISPonta</v>
      </c>
      <c r="S153" s="8">
        <f t="shared" si="5"/>
        <v>21.92</v>
      </c>
    </row>
    <row r="154" spans="1:19" ht="11.25" customHeight="1" x14ac:dyDescent="0.25">
      <c r="A154" s="37">
        <v>178</v>
      </c>
      <c r="B154" s="37" t="s">
        <v>533</v>
      </c>
      <c r="C154" s="37" t="s">
        <v>38</v>
      </c>
      <c r="D154" s="37" t="s">
        <v>1247</v>
      </c>
      <c r="E154" s="37" t="s">
        <v>25</v>
      </c>
      <c r="F154" s="37" t="s">
        <v>25</v>
      </c>
      <c r="G154" s="37" t="s">
        <v>25</v>
      </c>
      <c r="H154" s="37" t="s">
        <v>1278</v>
      </c>
      <c r="I154" s="37" t="s">
        <v>34</v>
      </c>
      <c r="J154" s="37" t="s">
        <v>680</v>
      </c>
      <c r="K154" s="37" t="s">
        <v>679</v>
      </c>
      <c r="L154" s="37" t="s">
        <v>80</v>
      </c>
      <c r="M154" s="37">
        <v>2021</v>
      </c>
      <c r="N154" s="37">
        <v>0</v>
      </c>
      <c r="O154" s="37">
        <v>12.85</v>
      </c>
      <c r="P154" s="37">
        <v>0</v>
      </c>
      <c r="R154" s="8" t="str">
        <f t="shared" si="4"/>
        <v>TUSDA4DistribuiçãoNão se aplicaNão se aplicaNão se aplicaCeral DISFora ponta</v>
      </c>
      <c r="S154" s="8">
        <f t="shared" si="5"/>
        <v>12.85</v>
      </c>
    </row>
    <row r="155" spans="1:19" ht="11.25" customHeight="1" x14ac:dyDescent="0.25">
      <c r="A155" s="37">
        <v>179</v>
      </c>
      <c r="B155" s="37" t="s">
        <v>533</v>
      </c>
      <c r="C155" s="37" t="s">
        <v>38</v>
      </c>
      <c r="D155" s="37" t="s">
        <v>1247</v>
      </c>
      <c r="E155" s="37" t="s">
        <v>25</v>
      </c>
      <c r="F155" s="37" t="s">
        <v>25</v>
      </c>
      <c r="G155" s="37" t="s">
        <v>25</v>
      </c>
      <c r="H155" s="37" t="s">
        <v>1278</v>
      </c>
      <c r="I155" s="37" t="s">
        <v>25</v>
      </c>
      <c r="J155" s="37" t="s">
        <v>678</v>
      </c>
      <c r="K155" s="37" t="s">
        <v>679</v>
      </c>
      <c r="L155" s="37" t="s">
        <v>75</v>
      </c>
      <c r="M155" s="37">
        <v>2021</v>
      </c>
      <c r="N155" s="37">
        <v>0</v>
      </c>
      <c r="O155" s="37">
        <v>9.81</v>
      </c>
      <c r="P155" s="37">
        <v>0</v>
      </c>
      <c r="R155" s="8" t="str">
        <f t="shared" si="4"/>
        <v>TUSDA4DistribuiçãoNão se aplicaNão se aplicaNão se aplicaCeral DISNão se aplica</v>
      </c>
      <c r="S155" s="8">
        <f t="shared" si="5"/>
        <v>9.81</v>
      </c>
    </row>
    <row r="156" spans="1:19" ht="11.25" customHeight="1" x14ac:dyDescent="0.25">
      <c r="A156" s="37">
        <v>177</v>
      </c>
      <c r="B156" s="37" t="s">
        <v>533</v>
      </c>
      <c r="C156" s="37" t="s">
        <v>38</v>
      </c>
      <c r="D156" s="37" t="s">
        <v>1247</v>
      </c>
      <c r="E156" s="37" t="s">
        <v>25</v>
      </c>
      <c r="F156" s="37" t="s">
        <v>25</v>
      </c>
      <c r="G156" s="37" t="s">
        <v>25</v>
      </c>
      <c r="H156" s="37" t="s">
        <v>1278</v>
      </c>
      <c r="I156" s="37" t="s">
        <v>33</v>
      </c>
      <c r="J156" s="37" t="s">
        <v>680</v>
      </c>
      <c r="K156" s="37" t="s">
        <v>679</v>
      </c>
      <c r="L156" s="37" t="s">
        <v>80</v>
      </c>
      <c r="M156" s="37">
        <v>2021</v>
      </c>
      <c r="N156" s="37">
        <v>0</v>
      </c>
      <c r="O156" s="37">
        <v>21.92</v>
      </c>
      <c r="P156" s="37">
        <v>0</v>
      </c>
      <c r="R156" s="8" t="str">
        <f t="shared" si="4"/>
        <v>TUSDA4DistribuiçãoNão se aplicaNão se aplicaNão se aplicaCeral DISPonta</v>
      </c>
      <c r="S156" s="8">
        <f t="shared" si="5"/>
        <v>21.92</v>
      </c>
    </row>
    <row r="157" spans="1:19" ht="11.25" customHeight="1" x14ac:dyDescent="0.25">
      <c r="A157" s="37">
        <v>172</v>
      </c>
      <c r="B157" s="37" t="s">
        <v>533</v>
      </c>
      <c r="C157" s="37" t="s">
        <v>38</v>
      </c>
      <c r="D157" s="37" t="s">
        <v>1247</v>
      </c>
      <c r="E157" s="37" t="s">
        <v>25</v>
      </c>
      <c r="F157" s="37" t="s">
        <v>25</v>
      </c>
      <c r="G157" s="37" t="s">
        <v>25</v>
      </c>
      <c r="H157" s="37" t="s">
        <v>1248</v>
      </c>
      <c r="I157" s="37" t="s">
        <v>34</v>
      </c>
      <c r="J157" s="37" t="s">
        <v>680</v>
      </c>
      <c r="K157" s="37" t="s">
        <v>679</v>
      </c>
      <c r="L157" s="37" t="s">
        <v>80</v>
      </c>
      <c r="M157" s="37">
        <v>2021</v>
      </c>
      <c r="N157" s="37">
        <v>0</v>
      </c>
      <c r="O157" s="37">
        <v>12.85</v>
      </c>
      <c r="P157" s="37">
        <v>0</v>
      </c>
      <c r="R157" s="8" t="str">
        <f t="shared" si="4"/>
        <v>TUSDA4DistribuiçãoNão se aplicaNão se aplicaNão se aplicaCocelFora ponta</v>
      </c>
      <c r="S157" s="8">
        <f t="shared" si="5"/>
        <v>12.85</v>
      </c>
    </row>
    <row r="158" spans="1:19" ht="11.25" customHeight="1" x14ac:dyDescent="0.25">
      <c r="A158" s="37">
        <v>173</v>
      </c>
      <c r="B158" s="37" t="s">
        <v>533</v>
      </c>
      <c r="C158" s="37" t="s">
        <v>38</v>
      </c>
      <c r="D158" s="37" t="s">
        <v>1247</v>
      </c>
      <c r="E158" s="37" t="s">
        <v>25</v>
      </c>
      <c r="F158" s="37" t="s">
        <v>25</v>
      </c>
      <c r="G158" s="37" t="s">
        <v>25</v>
      </c>
      <c r="H158" s="37" t="s">
        <v>1248</v>
      </c>
      <c r="I158" s="37" t="s">
        <v>25</v>
      </c>
      <c r="J158" s="37" t="s">
        <v>678</v>
      </c>
      <c r="K158" s="37" t="s">
        <v>679</v>
      </c>
      <c r="L158" s="37" t="s">
        <v>75</v>
      </c>
      <c r="M158" s="37">
        <v>2021</v>
      </c>
      <c r="N158" s="37">
        <v>0</v>
      </c>
      <c r="O158" s="37">
        <v>9.81</v>
      </c>
      <c r="P158" s="37">
        <v>0</v>
      </c>
      <c r="R158" s="8" t="str">
        <f t="shared" si="4"/>
        <v>TUSDA4DistribuiçãoNão se aplicaNão se aplicaNão se aplicaCocelNão se aplica</v>
      </c>
      <c r="S158" s="8">
        <f t="shared" si="5"/>
        <v>9.81</v>
      </c>
    </row>
    <row r="159" spans="1:19" ht="11.25" customHeight="1" x14ac:dyDescent="0.25">
      <c r="A159" s="37">
        <v>171</v>
      </c>
      <c r="B159" s="37" t="s">
        <v>533</v>
      </c>
      <c r="C159" s="37" t="s">
        <v>38</v>
      </c>
      <c r="D159" s="37" t="s">
        <v>1247</v>
      </c>
      <c r="E159" s="37" t="s">
        <v>25</v>
      </c>
      <c r="F159" s="37" t="s">
        <v>25</v>
      </c>
      <c r="G159" s="37" t="s">
        <v>25</v>
      </c>
      <c r="H159" s="37" t="s">
        <v>1248</v>
      </c>
      <c r="I159" s="37" t="s">
        <v>33</v>
      </c>
      <c r="J159" s="37" t="s">
        <v>680</v>
      </c>
      <c r="K159" s="37" t="s">
        <v>679</v>
      </c>
      <c r="L159" s="37" t="s">
        <v>80</v>
      </c>
      <c r="M159" s="37">
        <v>2021</v>
      </c>
      <c r="N159" s="37">
        <v>0</v>
      </c>
      <c r="O159" s="37">
        <v>21.92</v>
      </c>
      <c r="P159" s="37">
        <v>0</v>
      </c>
      <c r="R159" s="8" t="str">
        <f t="shared" si="4"/>
        <v>TUSDA4DistribuiçãoNão se aplicaNão se aplicaNão se aplicaCocelPonta</v>
      </c>
      <c r="S159" s="8">
        <f t="shared" si="5"/>
        <v>21.92</v>
      </c>
    </row>
    <row r="160" spans="1:19" ht="11.25" customHeight="1" x14ac:dyDescent="0.25">
      <c r="A160" s="37">
        <v>184</v>
      </c>
      <c r="B160" s="37" t="s">
        <v>533</v>
      </c>
      <c r="C160" s="37" t="s">
        <v>38</v>
      </c>
      <c r="D160" s="37" t="s">
        <v>1247</v>
      </c>
      <c r="E160" s="37" t="s">
        <v>25</v>
      </c>
      <c r="F160" s="37" t="s">
        <v>25</v>
      </c>
      <c r="G160" s="37" t="s">
        <v>25</v>
      </c>
      <c r="H160" s="37" t="s">
        <v>1249</v>
      </c>
      <c r="I160" s="37" t="s">
        <v>34</v>
      </c>
      <c r="J160" s="37" t="s">
        <v>680</v>
      </c>
      <c r="K160" s="37" t="s">
        <v>679</v>
      </c>
      <c r="L160" s="37" t="s">
        <v>80</v>
      </c>
      <c r="M160" s="37">
        <v>2021</v>
      </c>
      <c r="N160" s="37">
        <v>0</v>
      </c>
      <c r="O160" s="37">
        <v>12.85</v>
      </c>
      <c r="P160" s="37">
        <v>0</v>
      </c>
      <c r="R160" s="8" t="str">
        <f t="shared" si="4"/>
        <v>TUSDA4DistribuiçãoNão se aplicaNão se aplicaNão se aplicaESSFora ponta</v>
      </c>
      <c r="S160" s="8">
        <f t="shared" si="5"/>
        <v>12.85</v>
      </c>
    </row>
    <row r="161" spans="1:19" ht="11.25" customHeight="1" x14ac:dyDescent="0.25">
      <c r="A161" s="37">
        <v>185</v>
      </c>
      <c r="B161" s="37" t="s">
        <v>533</v>
      </c>
      <c r="C161" s="37" t="s">
        <v>38</v>
      </c>
      <c r="D161" s="37" t="s">
        <v>1247</v>
      </c>
      <c r="E161" s="37" t="s">
        <v>25</v>
      </c>
      <c r="F161" s="37" t="s">
        <v>25</v>
      </c>
      <c r="G161" s="37" t="s">
        <v>25</v>
      </c>
      <c r="H161" s="37" t="s">
        <v>1249</v>
      </c>
      <c r="I161" s="37" t="s">
        <v>25</v>
      </c>
      <c r="J161" s="37" t="s">
        <v>678</v>
      </c>
      <c r="K161" s="37" t="s">
        <v>679</v>
      </c>
      <c r="L161" s="37" t="s">
        <v>75</v>
      </c>
      <c r="M161" s="37">
        <v>2021</v>
      </c>
      <c r="N161" s="37">
        <v>0</v>
      </c>
      <c r="O161" s="37">
        <v>9.81</v>
      </c>
      <c r="P161" s="37">
        <v>0</v>
      </c>
      <c r="R161" s="8" t="str">
        <f t="shared" si="4"/>
        <v>TUSDA4DistribuiçãoNão se aplicaNão se aplicaNão se aplicaESSNão se aplica</v>
      </c>
      <c r="S161" s="8">
        <f t="shared" si="5"/>
        <v>9.81</v>
      </c>
    </row>
    <row r="162" spans="1:19" ht="11.25" customHeight="1" x14ac:dyDescent="0.25">
      <c r="A162" s="37">
        <v>183</v>
      </c>
      <c r="B162" s="37" t="s">
        <v>533</v>
      </c>
      <c r="C162" s="37" t="s">
        <v>38</v>
      </c>
      <c r="D162" s="37" t="s">
        <v>1247</v>
      </c>
      <c r="E162" s="37" t="s">
        <v>25</v>
      </c>
      <c r="F162" s="37" t="s">
        <v>25</v>
      </c>
      <c r="G162" s="37" t="s">
        <v>25</v>
      </c>
      <c r="H162" s="37" t="s">
        <v>1249</v>
      </c>
      <c r="I162" s="37" t="s">
        <v>33</v>
      </c>
      <c r="J162" s="37" t="s">
        <v>680</v>
      </c>
      <c r="K162" s="37" t="s">
        <v>679</v>
      </c>
      <c r="L162" s="37" t="s">
        <v>80</v>
      </c>
      <c r="M162" s="37">
        <v>2021</v>
      </c>
      <c r="N162" s="37">
        <v>0</v>
      </c>
      <c r="O162" s="37">
        <v>21.92</v>
      </c>
      <c r="P162" s="37">
        <v>0</v>
      </c>
      <c r="R162" s="8" t="str">
        <f t="shared" si="4"/>
        <v>TUSDA4DistribuiçãoNão se aplicaNão se aplicaNão se aplicaESSPonta</v>
      </c>
      <c r="S162" s="8">
        <f t="shared" si="5"/>
        <v>21.92</v>
      </c>
    </row>
    <row r="163" spans="1:19" ht="11.25" customHeight="1" x14ac:dyDescent="0.25">
      <c r="A163" s="37">
        <v>175</v>
      </c>
      <c r="B163" s="37" t="s">
        <v>533</v>
      </c>
      <c r="C163" s="37" t="s">
        <v>38</v>
      </c>
      <c r="D163" s="37" t="s">
        <v>1247</v>
      </c>
      <c r="E163" s="37" t="s">
        <v>25</v>
      </c>
      <c r="F163" s="37" t="s">
        <v>25</v>
      </c>
      <c r="G163" s="37" t="s">
        <v>25</v>
      </c>
      <c r="H163" s="37" t="s">
        <v>1280</v>
      </c>
      <c r="I163" s="37" t="s">
        <v>34</v>
      </c>
      <c r="J163" s="37" t="s">
        <v>680</v>
      </c>
      <c r="K163" s="37" t="s">
        <v>679</v>
      </c>
      <c r="L163" s="37" t="s">
        <v>80</v>
      </c>
      <c r="M163" s="37">
        <v>2021</v>
      </c>
      <c r="N163" s="37">
        <v>0</v>
      </c>
      <c r="O163" s="37">
        <v>12.85</v>
      </c>
      <c r="P163" s="37">
        <v>0</v>
      </c>
      <c r="R163" s="8" t="str">
        <f t="shared" si="4"/>
        <v>TUSDA4DistribuiçãoNão se aplicaNão se aplicaNão se aplicaForcelFora ponta</v>
      </c>
      <c r="S163" s="8">
        <f t="shared" si="5"/>
        <v>12.85</v>
      </c>
    </row>
    <row r="164" spans="1:19" ht="11.25" customHeight="1" x14ac:dyDescent="0.25">
      <c r="A164" s="37">
        <v>176</v>
      </c>
      <c r="B164" s="37" t="s">
        <v>533</v>
      </c>
      <c r="C164" s="37" t="s">
        <v>38</v>
      </c>
      <c r="D164" s="37" t="s">
        <v>1247</v>
      </c>
      <c r="E164" s="37" t="s">
        <v>25</v>
      </c>
      <c r="F164" s="37" t="s">
        <v>25</v>
      </c>
      <c r="G164" s="37" t="s">
        <v>25</v>
      </c>
      <c r="H164" s="37" t="s">
        <v>1280</v>
      </c>
      <c r="I164" s="37" t="s">
        <v>25</v>
      </c>
      <c r="J164" s="37" t="s">
        <v>678</v>
      </c>
      <c r="K164" s="37" t="s">
        <v>679</v>
      </c>
      <c r="L164" s="37" t="s">
        <v>75</v>
      </c>
      <c r="M164" s="37">
        <v>2021</v>
      </c>
      <c r="N164" s="37">
        <v>0</v>
      </c>
      <c r="O164" s="37">
        <v>9.81</v>
      </c>
      <c r="P164" s="37">
        <v>0</v>
      </c>
      <c r="R164" s="8" t="str">
        <f t="shared" si="4"/>
        <v>TUSDA4DistribuiçãoNão se aplicaNão se aplicaNão se aplicaForcelNão se aplica</v>
      </c>
      <c r="S164" s="8">
        <f t="shared" si="5"/>
        <v>9.81</v>
      </c>
    </row>
    <row r="165" spans="1:19" ht="11.25" customHeight="1" x14ac:dyDescent="0.25">
      <c r="A165" s="37">
        <v>174</v>
      </c>
      <c r="B165" s="37" t="s">
        <v>533</v>
      </c>
      <c r="C165" s="37" t="s">
        <v>38</v>
      </c>
      <c r="D165" s="37" t="s">
        <v>1247</v>
      </c>
      <c r="E165" s="37" t="s">
        <v>25</v>
      </c>
      <c r="F165" s="37" t="s">
        <v>25</v>
      </c>
      <c r="G165" s="37" t="s">
        <v>25</v>
      </c>
      <c r="H165" s="37" t="s">
        <v>1280</v>
      </c>
      <c r="I165" s="37" t="s">
        <v>33</v>
      </c>
      <c r="J165" s="37" t="s">
        <v>680</v>
      </c>
      <c r="K165" s="37" t="s">
        <v>679</v>
      </c>
      <c r="L165" s="37" t="s">
        <v>80</v>
      </c>
      <c r="M165" s="37">
        <v>2021</v>
      </c>
      <c r="N165" s="37">
        <v>0</v>
      </c>
      <c r="O165" s="37">
        <v>21.92</v>
      </c>
      <c r="P165" s="37">
        <v>0</v>
      </c>
      <c r="R165" s="8" t="str">
        <f t="shared" si="4"/>
        <v>TUSDA4DistribuiçãoNão se aplicaNão se aplicaNão se aplicaForcelPonta</v>
      </c>
      <c r="S165" s="8">
        <f t="shared" si="5"/>
        <v>21.92</v>
      </c>
    </row>
    <row r="166" spans="1:19" ht="11.25" customHeight="1" x14ac:dyDescent="0.25">
      <c r="A166" s="37">
        <v>186</v>
      </c>
      <c r="B166" s="37" t="s">
        <v>533</v>
      </c>
      <c r="C166" s="37" t="s">
        <v>38</v>
      </c>
      <c r="D166" s="37" t="s">
        <v>84</v>
      </c>
      <c r="E166" s="37" t="s">
        <v>25</v>
      </c>
      <c r="F166" s="37" t="s">
        <v>25</v>
      </c>
      <c r="G166" s="37" t="s">
        <v>25</v>
      </c>
      <c r="H166" s="37" t="s">
        <v>25</v>
      </c>
      <c r="I166" s="37" t="s">
        <v>25</v>
      </c>
      <c r="J166" s="37" t="s">
        <v>680</v>
      </c>
      <c r="K166" s="37" t="s">
        <v>679</v>
      </c>
      <c r="L166" s="37" t="s">
        <v>80</v>
      </c>
      <c r="M166" s="37">
        <v>2021</v>
      </c>
      <c r="N166" s="37">
        <v>0</v>
      </c>
      <c r="O166" s="37">
        <v>6.06</v>
      </c>
      <c r="P166" s="37">
        <v>0</v>
      </c>
      <c r="R166" s="8" t="str">
        <f t="shared" si="4"/>
        <v>TUSDA4GeraçãoNão se aplicaNão se aplicaNão se aplicaNão se aplicaNão se aplica</v>
      </c>
      <c r="S166" s="8">
        <f t="shared" si="5"/>
        <v>6.06</v>
      </c>
    </row>
    <row r="167" spans="1:19" ht="11.25" customHeight="1" x14ac:dyDescent="0.25">
      <c r="A167" s="37">
        <v>191</v>
      </c>
      <c r="B167" s="37" t="s">
        <v>533</v>
      </c>
      <c r="C167" s="37" t="s">
        <v>38</v>
      </c>
      <c r="D167" s="37" t="s">
        <v>39</v>
      </c>
      <c r="E167" s="37" t="s">
        <v>25</v>
      </c>
      <c r="F167" s="37" t="s">
        <v>25</v>
      </c>
      <c r="G167" s="37" t="s">
        <v>83</v>
      </c>
      <c r="H167" s="37" t="s">
        <v>25</v>
      </c>
      <c r="I167" s="37" t="s">
        <v>34</v>
      </c>
      <c r="J167" s="37" t="s">
        <v>678</v>
      </c>
      <c r="K167" s="37" t="s">
        <v>679</v>
      </c>
      <c r="L167" s="37" t="s">
        <v>75</v>
      </c>
      <c r="M167" s="37">
        <v>2021</v>
      </c>
      <c r="N167" s="37">
        <v>0</v>
      </c>
      <c r="O167" s="37">
        <v>16.87</v>
      </c>
      <c r="P167" s="37">
        <v>0</v>
      </c>
      <c r="R167" s="8" t="str">
        <f t="shared" si="4"/>
        <v>TUSDA4VerdeNão se aplicaNão se aplicaAPENão se aplicaFora ponta</v>
      </c>
      <c r="S167" s="8">
        <f t="shared" si="5"/>
        <v>16.87</v>
      </c>
    </row>
    <row r="168" spans="1:19" ht="11.25" customHeight="1" x14ac:dyDescent="0.25">
      <c r="A168" s="37">
        <v>190</v>
      </c>
      <c r="B168" s="37" t="s">
        <v>533</v>
      </c>
      <c r="C168" s="37" t="s">
        <v>38</v>
      </c>
      <c r="D168" s="37" t="s">
        <v>39</v>
      </c>
      <c r="E168" s="37" t="s">
        <v>25</v>
      </c>
      <c r="F168" s="37" t="s">
        <v>25</v>
      </c>
      <c r="G168" s="37" t="s">
        <v>83</v>
      </c>
      <c r="H168" s="37" t="s">
        <v>25</v>
      </c>
      <c r="I168" s="37" t="s">
        <v>33</v>
      </c>
      <c r="J168" s="37" t="s">
        <v>678</v>
      </c>
      <c r="K168" s="37" t="s">
        <v>679</v>
      </c>
      <c r="L168" s="37" t="s">
        <v>75</v>
      </c>
      <c r="M168" s="37">
        <v>2021</v>
      </c>
      <c r="N168" s="37">
        <v>0</v>
      </c>
      <c r="O168" s="37">
        <v>893.5</v>
      </c>
      <c r="P168" s="37">
        <v>0</v>
      </c>
      <c r="R168" s="8" t="str">
        <f t="shared" si="4"/>
        <v>TUSDA4VerdeNão se aplicaNão se aplicaAPENão se aplicaPonta</v>
      </c>
      <c r="S168" s="8">
        <f t="shared" si="5"/>
        <v>893.5</v>
      </c>
    </row>
    <row r="169" spans="1:19" ht="11.25" customHeight="1" x14ac:dyDescent="0.25">
      <c r="A169" s="37">
        <v>189</v>
      </c>
      <c r="B169" s="37" t="s">
        <v>533</v>
      </c>
      <c r="C169" s="37" t="s">
        <v>38</v>
      </c>
      <c r="D169" s="37" t="s">
        <v>39</v>
      </c>
      <c r="E169" s="37" t="s">
        <v>25</v>
      </c>
      <c r="F169" s="37" t="s">
        <v>25</v>
      </c>
      <c r="G169" s="37" t="s">
        <v>25</v>
      </c>
      <c r="H169" s="37" t="s">
        <v>25</v>
      </c>
      <c r="I169" s="37" t="s">
        <v>34</v>
      </c>
      <c r="J169" s="37" t="s">
        <v>678</v>
      </c>
      <c r="K169" s="37" t="s">
        <v>679</v>
      </c>
      <c r="L169" s="37" t="s">
        <v>75</v>
      </c>
      <c r="M169" s="37">
        <v>2021</v>
      </c>
      <c r="N169" s="37">
        <v>0</v>
      </c>
      <c r="O169" s="37">
        <v>82.6</v>
      </c>
      <c r="P169" s="37">
        <v>53.417357581446403</v>
      </c>
      <c r="R169" s="8" t="str">
        <f t="shared" si="4"/>
        <v>TUSDA4VerdeNão se aplicaNão se aplicaNão se aplicaNão se aplicaFora ponta</v>
      </c>
      <c r="S169" s="8">
        <f t="shared" si="5"/>
        <v>82.6</v>
      </c>
    </row>
    <row r="170" spans="1:19" ht="11.25" customHeight="1" x14ac:dyDescent="0.25">
      <c r="A170" s="37">
        <v>187</v>
      </c>
      <c r="B170" s="37" t="s">
        <v>533</v>
      </c>
      <c r="C170" s="37" t="s">
        <v>38</v>
      </c>
      <c r="D170" s="37" t="s">
        <v>39</v>
      </c>
      <c r="E170" s="37" t="s">
        <v>25</v>
      </c>
      <c r="F170" s="37" t="s">
        <v>25</v>
      </c>
      <c r="G170" s="37" t="s">
        <v>25</v>
      </c>
      <c r="H170" s="37" t="s">
        <v>25</v>
      </c>
      <c r="I170" s="37" t="s">
        <v>25</v>
      </c>
      <c r="J170" s="37" t="s">
        <v>680</v>
      </c>
      <c r="K170" s="37" t="s">
        <v>679</v>
      </c>
      <c r="L170" s="37" t="s">
        <v>80</v>
      </c>
      <c r="M170" s="37">
        <v>2021</v>
      </c>
      <c r="N170" s="37">
        <v>0</v>
      </c>
      <c r="O170" s="37">
        <v>17.07</v>
      </c>
      <c r="P170" s="37">
        <v>0</v>
      </c>
      <c r="R170" s="8" t="str">
        <f t="shared" si="4"/>
        <v>TUSDA4VerdeNão se aplicaNão se aplicaNão se aplicaNão se aplicaNão se aplica</v>
      </c>
      <c r="S170" s="8">
        <f t="shared" si="5"/>
        <v>17.07</v>
      </c>
    </row>
    <row r="171" spans="1:19" ht="11.25" customHeight="1" x14ac:dyDescent="0.25">
      <c r="A171" s="37">
        <v>188</v>
      </c>
      <c r="B171" s="37" t="s">
        <v>533</v>
      </c>
      <c r="C171" s="37" t="s">
        <v>38</v>
      </c>
      <c r="D171" s="37" t="s">
        <v>39</v>
      </c>
      <c r="E171" s="37" t="s">
        <v>25</v>
      </c>
      <c r="F171" s="37" t="s">
        <v>25</v>
      </c>
      <c r="G171" s="37" t="s">
        <v>25</v>
      </c>
      <c r="H171" s="37" t="s">
        <v>25</v>
      </c>
      <c r="I171" s="37" t="s">
        <v>33</v>
      </c>
      <c r="J171" s="37" t="s">
        <v>678</v>
      </c>
      <c r="K171" s="37" t="s">
        <v>679</v>
      </c>
      <c r="L171" s="37" t="s">
        <v>75</v>
      </c>
      <c r="M171" s="37">
        <v>2021</v>
      </c>
      <c r="N171" s="37">
        <v>0</v>
      </c>
      <c r="O171" s="37">
        <v>959.22</v>
      </c>
      <c r="P171" s="37">
        <v>53.417357581446403</v>
      </c>
      <c r="R171" s="8" t="str">
        <f t="shared" si="4"/>
        <v>TUSDA4VerdeNão se aplicaNão se aplicaNão se aplicaNão se aplicaPonta</v>
      </c>
      <c r="S171" s="8">
        <f t="shared" si="5"/>
        <v>959.22</v>
      </c>
    </row>
    <row r="172" spans="1:19" ht="11.25" customHeight="1" x14ac:dyDescent="0.25">
      <c r="A172" s="37">
        <v>197</v>
      </c>
      <c r="B172" s="37" t="s">
        <v>533</v>
      </c>
      <c r="C172" s="37" t="s">
        <v>669</v>
      </c>
      <c r="D172" s="37" t="s">
        <v>56</v>
      </c>
      <c r="E172" s="37" t="s">
        <v>25</v>
      </c>
      <c r="F172" s="37" t="s">
        <v>25</v>
      </c>
      <c r="G172" s="37" t="s">
        <v>83</v>
      </c>
      <c r="H172" s="37" t="s">
        <v>25</v>
      </c>
      <c r="I172" s="37" t="s">
        <v>25</v>
      </c>
      <c r="J172" s="37" t="s">
        <v>678</v>
      </c>
      <c r="K172" s="37" t="s">
        <v>679</v>
      </c>
      <c r="L172" s="37" t="s">
        <v>75</v>
      </c>
      <c r="M172" s="37">
        <v>2021</v>
      </c>
      <c r="N172" s="37">
        <v>0</v>
      </c>
      <c r="O172" s="37">
        <v>36.380000000000003</v>
      </c>
      <c r="P172" s="37">
        <v>0</v>
      </c>
      <c r="R172" s="8" t="str">
        <f t="shared" si="4"/>
        <v>TUSDASAzulNão se aplicaNão se aplicaAPENão se aplicaNão se aplica</v>
      </c>
      <c r="S172" s="8">
        <f t="shared" si="5"/>
        <v>36.380000000000003</v>
      </c>
    </row>
    <row r="173" spans="1:19" ht="11.25" customHeight="1" x14ac:dyDescent="0.25">
      <c r="A173" s="37">
        <v>195</v>
      </c>
      <c r="B173" s="37" t="s">
        <v>533</v>
      </c>
      <c r="C173" s="37" t="s">
        <v>669</v>
      </c>
      <c r="D173" s="37" t="s">
        <v>56</v>
      </c>
      <c r="E173" s="37" t="s">
        <v>25</v>
      </c>
      <c r="F173" s="37" t="s">
        <v>25</v>
      </c>
      <c r="G173" s="37" t="s">
        <v>25</v>
      </c>
      <c r="H173" s="37" t="s">
        <v>25</v>
      </c>
      <c r="I173" s="37" t="s">
        <v>34</v>
      </c>
      <c r="J173" s="37" t="s">
        <v>680</v>
      </c>
      <c r="K173" s="37" t="s">
        <v>679</v>
      </c>
      <c r="L173" s="37" t="s">
        <v>80</v>
      </c>
      <c r="M173" s="37">
        <v>2021</v>
      </c>
      <c r="N173" s="37">
        <v>0</v>
      </c>
      <c r="O173" s="37">
        <v>12.94</v>
      </c>
      <c r="P173" s="37">
        <v>0</v>
      </c>
      <c r="R173" s="8" t="str">
        <f t="shared" si="4"/>
        <v>TUSDASAzulNão se aplicaNão se aplicaNão se aplicaNão se aplicaFora ponta</v>
      </c>
      <c r="S173" s="8">
        <f t="shared" si="5"/>
        <v>12.94</v>
      </c>
    </row>
    <row r="174" spans="1:19" ht="11.25" customHeight="1" x14ac:dyDescent="0.25">
      <c r="A174" s="37">
        <v>196</v>
      </c>
      <c r="B174" s="37" t="s">
        <v>533</v>
      </c>
      <c r="C174" s="37" t="s">
        <v>669</v>
      </c>
      <c r="D174" s="37" t="s">
        <v>56</v>
      </c>
      <c r="E174" s="37" t="s">
        <v>25</v>
      </c>
      <c r="F174" s="37" t="s">
        <v>25</v>
      </c>
      <c r="G174" s="37" t="s">
        <v>25</v>
      </c>
      <c r="H174" s="37" t="s">
        <v>25</v>
      </c>
      <c r="I174" s="37" t="s">
        <v>25</v>
      </c>
      <c r="J174" s="37" t="s">
        <v>678</v>
      </c>
      <c r="K174" s="37" t="s">
        <v>679</v>
      </c>
      <c r="L174" s="37" t="s">
        <v>75</v>
      </c>
      <c r="M174" s="37">
        <v>2021</v>
      </c>
      <c r="N174" s="37">
        <v>0</v>
      </c>
      <c r="O174" s="37">
        <v>110.49</v>
      </c>
      <c r="P174" s="37">
        <v>61.399261587869397</v>
      </c>
      <c r="R174" s="8" t="str">
        <f t="shared" si="4"/>
        <v>TUSDASAzulNão se aplicaNão se aplicaNão se aplicaNão se aplicaNão se aplica</v>
      </c>
      <c r="S174" s="8">
        <f t="shared" si="5"/>
        <v>110.49</v>
      </c>
    </row>
    <row r="175" spans="1:19" ht="11.25" customHeight="1" x14ac:dyDescent="0.25">
      <c r="A175" s="37">
        <v>194</v>
      </c>
      <c r="B175" s="37" t="s">
        <v>533</v>
      </c>
      <c r="C175" s="37" t="s">
        <v>669</v>
      </c>
      <c r="D175" s="37" t="s">
        <v>56</v>
      </c>
      <c r="E175" s="37" t="s">
        <v>25</v>
      </c>
      <c r="F175" s="37" t="s">
        <v>25</v>
      </c>
      <c r="G175" s="37" t="s">
        <v>25</v>
      </c>
      <c r="H175" s="37" t="s">
        <v>25</v>
      </c>
      <c r="I175" s="37" t="s">
        <v>33</v>
      </c>
      <c r="J175" s="37" t="s">
        <v>680</v>
      </c>
      <c r="K175" s="37" t="s">
        <v>679</v>
      </c>
      <c r="L175" s="37" t="s">
        <v>80</v>
      </c>
      <c r="M175" s="37">
        <v>2021</v>
      </c>
      <c r="N175" s="37">
        <v>0</v>
      </c>
      <c r="O175" s="37">
        <v>57.52</v>
      </c>
      <c r="P175" s="37">
        <v>0</v>
      </c>
      <c r="R175" s="8" t="str">
        <f t="shared" si="4"/>
        <v>TUSDASAzulNão se aplicaNão se aplicaNão se aplicaNão se aplicaPonta</v>
      </c>
      <c r="S175" s="8">
        <f t="shared" si="5"/>
        <v>57.52</v>
      </c>
    </row>
    <row r="176" spans="1:19" ht="11.25" customHeight="1" x14ac:dyDescent="0.25">
      <c r="A176" s="37">
        <v>203</v>
      </c>
      <c r="B176" s="37" t="s">
        <v>533</v>
      </c>
      <c r="C176" s="37" t="s">
        <v>669</v>
      </c>
      <c r="D176" s="37" t="s">
        <v>23</v>
      </c>
      <c r="E176" s="37" t="s">
        <v>25</v>
      </c>
      <c r="F176" s="37" t="s">
        <v>25</v>
      </c>
      <c r="G176" s="37" t="s">
        <v>25</v>
      </c>
      <c r="H176" s="37" t="s">
        <v>25</v>
      </c>
      <c r="I176" s="37" t="s">
        <v>25</v>
      </c>
      <c r="J176" s="37" t="s">
        <v>680</v>
      </c>
      <c r="K176" s="37" t="s">
        <v>679</v>
      </c>
      <c r="L176" s="37" t="s">
        <v>80</v>
      </c>
      <c r="M176" s="37">
        <v>2021</v>
      </c>
      <c r="N176" s="37">
        <v>0</v>
      </c>
      <c r="O176" s="37">
        <v>54.52</v>
      </c>
      <c r="P176" s="37">
        <v>0</v>
      </c>
      <c r="R176" s="8" t="str">
        <f t="shared" si="4"/>
        <v>TUSDASConvencionalNão se aplicaNão se aplicaNão se aplicaNão se aplicaNão se aplica</v>
      </c>
      <c r="S176" s="8">
        <f t="shared" si="5"/>
        <v>54.52</v>
      </c>
    </row>
    <row r="177" spans="1:19" ht="11.25" customHeight="1" x14ac:dyDescent="0.25">
      <c r="A177" s="37">
        <v>204</v>
      </c>
      <c r="B177" s="37" t="s">
        <v>533</v>
      </c>
      <c r="C177" s="37" t="s">
        <v>669</v>
      </c>
      <c r="D177" s="37" t="s">
        <v>23</v>
      </c>
      <c r="E177" s="37" t="s">
        <v>25</v>
      </c>
      <c r="F177" s="37" t="s">
        <v>25</v>
      </c>
      <c r="G177" s="37" t="s">
        <v>25</v>
      </c>
      <c r="H177" s="37" t="s">
        <v>25</v>
      </c>
      <c r="I177" s="37" t="s">
        <v>25</v>
      </c>
      <c r="J177" s="37" t="s">
        <v>678</v>
      </c>
      <c r="K177" s="37" t="s">
        <v>679</v>
      </c>
      <c r="L177" s="37" t="s">
        <v>75</v>
      </c>
      <c r="M177" s="37">
        <v>2021</v>
      </c>
      <c r="N177" s="37">
        <v>0</v>
      </c>
      <c r="O177" s="37">
        <v>110.49</v>
      </c>
      <c r="P177" s="37">
        <v>61.399261587869397</v>
      </c>
      <c r="R177" s="8" t="str">
        <f t="shared" si="4"/>
        <v>TUSDASConvencionalNão se aplicaNão se aplicaNão se aplicaNão se aplicaNão se aplica</v>
      </c>
      <c r="S177" s="8">
        <f t="shared" si="5"/>
        <v>110.49</v>
      </c>
    </row>
    <row r="178" spans="1:19" ht="11.25" customHeight="1" x14ac:dyDescent="0.25">
      <c r="A178" s="37">
        <v>202</v>
      </c>
      <c r="B178" s="37" t="s">
        <v>533</v>
      </c>
      <c r="C178" s="37" t="s">
        <v>669</v>
      </c>
      <c r="D178" s="37" t="s">
        <v>39</v>
      </c>
      <c r="E178" s="37" t="s">
        <v>25</v>
      </c>
      <c r="F178" s="37" t="s">
        <v>25</v>
      </c>
      <c r="G178" s="37" t="s">
        <v>83</v>
      </c>
      <c r="H178" s="37" t="s">
        <v>25</v>
      </c>
      <c r="I178" s="37" t="s">
        <v>34</v>
      </c>
      <c r="J178" s="37" t="s">
        <v>678</v>
      </c>
      <c r="K178" s="37" t="s">
        <v>679</v>
      </c>
      <c r="L178" s="37" t="s">
        <v>75</v>
      </c>
      <c r="M178" s="37">
        <v>2021</v>
      </c>
      <c r="N178" s="37">
        <v>0</v>
      </c>
      <c r="O178" s="37">
        <v>36.380000000000003</v>
      </c>
      <c r="P178" s="37">
        <v>0</v>
      </c>
      <c r="R178" s="8" t="str">
        <f t="shared" si="4"/>
        <v>TUSDASVerdeNão se aplicaNão se aplicaAPENão se aplicaFora ponta</v>
      </c>
      <c r="S178" s="8">
        <f t="shared" si="5"/>
        <v>36.380000000000003</v>
      </c>
    </row>
    <row r="179" spans="1:19" ht="11.25" customHeight="1" x14ac:dyDescent="0.25">
      <c r="A179" s="37">
        <v>201</v>
      </c>
      <c r="B179" s="37" t="s">
        <v>533</v>
      </c>
      <c r="C179" s="37" t="s">
        <v>669</v>
      </c>
      <c r="D179" s="37" t="s">
        <v>39</v>
      </c>
      <c r="E179" s="37" t="s">
        <v>25</v>
      </c>
      <c r="F179" s="37" t="s">
        <v>25</v>
      </c>
      <c r="G179" s="37" t="s">
        <v>83</v>
      </c>
      <c r="H179" s="37" t="s">
        <v>25</v>
      </c>
      <c r="I179" s="37" t="s">
        <v>33</v>
      </c>
      <c r="J179" s="37" t="s">
        <v>678</v>
      </c>
      <c r="K179" s="37" t="s">
        <v>679</v>
      </c>
      <c r="L179" s="37" t="s">
        <v>75</v>
      </c>
      <c r="M179" s="37">
        <v>2021</v>
      </c>
      <c r="N179" s="37">
        <v>0</v>
      </c>
      <c r="O179" s="37">
        <v>1434.4</v>
      </c>
      <c r="P179" s="37">
        <v>0</v>
      </c>
      <c r="R179" s="8" t="str">
        <f t="shared" si="4"/>
        <v>TUSDASVerdeNão se aplicaNão se aplicaAPENão se aplicaPonta</v>
      </c>
      <c r="S179" s="8">
        <f t="shared" si="5"/>
        <v>1434.4</v>
      </c>
    </row>
    <row r="180" spans="1:19" ht="11.25" customHeight="1" x14ac:dyDescent="0.25">
      <c r="A180" s="37">
        <v>200</v>
      </c>
      <c r="B180" s="37" t="s">
        <v>533</v>
      </c>
      <c r="C180" s="37" t="s">
        <v>669</v>
      </c>
      <c r="D180" s="37" t="s">
        <v>39</v>
      </c>
      <c r="E180" s="37" t="s">
        <v>25</v>
      </c>
      <c r="F180" s="37" t="s">
        <v>25</v>
      </c>
      <c r="G180" s="37" t="s">
        <v>25</v>
      </c>
      <c r="H180" s="37" t="s">
        <v>25</v>
      </c>
      <c r="I180" s="37" t="s">
        <v>34</v>
      </c>
      <c r="J180" s="37" t="s">
        <v>678</v>
      </c>
      <c r="K180" s="37" t="s">
        <v>679</v>
      </c>
      <c r="L180" s="37" t="s">
        <v>75</v>
      </c>
      <c r="M180" s="37">
        <v>2021</v>
      </c>
      <c r="N180" s="37">
        <v>0</v>
      </c>
      <c r="O180" s="37">
        <v>110.49</v>
      </c>
      <c r="P180" s="37">
        <v>61.399261587869397</v>
      </c>
      <c r="R180" s="8" t="str">
        <f t="shared" si="4"/>
        <v>TUSDASVerdeNão se aplicaNão se aplicaNão se aplicaNão se aplicaFora ponta</v>
      </c>
      <c r="S180" s="8">
        <f t="shared" si="5"/>
        <v>110.49</v>
      </c>
    </row>
    <row r="181" spans="1:19" ht="11.25" customHeight="1" x14ac:dyDescent="0.25">
      <c r="A181" s="37">
        <v>198</v>
      </c>
      <c r="B181" s="37" t="s">
        <v>533</v>
      </c>
      <c r="C181" s="37" t="s">
        <v>669</v>
      </c>
      <c r="D181" s="37" t="s">
        <v>39</v>
      </c>
      <c r="E181" s="37" t="s">
        <v>25</v>
      </c>
      <c r="F181" s="37" t="s">
        <v>25</v>
      </c>
      <c r="G181" s="37" t="s">
        <v>25</v>
      </c>
      <c r="H181" s="37" t="s">
        <v>25</v>
      </c>
      <c r="I181" s="37" t="s">
        <v>25</v>
      </c>
      <c r="J181" s="37" t="s">
        <v>680</v>
      </c>
      <c r="K181" s="37" t="s">
        <v>679</v>
      </c>
      <c r="L181" s="37" t="s">
        <v>80</v>
      </c>
      <c r="M181" s="37">
        <v>2021</v>
      </c>
      <c r="N181" s="37">
        <v>0</v>
      </c>
      <c r="O181" s="37">
        <v>12.94</v>
      </c>
      <c r="P181" s="37">
        <v>0</v>
      </c>
      <c r="R181" s="8" t="str">
        <f t="shared" si="4"/>
        <v>TUSDASVerdeNão se aplicaNão se aplicaNão se aplicaNão se aplicaNão se aplica</v>
      </c>
      <c r="S181" s="8">
        <f t="shared" si="5"/>
        <v>12.94</v>
      </c>
    </row>
    <row r="182" spans="1:19" ht="11.25" customHeight="1" x14ac:dyDescent="0.25">
      <c r="A182" s="37">
        <v>199</v>
      </c>
      <c r="B182" s="37" t="s">
        <v>533</v>
      </c>
      <c r="C182" s="37" t="s">
        <v>669</v>
      </c>
      <c r="D182" s="37" t="s">
        <v>39</v>
      </c>
      <c r="E182" s="37" t="s">
        <v>25</v>
      </c>
      <c r="F182" s="37" t="s">
        <v>25</v>
      </c>
      <c r="G182" s="37" t="s">
        <v>25</v>
      </c>
      <c r="H182" s="37" t="s">
        <v>25</v>
      </c>
      <c r="I182" s="37" t="s">
        <v>33</v>
      </c>
      <c r="J182" s="37" t="s">
        <v>678</v>
      </c>
      <c r="K182" s="37" t="s">
        <v>679</v>
      </c>
      <c r="L182" s="37" t="s">
        <v>75</v>
      </c>
      <c r="M182" s="37">
        <v>2021</v>
      </c>
      <c r="N182" s="37">
        <v>0</v>
      </c>
      <c r="O182" s="37">
        <v>1508.52</v>
      </c>
      <c r="P182" s="37">
        <v>61.399261587869397</v>
      </c>
      <c r="R182" s="8" t="str">
        <f t="shared" si="4"/>
        <v>TUSDASVerdeNão se aplicaNão se aplicaNão se aplicaNão se aplicaPonta</v>
      </c>
      <c r="S182" s="8">
        <f t="shared" si="5"/>
        <v>1508.52</v>
      </c>
    </row>
    <row r="183" spans="1:19" ht="11.25" customHeight="1" x14ac:dyDescent="0.25">
      <c r="A183" s="37">
        <v>205</v>
      </c>
      <c r="B183" s="37" t="s">
        <v>533</v>
      </c>
      <c r="C183" s="37" t="s">
        <v>85</v>
      </c>
      <c r="D183" s="37" t="s">
        <v>84</v>
      </c>
      <c r="E183" s="37" t="s">
        <v>25</v>
      </c>
      <c r="F183" s="37" t="s">
        <v>25</v>
      </c>
      <c r="G183" s="37" t="s">
        <v>86</v>
      </c>
      <c r="H183" s="37" t="s">
        <v>25</v>
      </c>
      <c r="I183" s="37" t="s">
        <v>25</v>
      </c>
      <c r="J183" s="37" t="s">
        <v>680</v>
      </c>
      <c r="K183" s="37" t="s">
        <v>679</v>
      </c>
      <c r="L183" s="37" t="s">
        <v>80</v>
      </c>
      <c r="M183" s="37">
        <v>2021</v>
      </c>
      <c r="N183" s="37">
        <v>0</v>
      </c>
      <c r="O183" s="37">
        <v>2.35</v>
      </c>
      <c r="P183" s="37">
        <v>0</v>
      </c>
      <c r="R183" s="8" t="str">
        <f t="shared" si="4"/>
        <v>TUSDBGeraçãoNão se aplicaNão se aplicaTIPO 01Não se aplicaNão se aplica</v>
      </c>
      <c r="S183" s="8">
        <f t="shared" si="5"/>
        <v>2.35</v>
      </c>
    </row>
    <row r="184" spans="1:19" ht="11.25" customHeight="1" x14ac:dyDescent="0.25">
      <c r="A184" s="37">
        <v>206</v>
      </c>
      <c r="B184" s="37" t="s">
        <v>533</v>
      </c>
      <c r="C184" s="37" t="s">
        <v>85</v>
      </c>
      <c r="D184" s="37" t="s">
        <v>84</v>
      </c>
      <c r="E184" s="37" t="s">
        <v>25</v>
      </c>
      <c r="F184" s="37" t="s">
        <v>25</v>
      </c>
      <c r="G184" s="37" t="s">
        <v>87</v>
      </c>
      <c r="H184" s="37" t="s">
        <v>25</v>
      </c>
      <c r="I184" s="37" t="s">
        <v>25</v>
      </c>
      <c r="J184" s="37" t="s">
        <v>680</v>
      </c>
      <c r="K184" s="37" t="s">
        <v>679</v>
      </c>
      <c r="L184" s="37" t="s">
        <v>80</v>
      </c>
      <c r="M184" s="37">
        <v>2021</v>
      </c>
      <c r="N184" s="37">
        <v>0</v>
      </c>
      <c r="O184" s="37">
        <v>7.42</v>
      </c>
      <c r="P184" s="37">
        <v>0</v>
      </c>
      <c r="R184" s="8" t="str">
        <f t="shared" si="4"/>
        <v>TUSDBGeraçãoNão se aplicaNão se aplicaTIPO 02Não se aplicaNão se aplica</v>
      </c>
      <c r="S184" s="8">
        <f t="shared" si="5"/>
        <v>7.42</v>
      </c>
    </row>
    <row r="185" spans="1:19" ht="11.25" customHeight="1" x14ac:dyDescent="0.25">
      <c r="A185" s="37">
        <v>209</v>
      </c>
      <c r="B185" s="37" t="s">
        <v>533</v>
      </c>
      <c r="C185" s="37" t="s">
        <v>22</v>
      </c>
      <c r="D185" s="37" t="s">
        <v>32</v>
      </c>
      <c r="E185" s="37" t="s">
        <v>24</v>
      </c>
      <c r="F185" s="37" t="s">
        <v>24</v>
      </c>
      <c r="G185" s="37" t="s">
        <v>25</v>
      </c>
      <c r="H185" s="37" t="s">
        <v>25</v>
      </c>
      <c r="I185" s="37" t="s">
        <v>34</v>
      </c>
      <c r="J185" s="37" t="s">
        <v>678</v>
      </c>
      <c r="K185" s="37" t="s">
        <v>679</v>
      </c>
      <c r="L185" s="37" t="s">
        <v>75</v>
      </c>
      <c r="M185" s="37">
        <v>2021</v>
      </c>
      <c r="N185" s="37">
        <v>0</v>
      </c>
      <c r="O185" s="37">
        <v>198.56</v>
      </c>
      <c r="P185" s="37">
        <v>61.399261587869397</v>
      </c>
      <c r="R185" s="8" t="str">
        <f t="shared" si="4"/>
        <v>TUSDB1BrancaResidencialResidencialNão se aplicaNão se aplicaFora ponta</v>
      </c>
      <c r="S185" s="8">
        <f t="shared" si="5"/>
        <v>198.56</v>
      </c>
    </row>
    <row r="186" spans="1:19" ht="11.25" customHeight="1" x14ac:dyDescent="0.25">
      <c r="A186" s="37">
        <v>208</v>
      </c>
      <c r="B186" s="37" t="s">
        <v>533</v>
      </c>
      <c r="C186" s="37" t="s">
        <v>22</v>
      </c>
      <c r="D186" s="37" t="s">
        <v>32</v>
      </c>
      <c r="E186" s="37" t="s">
        <v>24</v>
      </c>
      <c r="F186" s="37" t="s">
        <v>24</v>
      </c>
      <c r="G186" s="37" t="s">
        <v>25</v>
      </c>
      <c r="H186" s="37" t="s">
        <v>25</v>
      </c>
      <c r="I186" s="37" t="s">
        <v>35</v>
      </c>
      <c r="J186" s="37" t="s">
        <v>678</v>
      </c>
      <c r="K186" s="37" t="s">
        <v>679</v>
      </c>
      <c r="L186" s="37" t="s">
        <v>75</v>
      </c>
      <c r="M186" s="37">
        <v>2021</v>
      </c>
      <c r="N186" s="37">
        <v>0</v>
      </c>
      <c r="O186" s="37">
        <v>380.18</v>
      </c>
      <c r="P186" s="37">
        <v>61.399261587869397</v>
      </c>
      <c r="R186" s="8" t="str">
        <f t="shared" si="4"/>
        <v>TUSDB1BrancaResidencialResidencialNão se aplicaNão se aplicaIntermediário</v>
      </c>
      <c r="S186" s="8">
        <f t="shared" si="5"/>
        <v>380.18</v>
      </c>
    </row>
    <row r="187" spans="1:19" ht="11.25" customHeight="1" x14ac:dyDescent="0.25">
      <c r="A187" s="37">
        <v>207</v>
      </c>
      <c r="B187" s="37" t="s">
        <v>533</v>
      </c>
      <c r="C187" s="37" t="s">
        <v>22</v>
      </c>
      <c r="D187" s="37" t="s">
        <v>32</v>
      </c>
      <c r="E187" s="37" t="s">
        <v>24</v>
      </c>
      <c r="F187" s="37" t="s">
        <v>24</v>
      </c>
      <c r="G187" s="37" t="s">
        <v>25</v>
      </c>
      <c r="H187" s="37" t="s">
        <v>25</v>
      </c>
      <c r="I187" s="37" t="s">
        <v>33</v>
      </c>
      <c r="J187" s="37" t="s">
        <v>678</v>
      </c>
      <c r="K187" s="37" t="s">
        <v>679</v>
      </c>
      <c r="L187" s="37" t="s">
        <v>75</v>
      </c>
      <c r="M187" s="37">
        <v>2021</v>
      </c>
      <c r="N187" s="37">
        <v>0</v>
      </c>
      <c r="O187" s="37">
        <v>561.79999999999995</v>
      </c>
      <c r="P187" s="37">
        <v>61.399261587869397</v>
      </c>
      <c r="R187" s="8" t="str">
        <f t="shared" si="4"/>
        <v>TUSDB1BrancaResidencialResidencialNão se aplicaNão se aplicaPonta</v>
      </c>
      <c r="S187" s="8">
        <f t="shared" si="5"/>
        <v>561.79999999999995</v>
      </c>
    </row>
    <row r="188" spans="1:19" ht="11.25" customHeight="1" x14ac:dyDescent="0.25">
      <c r="A188" s="37">
        <v>210</v>
      </c>
      <c r="B188" s="37" t="s">
        <v>533</v>
      </c>
      <c r="C188" s="37" t="s">
        <v>22</v>
      </c>
      <c r="D188" s="37" t="s">
        <v>23</v>
      </c>
      <c r="E188" s="37" t="s">
        <v>24</v>
      </c>
      <c r="F188" s="37" t="s">
        <v>24</v>
      </c>
      <c r="G188" s="37" t="s">
        <v>25</v>
      </c>
      <c r="H188" s="37" t="s">
        <v>25</v>
      </c>
      <c r="I188" s="37" t="s">
        <v>25</v>
      </c>
      <c r="J188" s="37" t="s">
        <v>678</v>
      </c>
      <c r="K188" s="37" t="s">
        <v>679</v>
      </c>
      <c r="L188" s="37" t="s">
        <v>75</v>
      </c>
      <c r="M188" s="37">
        <v>2021</v>
      </c>
      <c r="N188" s="37">
        <v>0</v>
      </c>
      <c r="O188" s="37">
        <v>269.91000000000003</v>
      </c>
      <c r="P188" s="37">
        <v>61.399261587869397</v>
      </c>
      <c r="R188" s="8" t="str">
        <f t="shared" si="4"/>
        <v>TUSDB1ConvencionalResidencialResidencialNão se aplicaNão se aplicaNão se aplica</v>
      </c>
      <c r="S188" s="8">
        <f t="shared" si="5"/>
        <v>269.91000000000003</v>
      </c>
    </row>
    <row r="189" spans="1:19" ht="11.25" customHeight="1" x14ac:dyDescent="0.25">
      <c r="A189" s="37">
        <v>211</v>
      </c>
      <c r="B189" s="37" t="s">
        <v>533</v>
      </c>
      <c r="C189" s="37" t="s">
        <v>22</v>
      </c>
      <c r="D189" s="37" t="s">
        <v>23</v>
      </c>
      <c r="E189" s="37" t="s">
        <v>24</v>
      </c>
      <c r="F189" s="37" t="s">
        <v>28</v>
      </c>
      <c r="G189" s="37" t="s">
        <v>25</v>
      </c>
      <c r="H189" s="37" t="s">
        <v>25</v>
      </c>
      <c r="I189" s="37" t="s">
        <v>25</v>
      </c>
      <c r="J189" s="37" t="s">
        <v>678</v>
      </c>
      <c r="K189" s="37" t="s">
        <v>679</v>
      </c>
      <c r="L189" s="37" t="s">
        <v>75</v>
      </c>
      <c r="M189" s="37">
        <v>2021</v>
      </c>
      <c r="N189" s="37">
        <v>0</v>
      </c>
      <c r="O189" s="37">
        <v>68.53</v>
      </c>
      <c r="P189" s="37">
        <v>0</v>
      </c>
      <c r="R189" s="8" t="str">
        <f t="shared" si="4"/>
        <v>TUSDB1ConvencionalResidencialResidencial baixa renda – faixa 01Não se aplicaNão se aplicaNão se aplica</v>
      </c>
      <c r="S189" s="8">
        <f t="shared" si="5"/>
        <v>68.53</v>
      </c>
    </row>
    <row r="190" spans="1:19" ht="11.25" customHeight="1" x14ac:dyDescent="0.25">
      <c r="A190" s="37">
        <v>212</v>
      </c>
      <c r="B190" s="37" t="s">
        <v>533</v>
      </c>
      <c r="C190" s="37" t="s">
        <v>22</v>
      </c>
      <c r="D190" s="37" t="s">
        <v>23</v>
      </c>
      <c r="E190" s="37" t="s">
        <v>24</v>
      </c>
      <c r="F190" s="37" t="s">
        <v>29</v>
      </c>
      <c r="G190" s="37" t="s">
        <v>25</v>
      </c>
      <c r="H190" s="37" t="s">
        <v>25</v>
      </c>
      <c r="I190" s="37" t="s">
        <v>25</v>
      </c>
      <c r="J190" s="37" t="s">
        <v>678</v>
      </c>
      <c r="K190" s="37" t="s">
        <v>679</v>
      </c>
      <c r="L190" s="37" t="s">
        <v>75</v>
      </c>
      <c r="M190" s="37">
        <v>2021</v>
      </c>
      <c r="N190" s="37">
        <v>0</v>
      </c>
      <c r="O190" s="37">
        <v>117.48</v>
      </c>
      <c r="P190" s="37">
        <v>0</v>
      </c>
      <c r="R190" s="8" t="str">
        <f t="shared" si="4"/>
        <v>TUSDB1ConvencionalResidencialResidencial baixa renda – faixa 02Não se aplicaNão se aplicaNão se aplica</v>
      </c>
      <c r="S190" s="8">
        <f t="shared" si="5"/>
        <v>117.48</v>
      </c>
    </row>
    <row r="191" spans="1:19" ht="11.25" customHeight="1" x14ac:dyDescent="0.25">
      <c r="A191" s="37">
        <v>213</v>
      </c>
      <c r="B191" s="37" t="s">
        <v>533</v>
      </c>
      <c r="C191" s="37" t="s">
        <v>22</v>
      </c>
      <c r="D191" s="37" t="s">
        <v>23</v>
      </c>
      <c r="E191" s="37" t="s">
        <v>24</v>
      </c>
      <c r="F191" s="37" t="s">
        <v>30</v>
      </c>
      <c r="G191" s="37" t="s">
        <v>25</v>
      </c>
      <c r="H191" s="37" t="s">
        <v>25</v>
      </c>
      <c r="I191" s="37" t="s">
        <v>25</v>
      </c>
      <c r="J191" s="37" t="s">
        <v>678</v>
      </c>
      <c r="K191" s="37" t="s">
        <v>679</v>
      </c>
      <c r="L191" s="37" t="s">
        <v>75</v>
      </c>
      <c r="M191" s="37">
        <v>2021</v>
      </c>
      <c r="N191" s="37">
        <v>0</v>
      </c>
      <c r="O191" s="37">
        <v>176.22</v>
      </c>
      <c r="P191" s="37">
        <v>0</v>
      </c>
      <c r="R191" s="8" t="str">
        <f t="shared" si="4"/>
        <v>TUSDB1ConvencionalResidencialResidencial baixa renda – faixa 03Não se aplicaNão se aplicaNão se aplica</v>
      </c>
      <c r="S191" s="8">
        <f t="shared" si="5"/>
        <v>176.22</v>
      </c>
    </row>
    <row r="192" spans="1:19" ht="11.25" customHeight="1" x14ac:dyDescent="0.25">
      <c r="A192" s="37">
        <v>214</v>
      </c>
      <c r="B192" s="37" t="s">
        <v>533</v>
      </c>
      <c r="C192" s="37" t="s">
        <v>22</v>
      </c>
      <c r="D192" s="37" t="s">
        <v>23</v>
      </c>
      <c r="E192" s="37" t="s">
        <v>24</v>
      </c>
      <c r="F192" s="37" t="s">
        <v>31</v>
      </c>
      <c r="G192" s="37" t="s">
        <v>25</v>
      </c>
      <c r="H192" s="37" t="s">
        <v>25</v>
      </c>
      <c r="I192" s="37" t="s">
        <v>25</v>
      </c>
      <c r="J192" s="37" t="s">
        <v>678</v>
      </c>
      <c r="K192" s="37" t="s">
        <v>679</v>
      </c>
      <c r="L192" s="37" t="s">
        <v>75</v>
      </c>
      <c r="M192" s="37">
        <v>2021</v>
      </c>
      <c r="N192" s="37">
        <v>0</v>
      </c>
      <c r="O192" s="37">
        <v>195.8</v>
      </c>
      <c r="P192" s="37">
        <v>0</v>
      </c>
      <c r="R192" s="8" t="str">
        <f t="shared" si="4"/>
        <v>TUSDB1ConvencionalResidencialResidencial baixa renda – faixa 04Não se aplicaNão se aplicaNão se aplica</v>
      </c>
      <c r="S192" s="8">
        <f t="shared" si="5"/>
        <v>195.8</v>
      </c>
    </row>
    <row r="193" spans="1:19" ht="11.25" customHeight="1" x14ac:dyDescent="0.25">
      <c r="A193" s="37">
        <v>215</v>
      </c>
      <c r="B193" s="37" t="s">
        <v>533</v>
      </c>
      <c r="C193" s="37" t="s">
        <v>22</v>
      </c>
      <c r="D193" s="37" t="s">
        <v>90</v>
      </c>
      <c r="E193" s="37" t="s">
        <v>24</v>
      </c>
      <c r="F193" s="37" t="s">
        <v>24</v>
      </c>
      <c r="G193" s="37" t="s">
        <v>25</v>
      </c>
      <c r="H193" s="37" t="s">
        <v>25</v>
      </c>
      <c r="I193" s="37" t="s">
        <v>25</v>
      </c>
      <c r="J193" s="37" t="s">
        <v>678</v>
      </c>
      <c r="K193" s="37" t="s">
        <v>679</v>
      </c>
      <c r="L193" s="37" t="s">
        <v>75</v>
      </c>
      <c r="M193" s="37">
        <v>2021</v>
      </c>
      <c r="N193" s="37">
        <v>0</v>
      </c>
      <c r="O193" s="37">
        <v>269.91000000000003</v>
      </c>
      <c r="P193" s="37">
        <v>61.399261587869397</v>
      </c>
      <c r="R193" s="8" t="str">
        <f t="shared" si="4"/>
        <v>TUSDB1Convencional pré-pagamentoResidencialResidencialNão se aplicaNão se aplicaNão se aplica</v>
      </c>
      <c r="S193" s="8">
        <f t="shared" si="5"/>
        <v>269.91000000000003</v>
      </c>
    </row>
    <row r="194" spans="1:19" ht="11.25" customHeight="1" x14ac:dyDescent="0.25">
      <c r="A194" s="37">
        <v>216</v>
      </c>
      <c r="B194" s="37" t="s">
        <v>533</v>
      </c>
      <c r="C194" s="37" t="s">
        <v>22</v>
      </c>
      <c r="D194" s="37" t="s">
        <v>90</v>
      </c>
      <c r="E194" s="37" t="s">
        <v>24</v>
      </c>
      <c r="F194" s="37" t="s">
        <v>28</v>
      </c>
      <c r="G194" s="37" t="s">
        <v>25</v>
      </c>
      <c r="H194" s="37" t="s">
        <v>25</v>
      </c>
      <c r="I194" s="37" t="s">
        <v>25</v>
      </c>
      <c r="J194" s="37" t="s">
        <v>678</v>
      </c>
      <c r="K194" s="37" t="s">
        <v>679</v>
      </c>
      <c r="L194" s="37" t="s">
        <v>75</v>
      </c>
      <c r="M194" s="37">
        <v>2021</v>
      </c>
      <c r="N194" s="37">
        <v>0</v>
      </c>
      <c r="O194" s="37">
        <v>68.53</v>
      </c>
      <c r="P194" s="37">
        <v>0</v>
      </c>
      <c r="R194" s="8" t="str">
        <f t="shared" ref="R194:R219" si="6">B194&amp;C194&amp;D194&amp;E194&amp;F194&amp;G194&amp;H194&amp;I194</f>
        <v>TUSDB1Convencional pré-pagamentoResidencialResidencial baixa renda – faixa 01Não se aplicaNão se aplicaNão se aplica</v>
      </c>
      <c r="S194" s="8">
        <f t="shared" ref="S194:S219" si="7">O194</f>
        <v>68.53</v>
      </c>
    </row>
    <row r="195" spans="1:19" ht="11.25" customHeight="1" x14ac:dyDescent="0.25">
      <c r="A195" s="37">
        <v>217</v>
      </c>
      <c r="B195" s="37" t="s">
        <v>533</v>
      </c>
      <c r="C195" s="37" t="s">
        <v>22</v>
      </c>
      <c r="D195" s="37" t="s">
        <v>90</v>
      </c>
      <c r="E195" s="37" t="s">
        <v>24</v>
      </c>
      <c r="F195" s="37" t="s">
        <v>29</v>
      </c>
      <c r="G195" s="37" t="s">
        <v>25</v>
      </c>
      <c r="H195" s="37" t="s">
        <v>25</v>
      </c>
      <c r="I195" s="37" t="s">
        <v>25</v>
      </c>
      <c r="J195" s="37" t="s">
        <v>678</v>
      </c>
      <c r="K195" s="37" t="s">
        <v>679</v>
      </c>
      <c r="L195" s="37" t="s">
        <v>75</v>
      </c>
      <c r="M195" s="37">
        <v>2021</v>
      </c>
      <c r="N195" s="37">
        <v>0</v>
      </c>
      <c r="O195" s="37">
        <v>117.48</v>
      </c>
      <c r="P195" s="37">
        <v>0</v>
      </c>
      <c r="R195" s="8" t="str">
        <f t="shared" si="6"/>
        <v>TUSDB1Convencional pré-pagamentoResidencialResidencial baixa renda – faixa 02Não se aplicaNão se aplicaNão se aplica</v>
      </c>
      <c r="S195" s="8">
        <f t="shared" si="7"/>
        <v>117.48</v>
      </c>
    </row>
    <row r="196" spans="1:19" ht="11.25" customHeight="1" x14ac:dyDescent="0.25">
      <c r="A196" s="37">
        <v>218</v>
      </c>
      <c r="B196" s="37" t="s">
        <v>533</v>
      </c>
      <c r="C196" s="37" t="s">
        <v>22</v>
      </c>
      <c r="D196" s="37" t="s">
        <v>90</v>
      </c>
      <c r="E196" s="37" t="s">
        <v>24</v>
      </c>
      <c r="F196" s="37" t="s">
        <v>30</v>
      </c>
      <c r="G196" s="37" t="s">
        <v>25</v>
      </c>
      <c r="H196" s="37" t="s">
        <v>25</v>
      </c>
      <c r="I196" s="37" t="s">
        <v>25</v>
      </c>
      <c r="J196" s="37" t="s">
        <v>678</v>
      </c>
      <c r="K196" s="37" t="s">
        <v>679</v>
      </c>
      <c r="L196" s="37" t="s">
        <v>75</v>
      </c>
      <c r="M196" s="37">
        <v>2021</v>
      </c>
      <c r="N196" s="37">
        <v>0</v>
      </c>
      <c r="O196" s="37">
        <v>176.22</v>
      </c>
      <c r="P196" s="37">
        <v>0</v>
      </c>
      <c r="R196" s="8" t="str">
        <f t="shared" si="6"/>
        <v>TUSDB1Convencional pré-pagamentoResidencialResidencial baixa renda – faixa 03Não se aplicaNão se aplicaNão se aplica</v>
      </c>
      <c r="S196" s="8">
        <f t="shared" si="7"/>
        <v>176.22</v>
      </c>
    </row>
    <row r="197" spans="1:19" ht="11.25" customHeight="1" x14ac:dyDescent="0.25">
      <c r="A197" s="37">
        <v>2</v>
      </c>
      <c r="B197" s="37" t="s">
        <v>533</v>
      </c>
      <c r="C197" s="37" t="s">
        <v>22</v>
      </c>
      <c r="D197" s="37" t="s">
        <v>90</v>
      </c>
      <c r="E197" s="37" t="s">
        <v>24</v>
      </c>
      <c r="F197" s="37" t="s">
        <v>31</v>
      </c>
      <c r="G197" s="37" t="s">
        <v>25</v>
      </c>
      <c r="H197" s="37" t="s">
        <v>25</v>
      </c>
      <c r="I197" s="37" t="s">
        <v>25</v>
      </c>
      <c r="J197" s="37" t="s">
        <v>678</v>
      </c>
      <c r="K197" s="37" t="s">
        <v>679</v>
      </c>
      <c r="L197" s="37" t="s">
        <v>75</v>
      </c>
      <c r="M197" s="37">
        <v>2021</v>
      </c>
      <c r="N197" s="37">
        <v>0</v>
      </c>
      <c r="O197" s="37">
        <v>195.8</v>
      </c>
      <c r="P197" s="37">
        <v>0</v>
      </c>
      <c r="R197" s="8" t="str">
        <f t="shared" si="6"/>
        <v>TUSDB1Convencional pré-pagamentoResidencialResidencial baixa renda – faixa 04Não se aplicaNão se aplicaNão se aplica</v>
      </c>
      <c r="S197" s="8">
        <f t="shared" si="7"/>
        <v>195.8</v>
      </c>
    </row>
    <row r="198" spans="1:19" ht="11.25" customHeight="1" x14ac:dyDescent="0.25">
      <c r="A198" s="37">
        <v>16</v>
      </c>
      <c r="B198" s="37" t="s">
        <v>533</v>
      </c>
      <c r="C198" s="37" t="s">
        <v>41</v>
      </c>
      <c r="D198" s="37" t="s">
        <v>32</v>
      </c>
      <c r="E198" s="37" t="s">
        <v>42</v>
      </c>
      <c r="F198" s="37" t="s">
        <v>91</v>
      </c>
      <c r="G198" s="37" t="s">
        <v>25</v>
      </c>
      <c r="H198" s="37" t="s">
        <v>25</v>
      </c>
      <c r="I198" s="37" t="s">
        <v>34</v>
      </c>
      <c r="J198" s="37" t="s">
        <v>678</v>
      </c>
      <c r="K198" s="37" t="s">
        <v>679</v>
      </c>
      <c r="L198" s="37" t="s">
        <v>75</v>
      </c>
      <c r="M198" s="37">
        <v>2021</v>
      </c>
      <c r="N198" s="37">
        <v>0</v>
      </c>
      <c r="O198" s="37">
        <v>173.83</v>
      </c>
      <c r="P198" s="37">
        <v>52.465669026834398</v>
      </c>
      <c r="R198" s="8" t="str">
        <f t="shared" si="6"/>
        <v>TUSDB2BrancaRuralCooperativa de eletrificação ruralNão se aplicaNão se aplicaFora ponta</v>
      </c>
      <c r="S198" s="8">
        <f t="shared" si="7"/>
        <v>173.83</v>
      </c>
    </row>
    <row r="199" spans="1:19" ht="11.25" customHeight="1" x14ac:dyDescent="0.25">
      <c r="A199" s="37">
        <v>14</v>
      </c>
      <c r="B199" s="37" t="s">
        <v>533</v>
      </c>
      <c r="C199" s="37" t="s">
        <v>41</v>
      </c>
      <c r="D199" s="37" t="s">
        <v>32</v>
      </c>
      <c r="E199" s="37" t="s">
        <v>42</v>
      </c>
      <c r="F199" s="37" t="s">
        <v>91</v>
      </c>
      <c r="G199" s="37" t="s">
        <v>25</v>
      </c>
      <c r="H199" s="37" t="s">
        <v>25</v>
      </c>
      <c r="I199" s="37" t="s">
        <v>35</v>
      </c>
      <c r="J199" s="37" t="s">
        <v>678</v>
      </c>
      <c r="K199" s="37" t="s">
        <v>679</v>
      </c>
      <c r="L199" s="37" t="s">
        <v>75</v>
      </c>
      <c r="M199" s="37">
        <v>2021</v>
      </c>
      <c r="N199" s="37">
        <v>0</v>
      </c>
      <c r="O199" s="37">
        <v>337.34</v>
      </c>
      <c r="P199" s="37">
        <v>52.465669026834398</v>
      </c>
      <c r="R199" s="8" t="str">
        <f t="shared" si="6"/>
        <v>TUSDB2BrancaRuralCooperativa de eletrificação ruralNão se aplicaNão se aplicaIntermediário</v>
      </c>
      <c r="S199" s="8">
        <f t="shared" si="7"/>
        <v>337.34</v>
      </c>
    </row>
    <row r="200" spans="1:19" ht="11.25" customHeight="1" x14ac:dyDescent="0.25">
      <c r="A200" s="37">
        <v>12</v>
      </c>
      <c r="B200" s="37" t="s">
        <v>533</v>
      </c>
      <c r="C200" s="37" t="s">
        <v>41</v>
      </c>
      <c r="D200" s="37" t="s">
        <v>32</v>
      </c>
      <c r="E200" s="37" t="s">
        <v>42</v>
      </c>
      <c r="F200" s="37" t="s">
        <v>91</v>
      </c>
      <c r="G200" s="37" t="s">
        <v>25</v>
      </c>
      <c r="H200" s="37" t="s">
        <v>25</v>
      </c>
      <c r="I200" s="37" t="s">
        <v>33</v>
      </c>
      <c r="J200" s="37" t="s">
        <v>678</v>
      </c>
      <c r="K200" s="37" t="s">
        <v>679</v>
      </c>
      <c r="L200" s="37" t="s">
        <v>75</v>
      </c>
      <c r="M200" s="37">
        <v>2021</v>
      </c>
      <c r="N200" s="37">
        <v>0</v>
      </c>
      <c r="O200" s="37">
        <v>500.85</v>
      </c>
      <c r="P200" s="37">
        <v>52.465669026834398</v>
      </c>
      <c r="R200" s="8" t="str">
        <f t="shared" si="6"/>
        <v>TUSDB2BrancaRuralCooperativa de eletrificação ruralNão se aplicaNão se aplicaPonta</v>
      </c>
      <c r="S200" s="8">
        <f t="shared" si="7"/>
        <v>500.85</v>
      </c>
    </row>
    <row r="201" spans="1:19" ht="11.25" customHeight="1" x14ac:dyDescent="0.25">
      <c r="A201" s="37">
        <v>8</v>
      </c>
      <c r="B201" s="37" t="s">
        <v>533</v>
      </c>
      <c r="C201" s="37" t="s">
        <v>41</v>
      </c>
      <c r="D201" s="37" t="s">
        <v>32</v>
      </c>
      <c r="E201" s="37" t="s">
        <v>42</v>
      </c>
      <c r="F201" s="37" t="s">
        <v>25</v>
      </c>
      <c r="G201" s="37" t="s">
        <v>25</v>
      </c>
      <c r="H201" s="37" t="s">
        <v>25</v>
      </c>
      <c r="I201" s="37" t="s">
        <v>34</v>
      </c>
      <c r="J201" s="37" t="s">
        <v>678</v>
      </c>
      <c r="K201" s="37" t="s">
        <v>679</v>
      </c>
      <c r="L201" s="37" t="s">
        <v>75</v>
      </c>
      <c r="M201" s="37">
        <v>2021</v>
      </c>
      <c r="N201" s="37">
        <v>0</v>
      </c>
      <c r="O201" s="37">
        <v>179.01</v>
      </c>
      <c r="P201" s="37">
        <v>54.031350197325096</v>
      </c>
      <c r="R201" s="8" t="str">
        <f t="shared" si="6"/>
        <v>TUSDB2BrancaRuralNão se aplicaNão se aplicaNão se aplicaFora ponta</v>
      </c>
      <c r="S201" s="8">
        <f t="shared" si="7"/>
        <v>179.01</v>
      </c>
    </row>
    <row r="202" spans="1:19" ht="11.25" customHeight="1" x14ac:dyDescent="0.25">
      <c r="A202" s="37">
        <v>6</v>
      </c>
      <c r="B202" s="37" t="s">
        <v>533</v>
      </c>
      <c r="C202" s="37" t="s">
        <v>41</v>
      </c>
      <c r="D202" s="37" t="s">
        <v>32</v>
      </c>
      <c r="E202" s="37" t="s">
        <v>42</v>
      </c>
      <c r="F202" s="37" t="s">
        <v>25</v>
      </c>
      <c r="G202" s="37" t="s">
        <v>25</v>
      </c>
      <c r="H202" s="37" t="s">
        <v>25</v>
      </c>
      <c r="I202" s="37" t="s">
        <v>35</v>
      </c>
      <c r="J202" s="37" t="s">
        <v>678</v>
      </c>
      <c r="K202" s="37" t="s">
        <v>679</v>
      </c>
      <c r="L202" s="37" t="s">
        <v>75</v>
      </c>
      <c r="M202" s="37">
        <v>2021</v>
      </c>
      <c r="N202" s="37">
        <v>0</v>
      </c>
      <c r="O202" s="37">
        <v>347.4</v>
      </c>
      <c r="P202" s="37">
        <v>54.031350197325096</v>
      </c>
      <c r="R202" s="8" t="str">
        <f t="shared" si="6"/>
        <v>TUSDB2BrancaRuralNão se aplicaNão se aplicaNão se aplicaIntermediário</v>
      </c>
      <c r="S202" s="8">
        <f t="shared" si="7"/>
        <v>347.4</v>
      </c>
    </row>
    <row r="203" spans="1:19" ht="11.25" customHeight="1" x14ac:dyDescent="0.25">
      <c r="A203" s="37">
        <v>4</v>
      </c>
      <c r="B203" s="37" t="s">
        <v>533</v>
      </c>
      <c r="C203" s="37" t="s">
        <v>41</v>
      </c>
      <c r="D203" s="37" t="s">
        <v>32</v>
      </c>
      <c r="E203" s="37" t="s">
        <v>42</v>
      </c>
      <c r="F203" s="37" t="s">
        <v>25</v>
      </c>
      <c r="G203" s="37" t="s">
        <v>25</v>
      </c>
      <c r="H203" s="37" t="s">
        <v>25</v>
      </c>
      <c r="I203" s="37" t="s">
        <v>33</v>
      </c>
      <c r="J203" s="37" t="s">
        <v>678</v>
      </c>
      <c r="K203" s="37" t="s">
        <v>679</v>
      </c>
      <c r="L203" s="37" t="s">
        <v>75</v>
      </c>
      <c r="M203" s="37">
        <v>2021</v>
      </c>
      <c r="N203" s="37">
        <v>0</v>
      </c>
      <c r="O203" s="37">
        <v>515.79</v>
      </c>
      <c r="P203" s="37">
        <v>54.031350197325096</v>
      </c>
      <c r="R203" s="8" t="str">
        <f t="shared" si="6"/>
        <v>TUSDB2BrancaRuralNão se aplicaNão se aplicaNão se aplicaPonta</v>
      </c>
      <c r="S203" s="8">
        <f t="shared" si="7"/>
        <v>515.79</v>
      </c>
    </row>
    <row r="204" spans="1:19" ht="11.25" customHeight="1" x14ac:dyDescent="0.25">
      <c r="A204" s="37">
        <v>24</v>
      </c>
      <c r="B204" s="37" t="s">
        <v>533</v>
      </c>
      <c r="C204" s="37" t="s">
        <v>41</v>
      </c>
      <c r="D204" s="37" t="s">
        <v>32</v>
      </c>
      <c r="E204" s="37" t="s">
        <v>42</v>
      </c>
      <c r="F204" s="37" t="s">
        <v>92</v>
      </c>
      <c r="G204" s="37" t="s">
        <v>25</v>
      </c>
      <c r="H204" s="37" t="s">
        <v>25</v>
      </c>
      <c r="I204" s="37" t="s">
        <v>34</v>
      </c>
      <c r="J204" s="37" t="s">
        <v>678</v>
      </c>
      <c r="K204" s="37" t="s">
        <v>679</v>
      </c>
      <c r="L204" s="37" t="s">
        <v>75</v>
      </c>
      <c r="M204" s="37">
        <v>2021</v>
      </c>
      <c r="N204" s="37">
        <v>0</v>
      </c>
      <c r="O204" s="37">
        <v>170.88</v>
      </c>
      <c r="P204" s="37">
        <v>51.575379733810301</v>
      </c>
      <c r="R204" s="8" t="str">
        <f t="shared" si="6"/>
        <v>TUSDB2BrancaRuralServiço público de irrigação ruralNão se aplicaNão se aplicaFora ponta</v>
      </c>
      <c r="S204" s="8">
        <f t="shared" si="7"/>
        <v>170.88</v>
      </c>
    </row>
    <row r="205" spans="1:19" ht="11.25" customHeight="1" x14ac:dyDescent="0.25">
      <c r="A205" s="37">
        <v>22</v>
      </c>
      <c r="B205" s="37" t="s">
        <v>533</v>
      </c>
      <c r="C205" s="37" t="s">
        <v>41</v>
      </c>
      <c r="D205" s="37" t="s">
        <v>32</v>
      </c>
      <c r="E205" s="37" t="s">
        <v>42</v>
      </c>
      <c r="F205" s="37" t="s">
        <v>92</v>
      </c>
      <c r="G205" s="37" t="s">
        <v>25</v>
      </c>
      <c r="H205" s="37" t="s">
        <v>25</v>
      </c>
      <c r="I205" s="37" t="s">
        <v>35</v>
      </c>
      <c r="J205" s="37" t="s">
        <v>678</v>
      </c>
      <c r="K205" s="37" t="s">
        <v>679</v>
      </c>
      <c r="L205" s="37" t="s">
        <v>75</v>
      </c>
      <c r="M205" s="37">
        <v>2021</v>
      </c>
      <c r="N205" s="37">
        <v>0</v>
      </c>
      <c r="O205" s="37">
        <v>331.61</v>
      </c>
      <c r="P205" s="37">
        <v>51.575379733810301</v>
      </c>
      <c r="R205" s="8" t="str">
        <f t="shared" si="6"/>
        <v>TUSDB2BrancaRuralServiço público de irrigação ruralNão se aplicaNão se aplicaIntermediário</v>
      </c>
      <c r="S205" s="8">
        <f t="shared" si="7"/>
        <v>331.61</v>
      </c>
    </row>
    <row r="206" spans="1:19" ht="11.25" customHeight="1" x14ac:dyDescent="0.25">
      <c r="A206" s="37">
        <v>20</v>
      </c>
      <c r="B206" s="37" t="s">
        <v>533</v>
      </c>
      <c r="C206" s="37" t="s">
        <v>41</v>
      </c>
      <c r="D206" s="37" t="s">
        <v>32</v>
      </c>
      <c r="E206" s="37" t="s">
        <v>42</v>
      </c>
      <c r="F206" s="37" t="s">
        <v>92</v>
      </c>
      <c r="G206" s="37" t="s">
        <v>25</v>
      </c>
      <c r="H206" s="37" t="s">
        <v>25</v>
      </c>
      <c r="I206" s="37" t="s">
        <v>33</v>
      </c>
      <c r="J206" s="37" t="s">
        <v>678</v>
      </c>
      <c r="K206" s="37" t="s">
        <v>679</v>
      </c>
      <c r="L206" s="37" t="s">
        <v>75</v>
      </c>
      <c r="M206" s="37">
        <v>2021</v>
      </c>
      <c r="N206" s="37">
        <v>0</v>
      </c>
      <c r="O206" s="37">
        <v>492.35</v>
      </c>
      <c r="P206" s="37">
        <v>51.575379733810301</v>
      </c>
      <c r="R206" s="8" t="str">
        <f t="shared" si="6"/>
        <v>TUSDB2BrancaRuralServiço público de irrigação ruralNão se aplicaNão se aplicaPonta</v>
      </c>
      <c r="S206" s="8">
        <f t="shared" si="7"/>
        <v>492.35</v>
      </c>
    </row>
    <row r="207" spans="1:19" ht="11.25" customHeight="1" x14ac:dyDescent="0.25">
      <c r="A207" s="37">
        <v>18</v>
      </c>
      <c r="B207" s="37" t="s">
        <v>533</v>
      </c>
      <c r="C207" s="37" t="s">
        <v>41</v>
      </c>
      <c r="D207" s="37" t="s">
        <v>23</v>
      </c>
      <c r="E207" s="37" t="s">
        <v>42</v>
      </c>
      <c r="F207" s="37" t="s">
        <v>91</v>
      </c>
      <c r="G207" s="37" t="s">
        <v>25</v>
      </c>
      <c r="H207" s="37" t="s">
        <v>25</v>
      </c>
      <c r="I207" s="37" t="s">
        <v>25</v>
      </c>
      <c r="J207" s="37" t="s">
        <v>678</v>
      </c>
      <c r="K207" s="37" t="s">
        <v>679</v>
      </c>
      <c r="L207" s="37" t="s">
        <v>75</v>
      </c>
      <c r="M207" s="37">
        <v>2021</v>
      </c>
      <c r="N207" s="37">
        <v>0</v>
      </c>
      <c r="O207" s="37">
        <v>230.64</v>
      </c>
      <c r="P207" s="37">
        <v>52.465669026834398</v>
      </c>
      <c r="R207" s="8" t="str">
        <f t="shared" si="6"/>
        <v>TUSDB2ConvencionalRuralCooperativa de eletrificação ruralNão se aplicaNão se aplicaNão se aplica</v>
      </c>
      <c r="S207" s="8">
        <f t="shared" si="7"/>
        <v>230.64</v>
      </c>
    </row>
    <row r="208" spans="1:19" ht="11.25" customHeight="1" x14ac:dyDescent="0.25">
      <c r="A208" s="37">
        <v>10</v>
      </c>
      <c r="B208" s="37" t="s">
        <v>533</v>
      </c>
      <c r="C208" s="37" t="s">
        <v>41</v>
      </c>
      <c r="D208" s="37" t="s">
        <v>23</v>
      </c>
      <c r="E208" s="37" t="s">
        <v>42</v>
      </c>
      <c r="F208" s="37" t="s">
        <v>25</v>
      </c>
      <c r="G208" s="37" t="s">
        <v>25</v>
      </c>
      <c r="H208" s="37" t="s">
        <v>25</v>
      </c>
      <c r="I208" s="37" t="s">
        <v>25</v>
      </c>
      <c r="J208" s="37" t="s">
        <v>678</v>
      </c>
      <c r="K208" s="37" t="s">
        <v>679</v>
      </c>
      <c r="L208" s="37" t="s">
        <v>75</v>
      </c>
      <c r="M208" s="37">
        <v>2021</v>
      </c>
      <c r="N208" s="37">
        <v>0</v>
      </c>
      <c r="O208" s="37">
        <v>237.52</v>
      </c>
      <c r="P208" s="37">
        <v>54.031350197325096</v>
      </c>
      <c r="R208" s="8" t="str">
        <f t="shared" si="6"/>
        <v>TUSDB2ConvencionalRuralNão se aplicaNão se aplicaNão se aplicaNão se aplica</v>
      </c>
      <c r="S208" s="8">
        <f t="shared" si="7"/>
        <v>237.52</v>
      </c>
    </row>
    <row r="209" spans="1:19" ht="11.25" customHeight="1" x14ac:dyDescent="0.25">
      <c r="A209" s="37">
        <v>26</v>
      </c>
      <c r="B209" s="37" t="s">
        <v>533</v>
      </c>
      <c r="C209" s="37" t="s">
        <v>41</v>
      </c>
      <c r="D209" s="37" t="s">
        <v>23</v>
      </c>
      <c r="E209" s="37" t="s">
        <v>42</v>
      </c>
      <c r="F209" s="37" t="s">
        <v>92</v>
      </c>
      <c r="G209" s="37" t="s">
        <v>25</v>
      </c>
      <c r="H209" s="37" t="s">
        <v>25</v>
      </c>
      <c r="I209" s="37" t="s">
        <v>25</v>
      </c>
      <c r="J209" s="37" t="s">
        <v>678</v>
      </c>
      <c r="K209" s="37" t="s">
        <v>679</v>
      </c>
      <c r="L209" s="37" t="s">
        <v>75</v>
      </c>
      <c r="M209" s="37">
        <v>2021</v>
      </c>
      <c r="N209" s="37">
        <v>0</v>
      </c>
      <c r="O209" s="37">
        <v>226.72</v>
      </c>
      <c r="P209" s="37">
        <v>51.575379733810301</v>
      </c>
      <c r="R209" s="8" t="str">
        <f t="shared" si="6"/>
        <v>TUSDB2ConvencionalRuralServiço público de irrigação ruralNão se aplicaNão se aplicaNão se aplica</v>
      </c>
      <c r="S209" s="8">
        <f t="shared" si="7"/>
        <v>226.72</v>
      </c>
    </row>
    <row r="210" spans="1:19" ht="11.25" customHeight="1" x14ac:dyDescent="0.25">
      <c r="A210" s="37">
        <v>30</v>
      </c>
      <c r="B210" s="37" t="s">
        <v>533</v>
      </c>
      <c r="C210" s="37" t="s">
        <v>41</v>
      </c>
      <c r="D210" s="37" t="s">
        <v>90</v>
      </c>
      <c r="E210" s="37" t="s">
        <v>42</v>
      </c>
      <c r="F210" s="37" t="s">
        <v>91</v>
      </c>
      <c r="G210" s="37" t="s">
        <v>25</v>
      </c>
      <c r="H210" s="37" t="s">
        <v>25</v>
      </c>
      <c r="I210" s="37" t="s">
        <v>25</v>
      </c>
      <c r="J210" s="37" t="s">
        <v>678</v>
      </c>
      <c r="K210" s="37" t="s">
        <v>679</v>
      </c>
      <c r="L210" s="37" t="s">
        <v>75</v>
      </c>
      <c r="M210" s="37">
        <v>2021</v>
      </c>
      <c r="N210" s="37">
        <v>0</v>
      </c>
      <c r="O210" s="37">
        <v>230.64</v>
      </c>
      <c r="P210" s="37">
        <v>52.465669026834398</v>
      </c>
      <c r="R210" s="8" t="str">
        <f t="shared" si="6"/>
        <v>TUSDB2Convencional pré-pagamentoRuralCooperativa de eletrificação ruralNão se aplicaNão se aplicaNão se aplica</v>
      </c>
      <c r="S210" s="8">
        <f t="shared" si="7"/>
        <v>230.64</v>
      </c>
    </row>
    <row r="211" spans="1:19" ht="11.25" customHeight="1" x14ac:dyDescent="0.25">
      <c r="A211" s="37">
        <v>28</v>
      </c>
      <c r="B211" s="37" t="s">
        <v>533</v>
      </c>
      <c r="C211" s="37" t="s">
        <v>41</v>
      </c>
      <c r="D211" s="37" t="s">
        <v>90</v>
      </c>
      <c r="E211" s="37" t="s">
        <v>42</v>
      </c>
      <c r="F211" s="37" t="s">
        <v>25</v>
      </c>
      <c r="G211" s="37" t="s">
        <v>25</v>
      </c>
      <c r="H211" s="37" t="s">
        <v>25</v>
      </c>
      <c r="I211" s="37" t="s">
        <v>25</v>
      </c>
      <c r="J211" s="37" t="s">
        <v>678</v>
      </c>
      <c r="K211" s="37" t="s">
        <v>679</v>
      </c>
      <c r="L211" s="37" t="s">
        <v>75</v>
      </c>
      <c r="M211" s="37">
        <v>2021</v>
      </c>
      <c r="N211" s="37">
        <v>0</v>
      </c>
      <c r="O211" s="37">
        <v>237.52</v>
      </c>
      <c r="P211" s="37">
        <v>54.031350197325096</v>
      </c>
      <c r="R211" s="8" t="str">
        <f t="shared" si="6"/>
        <v>TUSDB2Convencional pré-pagamentoRuralNão se aplicaNão se aplicaNão se aplicaNão se aplica</v>
      </c>
      <c r="S211" s="8">
        <f t="shared" si="7"/>
        <v>237.52</v>
      </c>
    </row>
    <row r="212" spans="1:19" ht="11.25" customHeight="1" x14ac:dyDescent="0.25">
      <c r="A212" s="37">
        <v>32</v>
      </c>
      <c r="B212" s="37" t="s">
        <v>533</v>
      </c>
      <c r="C212" s="37" t="s">
        <v>41</v>
      </c>
      <c r="D212" s="37" t="s">
        <v>90</v>
      </c>
      <c r="E212" s="37" t="s">
        <v>42</v>
      </c>
      <c r="F212" s="37" t="s">
        <v>92</v>
      </c>
      <c r="G212" s="37" t="s">
        <v>25</v>
      </c>
      <c r="H212" s="37" t="s">
        <v>25</v>
      </c>
      <c r="I212" s="37" t="s">
        <v>25</v>
      </c>
      <c r="J212" s="37" t="s">
        <v>678</v>
      </c>
      <c r="K212" s="37" t="s">
        <v>679</v>
      </c>
      <c r="L212" s="37" t="s">
        <v>75</v>
      </c>
      <c r="M212" s="37">
        <v>2021</v>
      </c>
      <c r="N212" s="37">
        <v>0</v>
      </c>
      <c r="O212" s="37">
        <v>226.72</v>
      </c>
      <c r="P212" s="37">
        <v>51.575379733810301</v>
      </c>
      <c r="R212" s="8" t="str">
        <f t="shared" si="6"/>
        <v>TUSDB2Convencional pré-pagamentoRuralServiço público de irrigação ruralNão se aplicaNão se aplicaNão se aplica</v>
      </c>
      <c r="S212" s="8">
        <f t="shared" si="7"/>
        <v>226.72</v>
      </c>
    </row>
    <row r="213" spans="1:19" ht="11.25" customHeight="1" x14ac:dyDescent="0.25">
      <c r="A213" s="37">
        <v>38</v>
      </c>
      <c r="B213" s="37" t="s">
        <v>533</v>
      </c>
      <c r="C213" s="37" t="s">
        <v>36</v>
      </c>
      <c r="D213" s="37" t="s">
        <v>32</v>
      </c>
      <c r="E213" s="37" t="s">
        <v>25</v>
      </c>
      <c r="F213" s="37" t="s">
        <v>25</v>
      </c>
      <c r="G213" s="37" t="s">
        <v>25</v>
      </c>
      <c r="H213" s="37" t="s">
        <v>25</v>
      </c>
      <c r="I213" s="37" t="s">
        <v>34</v>
      </c>
      <c r="J213" s="37" t="s">
        <v>678</v>
      </c>
      <c r="K213" s="37" t="s">
        <v>679</v>
      </c>
      <c r="L213" s="37" t="s">
        <v>75</v>
      </c>
      <c r="M213" s="37">
        <v>2021</v>
      </c>
      <c r="N213" s="37">
        <v>0</v>
      </c>
      <c r="O213" s="37">
        <v>214.77</v>
      </c>
      <c r="P213" s="37">
        <v>61.399261587869397</v>
      </c>
      <c r="R213" s="8" t="str">
        <f t="shared" si="6"/>
        <v>TUSDB3BrancaNão se aplicaNão se aplicaNão se aplicaNão se aplicaFora ponta</v>
      </c>
      <c r="S213" s="8">
        <f t="shared" si="7"/>
        <v>214.77</v>
      </c>
    </row>
    <row r="214" spans="1:19" ht="11.25" customHeight="1" x14ac:dyDescent="0.25">
      <c r="A214" s="37">
        <v>36</v>
      </c>
      <c r="B214" s="37" t="s">
        <v>533</v>
      </c>
      <c r="C214" s="37" t="s">
        <v>36</v>
      </c>
      <c r="D214" s="37" t="s">
        <v>32</v>
      </c>
      <c r="E214" s="37" t="s">
        <v>25</v>
      </c>
      <c r="F214" s="37" t="s">
        <v>25</v>
      </c>
      <c r="G214" s="37" t="s">
        <v>25</v>
      </c>
      <c r="H214" s="37" t="s">
        <v>25</v>
      </c>
      <c r="I214" s="37" t="s">
        <v>35</v>
      </c>
      <c r="J214" s="37" t="s">
        <v>678</v>
      </c>
      <c r="K214" s="37" t="s">
        <v>679</v>
      </c>
      <c r="L214" s="37" t="s">
        <v>75</v>
      </c>
      <c r="M214" s="37">
        <v>2021</v>
      </c>
      <c r="N214" s="37">
        <v>0</v>
      </c>
      <c r="O214" s="37">
        <v>428.83</v>
      </c>
      <c r="P214" s="37">
        <v>61.399261587869397</v>
      </c>
      <c r="R214" s="8" t="str">
        <f t="shared" si="6"/>
        <v>TUSDB3BrancaNão se aplicaNão se aplicaNão se aplicaNão se aplicaIntermediário</v>
      </c>
      <c r="S214" s="8">
        <f t="shared" si="7"/>
        <v>428.83</v>
      </c>
    </row>
    <row r="215" spans="1:19" ht="11.25" customHeight="1" x14ac:dyDescent="0.25">
      <c r="A215" s="37">
        <v>34</v>
      </c>
      <c r="B215" s="37" t="s">
        <v>533</v>
      </c>
      <c r="C215" s="37" t="s">
        <v>36</v>
      </c>
      <c r="D215" s="37" t="s">
        <v>32</v>
      </c>
      <c r="E215" s="37" t="s">
        <v>25</v>
      </c>
      <c r="F215" s="37" t="s">
        <v>25</v>
      </c>
      <c r="G215" s="37" t="s">
        <v>25</v>
      </c>
      <c r="H215" s="37" t="s">
        <v>25</v>
      </c>
      <c r="I215" s="37" t="s">
        <v>33</v>
      </c>
      <c r="J215" s="37" t="s">
        <v>678</v>
      </c>
      <c r="K215" s="37" t="s">
        <v>679</v>
      </c>
      <c r="L215" s="37" t="s">
        <v>75</v>
      </c>
      <c r="M215" s="37">
        <v>2021</v>
      </c>
      <c r="N215" s="37">
        <v>0</v>
      </c>
      <c r="O215" s="37">
        <v>642.88</v>
      </c>
      <c r="P215" s="37">
        <v>61.399261587869397</v>
      </c>
      <c r="R215" s="8" t="str">
        <f t="shared" si="6"/>
        <v>TUSDB3BrancaNão se aplicaNão se aplicaNão se aplicaNão se aplicaPonta</v>
      </c>
      <c r="S215" s="8">
        <f t="shared" si="7"/>
        <v>642.88</v>
      </c>
    </row>
    <row r="216" spans="1:19" ht="11.25" customHeight="1" x14ac:dyDescent="0.25">
      <c r="A216" s="37">
        <v>40</v>
      </c>
      <c r="B216" s="37" t="s">
        <v>533</v>
      </c>
      <c r="C216" s="37" t="s">
        <v>36</v>
      </c>
      <c r="D216" s="37" t="s">
        <v>23</v>
      </c>
      <c r="E216" s="37" t="s">
        <v>25</v>
      </c>
      <c r="F216" s="37" t="s">
        <v>25</v>
      </c>
      <c r="G216" s="37" t="s">
        <v>25</v>
      </c>
      <c r="H216" s="37" t="s">
        <v>25</v>
      </c>
      <c r="I216" s="37" t="s">
        <v>25</v>
      </c>
      <c r="J216" s="37" t="s">
        <v>678</v>
      </c>
      <c r="K216" s="37" t="s">
        <v>679</v>
      </c>
      <c r="L216" s="37" t="s">
        <v>75</v>
      </c>
      <c r="M216" s="37">
        <v>2021</v>
      </c>
      <c r="N216" s="37">
        <v>0</v>
      </c>
      <c r="O216" s="37">
        <v>269.91000000000003</v>
      </c>
      <c r="P216" s="37">
        <v>61.399261587869397</v>
      </c>
      <c r="R216" s="8" t="str">
        <f t="shared" si="6"/>
        <v>TUSDB3ConvencionalNão se aplicaNão se aplicaNão se aplicaNão se aplicaNão se aplica</v>
      </c>
      <c r="S216" s="8">
        <f t="shared" si="7"/>
        <v>269.91000000000003</v>
      </c>
    </row>
    <row r="217" spans="1:19" ht="11.25" customHeight="1" x14ac:dyDescent="0.25">
      <c r="A217" s="37">
        <v>42</v>
      </c>
      <c r="B217" s="37" t="s">
        <v>533</v>
      </c>
      <c r="C217" s="37" t="s">
        <v>36</v>
      </c>
      <c r="D217" s="37" t="s">
        <v>90</v>
      </c>
      <c r="E217" s="37" t="s">
        <v>25</v>
      </c>
      <c r="F217" s="37" t="s">
        <v>25</v>
      </c>
      <c r="G217" s="37" t="s">
        <v>25</v>
      </c>
      <c r="H217" s="37" t="s">
        <v>25</v>
      </c>
      <c r="I217" s="37" t="s">
        <v>25</v>
      </c>
      <c r="J217" s="37" t="s">
        <v>678</v>
      </c>
      <c r="K217" s="37" t="s">
        <v>679</v>
      </c>
      <c r="L217" s="37" t="s">
        <v>75</v>
      </c>
      <c r="M217" s="37">
        <v>2021</v>
      </c>
      <c r="N217" s="37">
        <v>0</v>
      </c>
      <c r="O217" s="37">
        <v>269.91000000000003</v>
      </c>
      <c r="P217" s="37">
        <v>61.399261587869397</v>
      </c>
      <c r="R217" s="8" t="str">
        <f t="shared" si="6"/>
        <v>TUSDB3Convencional pré-pagamentoNão se aplicaNão se aplicaNão se aplicaNão se aplicaNão se aplica</v>
      </c>
      <c r="S217" s="8">
        <f t="shared" si="7"/>
        <v>269.91000000000003</v>
      </c>
    </row>
    <row r="218" spans="1:19" ht="11.25" customHeight="1" x14ac:dyDescent="0.25">
      <c r="A218" s="37">
        <v>44</v>
      </c>
      <c r="B218" s="37" t="s">
        <v>533</v>
      </c>
      <c r="C218" s="37" t="s">
        <v>44</v>
      </c>
      <c r="D218" s="37" t="s">
        <v>23</v>
      </c>
      <c r="E218" s="37" t="s">
        <v>45</v>
      </c>
      <c r="F218" s="37" t="s">
        <v>93</v>
      </c>
      <c r="G218" s="37" t="s">
        <v>25</v>
      </c>
      <c r="H218" s="37" t="s">
        <v>25</v>
      </c>
      <c r="I218" s="37" t="s">
        <v>25</v>
      </c>
      <c r="J218" s="37" t="s">
        <v>678</v>
      </c>
      <c r="K218" s="37" t="s">
        <v>679</v>
      </c>
      <c r="L218" s="37" t="s">
        <v>75</v>
      </c>
      <c r="M218" s="37">
        <v>2021</v>
      </c>
      <c r="N218" s="37">
        <v>0</v>
      </c>
      <c r="O218" s="37">
        <v>148.44999999999999</v>
      </c>
      <c r="P218" s="37">
        <v>33.769593873328198</v>
      </c>
      <c r="R218" s="8" t="str">
        <f t="shared" si="6"/>
        <v>TUSDB4ConvencionalIluminação públicaIluminação pública – B4aNão se aplicaNão se aplicaNão se aplica</v>
      </c>
      <c r="S218" s="8">
        <f t="shared" si="7"/>
        <v>148.44999999999999</v>
      </c>
    </row>
    <row r="219" spans="1:19" ht="11.25" customHeight="1" x14ac:dyDescent="0.25">
      <c r="A219" s="37">
        <v>46</v>
      </c>
      <c r="B219" s="37" t="s">
        <v>533</v>
      </c>
      <c r="C219" s="37" t="s">
        <v>44</v>
      </c>
      <c r="D219" s="37" t="s">
        <v>23</v>
      </c>
      <c r="E219" s="37" t="s">
        <v>45</v>
      </c>
      <c r="F219" s="37" t="s">
        <v>46</v>
      </c>
      <c r="G219" s="37" t="s">
        <v>25</v>
      </c>
      <c r="H219" s="37" t="s">
        <v>25</v>
      </c>
      <c r="I219" s="37" t="s">
        <v>25</v>
      </c>
      <c r="J219" s="37" t="s">
        <v>678</v>
      </c>
      <c r="K219" s="37" t="s">
        <v>679</v>
      </c>
      <c r="L219" s="37" t="s">
        <v>75</v>
      </c>
      <c r="M219" s="37">
        <v>2021</v>
      </c>
      <c r="N219" s="37">
        <v>0</v>
      </c>
      <c r="O219" s="37">
        <v>161.94999999999999</v>
      </c>
      <c r="P219" s="37">
        <v>36.839556952721701</v>
      </c>
      <c r="R219" s="8" t="str">
        <f t="shared" si="6"/>
        <v>TUSDB4ConvencionalIluminação públicaIluminação pública – B4bNão se aplicaNão se aplicaNão se aplica</v>
      </c>
      <c r="S219" s="8">
        <f t="shared" si="7"/>
        <v>161.94999999999999</v>
      </c>
    </row>
  </sheetData>
  <autoFilter ref="A1:AX219" xr:uid="{E41F80A2-C542-41E5-A980-BE146E43E72A}">
    <sortState xmlns:xlrd2="http://schemas.microsoft.com/office/spreadsheetml/2017/richdata2" ref="A2:AX219">
      <sortCondition ref="C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AD85D-17C3-4948-8D4A-6C3B455193E1}">
  <sheetPr>
    <tabColor indexed="12" tint="-0.249977111117893"/>
  </sheetPr>
  <dimension ref="A1:BC58"/>
  <sheetViews>
    <sheetView showGridLines="0" topLeftCell="AH40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7.855468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9.28515625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55" ht="11.25" customHeight="1" x14ac:dyDescent="0.25">
      <c r="A1" s="138" t="s">
        <v>65</v>
      </c>
      <c r="B1" s="138" t="s">
        <v>66</v>
      </c>
      <c r="C1" s="138" t="s">
        <v>67</v>
      </c>
      <c r="D1" s="138" t="s">
        <v>68</v>
      </c>
      <c r="E1" s="138" t="s">
        <v>69</v>
      </c>
      <c r="F1" s="138" t="s">
        <v>15</v>
      </c>
      <c r="G1" s="138" t="s">
        <v>71</v>
      </c>
      <c r="H1" s="138" t="s">
        <v>72</v>
      </c>
      <c r="I1" s="138" t="s">
        <v>634</v>
      </c>
      <c r="J1" s="131"/>
      <c r="L1" s="139" t="s">
        <v>651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O1" s="26"/>
      <c r="AP1" s="143" t="s">
        <v>636</v>
      </c>
      <c r="AQ1" s="159" t="s">
        <v>1</v>
      </c>
      <c r="AR1" s="157" t="s">
        <v>2</v>
      </c>
      <c r="AS1" s="157" t="s">
        <v>3</v>
      </c>
      <c r="AT1" s="157" t="s">
        <v>4</v>
      </c>
      <c r="AU1" s="157" t="s">
        <v>5</v>
      </c>
      <c r="AV1" s="157" t="s">
        <v>857</v>
      </c>
      <c r="AW1" s="157" t="s">
        <v>858</v>
      </c>
      <c r="AX1" s="157" t="s">
        <v>859</v>
      </c>
      <c r="AY1" s="157" t="s">
        <v>860</v>
      </c>
      <c r="AZ1" s="157" t="s">
        <v>861</v>
      </c>
      <c r="BC1" s="157" t="s">
        <v>862</v>
      </c>
    </row>
    <row r="2" spans="1:55" ht="11.25" customHeight="1" x14ac:dyDescent="0.25">
      <c r="A2" s="138"/>
      <c r="B2" s="138"/>
      <c r="C2" s="138"/>
      <c r="D2" s="138"/>
      <c r="E2" s="138"/>
      <c r="F2" s="138"/>
      <c r="G2" s="138"/>
      <c r="H2" s="138"/>
      <c r="I2" s="138"/>
      <c r="J2" s="131"/>
      <c r="L2" s="139" t="s">
        <v>533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O2" s="26"/>
      <c r="AP2" s="144"/>
      <c r="AQ2" s="160"/>
      <c r="AR2" s="158"/>
      <c r="AS2" s="158"/>
      <c r="AT2" s="158"/>
      <c r="AU2" s="158"/>
      <c r="AV2" s="158"/>
      <c r="AW2" s="158"/>
      <c r="AX2" s="158"/>
      <c r="AY2" s="158"/>
      <c r="AZ2" s="158"/>
      <c r="BC2" s="158"/>
    </row>
    <row r="3" spans="1:55" ht="11.25" customHeight="1" x14ac:dyDescent="0.25">
      <c r="A3" s="138"/>
      <c r="B3" s="138"/>
      <c r="C3" s="138"/>
      <c r="D3" s="138"/>
      <c r="E3" s="138"/>
      <c r="F3" s="138"/>
      <c r="G3" s="138"/>
      <c r="H3" s="138"/>
      <c r="I3" s="138"/>
      <c r="J3" s="131"/>
      <c r="L3" s="139" t="s">
        <v>534</v>
      </c>
      <c r="M3" s="139"/>
      <c r="N3" s="139"/>
      <c r="O3" s="139"/>
      <c r="P3" s="139"/>
      <c r="Q3" s="139"/>
      <c r="R3" s="139"/>
      <c r="S3" s="139"/>
      <c r="T3" s="139"/>
      <c r="U3" s="139" t="s">
        <v>543</v>
      </c>
      <c r="V3" s="139"/>
      <c r="W3" s="139"/>
      <c r="X3" s="139"/>
      <c r="Y3" s="139"/>
      <c r="Z3" s="139"/>
      <c r="AA3" s="139"/>
      <c r="AB3" s="139"/>
      <c r="AC3" s="139" t="s">
        <v>551</v>
      </c>
      <c r="AD3" s="139"/>
      <c r="AE3" s="139" t="s">
        <v>553</v>
      </c>
      <c r="AF3" s="139"/>
      <c r="AG3" s="139"/>
      <c r="AH3" s="139" t="s">
        <v>556</v>
      </c>
      <c r="AI3" s="139"/>
      <c r="AJ3" s="139"/>
      <c r="AK3" s="139"/>
      <c r="AL3" s="139"/>
      <c r="AM3" s="139" t="s">
        <v>542</v>
      </c>
      <c r="AO3" s="26"/>
      <c r="AP3" s="144"/>
      <c r="AQ3" s="160"/>
      <c r="AR3" s="158"/>
      <c r="AS3" s="158"/>
      <c r="AT3" s="158"/>
      <c r="AU3" s="158"/>
      <c r="AV3" s="158"/>
      <c r="AW3" s="158"/>
      <c r="AX3" s="158"/>
      <c r="AY3" s="158"/>
      <c r="AZ3" s="158"/>
      <c r="BC3" s="158"/>
    </row>
    <row r="4" spans="1:55" ht="11.25" customHeight="1" x14ac:dyDescent="0.25">
      <c r="A4" s="138"/>
      <c r="B4" s="138"/>
      <c r="C4" s="138"/>
      <c r="D4" s="138"/>
      <c r="E4" s="138"/>
      <c r="F4" s="138"/>
      <c r="G4" s="138"/>
      <c r="H4" s="138"/>
      <c r="I4" s="138"/>
      <c r="J4" s="131"/>
      <c r="L4" s="10" t="s">
        <v>619</v>
      </c>
      <c r="M4" s="10" t="s">
        <v>535</v>
      </c>
      <c r="N4" s="10" t="s">
        <v>536</v>
      </c>
      <c r="O4" s="10" t="s">
        <v>537</v>
      </c>
      <c r="P4" s="10" t="s">
        <v>538</v>
      </c>
      <c r="Q4" s="10" t="s">
        <v>539</v>
      </c>
      <c r="R4" s="10" t="s">
        <v>540</v>
      </c>
      <c r="S4" s="10" t="s">
        <v>541</v>
      </c>
      <c r="T4" s="10" t="s">
        <v>542</v>
      </c>
      <c r="U4" s="10" t="s">
        <v>544</v>
      </c>
      <c r="V4" s="10" t="s">
        <v>545</v>
      </c>
      <c r="W4" s="10" t="s">
        <v>546</v>
      </c>
      <c r="X4" s="10" t="s">
        <v>547</v>
      </c>
      <c r="Y4" s="10" t="s">
        <v>548</v>
      </c>
      <c r="Z4" s="10" t="s">
        <v>549</v>
      </c>
      <c r="AA4" s="10" t="s">
        <v>550</v>
      </c>
      <c r="AB4" s="10" t="s">
        <v>542</v>
      </c>
      <c r="AC4" s="10" t="s">
        <v>552</v>
      </c>
      <c r="AD4" s="10" t="s">
        <v>542</v>
      </c>
      <c r="AE4" s="10" t="s">
        <v>554</v>
      </c>
      <c r="AF4" s="10" t="s">
        <v>555</v>
      </c>
      <c r="AG4" s="10" t="s">
        <v>542</v>
      </c>
      <c r="AH4" s="10" t="s">
        <v>557</v>
      </c>
      <c r="AI4" s="10" t="s">
        <v>558</v>
      </c>
      <c r="AJ4" s="10" t="s">
        <v>559</v>
      </c>
      <c r="AK4" s="10" t="s">
        <v>560</v>
      </c>
      <c r="AL4" s="10" t="s">
        <v>542</v>
      </c>
      <c r="AM4" s="141"/>
      <c r="AO4" s="27" t="s">
        <v>653</v>
      </c>
      <c r="AP4" s="145"/>
      <c r="AQ4" s="160"/>
      <c r="AR4" s="158"/>
      <c r="AS4" s="158"/>
      <c r="AT4" s="158"/>
      <c r="AU4" s="158"/>
      <c r="AV4" s="158"/>
      <c r="AW4" s="158"/>
      <c r="AX4" s="158"/>
      <c r="AY4" s="158"/>
      <c r="AZ4" s="158"/>
      <c r="BC4" s="158"/>
    </row>
    <row r="5" spans="1:55" ht="11.25" customHeight="1" x14ac:dyDescent="0.25">
      <c r="A5" s="142" t="s">
        <v>38</v>
      </c>
      <c r="B5" s="142" t="s">
        <v>56</v>
      </c>
      <c r="C5" s="142" t="s">
        <v>25</v>
      </c>
      <c r="D5" s="142" t="s">
        <v>25</v>
      </c>
      <c r="E5" s="142" t="s">
        <v>25</v>
      </c>
      <c r="F5" s="142" t="s">
        <v>25</v>
      </c>
      <c r="G5" s="24" t="s">
        <v>81</v>
      </c>
      <c r="H5" s="24" t="s">
        <v>80</v>
      </c>
      <c r="I5" s="24">
        <f>'MERCADO TUSD'!$U$2</f>
        <v>40015</v>
      </c>
      <c r="J5" s="15"/>
      <c r="L5" s="13">
        <f>'TUSD BE'!$L$5*'TUSD BE'!$L$58</f>
        <v>0</v>
      </c>
      <c r="M5" s="13">
        <f>'TUSD BE'!$M$5*'TUSD BE'!$M$58</f>
        <v>0</v>
      </c>
      <c r="N5" s="13">
        <f ca="1">'TUSD BE'!$N$5*'TUSD BE'!$N$58</f>
        <v>0</v>
      </c>
      <c r="O5" s="13">
        <f>'TUSD BE'!$O$5*'TUSD BE'!$O$58</f>
        <v>0</v>
      </c>
      <c r="P5" s="13">
        <f>'TUSD BE'!$P$5*'TUSD BE'!$P$58</f>
        <v>0</v>
      </c>
      <c r="Q5" s="13">
        <f>'TUSD BE'!$Q$5*'TUSD BE'!$Q$58</f>
        <v>0</v>
      </c>
      <c r="R5" s="13">
        <f>'TUSD BE'!$R$5*'TUSD BE'!$R$58</f>
        <v>0</v>
      </c>
      <c r="S5" s="13">
        <f>'TUSD BE'!$R$5*'TUSD BE'!$S$58</f>
        <v>0</v>
      </c>
      <c r="T5" s="13">
        <f ca="1">SUM($L$5:$S$5)</f>
        <v>0</v>
      </c>
      <c r="U5" s="13">
        <f>'TUSD BE'!$U$5*'TUSD BE'!$U$58</f>
        <v>0</v>
      </c>
      <c r="V5" s="13">
        <f>'TUSD BE'!$V$5*'TUSD BE'!$V$58</f>
        <v>0</v>
      </c>
      <c r="W5" s="13">
        <f>'TUSD BE'!$W$5*'TUSD BE'!$W$58</f>
        <v>0</v>
      </c>
      <c r="X5" s="13">
        <f>'TUSD BE'!$X$5*'TUSD BE'!$X$58</f>
        <v>0</v>
      </c>
      <c r="Y5" s="13">
        <f>'TUSD BE'!$Y$5*'TUSD BE'!$Y$58</f>
        <v>0.23503301925036496</v>
      </c>
      <c r="Z5" s="13">
        <f>'TUSD BE'!$Z$5*'TUSD BE'!$Z$58</f>
        <v>0</v>
      </c>
      <c r="AA5" s="13">
        <f>'TUSD BE'!$AA$5*'TUSD BE'!$AA$58</f>
        <v>0</v>
      </c>
      <c r="AB5" s="13">
        <f>SUM($U$5:$AA$5)</f>
        <v>0.23503301925036496</v>
      </c>
      <c r="AC5" s="13">
        <f>'TUSD BE'!$AC$5*'TUSD BE'!$AC$58</f>
        <v>0</v>
      </c>
      <c r="AD5" s="13">
        <f>SUM($AC$5:$AC$5)</f>
        <v>0</v>
      </c>
      <c r="AE5" s="13">
        <f ca="1">$AO$5*$AO$55</f>
        <v>-15.083100836550395</v>
      </c>
      <c r="AF5" s="13">
        <f ca="1">$AP$5*$AP$55</f>
        <v>0</v>
      </c>
      <c r="AG5" s="13">
        <f ca="1">SUM($AE$5:$AF$5)</f>
        <v>-15.083100836550395</v>
      </c>
      <c r="AH5" s="13">
        <f>'TUSD BE'!$AH$5*'TUSD BE'!$AH$58</f>
        <v>0</v>
      </c>
      <c r="AI5" s="13">
        <f>'TUSD BE'!$AI$5*'TUSD BE'!$AI$58</f>
        <v>0</v>
      </c>
      <c r="AJ5" s="13">
        <f ca="1">'TUSD BE'!$AJ$5*'TUSD BE'!$AJ$58</f>
        <v>0</v>
      </c>
      <c r="AK5" s="13">
        <f ca="1">'TUSD BE'!$AK$5*'TUSD BE'!$AK$58</f>
        <v>0</v>
      </c>
      <c r="AL5" s="13">
        <f ca="1">SUM($AH$5:$AK$5)</f>
        <v>0</v>
      </c>
      <c r="AM5" s="13">
        <f ca="1">SUMIF($L$4:$AL$4,"SUBTOTAL",$L$5:$AL$5)+AZ5</f>
        <v>-14.848067817300031</v>
      </c>
      <c r="AO5" s="26">
        <f ca="1">+'TUSD BE'!$T$5+'TUSD BE'!$AB$5+'TUSD BE'!$AD$5+'TUSD BE'!$AL$5</f>
        <v>54.633505118866097</v>
      </c>
      <c r="AP5" s="26">
        <f ca="1">+'TUSD BE'!$T$5+'TUSD BE'!$AB$5+'TUSD BE'!$AD$5+'TUSD BE'!$AL$5</f>
        <v>54.633505118866097</v>
      </c>
      <c r="AQ5" s="9" t="str">
        <f t="shared" ref="AQ5:AQ51" si="0">IF($A5="",AQ4,$A5)</f>
        <v>A4</v>
      </c>
      <c r="AR5" s="9" t="str">
        <f t="shared" ref="AR5:AR51" si="1">IF($B5="",AR4,$B5)</f>
        <v>Azul</v>
      </c>
      <c r="AS5" s="9" t="str">
        <f t="shared" ref="AS5:AS51" si="2">IF($C5="",AS4,$C5)</f>
        <v>Não se aplica</v>
      </c>
      <c r="AT5" s="9" t="str">
        <f t="shared" ref="AT5:AT51" si="3">IF($D5="",AT4,$D5)</f>
        <v>Não se aplica</v>
      </c>
      <c r="AU5" s="9" t="str">
        <f t="shared" ref="AU5:AU51" si="4">IF($E5="",AU4,$E5)</f>
        <v>Não se aplica</v>
      </c>
      <c r="AV5" s="9">
        <f t="shared" ref="AV5:AV51" si="5">IF(OR(AR5="Distribuição",AR5="Geração"),0,1)</f>
        <v>1</v>
      </c>
      <c r="AW5" s="9">
        <f ca="1">IFERROR(VLOOKUP(AQ5,TarifaMedia!$C$17:$G$17,5,0),0)</f>
        <v>0</v>
      </c>
      <c r="AX5" s="15">
        <f ca="1">'TUSD BE'!$AM5+'TUSD BF'!$AM5+'TUSD CVA'!$AM5</f>
        <v>39.785437301566063</v>
      </c>
      <c r="AY5" s="9">
        <v>37.770000000000003</v>
      </c>
      <c r="AZ5" s="9">
        <f t="shared" ref="AZ5:AZ51" ca="1" si="6">(AY5-AX5)*AW5*AV5</f>
        <v>0</v>
      </c>
      <c r="BC5" s="88" t="s">
        <v>863</v>
      </c>
    </row>
    <row r="6" spans="1:55" ht="11.25" customHeight="1" x14ac:dyDescent="0.25">
      <c r="A6" s="142"/>
      <c r="B6" s="142"/>
      <c r="C6" s="142"/>
      <c r="D6" s="142"/>
      <c r="E6" s="142"/>
      <c r="F6" s="142"/>
      <c r="G6" s="24" t="s">
        <v>82</v>
      </c>
      <c r="H6" s="24" t="s">
        <v>80</v>
      </c>
      <c r="I6" s="24">
        <f>'MERCADO TUSD'!$U$3</f>
        <v>87299</v>
      </c>
      <c r="J6" s="15"/>
      <c r="L6" s="13">
        <f>'TUSD BE'!$L$6*'TUSD BE'!$L$58</f>
        <v>0</v>
      </c>
      <c r="M6" s="13">
        <f>'TUSD BE'!$M$6*'TUSD BE'!$M$58</f>
        <v>0</v>
      </c>
      <c r="N6" s="13">
        <f ca="1">'TUSD BE'!$N$6*'TUSD BE'!$N$58</f>
        <v>0</v>
      </c>
      <c r="O6" s="13">
        <f>'TUSD BE'!$O$6*'TUSD BE'!$O$58</f>
        <v>0</v>
      </c>
      <c r="P6" s="13">
        <f>'TUSD BE'!$P$6*'TUSD BE'!$P$58</f>
        <v>0</v>
      </c>
      <c r="Q6" s="13">
        <f>'TUSD BE'!$Q$6*'TUSD BE'!$Q$58</f>
        <v>0</v>
      </c>
      <c r="R6" s="13">
        <f>'TUSD BE'!$R$6*'TUSD BE'!$R$58</f>
        <v>0</v>
      </c>
      <c r="S6" s="13">
        <f>'TUSD BE'!$R$6*'TUSD BE'!$S$58</f>
        <v>0</v>
      </c>
      <c r="T6" s="13">
        <f ca="1">SUM($L$6:$S$6)</f>
        <v>0</v>
      </c>
      <c r="U6" s="13">
        <f>'TUSD BE'!$U$6*'TUSD BE'!$U$58</f>
        <v>0</v>
      </c>
      <c r="V6" s="13">
        <f>'TUSD BE'!$V$6*'TUSD BE'!$V$58</f>
        <v>0</v>
      </c>
      <c r="W6" s="13">
        <f>'TUSD BE'!$W$6*'TUSD BE'!$W$58</f>
        <v>0</v>
      </c>
      <c r="X6" s="13">
        <f>'TUSD BE'!$X$6*'TUSD BE'!$X$58</f>
        <v>0</v>
      </c>
      <c r="Y6" s="13">
        <f>'TUSD BE'!$Y$6*'TUSD BE'!$Y$58</f>
        <v>9.235908281171247E-2</v>
      </c>
      <c r="Z6" s="13">
        <f>'TUSD BE'!$Z$6*'TUSD BE'!$Z$58</f>
        <v>0</v>
      </c>
      <c r="AA6" s="13">
        <f>'TUSD BE'!$AA$6*'TUSD BE'!$AA$58</f>
        <v>0</v>
      </c>
      <c r="AB6" s="13">
        <f>SUM($U$6:$AA$6)</f>
        <v>9.235908281171247E-2</v>
      </c>
      <c r="AC6" s="13">
        <f>'TUSD BE'!$AC$6*'TUSD BE'!$AC$58</f>
        <v>0</v>
      </c>
      <c r="AD6" s="13">
        <f>SUM($AC$6:$AC$6)</f>
        <v>0</v>
      </c>
      <c r="AE6" s="13">
        <f ca="1">$AO$6*$AO$55</f>
        <v>-5.1743872308518988</v>
      </c>
      <c r="AF6" s="13">
        <f ca="1">$AP$6*$AP$55</f>
        <v>0</v>
      </c>
      <c r="AG6" s="13">
        <f ca="1">SUM($AE$6:$AF$6)</f>
        <v>-5.1743872308518988</v>
      </c>
      <c r="AH6" s="13">
        <f>'TUSD BE'!$AH$6*'TUSD BE'!$AH$58</f>
        <v>0</v>
      </c>
      <c r="AI6" s="13">
        <f>'TUSD BE'!$AI$6*'TUSD BE'!$AI$58</f>
        <v>0</v>
      </c>
      <c r="AJ6" s="13">
        <f ca="1">'TUSD BE'!$AJ$6*'TUSD BE'!$AJ$58</f>
        <v>0</v>
      </c>
      <c r="AK6" s="13">
        <f ca="1">'TUSD BE'!$AK$6*'TUSD BE'!$AK$58</f>
        <v>0</v>
      </c>
      <c r="AL6" s="13">
        <f ca="1">SUM($AH$6:$AK$6)</f>
        <v>0</v>
      </c>
      <c r="AM6" s="13">
        <f ca="1">SUMIF($L$4:$AL$4,"SUBTOTAL",$L$6:$AL$6)+AZ6</f>
        <v>-5.0820281480401865</v>
      </c>
      <c r="AO6" s="26">
        <f ca="1">+'TUSD BE'!$T$6+'TUSD BE'!$AB$6+'TUSD BE'!$AD$6+'TUSD BE'!$AL$6</f>
        <v>18.742492961307867</v>
      </c>
      <c r="AP6" s="26">
        <f ca="1">+'TUSD BE'!$T$6+'TUSD BE'!$AB$6+'TUSD BE'!$AD$6+'TUSD BE'!$AL$6</f>
        <v>18.742492961307867</v>
      </c>
      <c r="AQ6" s="9" t="str">
        <f t="shared" si="0"/>
        <v>A4</v>
      </c>
      <c r="AR6" s="9" t="str">
        <f t="shared" si="1"/>
        <v>Azul</v>
      </c>
      <c r="AS6" s="9" t="str">
        <f t="shared" si="2"/>
        <v>Não se aplica</v>
      </c>
      <c r="AT6" s="9" t="str">
        <f t="shared" si="3"/>
        <v>Não se aplica</v>
      </c>
      <c r="AU6" s="9" t="str">
        <f t="shared" si="4"/>
        <v>Não se aplica</v>
      </c>
      <c r="AV6" s="9">
        <f t="shared" si="5"/>
        <v>1</v>
      </c>
      <c r="AW6" s="9">
        <f ca="1">IFERROR(VLOOKUP(AQ6,TarifaMedia!$C$17:$G$17,5,0),0)</f>
        <v>0</v>
      </c>
      <c r="AX6" s="15">
        <f ca="1">'TUSD BE'!$AM6+'TUSD BF'!$AM6+'TUSD CVA'!$AM6</f>
        <v>13.66046481326768</v>
      </c>
      <c r="AY6" s="9">
        <v>17.579999999999998</v>
      </c>
      <c r="AZ6" s="9">
        <f t="shared" ca="1" si="6"/>
        <v>0</v>
      </c>
      <c r="BC6" s="88" t="s">
        <v>864</v>
      </c>
    </row>
    <row r="7" spans="1:55" ht="11.25" customHeight="1" x14ac:dyDescent="0.25">
      <c r="A7" s="142"/>
      <c r="B7" s="142"/>
      <c r="C7" s="142"/>
      <c r="D7" s="142"/>
      <c r="E7" s="142"/>
      <c r="F7" s="142"/>
      <c r="G7" s="24" t="s">
        <v>79</v>
      </c>
      <c r="H7" s="24" t="s">
        <v>75</v>
      </c>
      <c r="I7" s="24">
        <f>'MERCADO TUSD'!$U$4</f>
        <v>40556.964</v>
      </c>
      <c r="J7" s="15"/>
      <c r="L7" s="13">
        <f>'TUSD BE'!$L$7*'TUSD BE'!$L$58</f>
        <v>0</v>
      </c>
      <c r="M7" s="13">
        <f>'TUSD BE'!$M$7*'TUSD BE'!$M$58</f>
        <v>-2.6818038190765696E-3</v>
      </c>
      <c r="N7" s="13">
        <f ca="1">'TUSD BE'!$N$7*'TUSD BE'!$N$58</f>
        <v>1.029636550336727E-7</v>
      </c>
      <c r="O7" s="13">
        <f>'TUSD BE'!$O$7*'TUSD BE'!$O$58</f>
        <v>0</v>
      </c>
      <c r="P7" s="13">
        <f>'TUSD BE'!$P$7*'TUSD BE'!$P$58</f>
        <v>0</v>
      </c>
      <c r="Q7" s="13">
        <f>'TUSD BE'!$Q$7*'TUSD BE'!$Q$58</f>
        <v>-1.4331716499802118</v>
      </c>
      <c r="R7" s="13">
        <f>'TUSD BE'!$R$7*'TUSD BE'!$R$58</f>
        <v>-0.25686632949670912</v>
      </c>
      <c r="S7" s="13">
        <f>'TUSD BE'!$R$7*'TUSD BE'!$S$58</f>
        <v>0</v>
      </c>
      <c r="T7" s="13">
        <f ca="1">SUM($L$7:$S$7)</f>
        <v>-1.6927196803323425</v>
      </c>
      <c r="U7" s="13">
        <f>'TUSD BE'!$U$7*'TUSD BE'!$U$58</f>
        <v>0</v>
      </c>
      <c r="V7" s="13">
        <f>'TUSD BE'!$V$7*'TUSD BE'!$V$58</f>
        <v>0</v>
      </c>
      <c r="W7" s="13">
        <f>'TUSD BE'!$W$7*'TUSD BE'!$W$58</f>
        <v>0</v>
      </c>
      <c r="X7" s="13">
        <f>'TUSD BE'!$X$7*'TUSD BE'!$X$58</f>
        <v>0</v>
      </c>
      <c r="Y7" s="13">
        <f>'TUSD BE'!$Y$7*'TUSD BE'!$Y$58</f>
        <v>0</v>
      </c>
      <c r="Z7" s="13">
        <f>'TUSD BE'!$Z$7*'TUSD BE'!$Z$58</f>
        <v>0</v>
      </c>
      <c r="AA7" s="13">
        <f>'TUSD BE'!$AA$7*'TUSD BE'!$AA$58</f>
        <v>0</v>
      </c>
      <c r="AB7" s="13">
        <f>SUM($U$7:$AA$7)</f>
        <v>0</v>
      </c>
      <c r="AC7" s="13">
        <f>'TUSD BE'!$AC$7*'TUSD BE'!$AC$58</f>
        <v>0</v>
      </c>
      <c r="AD7" s="13">
        <f>SUM($AC$7:$AC$7)</f>
        <v>0</v>
      </c>
      <c r="AE7" s="13">
        <f ca="1">$AO$7*$AO$55</f>
        <v>-25.840128802940797</v>
      </c>
      <c r="AF7" s="13">
        <f ca="1">$AP$7*$AP$55</f>
        <v>0</v>
      </c>
      <c r="AG7" s="13">
        <f ca="1">SUM($AE$7:$AF$7)</f>
        <v>-25.840128802940797</v>
      </c>
      <c r="AH7" s="13">
        <f>'TUSD BE'!$AH$7*'TUSD BE'!$AH$58</f>
        <v>-3.590202070009009E-2</v>
      </c>
      <c r="AI7" s="13">
        <f>'TUSD BE'!$AI$7*'TUSD BE'!$AI$58</f>
        <v>-1.2317403950862062E-3</v>
      </c>
      <c r="AJ7" s="13">
        <f ca="1">'TUSD BE'!$AJ$7*'TUSD BE'!$AJ$58</f>
        <v>-2.4489735517691756E-2</v>
      </c>
      <c r="AK7" s="13">
        <f ca="1">'TUSD BE'!$AK$7*'TUSD BE'!$AK$58</f>
        <v>3.7255022262425034E-3</v>
      </c>
      <c r="AL7" s="13">
        <f ca="1">SUM($AH$7:$AK$7)</f>
        <v>-5.7897994386625552E-2</v>
      </c>
      <c r="AM7" s="13">
        <f ca="1">SUMIF($L$4:$AL$4,"SUBTOTAL",$L$7:$AL$7)+AZ7</f>
        <v>-27.590746477659764</v>
      </c>
      <c r="AO7" s="26">
        <f ca="1">+'TUSD BE'!$T$7+'TUSD BE'!$AB$7+'TUSD BE'!$AD$7+'TUSD BE'!$AL$7</f>
        <v>93.597253278756099</v>
      </c>
      <c r="AP7" s="26">
        <f ca="1">+'TUSD BE'!$T$7+'TUSD BE'!$AB$7+'TUSD BE'!$AD$7+'TUSD BE'!$AL$7</f>
        <v>93.597253278756099</v>
      </c>
      <c r="AQ7" s="9" t="str">
        <f t="shared" si="0"/>
        <v>A4</v>
      </c>
      <c r="AR7" s="9" t="str">
        <f t="shared" si="1"/>
        <v>Azul</v>
      </c>
      <c r="AS7" s="9" t="str">
        <f t="shared" si="2"/>
        <v>Não se aplica</v>
      </c>
      <c r="AT7" s="9" t="str">
        <f t="shared" si="3"/>
        <v>Não se aplica</v>
      </c>
      <c r="AU7" s="9" t="str">
        <f t="shared" si="4"/>
        <v>Não se aplica</v>
      </c>
      <c r="AV7" s="9">
        <f t="shared" si="5"/>
        <v>1</v>
      </c>
      <c r="AW7" s="9">
        <f ca="1">IFERROR(VLOOKUP(AQ7,TarifaMedia!$C$17:$G$17,5,0),0)</f>
        <v>0</v>
      </c>
      <c r="AX7" s="15">
        <f ca="1">'TUSD BE'!$AM7+'TUSD BF'!$AM7+'TUSD CVA'!$AM7</f>
        <v>83.275517807559041</v>
      </c>
      <c r="AY7" s="9">
        <v>110.85</v>
      </c>
      <c r="AZ7" s="9">
        <f t="shared" ca="1" si="6"/>
        <v>0</v>
      </c>
      <c r="BC7" s="88" t="s">
        <v>865</v>
      </c>
    </row>
    <row r="8" spans="1:55" ht="11.25" customHeight="1" x14ac:dyDescent="0.25">
      <c r="A8" s="142"/>
      <c r="B8" s="142"/>
      <c r="C8" s="142"/>
      <c r="D8" s="142"/>
      <c r="E8" s="23" t="s">
        <v>83</v>
      </c>
      <c r="F8" s="23" t="s">
        <v>25</v>
      </c>
      <c r="G8" s="24" t="s">
        <v>79</v>
      </c>
      <c r="H8" s="24" t="s">
        <v>75</v>
      </c>
      <c r="I8" s="24">
        <f>'MERCADO TUSD'!$U$5</f>
        <v>0</v>
      </c>
      <c r="J8" s="15"/>
      <c r="L8" s="13">
        <f>'TUSD BE'!$L$8*'TUSD BE'!$L$58</f>
        <v>0</v>
      </c>
      <c r="M8" s="13">
        <f>'TUSD BE'!$M$8*'TUSD BE'!$M$58</f>
        <v>-2.6818038190765696E-3</v>
      </c>
      <c r="N8" s="13">
        <f ca="1">'TUSD BE'!$N$8*'TUSD BE'!$N$58</f>
        <v>9.2353082124942508E-8</v>
      </c>
      <c r="O8" s="13">
        <f>'TUSD BE'!$O$8*'TUSD BE'!$O$58</f>
        <v>0</v>
      </c>
      <c r="P8" s="13">
        <f>'TUSD BE'!$P$8*'TUSD BE'!$P$58</f>
        <v>0</v>
      </c>
      <c r="Q8" s="13">
        <f>'TUSD BE'!$Q$8*'TUSD BE'!$Q$58</f>
        <v>0</v>
      </c>
      <c r="R8" s="13">
        <f>'TUSD BE'!$R$8*'TUSD BE'!$R$58</f>
        <v>0</v>
      </c>
      <c r="S8" s="13">
        <f>'TUSD BE'!$R$8*'TUSD BE'!$S$58</f>
        <v>0</v>
      </c>
      <c r="T8" s="13">
        <f ca="1">SUM($L$8:$S$8)</f>
        <v>-2.6817114659944447E-3</v>
      </c>
      <c r="U8" s="13">
        <f>'TUSD BE'!$U$8*'TUSD BE'!$U$58</f>
        <v>0</v>
      </c>
      <c r="V8" s="13">
        <f>'TUSD BE'!$V$8*'TUSD BE'!$V$58</f>
        <v>0</v>
      </c>
      <c r="W8" s="13">
        <f>'TUSD BE'!$W$8*'TUSD BE'!$W$58</f>
        <v>0</v>
      </c>
      <c r="X8" s="13">
        <f>'TUSD BE'!$X$8*'TUSD BE'!$X$58</f>
        <v>0</v>
      </c>
      <c r="Y8" s="13">
        <f>'TUSD BE'!$Y$8*'TUSD BE'!$Y$58</f>
        <v>0</v>
      </c>
      <c r="Z8" s="13">
        <f>'TUSD BE'!$Z$8*'TUSD BE'!$Z$58</f>
        <v>0</v>
      </c>
      <c r="AA8" s="13">
        <f>'TUSD BE'!$AA$8*'TUSD BE'!$AA$58</f>
        <v>0</v>
      </c>
      <c r="AB8" s="13">
        <f>SUM($U$8:$AA$8)</f>
        <v>0</v>
      </c>
      <c r="AC8" s="13">
        <f>'TUSD BE'!$AC$8*'TUSD BE'!$AC$58</f>
        <v>0</v>
      </c>
      <c r="AD8" s="13">
        <f>SUM($AC$8:$AC$8)</f>
        <v>0</v>
      </c>
      <c r="AE8" s="13">
        <f ca="1">$AO$8*$AO$55</f>
        <v>-1.2645756724936796</v>
      </c>
      <c r="AF8" s="13">
        <f ca="1">$AP$8*$AP$55</f>
        <v>0</v>
      </c>
      <c r="AG8" s="13">
        <f ca="1">SUM($AE$8:$AF$8)</f>
        <v>-1.2645756724936796</v>
      </c>
      <c r="AH8" s="13">
        <f>'TUSD BE'!$AH$8*'TUSD BE'!$AH$58</f>
        <v>-3.590202070009009E-2</v>
      </c>
      <c r="AI8" s="13">
        <f>'TUSD BE'!$AI$8*'TUSD BE'!$AI$58</f>
        <v>-1.2317403950862062E-3</v>
      </c>
      <c r="AJ8" s="13">
        <f ca="1">'TUSD BE'!$AJ$8*'TUSD BE'!$AJ$58</f>
        <v>-2.4489735517691756E-2</v>
      </c>
      <c r="AK8" s="13">
        <f ca="1">'TUSD BE'!$AK$8*'TUSD BE'!$AK$58</f>
        <v>3.7255022262425034E-3</v>
      </c>
      <c r="AL8" s="13">
        <f ca="1">SUM($AH$8:$AK$8)</f>
        <v>-5.7897994386625552E-2</v>
      </c>
      <c r="AM8" s="13">
        <f ca="1">SUMIF($L$4:$AL$4,"SUBTOTAL",$L$8:$AL$8)+AZ8</f>
        <v>-1.3251553783462997</v>
      </c>
      <c r="AO8" s="26">
        <f ca="1">+'TUSD BE'!$T$8+'TUSD BE'!$AB$8+'TUSD BE'!$AD$8+'TUSD BE'!$AL$8</f>
        <v>4.5805038516322689</v>
      </c>
      <c r="AP8" s="26">
        <f ca="1">+'TUSD BE'!$T$8+'TUSD BE'!$AB$8+'TUSD BE'!$AD$8+'TUSD BE'!$AL$8</f>
        <v>4.5805038516322689</v>
      </c>
      <c r="AQ8" s="9" t="str">
        <f t="shared" si="0"/>
        <v>A4</v>
      </c>
      <c r="AR8" s="9" t="str">
        <f t="shared" si="1"/>
        <v>Azul</v>
      </c>
      <c r="AS8" s="9" t="str">
        <f t="shared" si="2"/>
        <v>Não se aplica</v>
      </c>
      <c r="AT8" s="9" t="str">
        <f t="shared" si="3"/>
        <v>Não se aplica</v>
      </c>
      <c r="AU8" s="9" t="str">
        <f t="shared" si="4"/>
        <v>APE</v>
      </c>
      <c r="AV8" s="9">
        <f t="shared" si="5"/>
        <v>1</v>
      </c>
      <c r="AW8" s="9">
        <f ca="1">IFERROR(VLOOKUP(AQ8,TarifaMedia!$C$17:$G$17,5,0),0)</f>
        <v>0</v>
      </c>
      <c r="AX8" s="15">
        <f ca="1">'TUSD BE'!$AM8+'TUSD BF'!$AM8+'TUSD CVA'!$AM8</f>
        <v>3.959675949106523</v>
      </c>
      <c r="AY8" s="9">
        <v>15.9</v>
      </c>
      <c r="AZ8" s="9">
        <f t="shared" ca="1" si="6"/>
        <v>0</v>
      </c>
      <c r="BC8" s="88" t="s">
        <v>866</v>
      </c>
    </row>
    <row r="9" spans="1:55" ht="11.25" customHeight="1" x14ac:dyDescent="0.25">
      <c r="A9" s="142"/>
      <c r="B9" s="23" t="s">
        <v>84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80</v>
      </c>
      <c r="I9" s="24">
        <f>'MERCADO TUSD'!$U$6</f>
        <v>0</v>
      </c>
      <c r="J9" s="15"/>
      <c r="L9" s="13">
        <f>'TUSD BE'!$L$9*'TUSD BE'!$L$58</f>
        <v>0</v>
      </c>
      <c r="M9" s="13">
        <f>'TUSD BE'!$M$9*'TUSD BE'!$M$58</f>
        <v>-4.6123934326684096E-4</v>
      </c>
      <c r="N9" s="13">
        <f ca="1">'TUSD BE'!$N$9*'TUSD BE'!$N$58</f>
        <v>7.1939684321190724E-8</v>
      </c>
      <c r="O9" s="13">
        <f>'TUSD BE'!$O$9*'TUSD BE'!$O$58</f>
        <v>0</v>
      </c>
      <c r="P9" s="13">
        <f>'TUSD BE'!$P$9*'TUSD BE'!$P$58</f>
        <v>0</v>
      </c>
      <c r="Q9" s="13">
        <f>'TUSD BE'!$Q$9*'TUSD BE'!$Q$58</f>
        <v>0</v>
      </c>
      <c r="R9" s="13">
        <f>'TUSD BE'!$R$9*'TUSD BE'!$R$58</f>
        <v>0</v>
      </c>
      <c r="S9" s="13">
        <f>'TUSD BE'!$R$9*'TUSD BE'!$S$58</f>
        <v>0</v>
      </c>
      <c r="T9" s="13">
        <f ca="1">SUM($L$9:$S$9)</f>
        <v>-4.6116740358251979E-4</v>
      </c>
      <c r="U9" s="13">
        <f>'TUSD BE'!$U$9*'TUSD BE'!$U$58</f>
        <v>0</v>
      </c>
      <c r="V9" s="13">
        <f>'TUSD BE'!$V$9*'TUSD BE'!$V$58</f>
        <v>0</v>
      </c>
      <c r="W9" s="13">
        <f>'TUSD BE'!$W$9*'TUSD BE'!$W$58</f>
        <v>0</v>
      </c>
      <c r="X9" s="13">
        <f>'TUSD BE'!$X$9*'TUSD BE'!$X$58</f>
        <v>0</v>
      </c>
      <c r="Y9" s="13">
        <f>'TUSD BE'!$Y$9*'TUSD BE'!$Y$58</f>
        <v>0</v>
      </c>
      <c r="Z9" s="13">
        <f>'TUSD BE'!$Z$9*'TUSD BE'!$Z$58</f>
        <v>0</v>
      </c>
      <c r="AA9" s="13">
        <f>'TUSD BE'!$AA$9*'TUSD BE'!$AA$58</f>
        <v>0</v>
      </c>
      <c r="AB9" s="13">
        <f>SUM($U$9:$AA$9)</f>
        <v>0</v>
      </c>
      <c r="AC9" s="13">
        <f>'TUSD BE'!$AC$9*'TUSD BE'!$AC$58</f>
        <v>0</v>
      </c>
      <c r="AD9" s="13">
        <f>SUM($AC$9:$AC$9)</f>
        <v>0</v>
      </c>
      <c r="AE9" s="13">
        <f ca="1">$AO$9*$AO$55</f>
        <v>-2.0366331771274715</v>
      </c>
      <c r="AF9" s="13">
        <f ca="1">$AP$9*$AP$55</f>
        <v>0</v>
      </c>
      <c r="AG9" s="13">
        <f ca="1">SUM($AE$9:$AF$9)</f>
        <v>-2.0366331771274715</v>
      </c>
      <c r="AH9" s="13">
        <f>'TUSD BE'!$AH$9*'TUSD BE'!$AH$58</f>
        <v>0</v>
      </c>
      <c r="AI9" s="13">
        <f>'TUSD BE'!$AI$9*'TUSD BE'!$AI$58</f>
        <v>0</v>
      </c>
      <c r="AJ9" s="13">
        <f ca="1">'TUSD BE'!$AJ$9*'TUSD BE'!$AJ$58</f>
        <v>0</v>
      </c>
      <c r="AK9" s="13">
        <f ca="1">'TUSD BE'!$AK$9*'TUSD BE'!$AK$58</f>
        <v>0</v>
      </c>
      <c r="AL9" s="13">
        <f ca="1">SUM($AH$9:$AK$9)</f>
        <v>0</v>
      </c>
      <c r="AM9" s="13">
        <f ca="1">SUMIF($L$4:$AL$4,"SUBTOTAL",$L$9:$AL$9)+AZ9</f>
        <v>-2.0370943445310541</v>
      </c>
      <c r="AO9" s="26">
        <f ca="1">+'TUSD BE'!$T$9+'TUSD BE'!$AB$9+'TUSD BE'!$AD$9+'TUSD BE'!$AL$9</f>
        <v>7.3770248116496751</v>
      </c>
      <c r="AP9" s="26">
        <f ca="1">+'TUSD BE'!$T$9+'TUSD BE'!$AB$9+'TUSD BE'!$AD$9+'TUSD BE'!$AL$9</f>
        <v>7.3770248116496751</v>
      </c>
      <c r="AQ9" s="9" t="str">
        <f t="shared" si="0"/>
        <v>A4</v>
      </c>
      <c r="AR9" s="9" t="str">
        <f t="shared" si="1"/>
        <v>Geração</v>
      </c>
      <c r="AS9" s="9" t="str">
        <f t="shared" si="2"/>
        <v>Não se aplica</v>
      </c>
      <c r="AT9" s="9" t="str">
        <f t="shared" si="3"/>
        <v>Não se aplica</v>
      </c>
      <c r="AU9" s="9" t="str">
        <f t="shared" si="4"/>
        <v>Não se aplica</v>
      </c>
      <c r="AV9" s="9">
        <f t="shared" si="5"/>
        <v>0</v>
      </c>
      <c r="AW9" s="9">
        <f ca="1">IFERROR(VLOOKUP(AQ9,TarifaMedia!$C$17:$G$17,5,0),0)</f>
        <v>0</v>
      </c>
      <c r="AX9" s="15">
        <f ca="1">'TUSD BE'!$AM9+'TUSD BF'!$AM9+'TUSD CVA'!$AM9</f>
        <v>5.339930467118621</v>
      </c>
      <c r="AY9" s="9">
        <v>6.47</v>
      </c>
      <c r="AZ9" s="9">
        <f t="shared" ca="1" si="6"/>
        <v>0</v>
      </c>
      <c r="BC9" s="88" t="s">
        <v>867</v>
      </c>
    </row>
    <row r="10" spans="1:55" ht="11.25" customHeight="1" x14ac:dyDescent="0.25">
      <c r="A10" s="142"/>
      <c r="B10" s="142" t="s">
        <v>39</v>
      </c>
      <c r="C10" s="142" t="s">
        <v>25</v>
      </c>
      <c r="D10" s="142" t="s">
        <v>25</v>
      </c>
      <c r="E10" s="142" t="s">
        <v>25</v>
      </c>
      <c r="F10" s="142" t="s">
        <v>25</v>
      </c>
      <c r="G10" s="24" t="s">
        <v>9</v>
      </c>
      <c r="H10" s="24" t="s">
        <v>80</v>
      </c>
      <c r="I10" s="24">
        <f>'MERCADO TUSD'!$U$7</f>
        <v>37121</v>
      </c>
      <c r="J10" s="15"/>
      <c r="L10" s="13">
        <f>'TUSD BE'!$L$10*'TUSD BE'!$L$58</f>
        <v>0</v>
      </c>
      <c r="M10" s="13">
        <f>'TUSD BE'!$M$10*'TUSD BE'!$M$58</f>
        <v>0</v>
      </c>
      <c r="N10" s="13">
        <f ca="1">'TUSD BE'!$N$10*'TUSD BE'!$N$58</f>
        <v>0</v>
      </c>
      <c r="O10" s="13">
        <f>'TUSD BE'!$O$10*'TUSD BE'!$O$58</f>
        <v>0</v>
      </c>
      <c r="P10" s="13">
        <f>'TUSD BE'!$P$10*'TUSD BE'!$P$58</f>
        <v>0</v>
      </c>
      <c r="Q10" s="13">
        <f>'TUSD BE'!$Q$10*'TUSD BE'!$Q$58</f>
        <v>0</v>
      </c>
      <c r="R10" s="13">
        <f>'TUSD BE'!$R$10*'TUSD BE'!$R$58</f>
        <v>0</v>
      </c>
      <c r="S10" s="13">
        <f>'TUSD BE'!$R$10*'TUSD BE'!$S$58</f>
        <v>0</v>
      </c>
      <c r="T10" s="13">
        <f ca="1">SUM($L$10:$S$10)</f>
        <v>0</v>
      </c>
      <c r="U10" s="13">
        <f>'TUSD BE'!$U$10*'TUSD BE'!$U$58</f>
        <v>0</v>
      </c>
      <c r="V10" s="13">
        <f>'TUSD BE'!$V$10*'TUSD BE'!$V$58</f>
        <v>0</v>
      </c>
      <c r="W10" s="13">
        <f>'TUSD BE'!$W$10*'TUSD BE'!$W$58</f>
        <v>0</v>
      </c>
      <c r="X10" s="13">
        <f>'TUSD BE'!$X$10*'TUSD BE'!$X$58</f>
        <v>0</v>
      </c>
      <c r="Y10" s="13">
        <f>'TUSD BE'!$Y$10*'TUSD BE'!$Y$58</f>
        <v>9.235908281171247E-2</v>
      </c>
      <c r="Z10" s="13">
        <f>'TUSD BE'!$Z$10*'TUSD BE'!$Z$58</f>
        <v>0</v>
      </c>
      <c r="AA10" s="13">
        <f>'TUSD BE'!$AA$10*'TUSD BE'!$AA$58</f>
        <v>0</v>
      </c>
      <c r="AB10" s="13">
        <f>SUM($U$10:$AA$10)</f>
        <v>9.235908281171247E-2</v>
      </c>
      <c r="AC10" s="13">
        <f>'TUSD BE'!$AC$10*'TUSD BE'!$AC$58</f>
        <v>0</v>
      </c>
      <c r="AD10" s="13">
        <f>SUM($AC$10:$AC$10)</f>
        <v>0</v>
      </c>
      <c r="AE10" s="13">
        <f ca="1">$AO$10*$AO$55</f>
        <v>-5.1743872308518988</v>
      </c>
      <c r="AF10" s="13">
        <f ca="1">$AP$10*$AP$55</f>
        <v>0</v>
      </c>
      <c r="AG10" s="13">
        <f ca="1">SUM($AE$10:$AF$10)</f>
        <v>-5.1743872308518988</v>
      </c>
      <c r="AH10" s="13">
        <f>'TUSD BE'!$AH$10*'TUSD BE'!$AH$58</f>
        <v>0</v>
      </c>
      <c r="AI10" s="13">
        <f>'TUSD BE'!$AI$10*'TUSD BE'!$AI$58</f>
        <v>0</v>
      </c>
      <c r="AJ10" s="13">
        <f ca="1">'TUSD BE'!$AJ$10*'TUSD BE'!$AJ$58</f>
        <v>0</v>
      </c>
      <c r="AK10" s="13">
        <f ca="1">'TUSD BE'!$AK$10*'TUSD BE'!$AK$58</f>
        <v>0</v>
      </c>
      <c r="AL10" s="13">
        <f ca="1">SUM($AH$10:$AK$10)</f>
        <v>0</v>
      </c>
      <c r="AM10" s="13">
        <f ca="1">SUMIF($L$4:$AL$4,"SUBTOTAL",$L$10:$AL$10)+AZ10</f>
        <v>-5.0820281480401865</v>
      </c>
      <c r="AO10" s="26">
        <f ca="1">+'TUSD BE'!$T$10+'TUSD BE'!$AB$10+'TUSD BE'!$AD$10+'TUSD BE'!$AL$10</f>
        <v>18.742492961307867</v>
      </c>
      <c r="AP10" s="26">
        <f ca="1">+'TUSD BE'!$T$10+'TUSD BE'!$AB$10+'TUSD BE'!$AD$10+'TUSD BE'!$AL$10</f>
        <v>18.742492961307867</v>
      </c>
      <c r="AQ10" s="9" t="str">
        <f t="shared" si="0"/>
        <v>A4</v>
      </c>
      <c r="AR10" s="9" t="str">
        <f t="shared" si="1"/>
        <v>Verde</v>
      </c>
      <c r="AS10" s="9" t="str">
        <f t="shared" si="2"/>
        <v>Não se aplica</v>
      </c>
      <c r="AT10" s="9" t="str">
        <f t="shared" si="3"/>
        <v>Não se aplica</v>
      </c>
      <c r="AU10" s="9" t="str">
        <f t="shared" si="4"/>
        <v>Não se aplica</v>
      </c>
      <c r="AV10" s="9">
        <f t="shared" si="5"/>
        <v>1</v>
      </c>
      <c r="AW10" s="9">
        <f ca="1">IFERROR(VLOOKUP(AQ10,TarifaMedia!$C$17:$G$17,5,0),0)</f>
        <v>0</v>
      </c>
      <c r="AX10" s="15">
        <f ca="1">'TUSD BE'!$AM10+'TUSD BF'!$AM10+'TUSD CVA'!$AM10</f>
        <v>13.66046481326768</v>
      </c>
      <c r="AY10" s="9">
        <v>17.579999999999998</v>
      </c>
      <c r="AZ10" s="9">
        <f t="shared" ca="1" si="6"/>
        <v>0</v>
      </c>
      <c r="BC10" s="88" t="s">
        <v>868</v>
      </c>
    </row>
    <row r="11" spans="1:55" ht="11.25" customHeight="1" x14ac:dyDescent="0.25">
      <c r="A11" s="142"/>
      <c r="B11" s="142"/>
      <c r="C11" s="142"/>
      <c r="D11" s="142"/>
      <c r="E11" s="142"/>
      <c r="F11" s="142"/>
      <c r="G11" s="24" t="s">
        <v>76</v>
      </c>
      <c r="H11" s="24" t="s">
        <v>75</v>
      </c>
      <c r="I11" s="24">
        <f>'MERCADO TUSD'!$U$8</f>
        <v>280.50399999999996</v>
      </c>
      <c r="J11" s="15"/>
      <c r="L11" s="13">
        <f>'TUSD BE'!$L$11*'TUSD BE'!$L$58</f>
        <v>0</v>
      </c>
      <c r="M11" s="13">
        <f>'TUSD BE'!$M$11*'TUSD BE'!$M$58</f>
        <v>-2.6818038190765696E-3</v>
      </c>
      <c r="N11" s="13">
        <f ca="1">'TUSD BE'!$N$11*'TUSD BE'!$N$58</f>
        <v>1.2066167092882338E-5</v>
      </c>
      <c r="O11" s="13">
        <f>'TUSD BE'!$O$11*'TUSD BE'!$O$58</f>
        <v>0</v>
      </c>
      <c r="P11" s="13">
        <f>'TUSD BE'!$P$11*'TUSD BE'!$P$58</f>
        <v>0</v>
      </c>
      <c r="Q11" s="13">
        <f>'TUSD BE'!$Q$11*'TUSD BE'!$Q$58</f>
        <v>-1.4331716499802118</v>
      </c>
      <c r="R11" s="13">
        <f>'TUSD BE'!$R$11*'TUSD BE'!$R$58</f>
        <v>-0.25686632949670912</v>
      </c>
      <c r="S11" s="13">
        <f>'TUSD BE'!$R$11*'TUSD BE'!$S$58</f>
        <v>0</v>
      </c>
      <c r="T11" s="13">
        <f ca="1">SUM($L$11:$S$11)</f>
        <v>-1.6927077171289047</v>
      </c>
      <c r="U11" s="13">
        <f>'TUSD BE'!$U$11*'TUSD BE'!$U$58</f>
        <v>0</v>
      </c>
      <c r="V11" s="13">
        <f>'TUSD BE'!$V$11*'TUSD BE'!$V$58</f>
        <v>0</v>
      </c>
      <c r="W11" s="13">
        <f>'TUSD BE'!$W$11*'TUSD BE'!$W$58</f>
        <v>0</v>
      </c>
      <c r="X11" s="13">
        <f>'TUSD BE'!$X$11*'TUSD BE'!$X$58</f>
        <v>0</v>
      </c>
      <c r="Y11" s="13">
        <f>'TUSD BE'!$Y$11*'TUSD BE'!$Y$58</f>
        <v>5.6525543532070204</v>
      </c>
      <c r="Z11" s="13">
        <f>'TUSD BE'!$Z$11*'TUSD BE'!$Z$58</f>
        <v>0</v>
      </c>
      <c r="AA11" s="13">
        <f>'TUSD BE'!$AA$11*'TUSD BE'!$AA$58</f>
        <v>0</v>
      </c>
      <c r="AB11" s="13">
        <f>SUM($U$11:$AA$11)</f>
        <v>5.6525543532070204</v>
      </c>
      <c r="AC11" s="13">
        <f>'TUSD BE'!$AC$11*'TUSD BE'!$AC$58</f>
        <v>0</v>
      </c>
      <c r="AD11" s="13">
        <f>SUM($AC$11:$AC$11)</f>
        <v>0</v>
      </c>
      <c r="AE11" s="13">
        <f ca="1">$AO$11*$AO$55</f>
        <v>-391.81689254899322</v>
      </c>
      <c r="AF11" s="13">
        <f ca="1">$AP$11*$AP$55</f>
        <v>0</v>
      </c>
      <c r="AG11" s="13">
        <f ca="1">SUM($AE$11:$AF$11)</f>
        <v>-391.81689254899322</v>
      </c>
      <c r="AH11" s="13">
        <f>'TUSD BE'!$AH$11*'TUSD BE'!$AH$58</f>
        <v>-3.590202070009009E-2</v>
      </c>
      <c r="AI11" s="13">
        <f>'TUSD BE'!$AI$11*'TUSD BE'!$AI$58</f>
        <v>-1.2317403950862062E-3</v>
      </c>
      <c r="AJ11" s="13">
        <f ca="1">'TUSD BE'!$AJ$11*'TUSD BE'!$AJ$58</f>
        <v>-2.4489735517691756E-2</v>
      </c>
      <c r="AK11" s="13">
        <f ca="1">'TUSD BE'!$AK$11*'TUSD BE'!$AK$58</f>
        <v>3.7255022262425034E-3</v>
      </c>
      <c r="AL11" s="13">
        <f ca="1">SUM($AH$11:$AK$11)</f>
        <v>-5.7897994386625552E-2</v>
      </c>
      <c r="AM11" s="13">
        <f ca="1">SUMIF($L$4:$AL$4,"SUBTOTAL",$L$11:$AL$11)+AZ11</f>
        <v>-387.91494390730173</v>
      </c>
      <c r="AO11" s="26">
        <f ca="1">+'TUSD BE'!$T$11+'TUSD BE'!$AB$11+'TUSD BE'!$AD$11+'TUSD BE'!$AL$11</f>
        <v>1419.2260886342651</v>
      </c>
      <c r="AP11" s="26">
        <f ca="1">+'TUSD BE'!$T$11+'TUSD BE'!$AB$11+'TUSD BE'!$AD$11+'TUSD BE'!$AL$11</f>
        <v>1419.2260886342651</v>
      </c>
      <c r="AQ11" s="9" t="str">
        <f t="shared" si="0"/>
        <v>A4</v>
      </c>
      <c r="AR11" s="9" t="str">
        <f t="shared" si="1"/>
        <v>Verde</v>
      </c>
      <c r="AS11" s="9" t="str">
        <f t="shared" si="2"/>
        <v>Não se aplica</v>
      </c>
      <c r="AT11" s="9" t="str">
        <f t="shared" si="3"/>
        <v>Não se aplica</v>
      </c>
      <c r="AU11" s="9" t="str">
        <f t="shared" si="4"/>
        <v>Não se aplica</v>
      </c>
      <c r="AV11" s="9">
        <f t="shared" si="5"/>
        <v>1</v>
      </c>
      <c r="AW11" s="9">
        <f ca="1">IFERROR(VLOOKUP(AQ11,TarifaMedia!$C$17:$G$17,5,0),0)</f>
        <v>0</v>
      </c>
      <c r="AX11" s="15">
        <f ca="1">'TUSD BE'!$AM11+'TUSD BF'!$AM11+'TUSD CVA'!$AM11</f>
        <v>1048.5801557334262</v>
      </c>
      <c r="AY11" s="9">
        <v>1027.46</v>
      </c>
      <c r="AZ11" s="9">
        <f t="shared" ca="1" si="6"/>
        <v>0</v>
      </c>
      <c r="BC11" s="88" t="s">
        <v>869</v>
      </c>
    </row>
    <row r="12" spans="1:55" ht="11.25" customHeight="1" x14ac:dyDescent="0.25">
      <c r="A12" s="142"/>
      <c r="B12" s="142"/>
      <c r="C12" s="142"/>
      <c r="D12" s="142"/>
      <c r="E12" s="142"/>
      <c r="F12" s="142"/>
      <c r="G12" s="24" t="s">
        <v>77</v>
      </c>
      <c r="H12" s="24" t="s">
        <v>75</v>
      </c>
      <c r="I12" s="24">
        <f>'MERCADO TUSD'!$U$9</f>
        <v>7558.6610000000001</v>
      </c>
      <c r="J12" s="15"/>
      <c r="L12" s="13">
        <f>'TUSD BE'!$L$12*'TUSD BE'!$L$58</f>
        <v>0</v>
      </c>
      <c r="M12" s="13">
        <f>'TUSD BE'!$M$12*'TUSD BE'!$M$58</f>
        <v>-2.6818038190765696E-3</v>
      </c>
      <c r="N12" s="13">
        <f ca="1">'TUSD BE'!$N$12*'TUSD BE'!$N$58</f>
        <v>1.029636550336727E-7</v>
      </c>
      <c r="O12" s="13">
        <f>'TUSD BE'!$O$12*'TUSD BE'!$O$58</f>
        <v>0</v>
      </c>
      <c r="P12" s="13">
        <f>'TUSD BE'!$P$12*'TUSD BE'!$P$58</f>
        <v>0</v>
      </c>
      <c r="Q12" s="13">
        <f>'TUSD BE'!$Q$12*'TUSD BE'!$Q$58</f>
        <v>-1.4331716499802118</v>
      </c>
      <c r="R12" s="13">
        <f>'TUSD BE'!$R$12*'TUSD BE'!$R$58</f>
        <v>-0.25686632949670912</v>
      </c>
      <c r="S12" s="13">
        <f>'TUSD BE'!$R$12*'TUSD BE'!$S$58</f>
        <v>0</v>
      </c>
      <c r="T12" s="13">
        <f ca="1">SUM($L$12:$S$12)</f>
        <v>-1.6927196803323425</v>
      </c>
      <c r="U12" s="13">
        <f>'TUSD BE'!$U$12*'TUSD BE'!$U$58</f>
        <v>0</v>
      </c>
      <c r="V12" s="13">
        <f>'TUSD BE'!$V$12*'TUSD BE'!$V$58</f>
        <v>0</v>
      </c>
      <c r="W12" s="13">
        <f>'TUSD BE'!$W$12*'TUSD BE'!$W$58</f>
        <v>0</v>
      </c>
      <c r="X12" s="13">
        <f>'TUSD BE'!$X$12*'TUSD BE'!$X$58</f>
        <v>0</v>
      </c>
      <c r="Y12" s="13">
        <f>'TUSD BE'!$Y$12*'TUSD BE'!$Y$58</f>
        <v>0</v>
      </c>
      <c r="Z12" s="13">
        <f>'TUSD BE'!$Z$12*'TUSD BE'!$Z$58</f>
        <v>0</v>
      </c>
      <c r="AA12" s="13">
        <f>'TUSD BE'!$AA$12*'TUSD BE'!$AA$58</f>
        <v>0</v>
      </c>
      <c r="AB12" s="13">
        <f>SUM($U$12:$AA$12)</f>
        <v>0</v>
      </c>
      <c r="AC12" s="13">
        <f>'TUSD BE'!$AC$12*'TUSD BE'!$AC$58</f>
        <v>0</v>
      </c>
      <c r="AD12" s="13">
        <f>SUM($AC$12:$AC$12)</f>
        <v>0</v>
      </c>
      <c r="AE12" s="13">
        <f ca="1">$AO$12*$AO$55</f>
        <v>-25.840128802940797</v>
      </c>
      <c r="AF12" s="13">
        <f ca="1">$AP$12*$AP$55</f>
        <v>0</v>
      </c>
      <c r="AG12" s="13">
        <f ca="1">SUM($AE$12:$AF$12)</f>
        <v>-25.840128802940797</v>
      </c>
      <c r="AH12" s="13">
        <f>'TUSD BE'!$AH$12*'TUSD BE'!$AH$58</f>
        <v>-3.590202070009009E-2</v>
      </c>
      <c r="AI12" s="13">
        <f>'TUSD BE'!$AI$12*'TUSD BE'!$AI$58</f>
        <v>-1.2317403950862062E-3</v>
      </c>
      <c r="AJ12" s="13">
        <f ca="1">'TUSD BE'!$AJ$12*'TUSD BE'!$AJ$58</f>
        <v>-2.4489735517691756E-2</v>
      </c>
      <c r="AK12" s="13">
        <f ca="1">'TUSD BE'!$AK$12*'TUSD BE'!$AK$58</f>
        <v>3.7255022262425034E-3</v>
      </c>
      <c r="AL12" s="13">
        <f ca="1">SUM($AH$12:$AK$12)</f>
        <v>-5.7897994386625552E-2</v>
      </c>
      <c r="AM12" s="13">
        <f ca="1">SUMIF($L$4:$AL$4,"SUBTOTAL",$L$12:$AL$12)+AZ12</f>
        <v>-27.590746477659764</v>
      </c>
      <c r="AO12" s="26">
        <f ca="1">+'TUSD BE'!$T$12+'TUSD BE'!$AB$12+'TUSD BE'!$AD$12+'TUSD BE'!$AL$12</f>
        <v>93.597253278756099</v>
      </c>
      <c r="AP12" s="26">
        <f ca="1">+'TUSD BE'!$T$12+'TUSD BE'!$AB$12+'TUSD BE'!$AD$12+'TUSD BE'!$AL$12</f>
        <v>93.597253278756099</v>
      </c>
      <c r="AQ12" s="9" t="str">
        <f t="shared" si="0"/>
        <v>A4</v>
      </c>
      <c r="AR12" s="9" t="str">
        <f t="shared" si="1"/>
        <v>Verde</v>
      </c>
      <c r="AS12" s="9" t="str">
        <f t="shared" si="2"/>
        <v>Não se aplica</v>
      </c>
      <c r="AT12" s="9" t="str">
        <f t="shared" si="3"/>
        <v>Não se aplica</v>
      </c>
      <c r="AU12" s="9" t="str">
        <f t="shared" si="4"/>
        <v>Não se aplica</v>
      </c>
      <c r="AV12" s="9">
        <f t="shared" si="5"/>
        <v>1</v>
      </c>
      <c r="AW12" s="9">
        <f ca="1">IFERROR(VLOOKUP(AQ12,TarifaMedia!$C$17:$G$17,5,0),0)</f>
        <v>0</v>
      </c>
      <c r="AX12" s="15">
        <f ca="1">'TUSD BE'!$AM12+'TUSD BF'!$AM12+'TUSD CVA'!$AM12</f>
        <v>83.275517807559041</v>
      </c>
      <c r="AY12" s="9">
        <v>110.85</v>
      </c>
      <c r="AZ12" s="9">
        <f t="shared" ca="1" si="6"/>
        <v>0</v>
      </c>
      <c r="BC12" s="88" t="s">
        <v>870</v>
      </c>
    </row>
    <row r="13" spans="1:55" ht="11.25" customHeight="1" x14ac:dyDescent="0.25">
      <c r="A13" s="142"/>
      <c r="B13" s="142"/>
      <c r="C13" s="142"/>
      <c r="D13" s="142"/>
      <c r="E13" s="142" t="s">
        <v>83</v>
      </c>
      <c r="F13" s="142" t="s">
        <v>25</v>
      </c>
      <c r="G13" s="24" t="s">
        <v>76</v>
      </c>
      <c r="H13" s="24" t="s">
        <v>75</v>
      </c>
      <c r="I13" s="24">
        <f>'MERCADO TUSD'!$U$10</f>
        <v>0</v>
      </c>
      <c r="J13" s="15"/>
      <c r="L13" s="13">
        <f>'TUSD BE'!$L$13*'TUSD BE'!$L$58</f>
        <v>0</v>
      </c>
      <c r="M13" s="13">
        <f>'TUSD BE'!$M$13*'TUSD BE'!$M$58</f>
        <v>-2.6818038190765696E-3</v>
      </c>
      <c r="N13" s="13">
        <f ca="1">'TUSD BE'!$N$13*'TUSD BE'!$N$58</f>
        <v>1.2055556519973607E-5</v>
      </c>
      <c r="O13" s="13">
        <f>'TUSD BE'!$O$13*'TUSD BE'!$O$58</f>
        <v>0</v>
      </c>
      <c r="P13" s="13">
        <f>'TUSD BE'!$P$13*'TUSD BE'!$P$58</f>
        <v>0</v>
      </c>
      <c r="Q13" s="13">
        <f>'TUSD BE'!$Q$13*'TUSD BE'!$Q$58</f>
        <v>0</v>
      </c>
      <c r="R13" s="13">
        <f>'TUSD BE'!$R$13*'TUSD BE'!$R$58</f>
        <v>0</v>
      </c>
      <c r="S13" s="13">
        <f>'TUSD BE'!$R$13*'TUSD BE'!$S$58</f>
        <v>0</v>
      </c>
      <c r="T13" s="13">
        <f ca="1">SUM($L$13:$S$13)</f>
        <v>-2.6697482625565958E-3</v>
      </c>
      <c r="U13" s="13">
        <f>'TUSD BE'!$U$13*'TUSD BE'!$U$58</f>
        <v>0</v>
      </c>
      <c r="V13" s="13">
        <f>'TUSD BE'!$V$13*'TUSD BE'!$V$58</f>
        <v>0</v>
      </c>
      <c r="W13" s="13">
        <f>'TUSD BE'!$W$13*'TUSD BE'!$W$58</f>
        <v>0</v>
      </c>
      <c r="X13" s="13">
        <f>'TUSD BE'!$X$13*'TUSD BE'!$X$58</f>
        <v>0</v>
      </c>
      <c r="Y13" s="13">
        <f>'TUSD BE'!$Y$13*'TUSD BE'!$Y$58</f>
        <v>5.6525543532070204</v>
      </c>
      <c r="Z13" s="13">
        <f>'TUSD BE'!$Z$13*'TUSD BE'!$Z$58</f>
        <v>0</v>
      </c>
      <c r="AA13" s="13">
        <f>'TUSD BE'!$AA$13*'TUSD BE'!$AA$58</f>
        <v>0</v>
      </c>
      <c r="AB13" s="13">
        <f>SUM($U$13:$AA$13)</f>
        <v>5.6525543532070204</v>
      </c>
      <c r="AC13" s="13">
        <f>'TUSD BE'!$AC$13*'TUSD BE'!$AC$58</f>
        <v>0</v>
      </c>
      <c r="AD13" s="13">
        <f>SUM($AC$13:$AC$13)</f>
        <v>0</v>
      </c>
      <c r="AE13" s="13">
        <f ca="1">$AO$13*$AO$55</f>
        <v>-367.24133941854609</v>
      </c>
      <c r="AF13" s="13">
        <f ca="1">$AP$13*$AP$55</f>
        <v>0</v>
      </c>
      <c r="AG13" s="13">
        <f ca="1">SUM($AE$13:$AF$13)</f>
        <v>-367.24133941854609</v>
      </c>
      <c r="AH13" s="13">
        <f>'TUSD BE'!$AH$13*'TUSD BE'!$AH$58</f>
        <v>-3.590202070009009E-2</v>
      </c>
      <c r="AI13" s="13">
        <f>'TUSD BE'!$AI$13*'TUSD BE'!$AI$58</f>
        <v>-1.2317403950862062E-3</v>
      </c>
      <c r="AJ13" s="13">
        <f ca="1">'TUSD BE'!$AJ$13*'TUSD BE'!$AJ$58</f>
        <v>-2.4489735517691756E-2</v>
      </c>
      <c r="AK13" s="13">
        <f ca="1">'TUSD BE'!$AK$13*'TUSD BE'!$AK$58</f>
        <v>3.7255022262425034E-3</v>
      </c>
      <c r="AL13" s="13">
        <f ca="1">SUM($AH$13:$AK$13)</f>
        <v>-5.7897994386625552E-2</v>
      </c>
      <c r="AM13" s="13">
        <f ca="1">SUMIF($L$4:$AL$4,"SUBTOTAL",$L$13:$AL$13)+AZ13</f>
        <v>-361.64935280798824</v>
      </c>
      <c r="AO13" s="26">
        <f ca="1">+'TUSD BE'!$T$13+'TUSD BE'!$AB$13+'TUSD BE'!$AD$13+'TUSD BE'!$AL$13</f>
        <v>1330.2093392071413</v>
      </c>
      <c r="AP13" s="26">
        <f ca="1">+'TUSD BE'!$T$13+'TUSD BE'!$AB$13+'TUSD BE'!$AD$13+'TUSD BE'!$AL$13</f>
        <v>1330.2093392071413</v>
      </c>
      <c r="AQ13" s="9" t="str">
        <f t="shared" si="0"/>
        <v>A4</v>
      </c>
      <c r="AR13" s="9" t="str">
        <f t="shared" si="1"/>
        <v>Verde</v>
      </c>
      <c r="AS13" s="9" t="str">
        <f t="shared" si="2"/>
        <v>Não se aplica</v>
      </c>
      <c r="AT13" s="9" t="str">
        <f t="shared" si="3"/>
        <v>Não se aplica</v>
      </c>
      <c r="AU13" s="9" t="str">
        <f t="shared" si="4"/>
        <v>APE</v>
      </c>
      <c r="AV13" s="9">
        <f t="shared" si="5"/>
        <v>1</v>
      </c>
      <c r="AW13" s="9">
        <f ca="1">IFERROR(VLOOKUP(AQ13,TarifaMedia!$C$17:$G$17,5,0),0)</f>
        <v>0</v>
      </c>
      <c r="AX13" s="15">
        <f ca="1">'TUSD BE'!$AM13+'TUSD BF'!$AM13+'TUSD CVA'!$AM13</f>
        <v>969.26431387497371</v>
      </c>
      <c r="AY13" s="9">
        <v>932.51</v>
      </c>
      <c r="AZ13" s="9">
        <f t="shared" ca="1" si="6"/>
        <v>0</v>
      </c>
      <c r="BC13" s="88" t="s">
        <v>871</v>
      </c>
    </row>
    <row r="14" spans="1:55" ht="11.25" customHeight="1" x14ac:dyDescent="0.25">
      <c r="A14" s="142"/>
      <c r="B14" s="142"/>
      <c r="C14" s="142"/>
      <c r="D14" s="142"/>
      <c r="E14" s="142"/>
      <c r="F14" s="142"/>
      <c r="G14" s="24" t="s">
        <v>77</v>
      </c>
      <c r="H14" s="24" t="s">
        <v>75</v>
      </c>
      <c r="I14" s="24">
        <f>'MERCADO TUSD'!$U$11</f>
        <v>0</v>
      </c>
      <c r="J14" s="15"/>
      <c r="L14" s="13">
        <f>'TUSD BE'!$L$14*'TUSD BE'!$L$58</f>
        <v>0</v>
      </c>
      <c r="M14" s="13">
        <f>'TUSD BE'!$M$14*'TUSD BE'!$M$58</f>
        <v>-2.6818038190765696E-3</v>
      </c>
      <c r="N14" s="13">
        <f ca="1">'TUSD BE'!$N$14*'TUSD BE'!$N$58</f>
        <v>9.2353082124942508E-8</v>
      </c>
      <c r="O14" s="13">
        <f>'TUSD BE'!$O$14*'TUSD BE'!$O$58</f>
        <v>0</v>
      </c>
      <c r="P14" s="13">
        <f>'TUSD BE'!$P$14*'TUSD BE'!$P$58</f>
        <v>0</v>
      </c>
      <c r="Q14" s="13">
        <f>'TUSD BE'!$Q$14*'TUSD BE'!$Q$58</f>
        <v>0</v>
      </c>
      <c r="R14" s="13">
        <f>'TUSD BE'!$R$14*'TUSD BE'!$R$58</f>
        <v>0</v>
      </c>
      <c r="S14" s="13">
        <f>'TUSD BE'!$R$14*'TUSD BE'!$S$58</f>
        <v>0</v>
      </c>
      <c r="T14" s="13">
        <f ca="1">SUM($L$14:$S$14)</f>
        <v>-2.6817114659944447E-3</v>
      </c>
      <c r="U14" s="13">
        <f>'TUSD BE'!$U$14*'TUSD BE'!$U$58</f>
        <v>0</v>
      </c>
      <c r="V14" s="13">
        <f>'TUSD BE'!$V$14*'TUSD BE'!$V$58</f>
        <v>0</v>
      </c>
      <c r="W14" s="13">
        <f>'TUSD BE'!$W$14*'TUSD BE'!$W$58</f>
        <v>0</v>
      </c>
      <c r="X14" s="13">
        <f>'TUSD BE'!$X$14*'TUSD BE'!$X$58</f>
        <v>0</v>
      </c>
      <c r="Y14" s="13">
        <f>'TUSD BE'!$Y$14*'TUSD BE'!$Y$58</f>
        <v>0</v>
      </c>
      <c r="Z14" s="13">
        <f>'TUSD BE'!$Z$14*'TUSD BE'!$Z$58</f>
        <v>0</v>
      </c>
      <c r="AA14" s="13">
        <f>'TUSD BE'!$AA$14*'TUSD BE'!$AA$58</f>
        <v>0</v>
      </c>
      <c r="AB14" s="13">
        <f>SUM($U$14:$AA$14)</f>
        <v>0</v>
      </c>
      <c r="AC14" s="13">
        <f>'TUSD BE'!$AC$14*'TUSD BE'!$AC$58</f>
        <v>0</v>
      </c>
      <c r="AD14" s="13">
        <f>SUM($AC$14:$AC$14)</f>
        <v>0</v>
      </c>
      <c r="AE14" s="13">
        <f ca="1">$AO$14*$AO$55</f>
        <v>-1.2645756724936796</v>
      </c>
      <c r="AF14" s="13">
        <f ca="1">$AP$14*$AP$55</f>
        <v>0</v>
      </c>
      <c r="AG14" s="13">
        <f ca="1">SUM($AE$14:$AF$14)</f>
        <v>-1.2645756724936796</v>
      </c>
      <c r="AH14" s="13">
        <f>'TUSD BE'!$AH$14*'TUSD BE'!$AH$58</f>
        <v>-3.590202070009009E-2</v>
      </c>
      <c r="AI14" s="13">
        <f>'TUSD BE'!$AI$14*'TUSD BE'!$AI$58</f>
        <v>-1.2317403950862062E-3</v>
      </c>
      <c r="AJ14" s="13">
        <f ca="1">'TUSD BE'!$AJ$14*'TUSD BE'!$AJ$58</f>
        <v>-2.4489735517691756E-2</v>
      </c>
      <c r="AK14" s="13">
        <f ca="1">'TUSD BE'!$AK$14*'TUSD BE'!$AK$58</f>
        <v>3.7255022262425034E-3</v>
      </c>
      <c r="AL14" s="13">
        <f ca="1">SUM($AH$14:$AK$14)</f>
        <v>-5.7897994386625552E-2</v>
      </c>
      <c r="AM14" s="13">
        <f ca="1">SUMIF($L$4:$AL$4,"SUBTOTAL",$L$14:$AL$14)+AZ14</f>
        <v>-1.3251553783462997</v>
      </c>
      <c r="AO14" s="26">
        <f ca="1">+'TUSD BE'!$T$14+'TUSD BE'!$AB$14+'TUSD BE'!$AD$14+'TUSD BE'!$AL$14</f>
        <v>4.5805038516322689</v>
      </c>
      <c r="AP14" s="26">
        <f ca="1">+'TUSD BE'!$T$14+'TUSD BE'!$AB$14+'TUSD BE'!$AD$14+'TUSD BE'!$AL$14</f>
        <v>4.5805038516322689</v>
      </c>
      <c r="AQ14" s="9" t="str">
        <f t="shared" si="0"/>
        <v>A4</v>
      </c>
      <c r="AR14" s="9" t="str">
        <f t="shared" si="1"/>
        <v>Verde</v>
      </c>
      <c r="AS14" s="9" t="str">
        <f t="shared" si="2"/>
        <v>Não se aplica</v>
      </c>
      <c r="AT14" s="9" t="str">
        <f t="shared" si="3"/>
        <v>Não se aplica</v>
      </c>
      <c r="AU14" s="9" t="str">
        <f t="shared" si="4"/>
        <v>APE</v>
      </c>
      <c r="AV14" s="9">
        <f t="shared" si="5"/>
        <v>1</v>
      </c>
      <c r="AW14" s="9">
        <f ca="1">IFERROR(VLOOKUP(AQ14,TarifaMedia!$C$17:$G$17,5,0),0)</f>
        <v>0</v>
      </c>
      <c r="AX14" s="15">
        <f ca="1">'TUSD BE'!$AM14+'TUSD BF'!$AM14+'TUSD CVA'!$AM14</f>
        <v>3.959675949106523</v>
      </c>
      <c r="AY14" s="9">
        <v>15.9</v>
      </c>
      <c r="AZ14" s="9">
        <f t="shared" ca="1" si="6"/>
        <v>0</v>
      </c>
      <c r="BC14" s="88" t="s">
        <v>872</v>
      </c>
    </row>
    <row r="15" spans="1:55" ht="11.25" customHeight="1" x14ac:dyDescent="0.25">
      <c r="A15" s="142" t="s">
        <v>85</v>
      </c>
      <c r="B15" s="142" t="s">
        <v>84</v>
      </c>
      <c r="C15" s="142" t="s">
        <v>25</v>
      </c>
      <c r="D15" s="142" t="s">
        <v>25</v>
      </c>
      <c r="E15" s="23" t="s">
        <v>86</v>
      </c>
      <c r="F15" s="23" t="s">
        <v>25</v>
      </c>
      <c r="G15" s="24" t="s">
        <v>9</v>
      </c>
      <c r="H15" s="24" t="s">
        <v>80</v>
      </c>
      <c r="I15" s="24">
        <f>'MERCADO TUSD'!$U$12+0.00000001</f>
        <v>1E-8</v>
      </c>
      <c r="J15" s="15"/>
      <c r="L15" s="13">
        <f>'TUSD BE'!$L$15*'TUSD BE'!$L$58</f>
        <v>0</v>
      </c>
      <c r="M15" s="13">
        <f>'TUSD BE'!$M$15*'TUSD BE'!$M$58</f>
        <v>-3.7753294393322908E-4</v>
      </c>
      <c r="N15" s="13">
        <f ca="1">'TUSD BE'!$N$15*'TUSD BE'!$N$58</f>
        <v>5.8676468185277988E-8</v>
      </c>
      <c r="O15" s="13">
        <f>'TUSD BE'!$O$15*'TUSD BE'!$O$58</f>
        <v>0</v>
      </c>
      <c r="P15" s="13">
        <f>'TUSD BE'!$P$15*'TUSD BE'!$P$58</f>
        <v>0</v>
      </c>
      <c r="Q15" s="13">
        <f>'TUSD BE'!$Q$15*'TUSD BE'!$Q$58</f>
        <v>0</v>
      </c>
      <c r="R15" s="13">
        <f>'TUSD BE'!$R$15*'TUSD BE'!$R$58</f>
        <v>0</v>
      </c>
      <c r="S15" s="13">
        <f>'TUSD BE'!$R$15*'TUSD BE'!$S$58</f>
        <v>0</v>
      </c>
      <c r="T15" s="13">
        <f ca="1">SUM($L$15:$S$15)</f>
        <v>-3.774742674650438E-4</v>
      </c>
      <c r="U15" s="13">
        <f>'TUSD BE'!$U$15*'TUSD BE'!$U$58</f>
        <v>0</v>
      </c>
      <c r="V15" s="13">
        <f>'TUSD BE'!$V$15*'TUSD BE'!$V$58</f>
        <v>0</v>
      </c>
      <c r="W15" s="13">
        <f>'TUSD BE'!$W$15*'TUSD BE'!$W$58</f>
        <v>0</v>
      </c>
      <c r="X15" s="13">
        <f>'TUSD BE'!$X$15*'TUSD BE'!$X$58</f>
        <v>0</v>
      </c>
      <c r="Y15" s="13">
        <f>'TUSD BE'!$Y$15*'TUSD BE'!$Y$58</f>
        <v>0</v>
      </c>
      <c r="Z15" s="13">
        <f>'TUSD BE'!$Z$15*'TUSD BE'!$Z$58</f>
        <v>0</v>
      </c>
      <c r="AA15" s="13">
        <f>'TUSD BE'!$AA$15*'TUSD BE'!$AA$58</f>
        <v>0</v>
      </c>
      <c r="AB15" s="13">
        <f>SUM($U$15:$AA$15)</f>
        <v>0</v>
      </c>
      <c r="AC15" s="13">
        <f>'TUSD BE'!$AC$15*'TUSD BE'!$AC$58</f>
        <v>0</v>
      </c>
      <c r="AD15" s="13">
        <f>SUM($AC$15:$AC$15)</f>
        <v>0</v>
      </c>
      <c r="AE15" s="13">
        <f ca="1">$AO$15*$AO$55</f>
        <v>-1.6618519195985642</v>
      </c>
      <c r="AF15" s="13">
        <f ca="1">$AP$15*$AP$55</f>
        <v>0</v>
      </c>
      <c r="AG15" s="13">
        <f ca="1">SUM($AE$15:$AF$15)</f>
        <v>-1.6618519195985642</v>
      </c>
      <c r="AH15" s="13">
        <f>'TUSD BE'!$AH$15*'TUSD BE'!$AH$58</f>
        <v>0</v>
      </c>
      <c r="AI15" s="13">
        <f>'TUSD BE'!$AI$15*'TUSD BE'!$AI$58</f>
        <v>0</v>
      </c>
      <c r="AJ15" s="13">
        <f ca="1">'TUSD BE'!$AJ$15*'TUSD BE'!$AJ$58</f>
        <v>0</v>
      </c>
      <c r="AK15" s="13">
        <f ca="1">'TUSD BE'!$AK$15*'TUSD BE'!$AK$58</f>
        <v>0</v>
      </c>
      <c r="AL15" s="13">
        <f ca="1">SUM($AH$15:$AK$15)</f>
        <v>0</v>
      </c>
      <c r="AM15" s="13">
        <f ca="1">SUMIF($L$4:$AL$4,"SUBTOTAL",$L$15:$AL$15)+AZ15</f>
        <v>-1.6622293938660293</v>
      </c>
      <c r="AO15" s="26">
        <f ca="1">+'TUSD BE'!$T$15+'TUSD BE'!$AB$15+'TUSD BE'!$AD$15+'TUSD BE'!$AL$15</f>
        <v>6.0195046323744208</v>
      </c>
      <c r="AP15" s="26">
        <f ca="1">+'TUSD BE'!$T$15+'TUSD BE'!$AB$15+'TUSD BE'!$AD$15+'TUSD BE'!$AL$15</f>
        <v>6.0195046323744208</v>
      </c>
      <c r="AQ15" s="9" t="str">
        <f t="shared" si="0"/>
        <v>B</v>
      </c>
      <c r="AR15" s="9" t="str">
        <f t="shared" si="1"/>
        <v>Geração</v>
      </c>
      <c r="AS15" s="9" t="str">
        <f t="shared" si="2"/>
        <v>Não se aplica</v>
      </c>
      <c r="AT15" s="9" t="str">
        <f t="shared" si="3"/>
        <v>Não se aplica</v>
      </c>
      <c r="AU15" s="9" t="str">
        <f t="shared" si="4"/>
        <v>TIPO 01</v>
      </c>
      <c r="AV15" s="9">
        <f t="shared" si="5"/>
        <v>0</v>
      </c>
      <c r="AW15" s="9">
        <f ca="1">TarifaMedia!$G$20</f>
        <v>0</v>
      </c>
      <c r="AX15" s="15">
        <f ca="1">'TUSD BE'!$AM15+'TUSD BF'!$AM15+'TUSD CVA'!$AM15</f>
        <v>4.3572752385083913</v>
      </c>
      <c r="AY15" s="9">
        <v>2.52</v>
      </c>
      <c r="AZ15" s="9">
        <f t="shared" ca="1" si="6"/>
        <v>0</v>
      </c>
      <c r="BC15" s="88" t="s">
        <v>873</v>
      </c>
    </row>
    <row r="16" spans="1:55" ht="11.25" customHeight="1" x14ac:dyDescent="0.25">
      <c r="A16" s="142"/>
      <c r="B16" s="142"/>
      <c r="C16" s="142"/>
      <c r="D16" s="142"/>
      <c r="E16" s="23" t="s">
        <v>87</v>
      </c>
      <c r="F16" s="23" t="s">
        <v>25</v>
      </c>
      <c r="G16" s="24" t="s">
        <v>9</v>
      </c>
      <c r="H16" s="24" t="s">
        <v>80</v>
      </c>
      <c r="I16" s="24">
        <f>'MERCADO TUSD'!$U$13+0.00000001</f>
        <v>1E-8</v>
      </c>
      <c r="J16" s="15"/>
      <c r="L16" s="13">
        <f>'TUSD BE'!$L$16*'TUSD BE'!$L$58</f>
        <v>0</v>
      </c>
      <c r="M16" s="13">
        <f>'TUSD BE'!$M$16*'TUSD BE'!$M$58</f>
        <v>-3.7753294393322908E-4</v>
      </c>
      <c r="N16" s="13">
        <f ca="1">'TUSD BE'!$N$16*'TUSD BE'!$N$58</f>
        <v>5.8676468185277988E-8</v>
      </c>
      <c r="O16" s="13">
        <f>'TUSD BE'!$O$16*'TUSD BE'!$O$58</f>
        <v>0</v>
      </c>
      <c r="P16" s="13">
        <f>'TUSD BE'!$P$16*'TUSD BE'!$P$58</f>
        <v>0</v>
      </c>
      <c r="Q16" s="13">
        <f>'TUSD BE'!$Q$16*'TUSD BE'!$Q$58</f>
        <v>0</v>
      </c>
      <c r="R16" s="13">
        <f>'TUSD BE'!$R$16*'TUSD BE'!$R$58</f>
        <v>0</v>
      </c>
      <c r="S16" s="13">
        <f>'TUSD BE'!$R$16*'TUSD BE'!$S$58</f>
        <v>0</v>
      </c>
      <c r="T16" s="13">
        <f ca="1">SUM($L$16:$S$16)</f>
        <v>-3.774742674650438E-4</v>
      </c>
      <c r="U16" s="13">
        <f>'TUSD BE'!$U$16*'TUSD BE'!$U$58</f>
        <v>0</v>
      </c>
      <c r="V16" s="13">
        <f>'TUSD BE'!$V$16*'TUSD BE'!$V$58</f>
        <v>0</v>
      </c>
      <c r="W16" s="13">
        <f>'TUSD BE'!$W$16*'TUSD BE'!$W$58</f>
        <v>0</v>
      </c>
      <c r="X16" s="13">
        <f>'TUSD BE'!$X$16*'TUSD BE'!$X$58</f>
        <v>0</v>
      </c>
      <c r="Y16" s="13">
        <f>'TUSD BE'!$Y$16*'TUSD BE'!$Y$58</f>
        <v>0</v>
      </c>
      <c r="Z16" s="13">
        <f>'TUSD BE'!$Z$16*'TUSD BE'!$Z$58</f>
        <v>0</v>
      </c>
      <c r="AA16" s="13">
        <f>'TUSD BE'!$AA$16*'TUSD BE'!$AA$58</f>
        <v>0</v>
      </c>
      <c r="AB16" s="13">
        <f>SUM($U$16:$AA$16)</f>
        <v>0</v>
      </c>
      <c r="AC16" s="13">
        <f>'TUSD BE'!$AC$16*'TUSD BE'!$AC$58</f>
        <v>0</v>
      </c>
      <c r="AD16" s="13">
        <f>SUM($AC$16:$AC$16)</f>
        <v>0</v>
      </c>
      <c r="AE16" s="13">
        <f ca="1">$AO$16*$AO$55</f>
        <v>-3.9751591692998711</v>
      </c>
      <c r="AF16" s="13">
        <f ca="1">$AP$16*$AP$55</f>
        <v>0</v>
      </c>
      <c r="AG16" s="13">
        <f ca="1">SUM($AE$16:$AF$16)</f>
        <v>-3.9751591692998711</v>
      </c>
      <c r="AH16" s="13">
        <f>'TUSD BE'!$AH$16*'TUSD BE'!$AH$58</f>
        <v>0</v>
      </c>
      <c r="AI16" s="13">
        <f>'TUSD BE'!$AI$16*'TUSD BE'!$AI$58</f>
        <v>0</v>
      </c>
      <c r="AJ16" s="13">
        <f ca="1">'TUSD BE'!$AJ$16*'TUSD BE'!$AJ$58</f>
        <v>0</v>
      </c>
      <c r="AK16" s="13">
        <f ca="1">'TUSD BE'!$AK$16*'TUSD BE'!$AK$58</f>
        <v>0</v>
      </c>
      <c r="AL16" s="13">
        <f ca="1">SUM($AH$16:$AK$16)</f>
        <v>0</v>
      </c>
      <c r="AM16" s="13">
        <f ca="1">SUMIF($L$4:$AL$4,"SUBTOTAL",$L$16:$AL$16)+AZ16</f>
        <v>-3.9755366435673363</v>
      </c>
      <c r="AO16" s="26">
        <f ca="1">+'TUSD BE'!$T$16+'TUSD BE'!$AB$16+'TUSD BE'!$AD$16+'TUSD BE'!$AL$16</f>
        <v>14.398689047942598</v>
      </c>
      <c r="AP16" s="26">
        <f ca="1">+'TUSD BE'!$T$16+'TUSD BE'!$AB$16+'TUSD BE'!$AD$16+'TUSD BE'!$AL$16</f>
        <v>14.398689047942598</v>
      </c>
      <c r="AQ16" s="9" t="str">
        <f t="shared" si="0"/>
        <v>B</v>
      </c>
      <c r="AR16" s="9" t="str">
        <f t="shared" si="1"/>
        <v>Geração</v>
      </c>
      <c r="AS16" s="9" t="str">
        <f t="shared" si="2"/>
        <v>Não se aplica</v>
      </c>
      <c r="AT16" s="9" t="str">
        <f t="shared" si="3"/>
        <v>Não se aplica</v>
      </c>
      <c r="AU16" s="9" t="str">
        <f t="shared" si="4"/>
        <v>TIPO 02</v>
      </c>
      <c r="AV16" s="9">
        <f t="shared" si="5"/>
        <v>0</v>
      </c>
      <c r="AW16" s="9">
        <f ca="1">TarifaMedia!$G$20</f>
        <v>0</v>
      </c>
      <c r="AX16" s="15">
        <f ca="1">'TUSD BE'!$AM16+'TUSD BF'!$AM16+'TUSD CVA'!$AM16</f>
        <v>10.423152404375262</v>
      </c>
      <c r="AY16" s="9">
        <v>7.94</v>
      </c>
      <c r="AZ16" s="9">
        <f t="shared" ca="1" si="6"/>
        <v>0</v>
      </c>
      <c r="BC16" s="88" t="s">
        <v>874</v>
      </c>
    </row>
    <row r="17" spans="1:55" ht="11.25" customHeight="1" x14ac:dyDescent="0.25">
      <c r="A17" s="142" t="s">
        <v>22</v>
      </c>
      <c r="B17" s="142" t="s">
        <v>32</v>
      </c>
      <c r="C17" s="142" t="s">
        <v>24</v>
      </c>
      <c r="D17" s="142" t="s">
        <v>24</v>
      </c>
      <c r="E17" s="142" t="s">
        <v>25</v>
      </c>
      <c r="F17" s="142" t="s">
        <v>25</v>
      </c>
      <c r="G17" s="24" t="s">
        <v>76</v>
      </c>
      <c r="H17" s="24" t="s">
        <v>75</v>
      </c>
      <c r="I17" s="24">
        <f>'MERCADO TUSD'!$U$14</f>
        <v>0.17000000000000004</v>
      </c>
      <c r="J17" s="15"/>
      <c r="L17" s="13">
        <f>'TUSD BE'!$L$17*'TUSD BE'!$L$58</f>
        <v>0</v>
      </c>
      <c r="M17" s="13">
        <f>'TUSD BE'!$M$17*'TUSD BE'!$M$58</f>
        <v>-1.4760722786133952E-2</v>
      </c>
      <c r="N17" s="13">
        <f ca="1">'TUSD BE'!$N$17*'TUSD BE'!$N$58</f>
        <v>8.9231963676188249E-6</v>
      </c>
      <c r="O17" s="13">
        <f>'TUSD BE'!$O$17*'TUSD BE'!$O$58</f>
        <v>0</v>
      </c>
      <c r="P17" s="13">
        <f>'TUSD BE'!$P$17*'TUSD BE'!$P$58</f>
        <v>0</v>
      </c>
      <c r="Q17" s="13">
        <f>'TUSD BE'!$Q$17*'TUSD BE'!$Q$58</f>
        <v>-1.7061567261669188</v>
      </c>
      <c r="R17" s="13">
        <f>'TUSD BE'!$R$17*'TUSD BE'!$R$58</f>
        <v>-0.25686632949670912</v>
      </c>
      <c r="S17" s="13">
        <f>'TUSD BE'!$R$17*'TUSD BE'!$S$58</f>
        <v>0</v>
      </c>
      <c r="T17" s="13">
        <f ca="1">SUM($L$17:$S$17)</f>
        <v>-1.9777748552533942</v>
      </c>
      <c r="U17" s="13">
        <f>'TUSD BE'!$U$17*'TUSD BE'!$U$58</f>
        <v>0</v>
      </c>
      <c r="V17" s="13">
        <f>'TUSD BE'!$V$17*'TUSD BE'!$V$58</f>
        <v>0</v>
      </c>
      <c r="W17" s="13">
        <f>'TUSD BE'!$W$17*'TUSD BE'!$W$58</f>
        <v>0</v>
      </c>
      <c r="X17" s="13">
        <f>'TUSD BE'!$X$17*'TUSD BE'!$X$58</f>
        <v>0</v>
      </c>
      <c r="Y17" s="13">
        <f>'TUSD BE'!$Y$17*'TUSD BE'!$Y$58</f>
        <v>2.5345271954909929</v>
      </c>
      <c r="Z17" s="13">
        <f>'TUSD BE'!$Z$17*'TUSD BE'!$Z$58</f>
        <v>0</v>
      </c>
      <c r="AA17" s="13">
        <f>'TUSD BE'!$AA$17*'TUSD BE'!$AA$58</f>
        <v>0</v>
      </c>
      <c r="AB17" s="13">
        <f>SUM($U$17:$AA$17)</f>
        <v>2.5345271954909929</v>
      </c>
      <c r="AC17" s="13">
        <f>'TUSD BE'!$AC$17*'TUSD BE'!$AC$58</f>
        <v>0</v>
      </c>
      <c r="AD17" s="13">
        <f>SUM($AC$17:$AC$17)</f>
        <v>0</v>
      </c>
      <c r="AE17" s="13">
        <f ca="1">$AO$17*$AO$55</f>
        <v>-287.20219612447801</v>
      </c>
      <c r="AF17" s="13">
        <f ca="1">$AP$17*$AP$55</f>
        <v>0</v>
      </c>
      <c r="AG17" s="13">
        <f ca="1">SUM($AE$17:$AF$17)</f>
        <v>-287.20219612447801</v>
      </c>
      <c r="AH17" s="13">
        <f>'TUSD BE'!$AH$17*'TUSD BE'!$AH$58</f>
        <v>-0.28394603015538705</v>
      </c>
      <c r="AI17" s="13">
        <f>'TUSD BE'!$AI$17*'TUSD BE'!$AI$58</f>
        <v>-9.741730090581744E-3</v>
      </c>
      <c r="AJ17" s="13">
        <f ca="1">'TUSD BE'!$AJ$17*'TUSD BE'!$AJ$58</f>
        <v>-5.507710820302153E-2</v>
      </c>
      <c r="AK17" s="13">
        <f ca="1">'TUSD BE'!$AK$17*'TUSD BE'!$AK$58</f>
        <v>8.3786078080395621E-3</v>
      </c>
      <c r="AL17" s="13">
        <f ca="1">SUM($AH$17:$AK$17)</f>
        <v>-0.34038626064095079</v>
      </c>
      <c r="AM17" s="13">
        <f ca="1">SUMIF($L$4:$AL$4,"SUBTOTAL",$L$17:$AL$17)+AZ17</f>
        <v>-286.98583004488137</v>
      </c>
      <c r="AO17" s="26">
        <f ca="1">+'TUSD BE'!$T$17+'TUSD BE'!$AB$17+'TUSD BE'!$AD$17+'TUSD BE'!$AL$17</f>
        <v>1040.2942221332294</v>
      </c>
      <c r="AP17" s="26">
        <f ca="1">+'TUSD BE'!$T$17+'TUSD BE'!$AB$17+'TUSD BE'!$AD$17+'TUSD BE'!$AL$17</f>
        <v>1040.2942221332294</v>
      </c>
      <c r="AQ17" s="9" t="str">
        <f t="shared" si="0"/>
        <v>B1</v>
      </c>
      <c r="AR17" s="9" t="str">
        <f t="shared" si="1"/>
        <v>Branca</v>
      </c>
      <c r="AS17" s="9" t="str">
        <f t="shared" si="2"/>
        <v>Residencial</v>
      </c>
      <c r="AT17" s="9" t="str">
        <f t="shared" si="3"/>
        <v>Residencial</v>
      </c>
      <c r="AU17" s="9" t="str">
        <f t="shared" si="4"/>
        <v>Não se aplica</v>
      </c>
      <c r="AV17" s="9">
        <f t="shared" si="5"/>
        <v>1</v>
      </c>
      <c r="AW17" s="9">
        <f ca="1">TarifaMedia!$G$20</f>
        <v>0</v>
      </c>
      <c r="AX17" s="15">
        <f ca="1">'TUSD BE'!$AM17+'TUSD BF'!$AM17+'TUSD CVA'!$AM17</f>
        <v>776.277818607938</v>
      </c>
      <c r="AY17" s="9">
        <v>616.61</v>
      </c>
      <c r="AZ17" s="9">
        <f t="shared" ca="1" si="6"/>
        <v>0</v>
      </c>
      <c r="BC17" s="88" t="s">
        <v>875</v>
      </c>
    </row>
    <row r="18" spans="1:55" ht="11.25" customHeight="1" x14ac:dyDescent="0.25">
      <c r="A18" s="142"/>
      <c r="B18" s="142"/>
      <c r="C18" s="142"/>
      <c r="D18" s="142"/>
      <c r="E18" s="142"/>
      <c r="F18" s="142"/>
      <c r="G18" s="24" t="s">
        <v>88</v>
      </c>
      <c r="H18" s="24" t="s">
        <v>75</v>
      </c>
      <c r="I18" s="24">
        <f>'MERCADO TUSD'!$U$15</f>
        <v>0.13000000000000003</v>
      </c>
      <c r="J18" s="15"/>
      <c r="L18" s="13">
        <f>'TUSD BE'!$L$18*'TUSD BE'!$L$58</f>
        <v>0</v>
      </c>
      <c r="M18" s="13">
        <f>'TUSD BE'!$M$18*'TUSD BE'!$M$58</f>
        <v>-1.4760722786133952E-2</v>
      </c>
      <c r="N18" s="13">
        <f ca="1">'TUSD BE'!$N$18*'TUSD BE'!$N$58</f>
        <v>5.5399101509984061E-6</v>
      </c>
      <c r="O18" s="13">
        <f>'TUSD BE'!$O$18*'TUSD BE'!$O$58</f>
        <v>0</v>
      </c>
      <c r="P18" s="13">
        <f>'TUSD BE'!$P$18*'TUSD BE'!$P$58</f>
        <v>0</v>
      </c>
      <c r="Q18" s="13">
        <f>'TUSD BE'!$Q$18*'TUSD BE'!$Q$58</f>
        <v>-1.7061567261669188</v>
      </c>
      <c r="R18" s="13">
        <f>'TUSD BE'!$R$18*'TUSD BE'!$R$58</f>
        <v>-0.25686632949670912</v>
      </c>
      <c r="S18" s="13">
        <f>'TUSD BE'!$R$18*'TUSD BE'!$S$58</f>
        <v>0</v>
      </c>
      <c r="T18" s="13">
        <f ca="1">SUM($L$18:$S$18)</f>
        <v>-1.9777782385396108</v>
      </c>
      <c r="U18" s="13">
        <f>'TUSD BE'!$U$18*'TUSD BE'!$U$58</f>
        <v>0</v>
      </c>
      <c r="V18" s="13">
        <f>'TUSD BE'!$V$18*'TUSD BE'!$V$58</f>
        <v>0</v>
      </c>
      <c r="W18" s="13">
        <f>'TUSD BE'!$W$18*'TUSD BE'!$W$58</f>
        <v>0</v>
      </c>
      <c r="X18" s="13">
        <f>'TUSD BE'!$X$18*'TUSD BE'!$X$58</f>
        <v>0</v>
      </c>
      <c r="Y18" s="13">
        <f>'TUSD BE'!$Y$18*'TUSD BE'!$Y$58</f>
        <v>1.5207159686908258</v>
      </c>
      <c r="Z18" s="13">
        <f>'TUSD BE'!$Z$18*'TUSD BE'!$Z$58</f>
        <v>0</v>
      </c>
      <c r="AA18" s="13">
        <f>'TUSD BE'!$AA$18*'TUSD BE'!$AA$58</f>
        <v>0</v>
      </c>
      <c r="AB18" s="13">
        <f>SUM($U$18:$AA$18)</f>
        <v>1.5207159686908258</v>
      </c>
      <c r="AC18" s="13">
        <f>'TUSD BE'!$AC$18*'TUSD BE'!$AC$58</f>
        <v>0</v>
      </c>
      <c r="AD18" s="13">
        <f>SUM($AC$18:$AC$18)</f>
        <v>0</v>
      </c>
      <c r="AE18" s="13">
        <f ca="1">$AO$18*$AO$55</f>
        <v>-186.53357671616351</v>
      </c>
      <c r="AF18" s="13">
        <f ca="1">$AP$18*$AP$55</f>
        <v>0</v>
      </c>
      <c r="AG18" s="13">
        <f ca="1">SUM($AE$18:$AF$18)</f>
        <v>-186.53357671616351</v>
      </c>
      <c r="AH18" s="13">
        <f>'TUSD BE'!$AH$18*'TUSD BE'!$AH$58</f>
        <v>-0.28394603015538705</v>
      </c>
      <c r="AI18" s="13">
        <f>'TUSD BE'!$AI$18*'TUSD BE'!$AI$58</f>
        <v>-9.741730090581744E-3</v>
      </c>
      <c r="AJ18" s="13">
        <f ca="1">'TUSD BE'!$AJ$18*'TUSD BE'!$AJ$58</f>
        <v>-5.507710820302153E-2</v>
      </c>
      <c r="AK18" s="13">
        <f ca="1">'TUSD BE'!$AK$18*'TUSD BE'!$AK$58</f>
        <v>8.3786078080395621E-3</v>
      </c>
      <c r="AL18" s="13">
        <f ca="1">SUM($AH$18:$AK$18)</f>
        <v>-0.34038626064095079</v>
      </c>
      <c r="AM18" s="13">
        <f ca="1">SUMIF($L$4:$AL$4,"SUBTOTAL",$L$18:$AL$18)+AZ18</f>
        <v>-187.33102524665324</v>
      </c>
      <c r="AO18" s="26">
        <f ca="1">+'TUSD BE'!$T$18+'TUSD BE'!$AB$18+'TUSD BE'!$AD$18+'TUSD BE'!$AL$18</f>
        <v>675.65570427451087</v>
      </c>
      <c r="AP18" s="26">
        <f ca="1">+'TUSD BE'!$T$18+'TUSD BE'!$AB$18+'TUSD BE'!$AD$18+'TUSD BE'!$AL$18</f>
        <v>675.65570427451087</v>
      </c>
      <c r="AQ18" s="9" t="str">
        <f t="shared" si="0"/>
        <v>B1</v>
      </c>
      <c r="AR18" s="9" t="str">
        <f t="shared" si="1"/>
        <v>Branca</v>
      </c>
      <c r="AS18" s="9" t="str">
        <f t="shared" si="2"/>
        <v>Residencial</v>
      </c>
      <c r="AT18" s="9" t="str">
        <f t="shared" si="3"/>
        <v>Residencial</v>
      </c>
      <c r="AU18" s="9" t="str">
        <f t="shared" si="4"/>
        <v>Não se aplica</v>
      </c>
      <c r="AV18" s="9">
        <f t="shared" si="5"/>
        <v>1</v>
      </c>
      <c r="AW18" s="9">
        <f ca="1">TarifaMedia!$G$20</f>
        <v>0</v>
      </c>
      <c r="AX18" s="15">
        <f ca="1">'TUSD BE'!$AM18+'TUSD BF'!$AM18+'TUSD CVA'!$AM18</f>
        <v>511.29410554744766</v>
      </c>
      <c r="AY18" s="9">
        <v>426.33</v>
      </c>
      <c r="AZ18" s="9">
        <f t="shared" ca="1" si="6"/>
        <v>0</v>
      </c>
      <c r="BC18" s="88" t="s">
        <v>876</v>
      </c>
    </row>
    <row r="19" spans="1:55" ht="11.25" customHeight="1" x14ac:dyDescent="0.25">
      <c r="A19" s="142"/>
      <c r="B19" s="142"/>
      <c r="C19" s="142"/>
      <c r="D19" s="142"/>
      <c r="E19" s="142"/>
      <c r="F19" s="142"/>
      <c r="G19" s="24" t="s">
        <v>77</v>
      </c>
      <c r="H19" s="24" t="s">
        <v>75</v>
      </c>
      <c r="I19" s="24">
        <f>'MERCADO TUSD'!$U$16</f>
        <v>2.4539999999999997</v>
      </c>
      <c r="J19" s="15"/>
      <c r="L19" s="13">
        <f>'TUSD BE'!$L$19*'TUSD BE'!$L$58</f>
        <v>0</v>
      </c>
      <c r="M19" s="13">
        <f>'TUSD BE'!$M$19*'TUSD BE'!$M$58</f>
        <v>-1.4760722786133952E-2</v>
      </c>
      <c r="N19" s="13">
        <f ca="1">'TUSD BE'!$N$19*'TUSD BE'!$N$58</f>
        <v>2.1566249954352758E-6</v>
      </c>
      <c r="O19" s="13">
        <f>'TUSD BE'!$O$19*'TUSD BE'!$O$58</f>
        <v>0</v>
      </c>
      <c r="P19" s="13">
        <f>'TUSD BE'!$P$19*'TUSD BE'!$P$58</f>
        <v>0</v>
      </c>
      <c r="Q19" s="13">
        <f>'TUSD BE'!$Q$19*'TUSD BE'!$Q$58</f>
        <v>-1.7061567261669188</v>
      </c>
      <c r="R19" s="13">
        <f>'TUSD BE'!$R$19*'TUSD BE'!$R$58</f>
        <v>-0.25686632949670912</v>
      </c>
      <c r="S19" s="13">
        <f>'TUSD BE'!$R$19*'TUSD BE'!$S$58</f>
        <v>0</v>
      </c>
      <c r="T19" s="13">
        <f ca="1">SUM($L$19:$S$19)</f>
        <v>-1.9777816218247664</v>
      </c>
      <c r="U19" s="13">
        <f>'TUSD BE'!$U$19*'TUSD BE'!$U$58</f>
        <v>0</v>
      </c>
      <c r="V19" s="13">
        <f>'TUSD BE'!$V$19*'TUSD BE'!$V$58</f>
        <v>0</v>
      </c>
      <c r="W19" s="13">
        <f>'TUSD BE'!$W$19*'TUSD BE'!$W$58</f>
        <v>0</v>
      </c>
      <c r="X19" s="13">
        <f>'TUSD BE'!$X$19*'TUSD BE'!$X$58</f>
        <v>0</v>
      </c>
      <c r="Y19" s="13">
        <f>'TUSD BE'!$Y$19*'TUSD BE'!$Y$58</f>
        <v>0.50690561340008355</v>
      </c>
      <c r="Z19" s="13">
        <f>'TUSD BE'!$Z$19*'TUSD BE'!$Z$58</f>
        <v>0</v>
      </c>
      <c r="AA19" s="13">
        <f>'TUSD BE'!$AA$19*'TUSD BE'!$AA$58</f>
        <v>0</v>
      </c>
      <c r="AB19" s="13">
        <f>SUM($U$19:$AA$19)</f>
        <v>0.50690561340008355</v>
      </c>
      <c r="AC19" s="13">
        <f>'TUSD BE'!$AC$19*'TUSD BE'!$AC$58</f>
        <v>0</v>
      </c>
      <c r="AD19" s="13">
        <f>SUM($AC$19:$AC$19)</f>
        <v>0</v>
      </c>
      <c r="AE19" s="13">
        <f ca="1">$AO$19*$AO$55</f>
        <v>-85.864991560518519</v>
      </c>
      <c r="AF19" s="13">
        <f ca="1">$AP$19*$AP$55</f>
        <v>0</v>
      </c>
      <c r="AG19" s="13">
        <f ca="1">SUM($AE$19:$AF$19)</f>
        <v>-85.864991560518519</v>
      </c>
      <c r="AH19" s="13">
        <f>'TUSD BE'!$AH$19*'TUSD BE'!$AH$58</f>
        <v>-0.28394603015538705</v>
      </c>
      <c r="AI19" s="13">
        <f>'TUSD BE'!$AI$19*'TUSD BE'!$AI$58</f>
        <v>-9.741730090581744E-3</v>
      </c>
      <c r="AJ19" s="13">
        <f ca="1">'TUSD BE'!$AJ$19*'TUSD BE'!$AJ$58</f>
        <v>-5.507710820302153E-2</v>
      </c>
      <c r="AK19" s="13">
        <f ca="1">'TUSD BE'!$AK$19*'TUSD BE'!$AK$58</f>
        <v>8.3786078080395621E-3</v>
      </c>
      <c r="AL19" s="13">
        <f ca="1">SUM($AH$19:$AK$19)</f>
        <v>-0.34038626064095079</v>
      </c>
      <c r="AM19" s="13">
        <f ca="1">SUMIF($L$4:$AL$4,"SUBTOTAL",$L$19:$AL$19)+AZ19</f>
        <v>-87.676253829584155</v>
      </c>
      <c r="AO19" s="26">
        <f ca="1">+'TUSD BE'!$T$19+'TUSD BE'!$AB$19+'TUSD BE'!$AD$19+'TUSD BE'!$AL$19</f>
        <v>311.01731048467019</v>
      </c>
      <c r="AP19" s="26">
        <f ca="1">+'TUSD BE'!$T$19+'TUSD BE'!$AB$19+'TUSD BE'!$AD$19+'TUSD BE'!$AL$19</f>
        <v>311.01731048467019</v>
      </c>
      <c r="AQ19" s="9" t="str">
        <f t="shared" si="0"/>
        <v>B1</v>
      </c>
      <c r="AR19" s="9" t="str">
        <f t="shared" si="1"/>
        <v>Branca</v>
      </c>
      <c r="AS19" s="9" t="str">
        <f t="shared" si="2"/>
        <v>Residencial</v>
      </c>
      <c r="AT19" s="9" t="str">
        <f t="shared" si="3"/>
        <v>Residencial</v>
      </c>
      <c r="AU19" s="9" t="str">
        <f t="shared" si="4"/>
        <v>Não se aplica</v>
      </c>
      <c r="AV19" s="9">
        <f t="shared" si="5"/>
        <v>1</v>
      </c>
      <c r="AW19" s="9">
        <f ca="1">TarifaMedia!$G$20</f>
        <v>0</v>
      </c>
      <c r="AX19" s="15">
        <f ca="1">'TUSD BE'!$AM19+'TUSD BF'!$AM19+'TUSD CVA'!$AM19</f>
        <v>246.31048317467608</v>
      </c>
      <c r="AY19" s="9">
        <v>236.05</v>
      </c>
      <c r="AZ19" s="9">
        <f t="shared" ca="1" si="6"/>
        <v>0</v>
      </c>
      <c r="BC19" s="88" t="s">
        <v>877</v>
      </c>
    </row>
    <row r="20" spans="1:55" ht="11.25" customHeight="1" x14ac:dyDescent="0.25">
      <c r="A20" s="142"/>
      <c r="B20" s="142" t="s">
        <v>23</v>
      </c>
      <c r="C20" s="142" t="s">
        <v>24</v>
      </c>
      <c r="D20" s="23" t="s">
        <v>24</v>
      </c>
      <c r="E20" s="23" t="s">
        <v>25</v>
      </c>
      <c r="F20" s="23" t="s">
        <v>25</v>
      </c>
      <c r="G20" s="24" t="s">
        <v>79</v>
      </c>
      <c r="H20" s="24" t="s">
        <v>75</v>
      </c>
      <c r="I20" s="24">
        <f>'MERCADO TUSD'!$U$17</f>
        <v>10574.981000000002</v>
      </c>
      <c r="J20" s="15"/>
      <c r="L20" s="13">
        <f>'TUSD BE'!$L$20*'TUSD BE'!$L$58</f>
        <v>0</v>
      </c>
      <c r="M20" s="13">
        <f>'TUSD BE'!$M$20*'TUSD BE'!$M$58</f>
        <v>-1.4760722786133952E-2</v>
      </c>
      <c r="N20" s="13">
        <f ca="1">'TUSD BE'!$N$20*'TUSD BE'!$N$58</f>
        <v>3.4857732656494363E-6</v>
      </c>
      <c r="O20" s="13">
        <f>'TUSD BE'!$O$20*'TUSD BE'!$O$58</f>
        <v>0</v>
      </c>
      <c r="P20" s="13">
        <f>'TUSD BE'!$P$20*'TUSD BE'!$P$58</f>
        <v>0</v>
      </c>
      <c r="Q20" s="13">
        <f>'TUSD BE'!$Q$20*'TUSD BE'!$Q$58</f>
        <v>-1.7061567261669188</v>
      </c>
      <c r="R20" s="13">
        <f>'TUSD BE'!$R$20*'TUSD BE'!$R$58</f>
        <v>-0.25686632949670912</v>
      </c>
      <c r="S20" s="13">
        <f>'TUSD BE'!$R$20*'TUSD BE'!$S$58</f>
        <v>0</v>
      </c>
      <c r="T20" s="13">
        <f ca="1">SUM($L$20:$S$20)</f>
        <v>-1.9777802926764962</v>
      </c>
      <c r="U20" s="13">
        <f>'TUSD BE'!$U$20*'TUSD BE'!$U$58</f>
        <v>0</v>
      </c>
      <c r="V20" s="13">
        <f>'TUSD BE'!$V$20*'TUSD BE'!$V$58</f>
        <v>0</v>
      </c>
      <c r="W20" s="13">
        <f>'TUSD BE'!$W$20*'TUSD BE'!$W$58</f>
        <v>0</v>
      </c>
      <c r="X20" s="13">
        <f>'TUSD BE'!$X$20*'TUSD BE'!$X$58</f>
        <v>0</v>
      </c>
      <c r="Y20" s="13">
        <f>'TUSD BE'!$Y$20*'TUSD BE'!$Y$58</f>
        <v>0.90518803510123325</v>
      </c>
      <c r="Z20" s="13">
        <f>'TUSD BE'!$Z$20*'TUSD BE'!$Z$58</f>
        <v>0</v>
      </c>
      <c r="AA20" s="13">
        <f>'TUSD BE'!$AA$20*'TUSD BE'!$AA$58</f>
        <v>0</v>
      </c>
      <c r="AB20" s="13">
        <f>SUM($U$20:$AA$20)</f>
        <v>0.90518803510123325</v>
      </c>
      <c r="AC20" s="13">
        <f>'TUSD BE'!$AC$20*'TUSD BE'!$AC$58</f>
        <v>0</v>
      </c>
      <c r="AD20" s="13">
        <f>SUM($AC$20:$AC$20)</f>
        <v>0</v>
      </c>
      <c r="AE20" s="13">
        <f ca="1">$AO$20*$AO$55</f>
        <v>-125.41337826061903</v>
      </c>
      <c r="AF20" s="13">
        <f ca="1">$AP$20*$AP$55</f>
        <v>0</v>
      </c>
      <c r="AG20" s="13">
        <f ca="1">SUM($AE$20:$AF$20)</f>
        <v>-125.41337826061903</v>
      </c>
      <c r="AH20" s="13">
        <f>'TUSD BE'!$AH$20*'TUSD BE'!$AH$58</f>
        <v>-0.28394603015538705</v>
      </c>
      <c r="AI20" s="13">
        <f>'TUSD BE'!$AI$20*'TUSD BE'!$AI$58</f>
        <v>-9.741730090581744E-3</v>
      </c>
      <c r="AJ20" s="13">
        <f ca="1">'TUSD BE'!$AJ$20*'TUSD BE'!$AJ$58</f>
        <v>-5.507710820302153E-2</v>
      </c>
      <c r="AK20" s="13">
        <f ca="1">'TUSD BE'!$AK$20*'TUSD BE'!$AK$58</f>
        <v>8.3786078080395621E-3</v>
      </c>
      <c r="AL20" s="13">
        <f ca="1">SUM($AH$20:$AK$20)</f>
        <v>-0.34038626064095079</v>
      </c>
      <c r="AM20" s="13">
        <f ca="1">SUMIF($L$4:$AL$4,"SUBTOTAL",$L$20:$AL$20)+AZ20</f>
        <v>-126.82635677883525</v>
      </c>
      <c r="AO20" s="26">
        <f ca="1">+'TUSD BE'!$T$20+'TUSD BE'!$AB$20+'TUSD BE'!$AD$20+'TUSD BE'!$AL$20</f>
        <v>454.26815861179813</v>
      </c>
      <c r="AP20" s="26">
        <f ca="1">+'TUSD BE'!$T$20+'TUSD BE'!$AB$20+'TUSD BE'!$AD$20+'TUSD BE'!$AL$20</f>
        <v>454.26815861179813</v>
      </c>
      <c r="AQ20" s="9" t="str">
        <f t="shared" si="0"/>
        <v>B1</v>
      </c>
      <c r="AR20" s="9" t="str">
        <f t="shared" si="1"/>
        <v>Convencional</v>
      </c>
      <c r="AS20" s="9" t="str">
        <f t="shared" si="2"/>
        <v>Residencial</v>
      </c>
      <c r="AT20" s="9" t="str">
        <f t="shared" si="3"/>
        <v>Residencial</v>
      </c>
      <c r="AU20" s="9" t="str">
        <f t="shared" si="4"/>
        <v>Não se aplica</v>
      </c>
      <c r="AV20" s="9">
        <f t="shared" si="5"/>
        <v>1</v>
      </c>
      <c r="AW20" s="9">
        <f ca="1">TarifaMedia!$G$20</f>
        <v>0</v>
      </c>
      <c r="AX20" s="15">
        <f ca="1">'TUSD BE'!$AM20+'TUSD BF'!$AM20+'TUSD CVA'!$AM20</f>
        <v>350.41122835255294</v>
      </c>
      <c r="AY20" s="9">
        <v>310.8</v>
      </c>
      <c r="AZ20" s="9">
        <f t="shared" ca="1" si="6"/>
        <v>0</v>
      </c>
      <c r="BC20" s="88" t="s">
        <v>878</v>
      </c>
    </row>
    <row r="21" spans="1:55" ht="11.25" customHeight="1" x14ac:dyDescent="0.25">
      <c r="A21" s="142"/>
      <c r="B21" s="142"/>
      <c r="C21" s="142"/>
      <c r="D21" s="23" t="s">
        <v>28</v>
      </c>
      <c r="E21" s="23" t="s">
        <v>25</v>
      </c>
      <c r="F21" s="23" t="s">
        <v>25</v>
      </c>
      <c r="G21" s="24" t="s">
        <v>79</v>
      </c>
      <c r="H21" s="24" t="s">
        <v>75</v>
      </c>
      <c r="I21" s="24">
        <f>'MERCADO TUSD'!$U$18</f>
        <v>204.62</v>
      </c>
      <c r="J21" s="15"/>
      <c r="L21" s="13">
        <f>'TUSD BE'!$L$21*'TUSD BE'!$L$58</f>
        <v>0</v>
      </c>
      <c r="M21" s="13">
        <f>'TUSD BE'!$M$21*'TUSD BE'!$M$58</f>
        <v>-1.4760722786133952E-2</v>
      </c>
      <c r="N21" s="13">
        <f ca="1">'TUSD BE'!$N$21*'TUSD BE'!$N$58</f>
        <v>3.4751626927407061E-6</v>
      </c>
      <c r="O21" s="13">
        <f>'TUSD BE'!$O$21*'TUSD BE'!$O$58</f>
        <v>0</v>
      </c>
      <c r="P21" s="13">
        <f>'TUSD BE'!$P$21*'TUSD BE'!$P$58</f>
        <v>0</v>
      </c>
      <c r="Q21" s="13">
        <f>'TUSD BE'!$Q$21*'TUSD BE'!$Q$58</f>
        <v>0</v>
      </c>
      <c r="R21" s="13">
        <f>'TUSD BE'!$R$21*'TUSD BE'!$R$58</f>
        <v>0</v>
      </c>
      <c r="S21" s="13">
        <f>'TUSD BE'!$R$21*'TUSD BE'!$S$58</f>
        <v>0</v>
      </c>
      <c r="T21" s="13">
        <f ca="1">SUM($L$21:$S$21)</f>
        <v>-1.4757247623441211E-2</v>
      </c>
      <c r="U21" s="13">
        <f>'TUSD BE'!$U$21*'TUSD BE'!$U$58</f>
        <v>0</v>
      </c>
      <c r="V21" s="13">
        <f>'TUSD BE'!$V$21*'TUSD BE'!$V$58</f>
        <v>0</v>
      </c>
      <c r="W21" s="13">
        <f>'TUSD BE'!$W$21*'TUSD BE'!$W$58</f>
        <v>0</v>
      </c>
      <c r="X21" s="13">
        <f>'TUSD BE'!$X$21*'TUSD BE'!$X$58</f>
        <v>0</v>
      </c>
      <c r="Y21" s="13">
        <f>'TUSD BE'!$Y$21*'TUSD BE'!$Y$58</f>
        <v>0.90518803510123325</v>
      </c>
      <c r="Z21" s="13">
        <f>'TUSD BE'!$Z$21*'TUSD BE'!$Z$58</f>
        <v>0</v>
      </c>
      <c r="AA21" s="13">
        <f>'TUSD BE'!$AA$21*'TUSD BE'!$AA$58</f>
        <v>0</v>
      </c>
      <c r="AB21" s="13">
        <f>SUM($U$21:$AA$21)</f>
        <v>0.90518803510123325</v>
      </c>
      <c r="AC21" s="13">
        <f>'TUSD BE'!$AC$21*'TUSD BE'!$AC$58</f>
        <v>0</v>
      </c>
      <c r="AD21" s="13">
        <f>SUM($AC$21:$AC$21)</f>
        <v>0</v>
      </c>
      <c r="AE21" s="13">
        <f ca="1">$AO$21*$AO$55</f>
        <v>-96.916883153025339</v>
      </c>
      <c r="AF21" s="13">
        <f ca="1">$AP$21*$AP$55</f>
        <v>0</v>
      </c>
      <c r="AG21" s="13">
        <f ca="1">SUM($AE$21:$AF$21)</f>
        <v>-96.916883153025339</v>
      </c>
      <c r="AH21" s="13">
        <f>'TUSD BE'!$AH$21*'TUSD BE'!$AH$58</f>
        <v>-0.28394603015538705</v>
      </c>
      <c r="AI21" s="13">
        <f>'TUSD BE'!$AI$21*'TUSD BE'!$AI$58</f>
        <v>-9.741730090581744E-3</v>
      </c>
      <c r="AJ21" s="13">
        <f ca="1">'TUSD BE'!$AJ$21*'TUSD BE'!$AJ$58</f>
        <v>-5.507710820302153E-2</v>
      </c>
      <c r="AK21" s="13">
        <f ca="1">'TUSD BE'!$AK$21*'TUSD BE'!$AK$58</f>
        <v>8.3786078080395621E-3</v>
      </c>
      <c r="AL21" s="13">
        <f ca="1">SUM($AH$21:$AK$21)</f>
        <v>-0.34038626064095079</v>
      </c>
      <c r="AM21" s="13">
        <f ca="1">SUMIF($L$4:$AL$4,"SUBTOTAL",$L$21:$AL$21)+AZ21</f>
        <v>-96.366838626188496</v>
      </c>
      <c r="AO21" s="26">
        <f ca="1">+'TUSD BE'!$T$21+'TUSD BE'!$AB$21+'TUSD BE'!$AD$21+'TUSD BE'!$AL$21</f>
        <v>351.0491038430489</v>
      </c>
      <c r="AP21" s="26">
        <f ca="1">+'TUSD BE'!$T$21+'TUSD BE'!$AB$21+'TUSD BE'!$AD$21+'TUSD BE'!$AL$21</f>
        <v>351.0491038430489</v>
      </c>
      <c r="AQ21" s="9" t="str">
        <f t="shared" si="0"/>
        <v>B1</v>
      </c>
      <c r="AR21" s="9" t="str">
        <f t="shared" si="1"/>
        <v>Convencional</v>
      </c>
      <c r="AS21" s="9" t="str">
        <f t="shared" si="2"/>
        <v>Residencial</v>
      </c>
      <c r="AT21" s="9" t="str">
        <f t="shared" si="3"/>
        <v>Residencial baixa renda – faixa 01</v>
      </c>
      <c r="AU21" s="9" t="str">
        <f t="shared" si="4"/>
        <v>Não se aplica</v>
      </c>
      <c r="AV21" s="9">
        <f t="shared" si="5"/>
        <v>1</v>
      </c>
      <c r="AW21" s="9">
        <f ca="1">TarifaMedia!$G$20</f>
        <v>0</v>
      </c>
      <c r="AX21" s="15">
        <f ca="1">'TUSD BE'!$AM21+'TUSD BF'!$AM21+'TUSD CVA'!$AM21</f>
        <v>258.66848302259052</v>
      </c>
      <c r="AY21" s="9">
        <v>200.63</v>
      </c>
      <c r="AZ21" s="9">
        <f t="shared" ca="1" si="6"/>
        <v>0</v>
      </c>
      <c r="BC21" s="88" t="s">
        <v>879</v>
      </c>
    </row>
    <row r="22" spans="1:55" ht="11.25" customHeight="1" x14ac:dyDescent="0.25">
      <c r="A22" s="142"/>
      <c r="B22" s="142"/>
      <c r="C22" s="142"/>
      <c r="D22" s="23" t="s">
        <v>29</v>
      </c>
      <c r="E22" s="23" t="s">
        <v>25</v>
      </c>
      <c r="F22" s="23" t="s">
        <v>25</v>
      </c>
      <c r="G22" s="24" t="s">
        <v>79</v>
      </c>
      <c r="H22" s="24" t="s">
        <v>75</v>
      </c>
      <c r="I22" s="24">
        <f>'MERCADO TUSD'!$U$19</f>
        <v>376.553</v>
      </c>
      <c r="J22" s="15"/>
      <c r="L22" s="13">
        <f>'TUSD BE'!$L$22*'TUSD BE'!$L$58</f>
        <v>0</v>
      </c>
      <c r="M22" s="13">
        <f>'TUSD BE'!$M$22*'TUSD BE'!$M$58</f>
        <v>-1.4760722786133952E-2</v>
      </c>
      <c r="N22" s="13">
        <f ca="1">'TUSD BE'!$N$22*'TUSD BE'!$N$58</f>
        <v>3.4751626927407061E-6</v>
      </c>
      <c r="O22" s="13">
        <f>'TUSD BE'!$O$22*'TUSD BE'!$O$58</f>
        <v>0</v>
      </c>
      <c r="P22" s="13">
        <f>'TUSD BE'!$P$22*'TUSD BE'!$P$58</f>
        <v>0</v>
      </c>
      <c r="Q22" s="13">
        <f>'TUSD BE'!$Q$22*'TUSD BE'!$Q$58</f>
        <v>0</v>
      </c>
      <c r="R22" s="13">
        <f>'TUSD BE'!$R$22*'TUSD BE'!$R$58</f>
        <v>0</v>
      </c>
      <c r="S22" s="13">
        <f>'TUSD BE'!$R$22*'TUSD BE'!$S$58</f>
        <v>0</v>
      </c>
      <c r="T22" s="13">
        <f ca="1">SUM($L$22:$S$22)</f>
        <v>-1.4757247623441211E-2</v>
      </c>
      <c r="U22" s="13">
        <f>'TUSD BE'!$U$22*'TUSD BE'!$U$58</f>
        <v>0</v>
      </c>
      <c r="V22" s="13">
        <f>'TUSD BE'!$V$22*'TUSD BE'!$V$58</f>
        <v>0</v>
      </c>
      <c r="W22" s="13">
        <f>'TUSD BE'!$W$22*'TUSD BE'!$W$58</f>
        <v>0</v>
      </c>
      <c r="X22" s="13">
        <f>'TUSD BE'!$X$22*'TUSD BE'!$X$58</f>
        <v>0</v>
      </c>
      <c r="Y22" s="13">
        <f>'TUSD BE'!$Y$22*'TUSD BE'!$Y$58</f>
        <v>0.90518803510123325</v>
      </c>
      <c r="Z22" s="13">
        <f>'TUSD BE'!$Z$22*'TUSD BE'!$Z$58</f>
        <v>0</v>
      </c>
      <c r="AA22" s="13">
        <f>'TUSD BE'!$AA$22*'TUSD BE'!$AA$58</f>
        <v>0</v>
      </c>
      <c r="AB22" s="13">
        <f>SUM($U$22:$AA$22)</f>
        <v>0.90518803510123325</v>
      </c>
      <c r="AC22" s="13">
        <f>'TUSD BE'!$AC$22*'TUSD BE'!$AC$58</f>
        <v>0</v>
      </c>
      <c r="AD22" s="13">
        <f>SUM($AC$22:$AC$22)</f>
        <v>0</v>
      </c>
      <c r="AE22" s="13">
        <f ca="1">$AO$22*$AO$55</f>
        <v>-96.916883153025339</v>
      </c>
      <c r="AF22" s="13">
        <f ca="1">$AP$22*$AP$55</f>
        <v>0</v>
      </c>
      <c r="AG22" s="13">
        <f ca="1">SUM($AE$22:$AF$22)</f>
        <v>-96.916883153025339</v>
      </c>
      <c r="AH22" s="13">
        <f>'TUSD BE'!$AH$22*'TUSD BE'!$AH$58</f>
        <v>-0.28394603015538705</v>
      </c>
      <c r="AI22" s="13">
        <f>'TUSD BE'!$AI$22*'TUSD BE'!$AI$58</f>
        <v>-9.741730090581744E-3</v>
      </c>
      <c r="AJ22" s="13">
        <f ca="1">'TUSD BE'!$AJ$22*'TUSD BE'!$AJ$58</f>
        <v>-5.507710820302153E-2</v>
      </c>
      <c r="AK22" s="13">
        <f ca="1">'TUSD BE'!$AK$22*'TUSD BE'!$AK$58</f>
        <v>8.3786078080395621E-3</v>
      </c>
      <c r="AL22" s="13">
        <f ca="1">SUM($AH$22:$AK$22)</f>
        <v>-0.34038626064095079</v>
      </c>
      <c r="AM22" s="13">
        <f ca="1">SUMIF($L$4:$AL$4,"SUBTOTAL",$L$22:$AL$22)+AZ22</f>
        <v>-96.366838626188496</v>
      </c>
      <c r="AO22" s="26">
        <f ca="1">+'TUSD BE'!$T$22+'TUSD BE'!$AB$22+'TUSD BE'!$AD$22+'TUSD BE'!$AL$22</f>
        <v>351.0491038430489</v>
      </c>
      <c r="AP22" s="26">
        <f ca="1">+'TUSD BE'!$T$22+'TUSD BE'!$AB$22+'TUSD BE'!$AD$22+'TUSD BE'!$AL$22</f>
        <v>351.0491038430489</v>
      </c>
      <c r="AQ22" s="9" t="str">
        <f t="shared" si="0"/>
        <v>B1</v>
      </c>
      <c r="AR22" s="9" t="str">
        <f t="shared" si="1"/>
        <v>Convencional</v>
      </c>
      <c r="AS22" s="9" t="str">
        <f t="shared" si="2"/>
        <v>Residencial</v>
      </c>
      <c r="AT22" s="9" t="str">
        <f t="shared" si="3"/>
        <v>Residencial baixa renda – faixa 02</v>
      </c>
      <c r="AU22" s="9" t="str">
        <f t="shared" si="4"/>
        <v>Não se aplica</v>
      </c>
      <c r="AV22" s="9">
        <f t="shared" si="5"/>
        <v>1</v>
      </c>
      <c r="AW22" s="9">
        <f ca="1">TarifaMedia!$G$20</f>
        <v>0</v>
      </c>
      <c r="AX22" s="15">
        <f ca="1">'TUSD BE'!$AM22+'TUSD BF'!$AM22+'TUSD CVA'!$AM22</f>
        <v>258.66848302259052</v>
      </c>
      <c r="AY22" s="9">
        <v>200.63</v>
      </c>
      <c r="AZ22" s="9">
        <f t="shared" ca="1" si="6"/>
        <v>0</v>
      </c>
      <c r="BC22" s="88" t="s">
        <v>879</v>
      </c>
    </row>
    <row r="23" spans="1:55" ht="11.25" customHeight="1" x14ac:dyDescent="0.25">
      <c r="A23" s="142"/>
      <c r="B23" s="142"/>
      <c r="C23" s="142"/>
      <c r="D23" s="23" t="s">
        <v>30</v>
      </c>
      <c r="E23" s="23" t="s">
        <v>25</v>
      </c>
      <c r="F23" s="23" t="s">
        <v>25</v>
      </c>
      <c r="G23" s="24" t="s">
        <v>79</v>
      </c>
      <c r="H23" s="24" t="s">
        <v>75</v>
      </c>
      <c r="I23" s="24">
        <f>'MERCADO TUSD'!$U$20</f>
        <v>166.29699999999997</v>
      </c>
      <c r="J23" s="15"/>
      <c r="L23" s="13">
        <f>'TUSD BE'!$L$23*'TUSD BE'!$L$58</f>
        <v>0</v>
      </c>
      <c r="M23" s="13">
        <f>'TUSD BE'!$M$23*'TUSD BE'!$M$58</f>
        <v>-1.4760722786133952E-2</v>
      </c>
      <c r="N23" s="13">
        <f ca="1">'TUSD BE'!$N$23*'TUSD BE'!$N$58</f>
        <v>3.4751626927407061E-6</v>
      </c>
      <c r="O23" s="13">
        <f>'TUSD BE'!$O$23*'TUSD BE'!$O$58</f>
        <v>0</v>
      </c>
      <c r="P23" s="13">
        <f>'TUSD BE'!$P$23*'TUSD BE'!$P$58</f>
        <v>0</v>
      </c>
      <c r="Q23" s="13">
        <f>'TUSD BE'!$Q$23*'TUSD BE'!$Q$58</f>
        <v>0</v>
      </c>
      <c r="R23" s="13">
        <f>'TUSD BE'!$R$23*'TUSD BE'!$R$58</f>
        <v>0</v>
      </c>
      <c r="S23" s="13">
        <f>'TUSD BE'!$R$23*'TUSD BE'!$S$58</f>
        <v>0</v>
      </c>
      <c r="T23" s="13">
        <f ca="1">SUM($L$23:$S$23)</f>
        <v>-1.4757247623441211E-2</v>
      </c>
      <c r="U23" s="13">
        <f>'TUSD BE'!$U$23*'TUSD BE'!$U$58</f>
        <v>0</v>
      </c>
      <c r="V23" s="13">
        <f>'TUSD BE'!$V$23*'TUSD BE'!$V$58</f>
        <v>0</v>
      </c>
      <c r="W23" s="13">
        <f>'TUSD BE'!$W$23*'TUSD BE'!$W$58</f>
        <v>0</v>
      </c>
      <c r="X23" s="13">
        <f>'TUSD BE'!$X$23*'TUSD BE'!$X$58</f>
        <v>0</v>
      </c>
      <c r="Y23" s="13">
        <f>'TUSD BE'!$Y$23*'TUSD BE'!$Y$58</f>
        <v>0.90518803510123325</v>
      </c>
      <c r="Z23" s="13">
        <f>'TUSD BE'!$Z$23*'TUSD BE'!$Z$58</f>
        <v>0</v>
      </c>
      <c r="AA23" s="13">
        <f>'TUSD BE'!$AA$23*'TUSD BE'!$AA$58</f>
        <v>0</v>
      </c>
      <c r="AB23" s="13">
        <f>SUM($U$23:$AA$23)</f>
        <v>0.90518803510123325</v>
      </c>
      <c r="AC23" s="13">
        <f>'TUSD BE'!$AC$23*'TUSD BE'!$AC$58</f>
        <v>0</v>
      </c>
      <c r="AD23" s="13">
        <f>SUM($AC$23:$AC$23)</f>
        <v>0</v>
      </c>
      <c r="AE23" s="13">
        <f ca="1">$AO$23*$AO$55</f>
        <v>-96.916883153025339</v>
      </c>
      <c r="AF23" s="13">
        <f ca="1">$AP$23*$AP$55</f>
        <v>0</v>
      </c>
      <c r="AG23" s="13">
        <f ca="1">SUM($AE$23:$AF$23)</f>
        <v>-96.916883153025339</v>
      </c>
      <c r="AH23" s="13">
        <f>'TUSD BE'!$AH$23*'TUSD BE'!$AH$58</f>
        <v>-0.28394603015538705</v>
      </c>
      <c r="AI23" s="13">
        <f>'TUSD BE'!$AI$23*'TUSD BE'!$AI$58</f>
        <v>-9.741730090581744E-3</v>
      </c>
      <c r="AJ23" s="13">
        <f ca="1">'TUSD BE'!$AJ$23*'TUSD BE'!$AJ$58</f>
        <v>-5.507710820302153E-2</v>
      </c>
      <c r="AK23" s="13">
        <f ca="1">'TUSD BE'!$AK$23*'TUSD BE'!$AK$58</f>
        <v>8.3786078080395621E-3</v>
      </c>
      <c r="AL23" s="13">
        <f ca="1">SUM($AH$23:$AK$23)</f>
        <v>-0.34038626064095079</v>
      </c>
      <c r="AM23" s="13">
        <f ca="1">SUMIF($L$4:$AL$4,"SUBTOTAL",$L$23:$AL$23)+AZ23</f>
        <v>-96.366838626188496</v>
      </c>
      <c r="AO23" s="26">
        <f ca="1">+'TUSD BE'!$T$23+'TUSD BE'!$AB$23+'TUSD BE'!$AD$23+'TUSD BE'!$AL$23</f>
        <v>351.0491038430489</v>
      </c>
      <c r="AP23" s="26">
        <f ca="1">+'TUSD BE'!$T$23+'TUSD BE'!$AB$23+'TUSD BE'!$AD$23+'TUSD BE'!$AL$23</f>
        <v>351.0491038430489</v>
      </c>
      <c r="AQ23" s="9" t="str">
        <f t="shared" si="0"/>
        <v>B1</v>
      </c>
      <c r="AR23" s="9" t="str">
        <f t="shared" si="1"/>
        <v>Convencional</v>
      </c>
      <c r="AS23" s="9" t="str">
        <f t="shared" si="2"/>
        <v>Residencial</v>
      </c>
      <c r="AT23" s="9" t="str">
        <f t="shared" si="3"/>
        <v>Residencial baixa renda – faixa 03</v>
      </c>
      <c r="AU23" s="9" t="str">
        <f t="shared" si="4"/>
        <v>Não se aplica</v>
      </c>
      <c r="AV23" s="9">
        <f t="shared" si="5"/>
        <v>1</v>
      </c>
      <c r="AW23" s="9">
        <f ca="1">TarifaMedia!$G$20</f>
        <v>0</v>
      </c>
      <c r="AX23" s="15">
        <f ca="1">'TUSD BE'!$AM23+'TUSD BF'!$AM23+'TUSD CVA'!$AM23</f>
        <v>258.66848302259052</v>
      </c>
      <c r="AY23" s="9">
        <v>200.63</v>
      </c>
      <c r="AZ23" s="9">
        <f t="shared" ca="1" si="6"/>
        <v>0</v>
      </c>
      <c r="BC23" s="88" t="s">
        <v>879</v>
      </c>
    </row>
    <row r="24" spans="1:55" ht="11.25" customHeight="1" x14ac:dyDescent="0.25">
      <c r="A24" s="142"/>
      <c r="B24" s="142"/>
      <c r="C24" s="142"/>
      <c r="D24" s="23" t="s">
        <v>31</v>
      </c>
      <c r="E24" s="23" t="s">
        <v>25</v>
      </c>
      <c r="F24" s="23" t="s">
        <v>25</v>
      </c>
      <c r="G24" s="24" t="s">
        <v>79</v>
      </c>
      <c r="H24" s="24" t="s">
        <v>75</v>
      </c>
      <c r="I24" s="24">
        <f>'MERCADO TUSD'!$U$21</f>
        <v>17.806999999999999</v>
      </c>
      <c r="J24" s="15"/>
      <c r="L24" s="13">
        <f>'TUSD BE'!$L$24*'TUSD BE'!$L$58</f>
        <v>0</v>
      </c>
      <c r="M24" s="13">
        <f>'TUSD BE'!$M$24*'TUSD BE'!$M$58</f>
        <v>-1.4760722786133952E-2</v>
      </c>
      <c r="N24" s="13">
        <f ca="1">'TUSD BE'!$N$24*'TUSD BE'!$N$58</f>
        <v>3.4751626927407061E-6</v>
      </c>
      <c r="O24" s="13">
        <f>'TUSD BE'!$O$24*'TUSD BE'!$O$58</f>
        <v>0</v>
      </c>
      <c r="P24" s="13">
        <f>'TUSD BE'!$P$24*'TUSD BE'!$P$58</f>
        <v>0</v>
      </c>
      <c r="Q24" s="13">
        <f>'TUSD BE'!$Q$24*'TUSD BE'!$Q$58</f>
        <v>0</v>
      </c>
      <c r="R24" s="13">
        <f>'TUSD BE'!$R$24*'TUSD BE'!$R$58</f>
        <v>0</v>
      </c>
      <c r="S24" s="13">
        <f>'TUSD BE'!$R$24*'TUSD BE'!$S$58</f>
        <v>0</v>
      </c>
      <c r="T24" s="13">
        <f ca="1">SUM($L$24:$S$24)</f>
        <v>-1.4757247623441211E-2</v>
      </c>
      <c r="U24" s="13">
        <f>'TUSD BE'!$U$24*'TUSD BE'!$U$58</f>
        <v>0</v>
      </c>
      <c r="V24" s="13">
        <f>'TUSD BE'!$V$24*'TUSD BE'!$V$58</f>
        <v>0</v>
      </c>
      <c r="W24" s="13">
        <f>'TUSD BE'!$W$24*'TUSD BE'!$W$58</f>
        <v>0</v>
      </c>
      <c r="X24" s="13">
        <f>'TUSD BE'!$X$24*'TUSD BE'!$X$58</f>
        <v>0</v>
      </c>
      <c r="Y24" s="13">
        <f>'TUSD BE'!$Y$24*'TUSD BE'!$Y$58</f>
        <v>0.90518803510123325</v>
      </c>
      <c r="Z24" s="13">
        <f>'TUSD BE'!$Z$24*'TUSD BE'!$Z$58</f>
        <v>0</v>
      </c>
      <c r="AA24" s="13">
        <f>'TUSD BE'!$AA$24*'TUSD BE'!$AA$58</f>
        <v>0</v>
      </c>
      <c r="AB24" s="13">
        <f>SUM($U$24:$AA$24)</f>
        <v>0.90518803510123325</v>
      </c>
      <c r="AC24" s="13">
        <f>'TUSD BE'!$AC$24*'TUSD BE'!$AC$58</f>
        <v>0</v>
      </c>
      <c r="AD24" s="13">
        <f>SUM($AC$24:$AC$24)</f>
        <v>0</v>
      </c>
      <c r="AE24" s="13">
        <f ca="1">$AO$24*$AO$55</f>
        <v>-96.916883153025339</v>
      </c>
      <c r="AF24" s="13">
        <f ca="1">$AP$24*$AP$55</f>
        <v>0</v>
      </c>
      <c r="AG24" s="13">
        <f ca="1">SUM($AE$24:$AF$24)</f>
        <v>-96.916883153025339</v>
      </c>
      <c r="AH24" s="13">
        <f>'TUSD BE'!$AH$24*'TUSD BE'!$AH$58</f>
        <v>-0.28394603015538705</v>
      </c>
      <c r="AI24" s="13">
        <f>'TUSD BE'!$AI$24*'TUSD BE'!$AI$58</f>
        <v>-9.741730090581744E-3</v>
      </c>
      <c r="AJ24" s="13">
        <f ca="1">'TUSD BE'!$AJ$24*'TUSD BE'!$AJ$58</f>
        <v>-5.507710820302153E-2</v>
      </c>
      <c r="AK24" s="13">
        <f ca="1">'TUSD BE'!$AK$24*'TUSD BE'!$AK$58</f>
        <v>8.3786078080395621E-3</v>
      </c>
      <c r="AL24" s="13">
        <f ca="1">SUM($AH$24:$AK$24)</f>
        <v>-0.34038626064095079</v>
      </c>
      <c r="AM24" s="13">
        <f ca="1">SUMIF($L$4:$AL$4,"SUBTOTAL",$L$24:$AL$24)+AZ24</f>
        <v>-96.366838626188496</v>
      </c>
      <c r="AO24" s="26">
        <f ca="1">+'TUSD BE'!$T$24+'TUSD BE'!$AB$24+'TUSD BE'!$AD$24+'TUSD BE'!$AL$24</f>
        <v>351.0491038430489</v>
      </c>
      <c r="AP24" s="26">
        <f ca="1">+'TUSD BE'!$T$24+'TUSD BE'!$AB$24+'TUSD BE'!$AD$24+'TUSD BE'!$AL$24</f>
        <v>351.0491038430489</v>
      </c>
      <c r="AQ24" s="9" t="str">
        <f t="shared" si="0"/>
        <v>B1</v>
      </c>
      <c r="AR24" s="9" t="str">
        <f t="shared" si="1"/>
        <v>Convencional</v>
      </c>
      <c r="AS24" s="9" t="str">
        <f t="shared" si="2"/>
        <v>Residencial</v>
      </c>
      <c r="AT24" s="9" t="str">
        <f t="shared" si="3"/>
        <v>Residencial baixa renda – faixa 04</v>
      </c>
      <c r="AU24" s="9" t="str">
        <f t="shared" si="4"/>
        <v>Não se aplica</v>
      </c>
      <c r="AV24" s="9">
        <f t="shared" si="5"/>
        <v>1</v>
      </c>
      <c r="AW24" s="9">
        <f ca="1">TarifaMedia!$G$20</f>
        <v>0</v>
      </c>
      <c r="AX24" s="15">
        <f ca="1">'TUSD BE'!$AM24+'TUSD BF'!$AM24+'TUSD CVA'!$AM24</f>
        <v>258.66848302259052</v>
      </c>
      <c r="AY24" s="9">
        <v>200.63</v>
      </c>
      <c r="AZ24" s="9">
        <f t="shared" ca="1" si="6"/>
        <v>0</v>
      </c>
      <c r="BC24" s="88" t="s">
        <v>879</v>
      </c>
    </row>
    <row r="25" spans="1:55" ht="11.25" customHeight="1" x14ac:dyDescent="0.25">
      <c r="A25" s="142"/>
      <c r="B25" s="142" t="s">
        <v>90</v>
      </c>
      <c r="C25" s="142" t="s">
        <v>24</v>
      </c>
      <c r="D25" s="23" t="s">
        <v>24</v>
      </c>
      <c r="E25" s="23" t="s">
        <v>25</v>
      </c>
      <c r="F25" s="23" t="s">
        <v>25</v>
      </c>
      <c r="G25" s="24" t="s">
        <v>79</v>
      </c>
      <c r="H25" s="24" t="s">
        <v>75</v>
      </c>
      <c r="I25" s="24">
        <f>'MERCADO TUSD'!$U$22</f>
        <v>0</v>
      </c>
      <c r="J25" s="15"/>
      <c r="L25" s="13">
        <f>'TUSD BE'!$L$25*'TUSD BE'!$L$58</f>
        <v>0</v>
      </c>
      <c r="M25" s="13">
        <f>'TUSD BE'!$M$25*'TUSD BE'!$M$58</f>
        <v>-1.4760722786133952E-2</v>
      </c>
      <c r="N25" s="13">
        <f ca="1">'TUSD BE'!$N$25*'TUSD BE'!$N$58</f>
        <v>3.4857732656494363E-6</v>
      </c>
      <c r="O25" s="13">
        <f>'TUSD BE'!$O$25*'TUSD BE'!$O$58</f>
        <v>0</v>
      </c>
      <c r="P25" s="13">
        <f>'TUSD BE'!$P$25*'TUSD BE'!$P$58</f>
        <v>0</v>
      </c>
      <c r="Q25" s="13">
        <f>'TUSD BE'!$Q$25*'TUSD BE'!$Q$58</f>
        <v>-1.7061567261669188</v>
      </c>
      <c r="R25" s="13">
        <f>'TUSD BE'!$R$25*'TUSD BE'!$R$58</f>
        <v>-0.25686632949670912</v>
      </c>
      <c r="S25" s="13">
        <f>'TUSD BE'!$R$25*'TUSD BE'!$S$58</f>
        <v>0</v>
      </c>
      <c r="T25" s="13">
        <f ca="1">SUM($L$25:$S$25)</f>
        <v>-1.9777802926764962</v>
      </c>
      <c r="U25" s="13">
        <f>'TUSD BE'!$U$25*'TUSD BE'!$U$58</f>
        <v>0</v>
      </c>
      <c r="V25" s="13">
        <f>'TUSD BE'!$V$25*'TUSD BE'!$V$58</f>
        <v>0</v>
      </c>
      <c r="W25" s="13">
        <f>'TUSD BE'!$W$25*'TUSD BE'!$W$58</f>
        <v>0</v>
      </c>
      <c r="X25" s="13">
        <f>'TUSD BE'!$X$25*'TUSD BE'!$X$58</f>
        <v>0</v>
      </c>
      <c r="Y25" s="13">
        <f>'TUSD BE'!$Y$25*'TUSD BE'!$Y$58</f>
        <v>0.90518803510123325</v>
      </c>
      <c r="Z25" s="13">
        <f>'TUSD BE'!$Z$25*'TUSD BE'!$Z$58</f>
        <v>0</v>
      </c>
      <c r="AA25" s="13">
        <f>'TUSD BE'!$AA$25*'TUSD BE'!$AA$58</f>
        <v>0</v>
      </c>
      <c r="AB25" s="13">
        <f>SUM($U$25:$AA$25)</f>
        <v>0.90518803510123325</v>
      </c>
      <c r="AC25" s="13">
        <f>'TUSD BE'!$AC$25*'TUSD BE'!$AC$58</f>
        <v>0</v>
      </c>
      <c r="AD25" s="13">
        <f>SUM($AC$25:$AC$25)</f>
        <v>0</v>
      </c>
      <c r="AE25" s="13">
        <f ca="1">$AO$25*$AO$55</f>
        <v>-125.41337826061903</v>
      </c>
      <c r="AF25" s="13">
        <f ca="1">$AP$25*$AP$55</f>
        <v>0</v>
      </c>
      <c r="AG25" s="13">
        <f ca="1">SUM($AE$25:$AF$25)</f>
        <v>-125.41337826061903</v>
      </c>
      <c r="AH25" s="13">
        <f>'TUSD BE'!$AH$25*'TUSD BE'!$AH$58</f>
        <v>-0.28394603015538705</v>
      </c>
      <c r="AI25" s="13">
        <f>'TUSD BE'!$AI$25*'TUSD BE'!$AI$58</f>
        <v>-9.741730090581744E-3</v>
      </c>
      <c r="AJ25" s="13">
        <f ca="1">'TUSD BE'!$AJ$25*'TUSD BE'!$AJ$58</f>
        <v>-5.507710820302153E-2</v>
      </c>
      <c r="AK25" s="13">
        <f ca="1">'TUSD BE'!$AK$25*'TUSD BE'!$AK$58</f>
        <v>8.3786078080395621E-3</v>
      </c>
      <c r="AL25" s="13">
        <f ca="1">SUM($AH$25:$AK$25)</f>
        <v>-0.34038626064095079</v>
      </c>
      <c r="AM25" s="13">
        <f ca="1">SUMIF($L$4:$AL$4,"SUBTOTAL",$L$25:$AL$25)+AZ25</f>
        <v>-126.82635677883525</v>
      </c>
      <c r="AO25" s="26">
        <f ca="1">+'TUSD BE'!$T$25+'TUSD BE'!$AB$25+'TUSD BE'!$AD$25+'TUSD BE'!$AL$25</f>
        <v>454.26815861179813</v>
      </c>
      <c r="AP25" s="26">
        <f ca="1">+'TUSD BE'!$T$25+'TUSD BE'!$AB$25+'TUSD BE'!$AD$25+'TUSD BE'!$AL$25</f>
        <v>454.26815861179813</v>
      </c>
      <c r="AQ25" s="9" t="str">
        <f t="shared" si="0"/>
        <v>B1</v>
      </c>
      <c r="AR25" s="9" t="str">
        <f t="shared" si="1"/>
        <v>Convencional pré-pagamento</v>
      </c>
      <c r="AS25" s="9" t="str">
        <f t="shared" si="2"/>
        <v>Residencial</v>
      </c>
      <c r="AT25" s="9" t="str">
        <f t="shared" si="3"/>
        <v>Residencial</v>
      </c>
      <c r="AU25" s="9" t="str">
        <f t="shared" si="4"/>
        <v>Não se aplica</v>
      </c>
      <c r="AV25" s="9">
        <f t="shared" si="5"/>
        <v>1</v>
      </c>
      <c r="AW25" s="9">
        <f ca="1">TarifaMedia!$G$20</f>
        <v>0</v>
      </c>
      <c r="AX25" s="15">
        <f ca="1">'TUSD BE'!$AM25+'TUSD BF'!$AM25+'TUSD CVA'!$AM25</f>
        <v>350.41122835255294</v>
      </c>
      <c r="AY25" s="9">
        <v>310.8</v>
      </c>
      <c r="AZ25" s="9">
        <f t="shared" ca="1" si="6"/>
        <v>0</v>
      </c>
      <c r="BC25" s="88" t="s">
        <v>880</v>
      </c>
    </row>
    <row r="26" spans="1:55" ht="11.25" customHeight="1" x14ac:dyDescent="0.25">
      <c r="A26" s="142"/>
      <c r="B26" s="142"/>
      <c r="C26" s="142"/>
      <c r="D26" s="23" t="s">
        <v>28</v>
      </c>
      <c r="E26" s="23" t="s">
        <v>25</v>
      </c>
      <c r="F26" s="23" t="s">
        <v>25</v>
      </c>
      <c r="G26" s="24" t="s">
        <v>79</v>
      </c>
      <c r="H26" s="24" t="s">
        <v>75</v>
      </c>
      <c r="I26" s="24">
        <f>'MERCADO TUSD'!$U$23</f>
        <v>0</v>
      </c>
      <c r="J26" s="15"/>
      <c r="L26" s="13">
        <f>'TUSD BE'!$L$26*'TUSD BE'!$L$58</f>
        <v>0</v>
      </c>
      <c r="M26" s="13">
        <f>'TUSD BE'!$M$26*'TUSD BE'!$M$58</f>
        <v>-1.4760722786133952E-2</v>
      </c>
      <c r="N26" s="13">
        <f ca="1">'TUSD BE'!$N$26*'TUSD BE'!$N$58</f>
        <v>3.4751626927407061E-6</v>
      </c>
      <c r="O26" s="13">
        <f>'TUSD BE'!$O$26*'TUSD BE'!$O$58</f>
        <v>0</v>
      </c>
      <c r="P26" s="13">
        <f>'TUSD BE'!$P$26*'TUSD BE'!$P$58</f>
        <v>0</v>
      </c>
      <c r="Q26" s="13">
        <f>'TUSD BE'!$Q$26*'TUSD BE'!$Q$58</f>
        <v>0</v>
      </c>
      <c r="R26" s="13">
        <f>'TUSD BE'!$R$26*'TUSD BE'!$R$58</f>
        <v>0</v>
      </c>
      <c r="S26" s="13">
        <f>'TUSD BE'!$R$26*'TUSD BE'!$S$58</f>
        <v>0</v>
      </c>
      <c r="T26" s="13">
        <f ca="1">SUM($L$26:$S$26)</f>
        <v>-1.4757247623441211E-2</v>
      </c>
      <c r="U26" s="13">
        <f>'TUSD BE'!$U$26*'TUSD BE'!$U$58</f>
        <v>0</v>
      </c>
      <c r="V26" s="13">
        <f>'TUSD BE'!$V$26*'TUSD BE'!$V$58</f>
        <v>0</v>
      </c>
      <c r="W26" s="13">
        <f>'TUSD BE'!$W$26*'TUSD BE'!$W$58</f>
        <v>0</v>
      </c>
      <c r="X26" s="13">
        <f>'TUSD BE'!$X$26*'TUSD BE'!$X$58</f>
        <v>0</v>
      </c>
      <c r="Y26" s="13">
        <f>'TUSD BE'!$Y$26*'TUSD BE'!$Y$58</f>
        <v>0.90518803510123325</v>
      </c>
      <c r="Z26" s="13">
        <f>'TUSD BE'!$Z$26*'TUSD BE'!$Z$58</f>
        <v>0</v>
      </c>
      <c r="AA26" s="13">
        <f>'TUSD BE'!$AA$26*'TUSD BE'!$AA$58</f>
        <v>0</v>
      </c>
      <c r="AB26" s="13">
        <f>SUM($U$26:$AA$26)</f>
        <v>0.90518803510123325</v>
      </c>
      <c r="AC26" s="13">
        <f>'TUSD BE'!$AC$26*'TUSD BE'!$AC$58</f>
        <v>0</v>
      </c>
      <c r="AD26" s="13">
        <f>SUM($AC$26:$AC$26)</f>
        <v>0</v>
      </c>
      <c r="AE26" s="13">
        <f ca="1">$AO$26*$AO$55</f>
        <v>-96.916883153025339</v>
      </c>
      <c r="AF26" s="13">
        <f ca="1">$AP$26*$AP$55</f>
        <v>0</v>
      </c>
      <c r="AG26" s="13">
        <f ca="1">SUM($AE$26:$AF$26)</f>
        <v>-96.916883153025339</v>
      </c>
      <c r="AH26" s="13">
        <f>'TUSD BE'!$AH$26*'TUSD BE'!$AH$58</f>
        <v>-0.28394603015538705</v>
      </c>
      <c r="AI26" s="13">
        <f>'TUSD BE'!$AI$26*'TUSD BE'!$AI$58</f>
        <v>-9.741730090581744E-3</v>
      </c>
      <c r="AJ26" s="13">
        <f ca="1">'TUSD BE'!$AJ$26*'TUSD BE'!$AJ$58</f>
        <v>-5.507710820302153E-2</v>
      </c>
      <c r="AK26" s="13">
        <f ca="1">'TUSD BE'!$AK$26*'TUSD BE'!$AK$58</f>
        <v>8.3786078080395621E-3</v>
      </c>
      <c r="AL26" s="13">
        <f ca="1">SUM($AH$26:$AK$26)</f>
        <v>-0.34038626064095079</v>
      </c>
      <c r="AM26" s="13">
        <f ca="1">SUMIF($L$4:$AL$4,"SUBTOTAL",$L$26:$AL$26)+AZ26</f>
        <v>-96.366838626188496</v>
      </c>
      <c r="AO26" s="26">
        <f ca="1">+'TUSD BE'!$T$26+'TUSD BE'!$AB$26+'TUSD BE'!$AD$26+'TUSD BE'!$AL$26</f>
        <v>351.0491038430489</v>
      </c>
      <c r="AP26" s="26">
        <f ca="1">+'TUSD BE'!$T$26+'TUSD BE'!$AB$26+'TUSD BE'!$AD$26+'TUSD BE'!$AL$26</f>
        <v>351.0491038430489</v>
      </c>
      <c r="AQ26" s="9" t="str">
        <f t="shared" si="0"/>
        <v>B1</v>
      </c>
      <c r="AR26" s="9" t="str">
        <f t="shared" si="1"/>
        <v>Convencional pré-pagamento</v>
      </c>
      <c r="AS26" s="9" t="str">
        <f t="shared" si="2"/>
        <v>Residencial</v>
      </c>
      <c r="AT26" s="9" t="str">
        <f t="shared" si="3"/>
        <v>Residencial baixa renda – faixa 01</v>
      </c>
      <c r="AU26" s="9" t="str">
        <f t="shared" si="4"/>
        <v>Não se aplica</v>
      </c>
      <c r="AV26" s="9">
        <f t="shared" si="5"/>
        <v>1</v>
      </c>
      <c r="AW26" s="9">
        <f ca="1">TarifaMedia!$G$20</f>
        <v>0</v>
      </c>
      <c r="AX26" s="15">
        <f ca="1">'TUSD BE'!$AM26+'TUSD BF'!$AM26+'TUSD CVA'!$AM26</f>
        <v>258.66848302259052</v>
      </c>
      <c r="AY26" s="9">
        <v>200.63</v>
      </c>
      <c r="AZ26" s="9">
        <f t="shared" ca="1" si="6"/>
        <v>0</v>
      </c>
      <c r="BC26" s="88" t="s">
        <v>881</v>
      </c>
    </row>
    <row r="27" spans="1:55" ht="11.25" customHeight="1" x14ac:dyDescent="0.25">
      <c r="A27" s="142"/>
      <c r="B27" s="142"/>
      <c r="C27" s="142"/>
      <c r="D27" s="23" t="s">
        <v>29</v>
      </c>
      <c r="E27" s="23" t="s">
        <v>25</v>
      </c>
      <c r="F27" s="23" t="s">
        <v>25</v>
      </c>
      <c r="G27" s="24" t="s">
        <v>79</v>
      </c>
      <c r="H27" s="24" t="s">
        <v>75</v>
      </c>
      <c r="I27" s="24">
        <f>'MERCADO TUSD'!$U$24</f>
        <v>0</v>
      </c>
      <c r="J27" s="15"/>
      <c r="L27" s="13">
        <f>'TUSD BE'!$L$27*'TUSD BE'!$L$58</f>
        <v>0</v>
      </c>
      <c r="M27" s="13">
        <f>'TUSD BE'!$M$27*'TUSD BE'!$M$58</f>
        <v>-1.4760722786133952E-2</v>
      </c>
      <c r="N27" s="13">
        <f ca="1">'TUSD BE'!$N$27*'TUSD BE'!$N$58</f>
        <v>3.4751626927407061E-6</v>
      </c>
      <c r="O27" s="13">
        <f>'TUSD BE'!$O$27*'TUSD BE'!$O$58</f>
        <v>0</v>
      </c>
      <c r="P27" s="13">
        <f>'TUSD BE'!$P$27*'TUSD BE'!$P$58</f>
        <v>0</v>
      </c>
      <c r="Q27" s="13">
        <f>'TUSD BE'!$Q$27*'TUSD BE'!$Q$58</f>
        <v>0</v>
      </c>
      <c r="R27" s="13">
        <f>'TUSD BE'!$R$27*'TUSD BE'!$R$58</f>
        <v>0</v>
      </c>
      <c r="S27" s="13">
        <f>'TUSD BE'!$R$27*'TUSD BE'!$S$58</f>
        <v>0</v>
      </c>
      <c r="T27" s="13">
        <f ca="1">SUM($L$27:$S$27)</f>
        <v>-1.4757247623441211E-2</v>
      </c>
      <c r="U27" s="13">
        <f>'TUSD BE'!$U$27*'TUSD BE'!$U$58</f>
        <v>0</v>
      </c>
      <c r="V27" s="13">
        <f>'TUSD BE'!$V$27*'TUSD BE'!$V$58</f>
        <v>0</v>
      </c>
      <c r="W27" s="13">
        <f>'TUSD BE'!$W$27*'TUSD BE'!$W$58</f>
        <v>0</v>
      </c>
      <c r="X27" s="13">
        <f>'TUSD BE'!$X$27*'TUSD BE'!$X$58</f>
        <v>0</v>
      </c>
      <c r="Y27" s="13">
        <f>'TUSD BE'!$Y$27*'TUSD BE'!$Y$58</f>
        <v>0.90518803510123325</v>
      </c>
      <c r="Z27" s="13">
        <f>'TUSD BE'!$Z$27*'TUSD BE'!$Z$58</f>
        <v>0</v>
      </c>
      <c r="AA27" s="13">
        <f>'TUSD BE'!$AA$27*'TUSD BE'!$AA$58</f>
        <v>0</v>
      </c>
      <c r="AB27" s="13">
        <f>SUM($U$27:$AA$27)</f>
        <v>0.90518803510123325</v>
      </c>
      <c r="AC27" s="13">
        <f>'TUSD BE'!$AC$27*'TUSD BE'!$AC$58</f>
        <v>0</v>
      </c>
      <c r="AD27" s="13">
        <f>SUM($AC$27:$AC$27)</f>
        <v>0</v>
      </c>
      <c r="AE27" s="13">
        <f ca="1">$AO$27*$AO$55</f>
        <v>-96.916883153025339</v>
      </c>
      <c r="AF27" s="13">
        <f ca="1">$AP$27*$AP$55</f>
        <v>0</v>
      </c>
      <c r="AG27" s="13">
        <f ca="1">SUM($AE$27:$AF$27)</f>
        <v>-96.916883153025339</v>
      </c>
      <c r="AH27" s="13">
        <f>'TUSD BE'!$AH$27*'TUSD BE'!$AH$58</f>
        <v>-0.28394603015538705</v>
      </c>
      <c r="AI27" s="13">
        <f>'TUSD BE'!$AI$27*'TUSD BE'!$AI$58</f>
        <v>-9.741730090581744E-3</v>
      </c>
      <c r="AJ27" s="13">
        <f ca="1">'TUSD BE'!$AJ$27*'TUSD BE'!$AJ$58</f>
        <v>-5.507710820302153E-2</v>
      </c>
      <c r="AK27" s="13">
        <f ca="1">'TUSD BE'!$AK$27*'TUSD BE'!$AK$58</f>
        <v>8.3786078080395621E-3</v>
      </c>
      <c r="AL27" s="13">
        <f ca="1">SUM($AH$27:$AK$27)</f>
        <v>-0.34038626064095079</v>
      </c>
      <c r="AM27" s="13">
        <f ca="1">SUMIF($L$4:$AL$4,"SUBTOTAL",$L$27:$AL$27)+AZ27</f>
        <v>-96.366838626188496</v>
      </c>
      <c r="AO27" s="26">
        <f ca="1">+'TUSD BE'!$T$27+'TUSD BE'!$AB$27+'TUSD BE'!$AD$27+'TUSD BE'!$AL$27</f>
        <v>351.0491038430489</v>
      </c>
      <c r="AP27" s="26">
        <f ca="1">+'TUSD BE'!$T$27+'TUSD BE'!$AB$27+'TUSD BE'!$AD$27+'TUSD BE'!$AL$27</f>
        <v>351.0491038430489</v>
      </c>
      <c r="AQ27" s="9" t="str">
        <f t="shared" si="0"/>
        <v>B1</v>
      </c>
      <c r="AR27" s="9" t="str">
        <f t="shared" si="1"/>
        <v>Convencional pré-pagamento</v>
      </c>
      <c r="AS27" s="9" t="str">
        <f t="shared" si="2"/>
        <v>Residencial</v>
      </c>
      <c r="AT27" s="9" t="str">
        <f t="shared" si="3"/>
        <v>Residencial baixa renda – faixa 02</v>
      </c>
      <c r="AU27" s="9" t="str">
        <f t="shared" si="4"/>
        <v>Não se aplica</v>
      </c>
      <c r="AV27" s="9">
        <f t="shared" si="5"/>
        <v>1</v>
      </c>
      <c r="AW27" s="9">
        <f ca="1">TarifaMedia!$G$20</f>
        <v>0</v>
      </c>
      <c r="AX27" s="15">
        <f ca="1">'TUSD BE'!$AM27+'TUSD BF'!$AM27+'TUSD CVA'!$AM27</f>
        <v>258.66848302259052</v>
      </c>
      <c r="AY27" s="9">
        <v>200.63</v>
      </c>
      <c r="AZ27" s="9">
        <f t="shared" ca="1" si="6"/>
        <v>0</v>
      </c>
      <c r="BC27" s="88" t="s">
        <v>881</v>
      </c>
    </row>
    <row r="28" spans="1:55" ht="11.25" customHeight="1" x14ac:dyDescent="0.25">
      <c r="A28" s="142"/>
      <c r="B28" s="142"/>
      <c r="C28" s="142"/>
      <c r="D28" s="23" t="s">
        <v>30</v>
      </c>
      <c r="E28" s="23" t="s">
        <v>25</v>
      </c>
      <c r="F28" s="23" t="s">
        <v>25</v>
      </c>
      <c r="G28" s="24" t="s">
        <v>79</v>
      </c>
      <c r="H28" s="24" t="s">
        <v>75</v>
      </c>
      <c r="I28" s="24">
        <f>'MERCADO TUSD'!$U$25</f>
        <v>0</v>
      </c>
      <c r="J28" s="15"/>
      <c r="L28" s="13">
        <f>'TUSD BE'!$L$28*'TUSD BE'!$L$58</f>
        <v>0</v>
      </c>
      <c r="M28" s="13">
        <f>'TUSD BE'!$M$28*'TUSD BE'!$M$58</f>
        <v>-1.4760722786133952E-2</v>
      </c>
      <c r="N28" s="13">
        <f ca="1">'TUSD BE'!$N$28*'TUSD BE'!$N$58</f>
        <v>3.4751626927407061E-6</v>
      </c>
      <c r="O28" s="13">
        <f>'TUSD BE'!$O$28*'TUSD BE'!$O$58</f>
        <v>0</v>
      </c>
      <c r="P28" s="13">
        <f>'TUSD BE'!$P$28*'TUSD BE'!$P$58</f>
        <v>0</v>
      </c>
      <c r="Q28" s="13">
        <f>'TUSD BE'!$Q$28*'TUSD BE'!$Q$58</f>
        <v>0</v>
      </c>
      <c r="R28" s="13">
        <f>'TUSD BE'!$R$28*'TUSD BE'!$R$58</f>
        <v>0</v>
      </c>
      <c r="S28" s="13">
        <f>'TUSD BE'!$R$28*'TUSD BE'!$S$58</f>
        <v>0</v>
      </c>
      <c r="T28" s="13">
        <f ca="1">SUM($L$28:$S$28)</f>
        <v>-1.4757247623441211E-2</v>
      </c>
      <c r="U28" s="13">
        <f>'TUSD BE'!$U$28*'TUSD BE'!$U$58</f>
        <v>0</v>
      </c>
      <c r="V28" s="13">
        <f>'TUSD BE'!$V$28*'TUSD BE'!$V$58</f>
        <v>0</v>
      </c>
      <c r="W28" s="13">
        <f>'TUSD BE'!$W$28*'TUSD BE'!$W$58</f>
        <v>0</v>
      </c>
      <c r="X28" s="13">
        <f>'TUSD BE'!$X$28*'TUSD BE'!$X$58</f>
        <v>0</v>
      </c>
      <c r="Y28" s="13">
        <f>'TUSD BE'!$Y$28*'TUSD BE'!$Y$58</f>
        <v>0.90518803510123325</v>
      </c>
      <c r="Z28" s="13">
        <f>'TUSD BE'!$Z$28*'TUSD BE'!$Z$58</f>
        <v>0</v>
      </c>
      <c r="AA28" s="13">
        <f>'TUSD BE'!$AA$28*'TUSD BE'!$AA$58</f>
        <v>0</v>
      </c>
      <c r="AB28" s="13">
        <f>SUM($U$28:$AA$28)</f>
        <v>0.90518803510123325</v>
      </c>
      <c r="AC28" s="13">
        <f>'TUSD BE'!$AC$28*'TUSD BE'!$AC$58</f>
        <v>0</v>
      </c>
      <c r="AD28" s="13">
        <f>SUM($AC$28:$AC$28)</f>
        <v>0</v>
      </c>
      <c r="AE28" s="13">
        <f ca="1">$AO$28*$AO$55</f>
        <v>-96.916883153025339</v>
      </c>
      <c r="AF28" s="13">
        <f ca="1">$AP$28*$AP$55</f>
        <v>0</v>
      </c>
      <c r="AG28" s="13">
        <f ca="1">SUM($AE$28:$AF$28)</f>
        <v>-96.916883153025339</v>
      </c>
      <c r="AH28" s="13">
        <f>'TUSD BE'!$AH$28*'TUSD BE'!$AH$58</f>
        <v>-0.28394603015538705</v>
      </c>
      <c r="AI28" s="13">
        <f>'TUSD BE'!$AI$28*'TUSD BE'!$AI$58</f>
        <v>-9.741730090581744E-3</v>
      </c>
      <c r="AJ28" s="13">
        <f ca="1">'TUSD BE'!$AJ$28*'TUSD BE'!$AJ$58</f>
        <v>-5.507710820302153E-2</v>
      </c>
      <c r="AK28" s="13">
        <f ca="1">'TUSD BE'!$AK$28*'TUSD BE'!$AK$58</f>
        <v>8.3786078080395621E-3</v>
      </c>
      <c r="AL28" s="13">
        <f ca="1">SUM($AH$28:$AK$28)</f>
        <v>-0.34038626064095079</v>
      </c>
      <c r="AM28" s="13">
        <f ca="1">SUMIF($L$4:$AL$4,"SUBTOTAL",$L$28:$AL$28)+AZ28</f>
        <v>-96.366838626188496</v>
      </c>
      <c r="AO28" s="26">
        <f ca="1">+'TUSD BE'!$T$28+'TUSD BE'!$AB$28+'TUSD BE'!$AD$28+'TUSD BE'!$AL$28</f>
        <v>351.0491038430489</v>
      </c>
      <c r="AP28" s="26">
        <f ca="1">+'TUSD BE'!$T$28+'TUSD BE'!$AB$28+'TUSD BE'!$AD$28+'TUSD BE'!$AL$28</f>
        <v>351.0491038430489</v>
      </c>
      <c r="AQ28" s="9" t="str">
        <f t="shared" si="0"/>
        <v>B1</v>
      </c>
      <c r="AR28" s="9" t="str">
        <f t="shared" si="1"/>
        <v>Convencional pré-pagamento</v>
      </c>
      <c r="AS28" s="9" t="str">
        <f t="shared" si="2"/>
        <v>Residencial</v>
      </c>
      <c r="AT28" s="9" t="str">
        <f t="shared" si="3"/>
        <v>Residencial baixa renda – faixa 03</v>
      </c>
      <c r="AU28" s="9" t="str">
        <f t="shared" si="4"/>
        <v>Não se aplica</v>
      </c>
      <c r="AV28" s="9">
        <f t="shared" si="5"/>
        <v>1</v>
      </c>
      <c r="AW28" s="9">
        <f ca="1">TarifaMedia!$G$20</f>
        <v>0</v>
      </c>
      <c r="AX28" s="15">
        <f ca="1">'TUSD BE'!$AM28+'TUSD BF'!$AM28+'TUSD CVA'!$AM28</f>
        <v>258.66848302259052</v>
      </c>
      <c r="AY28" s="9">
        <v>200.63</v>
      </c>
      <c r="AZ28" s="9">
        <f t="shared" ca="1" si="6"/>
        <v>0</v>
      </c>
      <c r="BC28" s="88" t="s">
        <v>881</v>
      </c>
    </row>
    <row r="29" spans="1:55" ht="11.25" customHeight="1" x14ac:dyDescent="0.25">
      <c r="A29" s="142"/>
      <c r="B29" s="142"/>
      <c r="C29" s="142"/>
      <c r="D29" s="23" t="s">
        <v>31</v>
      </c>
      <c r="E29" s="23" t="s">
        <v>25</v>
      </c>
      <c r="F29" s="23" t="s">
        <v>25</v>
      </c>
      <c r="G29" s="24" t="s">
        <v>79</v>
      </c>
      <c r="H29" s="24" t="s">
        <v>75</v>
      </c>
      <c r="I29" s="24">
        <f>'MERCADO TUSD'!$U$26</f>
        <v>0</v>
      </c>
      <c r="J29" s="15"/>
      <c r="L29" s="13">
        <f>'TUSD BE'!$L$29*'TUSD BE'!$L$58</f>
        <v>0</v>
      </c>
      <c r="M29" s="13">
        <f>'TUSD BE'!$M$29*'TUSD BE'!$M$58</f>
        <v>-1.4760722786133952E-2</v>
      </c>
      <c r="N29" s="13">
        <f ca="1">'TUSD BE'!$N$29*'TUSD BE'!$N$58</f>
        <v>3.4751626927407061E-6</v>
      </c>
      <c r="O29" s="13">
        <f>'TUSD BE'!$O$29*'TUSD BE'!$O$58</f>
        <v>0</v>
      </c>
      <c r="P29" s="13">
        <f>'TUSD BE'!$P$29*'TUSD BE'!$P$58</f>
        <v>0</v>
      </c>
      <c r="Q29" s="13">
        <f>'TUSD BE'!$Q$29*'TUSD BE'!$Q$58</f>
        <v>0</v>
      </c>
      <c r="R29" s="13">
        <f>'TUSD BE'!$R$29*'TUSD BE'!$R$58</f>
        <v>0</v>
      </c>
      <c r="S29" s="13">
        <f>'TUSD BE'!$R$29*'TUSD BE'!$S$58</f>
        <v>0</v>
      </c>
      <c r="T29" s="13">
        <f ca="1">SUM($L$29:$S$29)</f>
        <v>-1.4757247623441211E-2</v>
      </c>
      <c r="U29" s="13">
        <f>'TUSD BE'!$U$29*'TUSD BE'!$U$58</f>
        <v>0</v>
      </c>
      <c r="V29" s="13">
        <f>'TUSD BE'!$V$29*'TUSD BE'!$V$58</f>
        <v>0</v>
      </c>
      <c r="W29" s="13">
        <f>'TUSD BE'!$W$29*'TUSD BE'!$W$58</f>
        <v>0</v>
      </c>
      <c r="X29" s="13">
        <f>'TUSD BE'!$X$29*'TUSD BE'!$X$58</f>
        <v>0</v>
      </c>
      <c r="Y29" s="13">
        <f>'TUSD BE'!$Y$29*'TUSD BE'!$Y$58</f>
        <v>0.90518803510123325</v>
      </c>
      <c r="Z29" s="13">
        <f>'TUSD BE'!$Z$29*'TUSD BE'!$Z$58</f>
        <v>0</v>
      </c>
      <c r="AA29" s="13">
        <f>'TUSD BE'!$AA$29*'TUSD BE'!$AA$58</f>
        <v>0</v>
      </c>
      <c r="AB29" s="13">
        <f>SUM($U$29:$AA$29)</f>
        <v>0.90518803510123325</v>
      </c>
      <c r="AC29" s="13">
        <f>'TUSD BE'!$AC$29*'TUSD BE'!$AC$58</f>
        <v>0</v>
      </c>
      <c r="AD29" s="13">
        <f>SUM($AC$29:$AC$29)</f>
        <v>0</v>
      </c>
      <c r="AE29" s="13">
        <f ca="1">$AO$29*$AO$55</f>
        <v>-96.916883153025339</v>
      </c>
      <c r="AF29" s="13">
        <f ca="1">$AP$29*$AP$55</f>
        <v>0</v>
      </c>
      <c r="AG29" s="13">
        <f ca="1">SUM($AE$29:$AF$29)</f>
        <v>-96.916883153025339</v>
      </c>
      <c r="AH29" s="13">
        <f>'TUSD BE'!$AH$29*'TUSD BE'!$AH$58</f>
        <v>-0.28394603015538705</v>
      </c>
      <c r="AI29" s="13">
        <f>'TUSD BE'!$AI$29*'TUSD BE'!$AI$58</f>
        <v>-9.741730090581744E-3</v>
      </c>
      <c r="AJ29" s="13">
        <f ca="1">'TUSD BE'!$AJ$29*'TUSD BE'!$AJ$58</f>
        <v>-5.507710820302153E-2</v>
      </c>
      <c r="AK29" s="13">
        <f ca="1">'TUSD BE'!$AK$29*'TUSD BE'!$AK$58</f>
        <v>8.3786078080395621E-3</v>
      </c>
      <c r="AL29" s="13">
        <f ca="1">SUM($AH$29:$AK$29)</f>
        <v>-0.34038626064095079</v>
      </c>
      <c r="AM29" s="13">
        <f ca="1">SUMIF($L$4:$AL$4,"SUBTOTAL",$L$29:$AL$29)+AZ29</f>
        <v>-96.366838626188496</v>
      </c>
      <c r="AO29" s="26">
        <f ca="1">+'TUSD BE'!$T$29+'TUSD BE'!$AB$29+'TUSD BE'!$AD$29+'TUSD BE'!$AL$29</f>
        <v>351.0491038430489</v>
      </c>
      <c r="AP29" s="26">
        <f ca="1">+'TUSD BE'!$T$29+'TUSD BE'!$AB$29+'TUSD BE'!$AD$29+'TUSD BE'!$AL$29</f>
        <v>351.0491038430489</v>
      </c>
      <c r="AQ29" s="9" t="str">
        <f t="shared" si="0"/>
        <v>B1</v>
      </c>
      <c r="AR29" s="9" t="str">
        <f t="shared" si="1"/>
        <v>Convencional pré-pagamento</v>
      </c>
      <c r="AS29" s="9" t="str">
        <f t="shared" si="2"/>
        <v>Residencial</v>
      </c>
      <c r="AT29" s="9" t="str">
        <f t="shared" si="3"/>
        <v>Residencial baixa renda – faixa 04</v>
      </c>
      <c r="AU29" s="9" t="str">
        <f t="shared" si="4"/>
        <v>Não se aplica</v>
      </c>
      <c r="AV29" s="9">
        <f t="shared" si="5"/>
        <v>1</v>
      </c>
      <c r="AW29" s="9">
        <f ca="1">TarifaMedia!$G$20</f>
        <v>0</v>
      </c>
      <c r="AX29" s="15">
        <f ca="1">'TUSD BE'!$AM29+'TUSD BF'!$AM29+'TUSD CVA'!$AM29</f>
        <v>258.66848302259052</v>
      </c>
      <c r="AY29" s="9">
        <v>200.63</v>
      </c>
      <c r="AZ29" s="9">
        <f t="shared" ca="1" si="6"/>
        <v>0</v>
      </c>
      <c r="BC29" s="88" t="s">
        <v>881</v>
      </c>
    </row>
    <row r="30" spans="1:55" ht="11.25" customHeight="1" x14ac:dyDescent="0.25">
      <c r="A30" s="142" t="s">
        <v>41</v>
      </c>
      <c r="B30" s="142" t="s">
        <v>32</v>
      </c>
      <c r="C30" s="142" t="s">
        <v>42</v>
      </c>
      <c r="D30" s="142" t="s">
        <v>25</v>
      </c>
      <c r="E30" s="142" t="s">
        <v>25</v>
      </c>
      <c r="F30" s="142" t="s">
        <v>25</v>
      </c>
      <c r="G30" s="24" t="s">
        <v>76</v>
      </c>
      <c r="H30" s="24" t="s">
        <v>75</v>
      </c>
      <c r="I30" s="24">
        <f>'MERCADO TUSD'!$U$27</f>
        <v>0</v>
      </c>
      <c r="J30" s="15"/>
      <c r="L30" s="13">
        <f>'TUSD BE'!$L$30*'TUSD BE'!$L$58</f>
        <v>0</v>
      </c>
      <c r="M30" s="13">
        <f>'TUSD BE'!$M$30*'TUSD BE'!$M$58</f>
        <v>-1.4760722786133952E-2</v>
      </c>
      <c r="N30" s="13">
        <f ca="1">'TUSD BE'!$N$30*'TUSD BE'!$N$58</f>
        <v>9.074235750860016E-6</v>
      </c>
      <c r="O30" s="13">
        <f>'TUSD BE'!$O$30*'TUSD BE'!$O$58</f>
        <v>0</v>
      </c>
      <c r="P30" s="13">
        <f>'TUSD BE'!$P$30*'TUSD BE'!$P$58</f>
        <v>0</v>
      </c>
      <c r="Q30" s="13">
        <f>'TUSD BE'!$Q$30*'TUSD BE'!$Q$58</f>
        <v>-1.7061567261669188</v>
      </c>
      <c r="R30" s="13">
        <f>'TUSD BE'!$R$30*'TUSD BE'!$R$58</f>
        <v>-0.25686632949670912</v>
      </c>
      <c r="S30" s="13">
        <f>'TUSD BE'!$R$30*'TUSD BE'!$S$58</f>
        <v>0</v>
      </c>
      <c r="T30" s="13">
        <f ca="1">SUM($L$30:$S$30)</f>
        <v>-1.977774704214011</v>
      </c>
      <c r="U30" s="13">
        <f>'TUSD BE'!$U$30*'TUSD BE'!$U$58</f>
        <v>0</v>
      </c>
      <c r="V30" s="13">
        <f>'TUSD BE'!$V$30*'TUSD BE'!$V$58</f>
        <v>0</v>
      </c>
      <c r="W30" s="13">
        <f>'TUSD BE'!$W$30*'TUSD BE'!$W$58</f>
        <v>0</v>
      </c>
      <c r="X30" s="13">
        <f>'TUSD BE'!$X$30*'TUSD BE'!$X$58</f>
        <v>0</v>
      </c>
      <c r="Y30" s="13">
        <f>'TUSD BE'!$Y$30*'TUSD BE'!$Y$58</f>
        <v>2.5797864229441694</v>
      </c>
      <c r="Z30" s="13">
        <f>'TUSD BE'!$Z$30*'TUSD BE'!$Z$58</f>
        <v>0</v>
      </c>
      <c r="AA30" s="13">
        <f>'TUSD BE'!$AA$30*'TUSD BE'!$AA$58</f>
        <v>0</v>
      </c>
      <c r="AB30" s="13">
        <f>SUM($U$30:$AA$30)</f>
        <v>2.5797864229441694</v>
      </c>
      <c r="AC30" s="13">
        <f>'TUSD BE'!$AC$30*'TUSD BE'!$AC$58</f>
        <v>0</v>
      </c>
      <c r="AD30" s="13">
        <f>SUM($AC$30:$AC$30)</f>
        <v>0</v>
      </c>
      <c r="AE30" s="13">
        <f ca="1">$AO$30*$AO$55</f>
        <v>-291.69632484494201</v>
      </c>
      <c r="AF30" s="13">
        <f ca="1">$AP$30*$AP$55</f>
        <v>0</v>
      </c>
      <c r="AG30" s="13">
        <f ca="1">SUM($AE$30:$AF$30)</f>
        <v>-291.69632484494201</v>
      </c>
      <c r="AH30" s="13">
        <f>'TUSD BE'!$AH$30*'TUSD BE'!$AH$58</f>
        <v>-0.28394603015538705</v>
      </c>
      <c r="AI30" s="13">
        <f>'TUSD BE'!$AI$30*'TUSD BE'!$AI$58</f>
        <v>-9.741730090581744E-3</v>
      </c>
      <c r="AJ30" s="13">
        <f ca="1">'TUSD BE'!$AJ$30*'TUSD BE'!$AJ$58</f>
        <v>-5.507710820302153E-2</v>
      </c>
      <c r="AK30" s="13">
        <f ca="1">'TUSD BE'!$AK$30*'TUSD BE'!$AK$58</f>
        <v>8.3786078080395621E-3</v>
      </c>
      <c r="AL30" s="13">
        <f ca="1">SUM($AH$30:$AK$30)</f>
        <v>-0.34038626064095079</v>
      </c>
      <c r="AM30" s="13">
        <f ca="1">SUMIF($L$4:$AL$4,"SUBTOTAL",$L$30:$AL$30)+AZ30</f>
        <v>-291.4346993868528</v>
      </c>
      <c r="AO30" s="26">
        <f ca="1">+'TUSD BE'!$T$30+'TUSD BE'!$AB$30+'TUSD BE'!$AD$30+'TUSD BE'!$AL$30</f>
        <v>1056.5727053917467</v>
      </c>
      <c r="AP30" s="26">
        <f ca="1">+'TUSD BE'!$T$30+'TUSD BE'!$AB$30+'TUSD BE'!$AD$30+'TUSD BE'!$AL$30</f>
        <v>1056.5727053917467</v>
      </c>
      <c r="AQ30" s="9" t="str">
        <f t="shared" si="0"/>
        <v>B2</v>
      </c>
      <c r="AR30" s="9" t="str">
        <f t="shared" si="1"/>
        <v>Branca</v>
      </c>
      <c r="AS30" s="9" t="str">
        <f t="shared" si="2"/>
        <v>Rural</v>
      </c>
      <c r="AT30" s="9" t="str">
        <f t="shared" si="3"/>
        <v>Não se aplica</v>
      </c>
      <c r="AU30" s="9" t="str">
        <f t="shared" si="4"/>
        <v>Não se aplica</v>
      </c>
      <c r="AV30" s="9">
        <f t="shared" si="5"/>
        <v>1</v>
      </c>
      <c r="AW30" s="9">
        <f ca="1">TarifaMedia!$G$20</f>
        <v>0</v>
      </c>
      <c r="AX30" s="15">
        <f ca="1">'TUSD BE'!$AM30+'TUSD BF'!$AM30+'TUSD CVA'!$AM30</f>
        <v>788.1074325244839</v>
      </c>
      <c r="AY30" s="9">
        <f>ROUND(603.56/(1-CUSTOS!$M$38),2)</f>
        <v>642.09</v>
      </c>
      <c r="AZ30" s="9">
        <f t="shared" ca="1" si="6"/>
        <v>0</v>
      </c>
      <c r="BC30" s="88" t="s">
        <v>882</v>
      </c>
    </row>
    <row r="31" spans="1:55" ht="11.25" customHeight="1" x14ac:dyDescent="0.25">
      <c r="A31" s="142"/>
      <c r="B31" s="142"/>
      <c r="C31" s="142"/>
      <c r="D31" s="142"/>
      <c r="E31" s="142"/>
      <c r="F31" s="142"/>
      <c r="G31" s="24" t="s">
        <v>88</v>
      </c>
      <c r="H31" s="24" t="s">
        <v>75</v>
      </c>
      <c r="I31" s="24">
        <f>'MERCADO TUSD'!$U$28</f>
        <v>0</v>
      </c>
      <c r="J31" s="15"/>
      <c r="L31" s="13">
        <f>'TUSD BE'!$L$31*'TUSD BE'!$L$58</f>
        <v>0</v>
      </c>
      <c r="M31" s="13">
        <f>'TUSD BE'!$M$31*'TUSD BE'!$M$58</f>
        <v>-1.4760722786133952E-2</v>
      </c>
      <c r="N31" s="13">
        <f ca="1">'TUSD BE'!$N$31*'TUSD BE'!$N$58</f>
        <v>5.6305339931545798E-6</v>
      </c>
      <c r="O31" s="13">
        <f>'TUSD BE'!$O$31*'TUSD BE'!$O$58</f>
        <v>0</v>
      </c>
      <c r="P31" s="13">
        <f>'TUSD BE'!$P$31*'TUSD BE'!$P$58</f>
        <v>0</v>
      </c>
      <c r="Q31" s="13">
        <f>'TUSD BE'!$Q$31*'TUSD BE'!$Q$58</f>
        <v>-1.7061567261669188</v>
      </c>
      <c r="R31" s="13">
        <f>'TUSD BE'!$R$31*'TUSD BE'!$R$58</f>
        <v>-0.25686632949670912</v>
      </c>
      <c r="S31" s="13">
        <f>'TUSD BE'!$R$31*'TUSD BE'!$S$58</f>
        <v>0</v>
      </c>
      <c r="T31" s="13">
        <f ca="1">SUM($L$31:$S$31)</f>
        <v>-1.9777781479157688</v>
      </c>
      <c r="U31" s="13">
        <f>'TUSD BE'!$U$31*'TUSD BE'!$U$58</f>
        <v>0</v>
      </c>
      <c r="V31" s="13">
        <f>'TUSD BE'!$V$31*'TUSD BE'!$V$58</f>
        <v>0</v>
      </c>
      <c r="W31" s="13">
        <f>'TUSD BE'!$W$31*'TUSD BE'!$W$58</f>
        <v>0</v>
      </c>
      <c r="X31" s="13">
        <f>'TUSD BE'!$X$31*'TUSD BE'!$X$58</f>
        <v>0</v>
      </c>
      <c r="Y31" s="13">
        <f>'TUSD BE'!$Y$31*'TUSD BE'!$Y$58</f>
        <v>1.5478713308608467</v>
      </c>
      <c r="Z31" s="13">
        <f>'TUSD BE'!$Z$31*'TUSD BE'!$Z$58</f>
        <v>0</v>
      </c>
      <c r="AA31" s="13">
        <f>'TUSD BE'!$AA$31*'TUSD BE'!$AA$58</f>
        <v>0</v>
      </c>
      <c r="AB31" s="13">
        <f>SUM($U$31:$AA$31)</f>
        <v>1.5478713308608467</v>
      </c>
      <c r="AC31" s="13">
        <f>'TUSD BE'!$AC$31*'TUSD BE'!$AC$58</f>
        <v>0</v>
      </c>
      <c r="AD31" s="13">
        <f>SUM($AC$31:$AC$31)</f>
        <v>0</v>
      </c>
      <c r="AE31" s="13">
        <f ca="1">$AO$31*$AO$55</f>
        <v>-189.23005911046812</v>
      </c>
      <c r="AF31" s="13">
        <f ca="1">$AP$31*$AP$55</f>
        <v>0</v>
      </c>
      <c r="AG31" s="13">
        <f ca="1">SUM($AE$31:$AF$31)</f>
        <v>-189.23005911046812</v>
      </c>
      <c r="AH31" s="13">
        <f>'TUSD BE'!$AH$31*'TUSD BE'!$AH$58</f>
        <v>-0.28394603015538705</v>
      </c>
      <c r="AI31" s="13">
        <f>'TUSD BE'!$AI$31*'TUSD BE'!$AI$58</f>
        <v>-9.741730090581744E-3</v>
      </c>
      <c r="AJ31" s="13">
        <f ca="1">'TUSD BE'!$AJ$31*'TUSD BE'!$AJ$58</f>
        <v>-5.507710820302153E-2</v>
      </c>
      <c r="AK31" s="13">
        <f ca="1">'TUSD BE'!$AK$31*'TUSD BE'!$AK$58</f>
        <v>8.3786078080395621E-3</v>
      </c>
      <c r="AL31" s="13">
        <f ca="1">SUM($AH$31:$AK$31)</f>
        <v>-0.34038626064095079</v>
      </c>
      <c r="AM31" s="13">
        <f ca="1">SUMIF($L$4:$AL$4,"SUBTOTAL",$L$31:$AL$31)+AZ31</f>
        <v>-190.00035218816399</v>
      </c>
      <c r="AO31" s="26">
        <f ca="1">+'TUSD BE'!$T$31+'TUSD BE'!$AB$31+'TUSD BE'!$AD$31+'TUSD BE'!$AL$31</f>
        <v>685.42281292734049</v>
      </c>
      <c r="AP31" s="26">
        <f ca="1">+'TUSD BE'!$T$31+'TUSD BE'!$AB$31+'TUSD BE'!$AD$31+'TUSD BE'!$AL$31</f>
        <v>685.42281292734049</v>
      </c>
      <c r="AQ31" s="9" t="str">
        <f t="shared" si="0"/>
        <v>B2</v>
      </c>
      <c r="AR31" s="9" t="str">
        <f t="shared" si="1"/>
        <v>Branca</v>
      </c>
      <c r="AS31" s="9" t="str">
        <f t="shared" si="2"/>
        <v>Rural</v>
      </c>
      <c r="AT31" s="9" t="str">
        <f t="shared" si="3"/>
        <v>Não se aplica</v>
      </c>
      <c r="AU31" s="9" t="str">
        <f t="shared" si="4"/>
        <v>Não se aplica</v>
      </c>
      <c r="AV31" s="9">
        <f t="shared" si="5"/>
        <v>1</v>
      </c>
      <c r="AW31" s="9">
        <f ca="1">TarifaMedia!$G$20</f>
        <v>0</v>
      </c>
      <c r="AX31" s="15">
        <f ca="1">'TUSD BE'!$AM31+'TUSD BF'!$AM31+'TUSD CVA'!$AM31</f>
        <v>518.39188725876647</v>
      </c>
      <c r="AY31" s="9">
        <f>ROUND(415.12/(1-CUSTOS!$M$38),2)</f>
        <v>441.62</v>
      </c>
      <c r="AZ31" s="9">
        <f t="shared" ca="1" si="6"/>
        <v>0</v>
      </c>
      <c r="BC31" s="88" t="s">
        <v>883</v>
      </c>
    </row>
    <row r="32" spans="1:55" ht="11.25" customHeight="1" x14ac:dyDescent="0.25">
      <c r="A32" s="142"/>
      <c r="B32" s="142"/>
      <c r="C32" s="142"/>
      <c r="D32" s="142"/>
      <c r="E32" s="142"/>
      <c r="F32" s="142"/>
      <c r="G32" s="24" t="s">
        <v>77</v>
      </c>
      <c r="H32" s="24" t="s">
        <v>75</v>
      </c>
      <c r="I32" s="24">
        <f>'MERCADO TUSD'!$U$29</f>
        <v>0</v>
      </c>
      <c r="J32" s="15"/>
      <c r="L32" s="13">
        <f>'TUSD BE'!$L$32*'TUSD BE'!$L$58</f>
        <v>0</v>
      </c>
      <c r="M32" s="13">
        <f>'TUSD BE'!$M$32*'TUSD BE'!$M$58</f>
        <v>-1.4760722786133952E-2</v>
      </c>
      <c r="N32" s="13">
        <f ca="1">'TUSD BE'!$N$32*'TUSD BE'!$N$58</f>
        <v>2.1868332965064309E-6</v>
      </c>
      <c r="O32" s="13">
        <f>'TUSD BE'!$O$32*'TUSD BE'!$O$58</f>
        <v>0</v>
      </c>
      <c r="P32" s="13">
        <f>'TUSD BE'!$P$32*'TUSD BE'!$P$58</f>
        <v>0</v>
      </c>
      <c r="Q32" s="13">
        <f>'TUSD BE'!$Q$32*'TUSD BE'!$Q$58</f>
        <v>-1.7061567261669188</v>
      </c>
      <c r="R32" s="13">
        <f>'TUSD BE'!$R$32*'TUSD BE'!$R$58</f>
        <v>-0.25686632949670912</v>
      </c>
      <c r="S32" s="13">
        <f>'TUSD BE'!$R$32*'TUSD BE'!$S$58</f>
        <v>0</v>
      </c>
      <c r="T32" s="13">
        <f ca="1">SUM($L$32:$S$32)</f>
        <v>-1.9777815916164654</v>
      </c>
      <c r="U32" s="13">
        <f>'TUSD BE'!$U$32*'TUSD BE'!$U$58</f>
        <v>0</v>
      </c>
      <c r="V32" s="13">
        <f>'TUSD BE'!$V$32*'TUSD BE'!$V$58</f>
        <v>0</v>
      </c>
      <c r="W32" s="13">
        <f>'TUSD BE'!$W$32*'TUSD BE'!$W$58</f>
        <v>0</v>
      </c>
      <c r="X32" s="13">
        <f>'TUSD BE'!$X$32*'TUSD BE'!$X$58</f>
        <v>0</v>
      </c>
      <c r="Y32" s="13">
        <f>'TUSD BE'!$Y$32*'TUSD BE'!$Y$58</f>
        <v>0.51595711028694891</v>
      </c>
      <c r="Z32" s="13">
        <f>'TUSD BE'!$Z$32*'TUSD BE'!$Z$58</f>
        <v>0</v>
      </c>
      <c r="AA32" s="13">
        <f>'TUSD BE'!$AA$32*'TUSD BE'!$AA$58</f>
        <v>0</v>
      </c>
      <c r="AB32" s="13">
        <f>SUM($U$32:$AA$32)</f>
        <v>0.51595711028694891</v>
      </c>
      <c r="AC32" s="13">
        <f>'TUSD BE'!$AC$32*'TUSD BE'!$AC$58</f>
        <v>0</v>
      </c>
      <c r="AD32" s="13">
        <f>SUM($AC$32:$AC$32)</f>
        <v>0</v>
      </c>
      <c r="AE32" s="13">
        <f ca="1">$AO$32*$AO$55</f>
        <v>-86.763827628663748</v>
      </c>
      <c r="AF32" s="13">
        <f ca="1">$AP$32*$AP$55</f>
        <v>0</v>
      </c>
      <c r="AG32" s="13">
        <f ca="1">SUM($AE$32:$AF$32)</f>
        <v>-86.763827628663748</v>
      </c>
      <c r="AH32" s="13">
        <f>'TUSD BE'!$AH$32*'TUSD BE'!$AH$58</f>
        <v>-0.28394603015538705</v>
      </c>
      <c r="AI32" s="13">
        <f>'TUSD BE'!$AI$32*'TUSD BE'!$AI$58</f>
        <v>-9.741730090581744E-3</v>
      </c>
      <c r="AJ32" s="13">
        <f ca="1">'TUSD BE'!$AJ$32*'TUSD BE'!$AJ$58</f>
        <v>-5.507710820302153E-2</v>
      </c>
      <c r="AK32" s="13">
        <f ca="1">'TUSD BE'!$AK$32*'TUSD BE'!$AK$58</f>
        <v>8.3786078080395621E-3</v>
      </c>
      <c r="AL32" s="13">
        <f ca="1">SUM($AH$32:$AK$32)</f>
        <v>-0.34038626064095079</v>
      </c>
      <c r="AM32" s="13">
        <f ca="1">SUMIF($L$4:$AL$4,"SUBTOTAL",$L$32:$AL$32)+AZ32</f>
        <v>-88.566038370634217</v>
      </c>
      <c r="AO32" s="26">
        <f ca="1">+'TUSD BE'!$T$32+'TUSD BE'!$AB$32+'TUSD BE'!$AD$32+'TUSD BE'!$AL$32</f>
        <v>314.27304453181222</v>
      </c>
      <c r="AP32" s="26">
        <f ca="1">+'TUSD BE'!$T$32+'TUSD BE'!$AB$32+'TUSD BE'!$AD$32+'TUSD BE'!$AL$32</f>
        <v>314.27304453181222</v>
      </c>
      <c r="AQ32" s="9" t="str">
        <f t="shared" si="0"/>
        <v>B2</v>
      </c>
      <c r="AR32" s="9" t="str">
        <f t="shared" si="1"/>
        <v>Branca</v>
      </c>
      <c r="AS32" s="9" t="str">
        <f t="shared" si="2"/>
        <v>Rural</v>
      </c>
      <c r="AT32" s="9" t="str">
        <f t="shared" si="3"/>
        <v>Não se aplica</v>
      </c>
      <c r="AU32" s="9" t="str">
        <f t="shared" si="4"/>
        <v>Não se aplica</v>
      </c>
      <c r="AV32" s="9">
        <f t="shared" si="5"/>
        <v>1</v>
      </c>
      <c r="AW32" s="9">
        <f ca="1">TarifaMedia!$G$20</f>
        <v>0</v>
      </c>
      <c r="AX32" s="15">
        <f ca="1">'TUSD BE'!$AM32+'TUSD BF'!$AM32+'TUSD CVA'!$AM32</f>
        <v>248.67643268076804</v>
      </c>
      <c r="AY32" s="9">
        <f>ROUND(226.67/(1-CUSTOS!$M$38),2)</f>
        <v>241.14</v>
      </c>
      <c r="AZ32" s="9">
        <f t="shared" ca="1" si="6"/>
        <v>0</v>
      </c>
      <c r="BC32" s="88" t="s">
        <v>884</v>
      </c>
    </row>
    <row r="33" spans="1:55" ht="11.25" customHeight="1" x14ac:dyDescent="0.25">
      <c r="A33" s="142"/>
      <c r="B33" s="23" t="s">
        <v>23</v>
      </c>
      <c r="C33" s="23" t="s">
        <v>42</v>
      </c>
      <c r="D33" s="23" t="s">
        <v>25</v>
      </c>
      <c r="E33" s="23" t="s">
        <v>25</v>
      </c>
      <c r="F33" s="23" t="s">
        <v>25</v>
      </c>
      <c r="G33" s="24" t="s">
        <v>79</v>
      </c>
      <c r="H33" s="24" t="s">
        <v>75</v>
      </c>
      <c r="I33" s="24">
        <f>'MERCADO TUSD'!$U$30</f>
        <v>3335.7969999999996</v>
      </c>
      <c r="J33" s="15"/>
      <c r="L33" s="13">
        <f>'TUSD BE'!$L$33*'TUSD BE'!$L$58</f>
        <v>0</v>
      </c>
      <c r="M33" s="13">
        <f>'TUSD BE'!$M$33*'TUSD BE'!$M$58</f>
        <v>-1.4760722786133952E-2</v>
      </c>
      <c r="N33" s="13">
        <f ca="1">'TUSD BE'!$N$33*'TUSD BE'!$N$58</f>
        <v>3.4857732656494363E-6</v>
      </c>
      <c r="O33" s="13">
        <f>'TUSD BE'!$O$33*'TUSD BE'!$O$58</f>
        <v>0</v>
      </c>
      <c r="P33" s="13">
        <f>'TUSD BE'!$P$33*'TUSD BE'!$P$58</f>
        <v>0</v>
      </c>
      <c r="Q33" s="13">
        <f>'TUSD BE'!$Q$33*'TUSD BE'!$Q$58</f>
        <v>-1.7061567261669188</v>
      </c>
      <c r="R33" s="13">
        <f>'TUSD BE'!$R$33*'TUSD BE'!$R$58</f>
        <v>-0.25686632949670912</v>
      </c>
      <c r="S33" s="13">
        <f>'TUSD BE'!$R$33*'TUSD BE'!$S$58</f>
        <v>0</v>
      </c>
      <c r="T33" s="13">
        <f ca="1">SUM($L$33:$S$33)</f>
        <v>-1.9777802926764962</v>
      </c>
      <c r="U33" s="13">
        <f>'TUSD BE'!$U$33*'TUSD BE'!$U$58</f>
        <v>0</v>
      </c>
      <c r="V33" s="13">
        <f>'TUSD BE'!$V$33*'TUSD BE'!$V$58</f>
        <v>0</v>
      </c>
      <c r="W33" s="13">
        <f>'TUSD BE'!$W$33*'TUSD BE'!$W$58</f>
        <v>0</v>
      </c>
      <c r="X33" s="13">
        <f>'TUSD BE'!$X$33*'TUSD BE'!$X$58</f>
        <v>0</v>
      </c>
      <c r="Y33" s="13">
        <f>'TUSD BE'!$Y$33*'TUSD BE'!$Y$58</f>
        <v>0.90518803510123325</v>
      </c>
      <c r="Z33" s="13">
        <f>'TUSD BE'!$Z$33*'TUSD BE'!$Z$58</f>
        <v>0</v>
      </c>
      <c r="AA33" s="13">
        <f>'TUSD BE'!$AA$33*'TUSD BE'!$AA$58</f>
        <v>0</v>
      </c>
      <c r="AB33" s="13">
        <f>SUM($U$33:$AA$33)</f>
        <v>0.90518803510123325</v>
      </c>
      <c r="AC33" s="13">
        <f>'TUSD BE'!$AC$33*'TUSD BE'!$AC$58</f>
        <v>0</v>
      </c>
      <c r="AD33" s="13">
        <f>SUM($AC$33:$AC$33)</f>
        <v>0</v>
      </c>
      <c r="AE33" s="13">
        <f ca="1">$AO$33*$AO$55</f>
        <v>-125.41337826061903</v>
      </c>
      <c r="AF33" s="13">
        <f ca="1">$AP$33*$AP$55</f>
        <v>0</v>
      </c>
      <c r="AG33" s="13">
        <f ca="1">SUM($AE$33:$AF$33)</f>
        <v>-125.41337826061903</v>
      </c>
      <c r="AH33" s="13">
        <f>'TUSD BE'!$AH$33*'TUSD BE'!$AH$58</f>
        <v>-0.28394603015538705</v>
      </c>
      <c r="AI33" s="13">
        <f>'TUSD BE'!$AI$33*'TUSD BE'!$AI$58</f>
        <v>-9.741730090581744E-3</v>
      </c>
      <c r="AJ33" s="13">
        <f ca="1">'TUSD BE'!$AJ$33*'TUSD BE'!$AJ$58</f>
        <v>-5.507710820302153E-2</v>
      </c>
      <c r="AK33" s="13">
        <f ca="1">'TUSD BE'!$AK$33*'TUSD BE'!$AK$58</f>
        <v>8.3786078080395621E-3</v>
      </c>
      <c r="AL33" s="13">
        <f ca="1">SUM($AH$33:$AK$33)</f>
        <v>-0.34038626064095079</v>
      </c>
      <c r="AM33" s="13">
        <f ca="1">SUMIF($L$4:$AL$4,"SUBTOTAL",$L$33:$AL$33)+AZ33</f>
        <v>-126.82635677883525</v>
      </c>
      <c r="AO33" s="26">
        <f ca="1">+'TUSD BE'!$T$33+'TUSD BE'!$AB$33+'TUSD BE'!$AD$33+'TUSD BE'!$AL$33</f>
        <v>454.26815861179813</v>
      </c>
      <c r="AP33" s="26">
        <f ca="1">+'TUSD BE'!$T$33+'TUSD BE'!$AB$33+'TUSD BE'!$AD$33+'TUSD BE'!$AL$33</f>
        <v>454.26815861179813</v>
      </c>
      <c r="AQ33" s="9" t="str">
        <f t="shared" si="0"/>
        <v>B2</v>
      </c>
      <c r="AR33" s="9" t="str">
        <f t="shared" si="1"/>
        <v>Convencional</v>
      </c>
      <c r="AS33" s="9" t="str">
        <f t="shared" si="2"/>
        <v>Rural</v>
      </c>
      <c r="AT33" s="9" t="str">
        <f t="shared" si="3"/>
        <v>Não se aplica</v>
      </c>
      <c r="AU33" s="9" t="str">
        <f t="shared" si="4"/>
        <v>Não se aplica</v>
      </c>
      <c r="AV33" s="9">
        <f t="shared" si="5"/>
        <v>1</v>
      </c>
      <c r="AW33" s="9">
        <f ca="1">TarifaMedia!$G$20</f>
        <v>0</v>
      </c>
      <c r="AX33" s="15">
        <f ca="1">'TUSD BE'!$AM33+'TUSD BF'!$AM33+'TUSD CVA'!$AM33</f>
        <v>350.41122835255294</v>
      </c>
      <c r="AY33" s="9">
        <v>310.8</v>
      </c>
      <c r="AZ33" s="9">
        <f t="shared" ca="1" si="6"/>
        <v>0</v>
      </c>
      <c r="BC33" s="88" t="s">
        <v>878</v>
      </c>
    </row>
    <row r="34" spans="1:55" ht="11.25" customHeight="1" x14ac:dyDescent="0.25">
      <c r="A34" s="142"/>
      <c r="B34" s="142" t="s">
        <v>32</v>
      </c>
      <c r="C34" s="142" t="s">
        <v>42</v>
      </c>
      <c r="D34" s="142" t="s">
        <v>91</v>
      </c>
      <c r="E34" s="142" t="s">
        <v>25</v>
      </c>
      <c r="F34" s="142" t="s">
        <v>25</v>
      </c>
      <c r="G34" s="24" t="s">
        <v>76</v>
      </c>
      <c r="H34" s="24" t="s">
        <v>75</v>
      </c>
      <c r="I34" s="24">
        <f>'MERCADO TUSD'!$U$31</f>
        <v>0</v>
      </c>
      <c r="J34" s="15"/>
      <c r="L34" s="13">
        <f>'TUSD BE'!$L$34*'TUSD BE'!$L$58</f>
        <v>0</v>
      </c>
      <c r="M34" s="13">
        <f>'TUSD BE'!$M$34*'TUSD BE'!$M$58</f>
        <v>-1.4760722786133952E-2</v>
      </c>
      <c r="N34" s="13">
        <f ca="1">'TUSD BE'!$N$34*'TUSD BE'!$N$58</f>
        <v>9.074235750860016E-6</v>
      </c>
      <c r="O34" s="13">
        <f>'TUSD BE'!$O$34*'TUSD BE'!$O$58</f>
        <v>0</v>
      </c>
      <c r="P34" s="13">
        <f>'TUSD BE'!$P$34*'TUSD BE'!$P$58</f>
        <v>0</v>
      </c>
      <c r="Q34" s="13">
        <f>'TUSD BE'!$Q$34*'TUSD BE'!$Q$58</f>
        <v>-1.7061567261669188</v>
      </c>
      <c r="R34" s="13">
        <f>'TUSD BE'!$R$34*'TUSD BE'!$R$58</f>
        <v>-0.25686632949670912</v>
      </c>
      <c r="S34" s="13">
        <f>'TUSD BE'!$R$34*'TUSD BE'!$S$58</f>
        <v>0</v>
      </c>
      <c r="T34" s="13">
        <f ca="1">SUM($L$34:$S$34)</f>
        <v>-1.977774704214011</v>
      </c>
      <c r="U34" s="13">
        <f>'TUSD BE'!$U$34*'TUSD BE'!$U$58</f>
        <v>0</v>
      </c>
      <c r="V34" s="13">
        <f>'TUSD BE'!$V$34*'TUSD BE'!$V$58</f>
        <v>0</v>
      </c>
      <c r="W34" s="13">
        <f>'TUSD BE'!$W$34*'TUSD BE'!$W$58</f>
        <v>0</v>
      </c>
      <c r="X34" s="13">
        <f>'TUSD BE'!$X$34*'TUSD BE'!$X$58</f>
        <v>0</v>
      </c>
      <c r="Y34" s="13">
        <f>'TUSD BE'!$Y$34*'TUSD BE'!$Y$58</f>
        <v>2.5797864229441694</v>
      </c>
      <c r="Z34" s="13">
        <f>'TUSD BE'!$Z$34*'TUSD BE'!$Z$58</f>
        <v>0</v>
      </c>
      <c r="AA34" s="13">
        <f>'TUSD BE'!$AA$34*'TUSD BE'!$AA$58</f>
        <v>0</v>
      </c>
      <c r="AB34" s="13">
        <f>SUM($U$34:$AA$34)</f>
        <v>2.5797864229441694</v>
      </c>
      <c r="AC34" s="13">
        <f>'TUSD BE'!$AC$34*'TUSD BE'!$AC$58</f>
        <v>0</v>
      </c>
      <c r="AD34" s="13">
        <f>SUM($AC$34:$AC$34)</f>
        <v>0</v>
      </c>
      <c r="AE34" s="13">
        <f ca="1">$AO$34*$AO$55</f>
        <v>-291.69632484494201</v>
      </c>
      <c r="AF34" s="13">
        <f ca="1">$AP$34*$AP$55</f>
        <v>0</v>
      </c>
      <c r="AG34" s="13">
        <f ca="1">SUM($AE$34:$AF$34)</f>
        <v>-291.69632484494201</v>
      </c>
      <c r="AH34" s="13">
        <f>'TUSD BE'!$AH$34*'TUSD BE'!$AH$58</f>
        <v>-0.28394603015538705</v>
      </c>
      <c r="AI34" s="13">
        <f>'TUSD BE'!$AI$34*'TUSD BE'!$AI$58</f>
        <v>-9.741730090581744E-3</v>
      </c>
      <c r="AJ34" s="13">
        <f ca="1">'TUSD BE'!$AJ$34*'TUSD BE'!$AJ$58</f>
        <v>-5.507710820302153E-2</v>
      </c>
      <c r="AK34" s="13">
        <f ca="1">'TUSD BE'!$AK$34*'TUSD BE'!$AK$58</f>
        <v>8.3786078080395621E-3</v>
      </c>
      <c r="AL34" s="13">
        <f ca="1">SUM($AH$34:$AK$34)</f>
        <v>-0.34038626064095079</v>
      </c>
      <c r="AM34" s="13">
        <f ca="1">SUMIF($L$4:$AL$4,"SUBTOTAL",$L$34:$AL$34)+AZ34</f>
        <v>-291.4346993868528</v>
      </c>
      <c r="AO34" s="26">
        <f ca="1">+'TUSD BE'!$T$34+'TUSD BE'!$AB$34+'TUSD BE'!$AD$34+'TUSD BE'!$AL$34</f>
        <v>1056.5727053917467</v>
      </c>
      <c r="AP34" s="26">
        <f ca="1">+'TUSD BE'!$T$34+'TUSD BE'!$AB$34+'TUSD BE'!$AD$34+'TUSD BE'!$AL$34</f>
        <v>1056.5727053917467</v>
      </c>
      <c r="AQ34" s="9" t="str">
        <f t="shared" si="0"/>
        <v>B2</v>
      </c>
      <c r="AR34" s="9" t="str">
        <f t="shared" si="1"/>
        <v>Branca</v>
      </c>
      <c r="AS34" s="9" t="str">
        <f t="shared" si="2"/>
        <v>Rural</v>
      </c>
      <c r="AT34" s="9" t="str">
        <f t="shared" si="3"/>
        <v>Cooperativa de eletrificação rural</v>
      </c>
      <c r="AU34" s="9" t="str">
        <f t="shared" si="4"/>
        <v>Não se aplica</v>
      </c>
      <c r="AV34" s="9">
        <f t="shared" si="5"/>
        <v>1</v>
      </c>
      <c r="AW34" s="9">
        <f ca="1">TarifaMedia!$G$20</f>
        <v>0</v>
      </c>
      <c r="AX34" s="15">
        <f ca="1">'TUSD BE'!$AM34+'TUSD BF'!$AM34+'TUSD CVA'!$AM34</f>
        <v>788.1074325244839</v>
      </c>
      <c r="AY34" s="9">
        <f>ROUND(603.56/(1-CUSTOS!$M$38),2)</f>
        <v>642.09</v>
      </c>
      <c r="AZ34" s="9">
        <f t="shared" ca="1" si="6"/>
        <v>0</v>
      </c>
      <c r="BC34" s="88" t="s">
        <v>882</v>
      </c>
    </row>
    <row r="35" spans="1:55" ht="11.25" customHeight="1" x14ac:dyDescent="0.25">
      <c r="A35" s="142"/>
      <c r="B35" s="142"/>
      <c r="C35" s="142"/>
      <c r="D35" s="142"/>
      <c r="E35" s="142"/>
      <c r="F35" s="142"/>
      <c r="G35" s="24" t="s">
        <v>88</v>
      </c>
      <c r="H35" s="24" t="s">
        <v>75</v>
      </c>
      <c r="I35" s="24">
        <f>'MERCADO TUSD'!$U$32</f>
        <v>0</v>
      </c>
      <c r="J35" s="15"/>
      <c r="L35" s="13">
        <f>'TUSD BE'!$L$35*'TUSD BE'!$L$58</f>
        <v>0</v>
      </c>
      <c r="M35" s="13">
        <f>'TUSD BE'!$M$35*'TUSD BE'!$M$58</f>
        <v>-1.4760722786133952E-2</v>
      </c>
      <c r="N35" s="13">
        <f ca="1">'TUSD BE'!$N$35*'TUSD BE'!$N$58</f>
        <v>5.6305339931545798E-6</v>
      </c>
      <c r="O35" s="13">
        <f>'TUSD BE'!$O$35*'TUSD BE'!$O$58</f>
        <v>0</v>
      </c>
      <c r="P35" s="13">
        <f>'TUSD BE'!$P$35*'TUSD BE'!$P$58</f>
        <v>0</v>
      </c>
      <c r="Q35" s="13">
        <f>'TUSD BE'!$Q$35*'TUSD BE'!$Q$58</f>
        <v>-1.7061567261669188</v>
      </c>
      <c r="R35" s="13">
        <f>'TUSD BE'!$R$35*'TUSD BE'!$R$58</f>
        <v>-0.25686632949670912</v>
      </c>
      <c r="S35" s="13">
        <f>'TUSD BE'!$R$35*'TUSD BE'!$S$58</f>
        <v>0</v>
      </c>
      <c r="T35" s="13">
        <f ca="1">SUM($L$35:$S$35)</f>
        <v>-1.9777781479157688</v>
      </c>
      <c r="U35" s="13">
        <f>'TUSD BE'!$U$35*'TUSD BE'!$U$58</f>
        <v>0</v>
      </c>
      <c r="V35" s="13">
        <f>'TUSD BE'!$V$35*'TUSD BE'!$V$58</f>
        <v>0</v>
      </c>
      <c r="W35" s="13">
        <f>'TUSD BE'!$W$35*'TUSD BE'!$W$58</f>
        <v>0</v>
      </c>
      <c r="X35" s="13">
        <f>'TUSD BE'!$X$35*'TUSD BE'!$X$58</f>
        <v>0</v>
      </c>
      <c r="Y35" s="13">
        <f>'TUSD BE'!$Y$35*'TUSD BE'!$Y$58</f>
        <v>1.5478713308608467</v>
      </c>
      <c r="Z35" s="13">
        <f>'TUSD BE'!$Z$35*'TUSD BE'!$Z$58</f>
        <v>0</v>
      </c>
      <c r="AA35" s="13">
        <f>'TUSD BE'!$AA$35*'TUSD BE'!$AA$58</f>
        <v>0</v>
      </c>
      <c r="AB35" s="13">
        <f>SUM($U$35:$AA$35)</f>
        <v>1.5478713308608467</v>
      </c>
      <c r="AC35" s="13">
        <f>'TUSD BE'!$AC$35*'TUSD BE'!$AC$58</f>
        <v>0</v>
      </c>
      <c r="AD35" s="13">
        <f>SUM($AC$35:$AC$35)</f>
        <v>0</v>
      </c>
      <c r="AE35" s="13">
        <f ca="1">$AO$35*$AO$55</f>
        <v>-189.23005911046812</v>
      </c>
      <c r="AF35" s="13">
        <f ca="1">$AP$35*$AP$55</f>
        <v>0</v>
      </c>
      <c r="AG35" s="13">
        <f ca="1">SUM($AE$35:$AF$35)</f>
        <v>-189.23005911046812</v>
      </c>
      <c r="AH35" s="13">
        <f>'TUSD BE'!$AH$35*'TUSD BE'!$AH$58</f>
        <v>-0.28394603015538705</v>
      </c>
      <c r="AI35" s="13">
        <f>'TUSD BE'!$AI$35*'TUSD BE'!$AI$58</f>
        <v>-9.741730090581744E-3</v>
      </c>
      <c r="AJ35" s="13">
        <f ca="1">'TUSD BE'!$AJ$35*'TUSD BE'!$AJ$58</f>
        <v>-5.507710820302153E-2</v>
      </c>
      <c r="AK35" s="13">
        <f ca="1">'TUSD BE'!$AK$35*'TUSD BE'!$AK$58</f>
        <v>8.3786078080395621E-3</v>
      </c>
      <c r="AL35" s="13">
        <f ca="1">SUM($AH$35:$AK$35)</f>
        <v>-0.34038626064095079</v>
      </c>
      <c r="AM35" s="13">
        <f ca="1">SUMIF($L$4:$AL$4,"SUBTOTAL",$L$35:$AL$35)+AZ35</f>
        <v>-190.00035218816399</v>
      </c>
      <c r="AO35" s="26">
        <f ca="1">+'TUSD BE'!$T$35+'TUSD BE'!$AB$35+'TUSD BE'!$AD$35+'TUSD BE'!$AL$35</f>
        <v>685.42281292734049</v>
      </c>
      <c r="AP35" s="26">
        <f ca="1">+'TUSD BE'!$T$35+'TUSD BE'!$AB$35+'TUSD BE'!$AD$35+'TUSD BE'!$AL$35</f>
        <v>685.42281292734049</v>
      </c>
      <c r="AQ35" s="9" t="str">
        <f t="shared" si="0"/>
        <v>B2</v>
      </c>
      <c r="AR35" s="9" t="str">
        <f t="shared" si="1"/>
        <v>Branca</v>
      </c>
      <c r="AS35" s="9" t="str">
        <f t="shared" si="2"/>
        <v>Rural</v>
      </c>
      <c r="AT35" s="9" t="str">
        <f t="shared" si="3"/>
        <v>Cooperativa de eletrificação rural</v>
      </c>
      <c r="AU35" s="9" t="str">
        <f t="shared" si="4"/>
        <v>Não se aplica</v>
      </c>
      <c r="AV35" s="9">
        <f t="shared" si="5"/>
        <v>1</v>
      </c>
      <c r="AW35" s="9">
        <f ca="1">TarifaMedia!$G$20</f>
        <v>0</v>
      </c>
      <c r="AX35" s="15">
        <f ca="1">'TUSD BE'!$AM35+'TUSD BF'!$AM35+'TUSD CVA'!$AM35</f>
        <v>518.39188725876647</v>
      </c>
      <c r="AY35" s="9">
        <f>ROUND(415.12/(1-CUSTOS!$M$38),2)</f>
        <v>441.62</v>
      </c>
      <c r="AZ35" s="9">
        <f t="shared" ca="1" si="6"/>
        <v>0</v>
      </c>
      <c r="BC35" s="88" t="s">
        <v>883</v>
      </c>
    </row>
    <row r="36" spans="1:55" ht="11.25" customHeight="1" x14ac:dyDescent="0.25">
      <c r="A36" s="142"/>
      <c r="B36" s="142"/>
      <c r="C36" s="142"/>
      <c r="D36" s="142"/>
      <c r="E36" s="142"/>
      <c r="F36" s="142"/>
      <c r="G36" s="24" t="s">
        <v>77</v>
      </c>
      <c r="H36" s="24" t="s">
        <v>75</v>
      </c>
      <c r="I36" s="24">
        <f>'MERCADO TUSD'!$U$33</f>
        <v>0</v>
      </c>
      <c r="J36" s="15"/>
      <c r="L36" s="13">
        <f>'TUSD BE'!$L$36*'TUSD BE'!$L$58</f>
        <v>0</v>
      </c>
      <c r="M36" s="13">
        <f>'TUSD BE'!$M$36*'TUSD BE'!$M$58</f>
        <v>-1.4760722786133952E-2</v>
      </c>
      <c r="N36" s="13">
        <f ca="1">'TUSD BE'!$N$36*'TUSD BE'!$N$58</f>
        <v>2.1868332965064309E-6</v>
      </c>
      <c r="O36" s="13">
        <f>'TUSD BE'!$O$36*'TUSD BE'!$O$58</f>
        <v>0</v>
      </c>
      <c r="P36" s="13">
        <f>'TUSD BE'!$P$36*'TUSD BE'!$P$58</f>
        <v>0</v>
      </c>
      <c r="Q36" s="13">
        <f>'TUSD BE'!$Q$36*'TUSD BE'!$Q$58</f>
        <v>-1.7061567261669188</v>
      </c>
      <c r="R36" s="13">
        <f>'TUSD BE'!$R$36*'TUSD BE'!$R$58</f>
        <v>-0.25686632949670912</v>
      </c>
      <c r="S36" s="13">
        <f>'TUSD BE'!$R$36*'TUSD BE'!$S$58</f>
        <v>0</v>
      </c>
      <c r="T36" s="13">
        <f ca="1">SUM($L$36:$S$36)</f>
        <v>-1.9777815916164654</v>
      </c>
      <c r="U36" s="13">
        <f>'TUSD BE'!$U$36*'TUSD BE'!$U$58</f>
        <v>0</v>
      </c>
      <c r="V36" s="13">
        <f>'TUSD BE'!$V$36*'TUSD BE'!$V$58</f>
        <v>0</v>
      </c>
      <c r="W36" s="13">
        <f>'TUSD BE'!$W$36*'TUSD BE'!$W$58</f>
        <v>0</v>
      </c>
      <c r="X36" s="13">
        <f>'TUSD BE'!$X$36*'TUSD BE'!$X$58</f>
        <v>0</v>
      </c>
      <c r="Y36" s="13">
        <f>'TUSD BE'!$Y$36*'TUSD BE'!$Y$58</f>
        <v>0.51595711028694891</v>
      </c>
      <c r="Z36" s="13">
        <f>'TUSD BE'!$Z$36*'TUSD BE'!$Z$58</f>
        <v>0</v>
      </c>
      <c r="AA36" s="13">
        <f>'TUSD BE'!$AA$36*'TUSD BE'!$AA$58</f>
        <v>0</v>
      </c>
      <c r="AB36" s="13">
        <f>SUM($U$36:$AA$36)</f>
        <v>0.51595711028694891</v>
      </c>
      <c r="AC36" s="13">
        <f>'TUSD BE'!$AC$36*'TUSD BE'!$AC$58</f>
        <v>0</v>
      </c>
      <c r="AD36" s="13">
        <f>SUM($AC$36:$AC$36)</f>
        <v>0</v>
      </c>
      <c r="AE36" s="13">
        <f ca="1">$AO$36*$AO$55</f>
        <v>-86.763827628663748</v>
      </c>
      <c r="AF36" s="13">
        <f ca="1">$AP$36*$AP$55</f>
        <v>0</v>
      </c>
      <c r="AG36" s="13">
        <f ca="1">SUM($AE$36:$AF$36)</f>
        <v>-86.763827628663748</v>
      </c>
      <c r="AH36" s="13">
        <f>'TUSD BE'!$AH$36*'TUSD BE'!$AH$58</f>
        <v>-0.28394603015538705</v>
      </c>
      <c r="AI36" s="13">
        <f>'TUSD BE'!$AI$36*'TUSD BE'!$AI$58</f>
        <v>-9.741730090581744E-3</v>
      </c>
      <c r="AJ36" s="13">
        <f ca="1">'TUSD BE'!$AJ$36*'TUSD BE'!$AJ$58</f>
        <v>-5.507710820302153E-2</v>
      </c>
      <c r="AK36" s="13">
        <f ca="1">'TUSD BE'!$AK$36*'TUSD BE'!$AK$58</f>
        <v>8.3786078080395621E-3</v>
      </c>
      <c r="AL36" s="13">
        <f ca="1">SUM($AH$36:$AK$36)</f>
        <v>-0.34038626064095079</v>
      </c>
      <c r="AM36" s="13">
        <f ca="1">SUMIF($L$4:$AL$4,"SUBTOTAL",$L$36:$AL$36)+AZ36</f>
        <v>-88.566038370634217</v>
      </c>
      <c r="AO36" s="26">
        <f ca="1">+'TUSD BE'!$T$36+'TUSD BE'!$AB$36+'TUSD BE'!$AD$36+'TUSD BE'!$AL$36</f>
        <v>314.27304453181222</v>
      </c>
      <c r="AP36" s="26">
        <f ca="1">+'TUSD BE'!$T$36+'TUSD BE'!$AB$36+'TUSD BE'!$AD$36+'TUSD BE'!$AL$36</f>
        <v>314.27304453181222</v>
      </c>
      <c r="AQ36" s="9" t="str">
        <f t="shared" si="0"/>
        <v>B2</v>
      </c>
      <c r="AR36" s="9" t="str">
        <f t="shared" si="1"/>
        <v>Branca</v>
      </c>
      <c r="AS36" s="9" t="str">
        <f t="shared" si="2"/>
        <v>Rural</v>
      </c>
      <c r="AT36" s="9" t="str">
        <f t="shared" si="3"/>
        <v>Cooperativa de eletrificação rural</v>
      </c>
      <c r="AU36" s="9" t="str">
        <f t="shared" si="4"/>
        <v>Não se aplica</v>
      </c>
      <c r="AV36" s="9">
        <f t="shared" si="5"/>
        <v>1</v>
      </c>
      <c r="AW36" s="9">
        <f ca="1">TarifaMedia!$G$20</f>
        <v>0</v>
      </c>
      <c r="AX36" s="15">
        <f ca="1">'TUSD BE'!$AM36+'TUSD BF'!$AM36+'TUSD CVA'!$AM36</f>
        <v>248.67643268076804</v>
      </c>
      <c r="AY36" s="9">
        <f>ROUND(226.67/(1-CUSTOS!$M$38),2)</f>
        <v>241.14</v>
      </c>
      <c r="AZ36" s="9">
        <f t="shared" ca="1" si="6"/>
        <v>0</v>
      </c>
      <c r="BC36" s="88" t="s">
        <v>884</v>
      </c>
    </row>
    <row r="37" spans="1:55" ht="11.25" customHeight="1" x14ac:dyDescent="0.25">
      <c r="A37" s="142"/>
      <c r="B37" s="23" t="s">
        <v>23</v>
      </c>
      <c r="C37" s="23" t="s">
        <v>42</v>
      </c>
      <c r="D37" s="23" t="s">
        <v>91</v>
      </c>
      <c r="E37" s="23" t="s">
        <v>25</v>
      </c>
      <c r="F37" s="23" t="s">
        <v>25</v>
      </c>
      <c r="G37" s="24" t="s">
        <v>79</v>
      </c>
      <c r="H37" s="24" t="s">
        <v>75</v>
      </c>
      <c r="I37" s="24">
        <f>'MERCADO TUSD'!$U$34</f>
        <v>0</v>
      </c>
      <c r="J37" s="15"/>
      <c r="L37" s="13">
        <f>'TUSD BE'!$L$37*'TUSD BE'!$L$58</f>
        <v>0</v>
      </c>
      <c r="M37" s="13">
        <f>'TUSD BE'!$M$37*'TUSD BE'!$M$58</f>
        <v>-1.4760722786133952E-2</v>
      </c>
      <c r="N37" s="13">
        <f ca="1">'TUSD BE'!$N$37*'TUSD BE'!$N$58</f>
        <v>3.4857732656494363E-6</v>
      </c>
      <c r="O37" s="13">
        <f>'TUSD BE'!$O$37*'TUSD BE'!$O$58</f>
        <v>0</v>
      </c>
      <c r="P37" s="13">
        <f>'TUSD BE'!$P$37*'TUSD BE'!$P$58</f>
        <v>0</v>
      </c>
      <c r="Q37" s="13">
        <f>'TUSD BE'!$Q$37*'TUSD BE'!$Q$58</f>
        <v>-1.7061567261669188</v>
      </c>
      <c r="R37" s="13">
        <f>'TUSD BE'!$R$37*'TUSD BE'!$R$58</f>
        <v>-0.25686632949670912</v>
      </c>
      <c r="S37" s="13">
        <f>'TUSD BE'!$R$37*'TUSD BE'!$S$58</f>
        <v>0</v>
      </c>
      <c r="T37" s="13">
        <f ca="1">SUM($L$37:$S$37)</f>
        <v>-1.9777802926764962</v>
      </c>
      <c r="U37" s="13">
        <f>'TUSD BE'!$U$37*'TUSD BE'!$U$58</f>
        <v>0</v>
      </c>
      <c r="V37" s="13">
        <f>'TUSD BE'!$V$37*'TUSD BE'!$V$58</f>
        <v>0</v>
      </c>
      <c r="W37" s="13">
        <f>'TUSD BE'!$W$37*'TUSD BE'!$W$58</f>
        <v>0</v>
      </c>
      <c r="X37" s="13">
        <f>'TUSD BE'!$X$37*'TUSD BE'!$X$58</f>
        <v>0</v>
      </c>
      <c r="Y37" s="13">
        <f>'TUSD BE'!$Y$37*'TUSD BE'!$Y$58</f>
        <v>0.90518803510123325</v>
      </c>
      <c r="Z37" s="13">
        <f>'TUSD BE'!$Z$37*'TUSD BE'!$Z$58</f>
        <v>0</v>
      </c>
      <c r="AA37" s="13">
        <f>'TUSD BE'!$AA$37*'TUSD BE'!$AA$58</f>
        <v>0</v>
      </c>
      <c r="AB37" s="13">
        <f>SUM($U$37:$AA$37)</f>
        <v>0.90518803510123325</v>
      </c>
      <c r="AC37" s="13">
        <f>'TUSD BE'!$AC$37*'TUSD BE'!$AC$58</f>
        <v>0</v>
      </c>
      <c r="AD37" s="13">
        <f>SUM($AC$37:$AC$37)</f>
        <v>0</v>
      </c>
      <c r="AE37" s="13">
        <f ca="1">$AO$37*$AO$55</f>
        <v>-125.41337826061903</v>
      </c>
      <c r="AF37" s="13">
        <f ca="1">$AP$37*$AP$55</f>
        <v>0</v>
      </c>
      <c r="AG37" s="13">
        <f ca="1">SUM($AE$37:$AF$37)</f>
        <v>-125.41337826061903</v>
      </c>
      <c r="AH37" s="13">
        <f>'TUSD BE'!$AH$37*'TUSD BE'!$AH$58</f>
        <v>-0.28394603015538705</v>
      </c>
      <c r="AI37" s="13">
        <f>'TUSD BE'!$AI$37*'TUSD BE'!$AI$58</f>
        <v>-9.741730090581744E-3</v>
      </c>
      <c r="AJ37" s="13">
        <f ca="1">'TUSD BE'!$AJ$37*'TUSD BE'!$AJ$58</f>
        <v>-5.507710820302153E-2</v>
      </c>
      <c r="AK37" s="13">
        <f ca="1">'TUSD BE'!$AK$37*'TUSD BE'!$AK$58</f>
        <v>8.3786078080395621E-3</v>
      </c>
      <c r="AL37" s="13">
        <f ca="1">SUM($AH$37:$AK$37)</f>
        <v>-0.34038626064095079</v>
      </c>
      <c r="AM37" s="13">
        <f ca="1">SUMIF($L$4:$AL$4,"SUBTOTAL",$L$37:$AL$37)+AZ37</f>
        <v>-126.82635677883525</v>
      </c>
      <c r="AO37" s="26">
        <f ca="1">+'TUSD BE'!$T$37+'TUSD BE'!$AB$37+'TUSD BE'!$AD$37+'TUSD BE'!$AL$37</f>
        <v>454.26815861179813</v>
      </c>
      <c r="AP37" s="26">
        <f ca="1">+'TUSD BE'!$T$37+'TUSD BE'!$AB$37+'TUSD BE'!$AD$37+'TUSD BE'!$AL$37</f>
        <v>454.26815861179813</v>
      </c>
      <c r="AQ37" s="9" t="str">
        <f t="shared" si="0"/>
        <v>B2</v>
      </c>
      <c r="AR37" s="9" t="str">
        <f t="shared" si="1"/>
        <v>Convencional</v>
      </c>
      <c r="AS37" s="9" t="str">
        <f t="shared" si="2"/>
        <v>Rural</v>
      </c>
      <c r="AT37" s="9" t="str">
        <f t="shared" si="3"/>
        <v>Cooperativa de eletrificação rural</v>
      </c>
      <c r="AU37" s="9" t="str">
        <f t="shared" si="4"/>
        <v>Não se aplica</v>
      </c>
      <c r="AV37" s="9">
        <f t="shared" si="5"/>
        <v>1</v>
      </c>
      <c r="AW37" s="9">
        <f ca="1">TarifaMedia!$G$20</f>
        <v>0</v>
      </c>
      <c r="AX37" s="15">
        <f ca="1">'TUSD BE'!$AM37+'TUSD BF'!$AM37+'TUSD CVA'!$AM37</f>
        <v>350.41122835255294</v>
      </c>
      <c r="AY37" s="9">
        <v>310.8</v>
      </c>
      <c r="AZ37" s="9">
        <f t="shared" ca="1" si="6"/>
        <v>0</v>
      </c>
      <c r="BC37" s="88" t="s">
        <v>878</v>
      </c>
    </row>
    <row r="38" spans="1:55" ht="11.25" customHeight="1" x14ac:dyDescent="0.25">
      <c r="A38" s="142"/>
      <c r="B38" s="142" t="s">
        <v>32</v>
      </c>
      <c r="C38" s="142" t="s">
        <v>42</v>
      </c>
      <c r="D38" s="142" t="s">
        <v>92</v>
      </c>
      <c r="E38" s="142" t="s">
        <v>25</v>
      </c>
      <c r="F38" s="142" t="s">
        <v>25</v>
      </c>
      <c r="G38" s="24" t="s">
        <v>76</v>
      </c>
      <c r="H38" s="24" t="s">
        <v>75</v>
      </c>
      <c r="I38" s="24">
        <f>'MERCADO TUSD'!$U$35</f>
        <v>0</v>
      </c>
      <c r="J38" s="15"/>
      <c r="L38" s="13">
        <f>'TUSD BE'!$L$38*'TUSD BE'!$L$58</f>
        <v>0</v>
      </c>
      <c r="M38" s="13">
        <f>'TUSD BE'!$M$38*'TUSD BE'!$M$58</f>
        <v>-1.4760722786133952E-2</v>
      </c>
      <c r="N38" s="13">
        <f ca="1">'TUSD BE'!$N$38*'TUSD BE'!$N$58</f>
        <v>9.074235750860016E-6</v>
      </c>
      <c r="O38" s="13">
        <f>'TUSD BE'!$O$38*'TUSD BE'!$O$58</f>
        <v>0</v>
      </c>
      <c r="P38" s="13">
        <f>'TUSD BE'!$P$38*'TUSD BE'!$P$58</f>
        <v>0</v>
      </c>
      <c r="Q38" s="13">
        <f>'TUSD BE'!$Q$38*'TUSD BE'!$Q$58</f>
        <v>-1.7061567261669188</v>
      </c>
      <c r="R38" s="13">
        <f>'TUSD BE'!$R$38*'TUSD BE'!$R$58</f>
        <v>-0.25686632949670912</v>
      </c>
      <c r="S38" s="13">
        <f>'TUSD BE'!$R$38*'TUSD BE'!$S$58</f>
        <v>0</v>
      </c>
      <c r="T38" s="13">
        <f ca="1">SUM($L$38:$S$38)</f>
        <v>-1.977774704214011</v>
      </c>
      <c r="U38" s="13">
        <f>'TUSD BE'!$U$38*'TUSD BE'!$U$58</f>
        <v>0</v>
      </c>
      <c r="V38" s="13">
        <f>'TUSD BE'!$V$38*'TUSD BE'!$V$58</f>
        <v>0</v>
      </c>
      <c r="W38" s="13">
        <f>'TUSD BE'!$W$38*'TUSD BE'!$W$58</f>
        <v>0</v>
      </c>
      <c r="X38" s="13">
        <f>'TUSD BE'!$X$38*'TUSD BE'!$X$58</f>
        <v>0</v>
      </c>
      <c r="Y38" s="13">
        <f>'TUSD BE'!$Y$38*'TUSD BE'!$Y$58</f>
        <v>2.5797864229441694</v>
      </c>
      <c r="Z38" s="13">
        <f>'TUSD BE'!$Z$38*'TUSD BE'!$Z$58</f>
        <v>0</v>
      </c>
      <c r="AA38" s="13">
        <f>'TUSD BE'!$AA$38*'TUSD BE'!$AA$58</f>
        <v>0</v>
      </c>
      <c r="AB38" s="13">
        <f>SUM($U$38:$AA$38)</f>
        <v>2.5797864229441694</v>
      </c>
      <c r="AC38" s="13">
        <f>'TUSD BE'!$AC$38*'TUSD BE'!$AC$58</f>
        <v>0</v>
      </c>
      <c r="AD38" s="13">
        <f>SUM($AC$38:$AC$38)</f>
        <v>0</v>
      </c>
      <c r="AE38" s="13">
        <f ca="1">$AO$38*$AO$55</f>
        <v>-291.69632484494201</v>
      </c>
      <c r="AF38" s="13">
        <f ca="1">$AP$38*$AP$55</f>
        <v>0</v>
      </c>
      <c r="AG38" s="13">
        <f ca="1">SUM($AE$38:$AF$38)</f>
        <v>-291.69632484494201</v>
      </c>
      <c r="AH38" s="13">
        <f>'TUSD BE'!$AH$38*'TUSD BE'!$AH$58</f>
        <v>-0.28394603015538705</v>
      </c>
      <c r="AI38" s="13">
        <f>'TUSD BE'!$AI$38*'TUSD BE'!$AI$58</f>
        <v>-9.741730090581744E-3</v>
      </c>
      <c r="AJ38" s="13">
        <f ca="1">'TUSD BE'!$AJ$38*'TUSD BE'!$AJ$58</f>
        <v>-5.507710820302153E-2</v>
      </c>
      <c r="AK38" s="13">
        <f ca="1">'TUSD BE'!$AK$38*'TUSD BE'!$AK$58</f>
        <v>8.3786078080395621E-3</v>
      </c>
      <c r="AL38" s="13">
        <f ca="1">SUM($AH$38:$AK$38)</f>
        <v>-0.34038626064095079</v>
      </c>
      <c r="AM38" s="13">
        <f ca="1">SUMIF($L$4:$AL$4,"SUBTOTAL",$L$38:$AL$38)+AZ38</f>
        <v>-291.4346993868528</v>
      </c>
      <c r="AO38" s="26">
        <f ca="1">+'TUSD BE'!$T$38+'TUSD BE'!$AB$38+'TUSD BE'!$AD$38+'TUSD BE'!$AL$38</f>
        <v>1056.5727053917467</v>
      </c>
      <c r="AP38" s="26">
        <f ca="1">+'TUSD BE'!$T$38+'TUSD BE'!$AB$38+'TUSD BE'!$AD$38+'TUSD BE'!$AL$38</f>
        <v>1056.5727053917467</v>
      </c>
      <c r="AQ38" s="9" t="str">
        <f t="shared" si="0"/>
        <v>B2</v>
      </c>
      <c r="AR38" s="9" t="str">
        <f t="shared" si="1"/>
        <v>Branca</v>
      </c>
      <c r="AS38" s="9" t="str">
        <f t="shared" si="2"/>
        <v>Rural</v>
      </c>
      <c r="AT38" s="9" t="str">
        <f t="shared" si="3"/>
        <v>Serviço público de irrigação rural</v>
      </c>
      <c r="AU38" s="9" t="str">
        <f t="shared" si="4"/>
        <v>Não se aplica</v>
      </c>
      <c r="AV38" s="9">
        <f t="shared" si="5"/>
        <v>1</v>
      </c>
      <c r="AW38" s="9">
        <f ca="1">TarifaMedia!$G$20</f>
        <v>0</v>
      </c>
      <c r="AX38" s="15">
        <f ca="1">'TUSD BE'!$AM38+'TUSD BF'!$AM38+'TUSD CVA'!$AM38</f>
        <v>788.1074325244839</v>
      </c>
      <c r="AY38" s="9">
        <f>ROUND(603.56/(1-CUSTOS!$M$38),2)</f>
        <v>642.09</v>
      </c>
      <c r="AZ38" s="9">
        <f t="shared" ca="1" si="6"/>
        <v>0</v>
      </c>
      <c r="BC38" s="88" t="s">
        <v>882</v>
      </c>
    </row>
    <row r="39" spans="1:55" ht="11.25" customHeight="1" x14ac:dyDescent="0.25">
      <c r="A39" s="142"/>
      <c r="B39" s="142"/>
      <c r="C39" s="142"/>
      <c r="D39" s="142"/>
      <c r="E39" s="142"/>
      <c r="F39" s="142"/>
      <c r="G39" s="24" t="s">
        <v>88</v>
      </c>
      <c r="H39" s="24" t="s">
        <v>75</v>
      </c>
      <c r="I39" s="24">
        <f>'MERCADO TUSD'!$U$36</f>
        <v>0</v>
      </c>
      <c r="J39" s="15"/>
      <c r="L39" s="13">
        <f>'TUSD BE'!$L$39*'TUSD BE'!$L$58</f>
        <v>0</v>
      </c>
      <c r="M39" s="13">
        <f>'TUSD BE'!$M$39*'TUSD BE'!$M$58</f>
        <v>-1.4760722786133952E-2</v>
      </c>
      <c r="N39" s="13">
        <f ca="1">'TUSD BE'!$N$39*'TUSD BE'!$N$58</f>
        <v>5.6305339931545798E-6</v>
      </c>
      <c r="O39" s="13">
        <f>'TUSD BE'!$O$39*'TUSD BE'!$O$58</f>
        <v>0</v>
      </c>
      <c r="P39" s="13">
        <f>'TUSD BE'!$P$39*'TUSD BE'!$P$58</f>
        <v>0</v>
      </c>
      <c r="Q39" s="13">
        <f>'TUSD BE'!$Q$39*'TUSD BE'!$Q$58</f>
        <v>-1.7061567261669188</v>
      </c>
      <c r="R39" s="13">
        <f>'TUSD BE'!$R$39*'TUSD BE'!$R$58</f>
        <v>-0.25686632949670912</v>
      </c>
      <c r="S39" s="13">
        <f>'TUSD BE'!$R$39*'TUSD BE'!$S$58</f>
        <v>0</v>
      </c>
      <c r="T39" s="13">
        <f ca="1">SUM($L$39:$S$39)</f>
        <v>-1.9777781479157688</v>
      </c>
      <c r="U39" s="13">
        <f>'TUSD BE'!$U$39*'TUSD BE'!$U$58</f>
        <v>0</v>
      </c>
      <c r="V39" s="13">
        <f>'TUSD BE'!$V$39*'TUSD BE'!$V$58</f>
        <v>0</v>
      </c>
      <c r="W39" s="13">
        <f>'TUSD BE'!$W$39*'TUSD BE'!$W$58</f>
        <v>0</v>
      </c>
      <c r="X39" s="13">
        <f>'TUSD BE'!$X$39*'TUSD BE'!$X$58</f>
        <v>0</v>
      </c>
      <c r="Y39" s="13">
        <f>'TUSD BE'!$Y$39*'TUSD BE'!$Y$58</f>
        <v>1.5478713308608467</v>
      </c>
      <c r="Z39" s="13">
        <f>'TUSD BE'!$Z$39*'TUSD BE'!$Z$58</f>
        <v>0</v>
      </c>
      <c r="AA39" s="13">
        <f>'TUSD BE'!$AA$39*'TUSD BE'!$AA$58</f>
        <v>0</v>
      </c>
      <c r="AB39" s="13">
        <f>SUM($U$39:$AA$39)</f>
        <v>1.5478713308608467</v>
      </c>
      <c r="AC39" s="13">
        <f>'TUSD BE'!$AC$39*'TUSD BE'!$AC$58</f>
        <v>0</v>
      </c>
      <c r="AD39" s="13">
        <f>SUM($AC$39:$AC$39)</f>
        <v>0</v>
      </c>
      <c r="AE39" s="13">
        <f ca="1">$AO$39*$AO$55</f>
        <v>-189.23005911046812</v>
      </c>
      <c r="AF39" s="13">
        <f ca="1">$AP$39*$AP$55</f>
        <v>0</v>
      </c>
      <c r="AG39" s="13">
        <f ca="1">SUM($AE$39:$AF$39)</f>
        <v>-189.23005911046812</v>
      </c>
      <c r="AH39" s="13">
        <f>'TUSD BE'!$AH$39*'TUSD BE'!$AH$58</f>
        <v>-0.28394603015538705</v>
      </c>
      <c r="AI39" s="13">
        <f>'TUSD BE'!$AI$39*'TUSD BE'!$AI$58</f>
        <v>-9.741730090581744E-3</v>
      </c>
      <c r="AJ39" s="13">
        <f ca="1">'TUSD BE'!$AJ$39*'TUSD BE'!$AJ$58</f>
        <v>-5.507710820302153E-2</v>
      </c>
      <c r="AK39" s="13">
        <f ca="1">'TUSD BE'!$AK$39*'TUSD BE'!$AK$58</f>
        <v>8.3786078080395621E-3</v>
      </c>
      <c r="AL39" s="13">
        <f ca="1">SUM($AH$39:$AK$39)</f>
        <v>-0.34038626064095079</v>
      </c>
      <c r="AM39" s="13">
        <f ca="1">SUMIF($L$4:$AL$4,"SUBTOTAL",$L$39:$AL$39)+AZ39</f>
        <v>-190.00035218816399</v>
      </c>
      <c r="AO39" s="26">
        <f ca="1">+'TUSD BE'!$T$39+'TUSD BE'!$AB$39+'TUSD BE'!$AD$39+'TUSD BE'!$AL$39</f>
        <v>685.42281292734049</v>
      </c>
      <c r="AP39" s="26">
        <f ca="1">+'TUSD BE'!$T$39+'TUSD BE'!$AB$39+'TUSD BE'!$AD$39+'TUSD BE'!$AL$39</f>
        <v>685.42281292734049</v>
      </c>
      <c r="AQ39" s="9" t="str">
        <f t="shared" si="0"/>
        <v>B2</v>
      </c>
      <c r="AR39" s="9" t="str">
        <f t="shared" si="1"/>
        <v>Branca</v>
      </c>
      <c r="AS39" s="9" t="str">
        <f t="shared" si="2"/>
        <v>Rural</v>
      </c>
      <c r="AT39" s="9" t="str">
        <f t="shared" si="3"/>
        <v>Serviço público de irrigação rural</v>
      </c>
      <c r="AU39" s="9" t="str">
        <f t="shared" si="4"/>
        <v>Não se aplica</v>
      </c>
      <c r="AV39" s="9">
        <f t="shared" si="5"/>
        <v>1</v>
      </c>
      <c r="AW39" s="9">
        <f ca="1">TarifaMedia!$G$20</f>
        <v>0</v>
      </c>
      <c r="AX39" s="15">
        <f ca="1">'TUSD BE'!$AM39+'TUSD BF'!$AM39+'TUSD CVA'!$AM39</f>
        <v>518.39188725876647</v>
      </c>
      <c r="AY39" s="9">
        <f>ROUND(415.12/(1-CUSTOS!$M$38),2)</f>
        <v>441.62</v>
      </c>
      <c r="AZ39" s="9">
        <f t="shared" ca="1" si="6"/>
        <v>0</v>
      </c>
      <c r="BC39" s="88" t="s">
        <v>883</v>
      </c>
    </row>
    <row r="40" spans="1:55" ht="11.25" customHeight="1" x14ac:dyDescent="0.25">
      <c r="A40" s="142"/>
      <c r="B40" s="142"/>
      <c r="C40" s="142"/>
      <c r="D40" s="142"/>
      <c r="E40" s="142"/>
      <c r="F40" s="142"/>
      <c r="G40" s="24" t="s">
        <v>77</v>
      </c>
      <c r="H40" s="24" t="s">
        <v>75</v>
      </c>
      <c r="I40" s="24">
        <f>'MERCADO TUSD'!$U$37</f>
        <v>0</v>
      </c>
      <c r="J40" s="15"/>
      <c r="L40" s="13">
        <f>'TUSD BE'!$L$40*'TUSD BE'!$L$58</f>
        <v>0</v>
      </c>
      <c r="M40" s="13">
        <f>'TUSD BE'!$M$40*'TUSD BE'!$M$58</f>
        <v>-1.4760722786133952E-2</v>
      </c>
      <c r="N40" s="13">
        <f ca="1">'TUSD BE'!$N$40*'TUSD BE'!$N$58</f>
        <v>2.1868332965064309E-6</v>
      </c>
      <c r="O40" s="13">
        <f>'TUSD BE'!$O$40*'TUSD BE'!$O$58</f>
        <v>0</v>
      </c>
      <c r="P40" s="13">
        <f>'TUSD BE'!$P$40*'TUSD BE'!$P$58</f>
        <v>0</v>
      </c>
      <c r="Q40" s="13">
        <f>'TUSD BE'!$Q$40*'TUSD BE'!$Q$58</f>
        <v>-1.7061567261669188</v>
      </c>
      <c r="R40" s="13">
        <f>'TUSD BE'!$R$40*'TUSD BE'!$R$58</f>
        <v>-0.25686632949670912</v>
      </c>
      <c r="S40" s="13">
        <f>'TUSD BE'!$R$40*'TUSD BE'!$S$58</f>
        <v>0</v>
      </c>
      <c r="T40" s="13">
        <f ca="1">SUM($L$40:$S$40)</f>
        <v>-1.9777815916164654</v>
      </c>
      <c r="U40" s="13">
        <f>'TUSD BE'!$U$40*'TUSD BE'!$U$58</f>
        <v>0</v>
      </c>
      <c r="V40" s="13">
        <f>'TUSD BE'!$V$40*'TUSD BE'!$V$58</f>
        <v>0</v>
      </c>
      <c r="W40" s="13">
        <f>'TUSD BE'!$W$40*'TUSD BE'!$W$58</f>
        <v>0</v>
      </c>
      <c r="X40" s="13">
        <f>'TUSD BE'!$X$40*'TUSD BE'!$X$58</f>
        <v>0</v>
      </c>
      <c r="Y40" s="13">
        <f>'TUSD BE'!$Y$40*'TUSD BE'!$Y$58</f>
        <v>0.51595711028694891</v>
      </c>
      <c r="Z40" s="13">
        <f>'TUSD BE'!$Z$40*'TUSD BE'!$Z$58</f>
        <v>0</v>
      </c>
      <c r="AA40" s="13">
        <f>'TUSD BE'!$AA$40*'TUSD BE'!$AA$58</f>
        <v>0</v>
      </c>
      <c r="AB40" s="13">
        <f>SUM($U$40:$AA$40)</f>
        <v>0.51595711028694891</v>
      </c>
      <c r="AC40" s="13">
        <f>'TUSD BE'!$AC$40*'TUSD BE'!$AC$58</f>
        <v>0</v>
      </c>
      <c r="AD40" s="13">
        <f>SUM($AC$40:$AC$40)</f>
        <v>0</v>
      </c>
      <c r="AE40" s="13">
        <f ca="1">$AO$40*$AO$55</f>
        <v>-86.763827628663748</v>
      </c>
      <c r="AF40" s="13">
        <f ca="1">$AP$40*$AP$55</f>
        <v>0</v>
      </c>
      <c r="AG40" s="13">
        <f ca="1">SUM($AE$40:$AF$40)</f>
        <v>-86.763827628663748</v>
      </c>
      <c r="AH40" s="13">
        <f>'TUSD BE'!$AH$40*'TUSD BE'!$AH$58</f>
        <v>-0.28394603015538705</v>
      </c>
      <c r="AI40" s="13">
        <f>'TUSD BE'!$AI$40*'TUSD BE'!$AI$58</f>
        <v>-9.741730090581744E-3</v>
      </c>
      <c r="AJ40" s="13">
        <f ca="1">'TUSD BE'!$AJ$40*'TUSD BE'!$AJ$58</f>
        <v>-5.507710820302153E-2</v>
      </c>
      <c r="AK40" s="13">
        <f ca="1">'TUSD BE'!$AK$40*'TUSD BE'!$AK$58</f>
        <v>8.3786078080395621E-3</v>
      </c>
      <c r="AL40" s="13">
        <f ca="1">SUM($AH$40:$AK$40)</f>
        <v>-0.34038626064095079</v>
      </c>
      <c r="AM40" s="13">
        <f ca="1">SUMIF($L$4:$AL$4,"SUBTOTAL",$L$40:$AL$40)+AZ40</f>
        <v>-88.566038370634217</v>
      </c>
      <c r="AO40" s="26">
        <f ca="1">+'TUSD BE'!$T$40+'TUSD BE'!$AB$40+'TUSD BE'!$AD$40+'TUSD BE'!$AL$40</f>
        <v>314.27304453181222</v>
      </c>
      <c r="AP40" s="26">
        <f ca="1">+'TUSD BE'!$T$40+'TUSD BE'!$AB$40+'TUSD BE'!$AD$40+'TUSD BE'!$AL$40</f>
        <v>314.27304453181222</v>
      </c>
      <c r="AQ40" s="9" t="str">
        <f t="shared" si="0"/>
        <v>B2</v>
      </c>
      <c r="AR40" s="9" t="str">
        <f t="shared" si="1"/>
        <v>Branca</v>
      </c>
      <c r="AS40" s="9" t="str">
        <f t="shared" si="2"/>
        <v>Rural</v>
      </c>
      <c r="AT40" s="9" t="str">
        <f t="shared" si="3"/>
        <v>Serviço público de irrigação rural</v>
      </c>
      <c r="AU40" s="9" t="str">
        <f t="shared" si="4"/>
        <v>Não se aplica</v>
      </c>
      <c r="AV40" s="9">
        <f t="shared" si="5"/>
        <v>1</v>
      </c>
      <c r="AW40" s="9">
        <f ca="1">TarifaMedia!$G$20</f>
        <v>0</v>
      </c>
      <c r="AX40" s="15">
        <f ca="1">'TUSD BE'!$AM40+'TUSD BF'!$AM40+'TUSD CVA'!$AM40</f>
        <v>248.67643268076804</v>
      </c>
      <c r="AY40" s="9">
        <f>ROUND(226.67/(1-CUSTOS!$M$38),2)</f>
        <v>241.14</v>
      </c>
      <c r="AZ40" s="9">
        <f t="shared" ca="1" si="6"/>
        <v>0</v>
      </c>
      <c r="BC40" s="88" t="s">
        <v>884</v>
      </c>
    </row>
    <row r="41" spans="1:55" ht="11.25" customHeight="1" x14ac:dyDescent="0.25">
      <c r="A41" s="142"/>
      <c r="B41" s="23" t="s">
        <v>23</v>
      </c>
      <c r="C41" s="23" t="s">
        <v>42</v>
      </c>
      <c r="D41" s="23" t="s">
        <v>92</v>
      </c>
      <c r="E41" s="23" t="s">
        <v>25</v>
      </c>
      <c r="F41" s="23" t="s">
        <v>25</v>
      </c>
      <c r="G41" s="24" t="s">
        <v>79</v>
      </c>
      <c r="H41" s="24" t="s">
        <v>75</v>
      </c>
      <c r="I41" s="24">
        <f>'MERCADO TUSD'!$U$38</f>
        <v>0</v>
      </c>
      <c r="J41" s="15"/>
      <c r="L41" s="13">
        <f>'TUSD BE'!$L$41*'TUSD BE'!$L$58</f>
        <v>0</v>
      </c>
      <c r="M41" s="13">
        <f>'TUSD BE'!$M$41*'TUSD BE'!$M$58</f>
        <v>-1.4760722786133952E-2</v>
      </c>
      <c r="N41" s="13">
        <f ca="1">'TUSD BE'!$N$41*'TUSD BE'!$N$58</f>
        <v>3.4857732656494363E-6</v>
      </c>
      <c r="O41" s="13">
        <f>'TUSD BE'!$O$41*'TUSD BE'!$O$58</f>
        <v>0</v>
      </c>
      <c r="P41" s="13">
        <f>'TUSD BE'!$P$41*'TUSD BE'!$P$58</f>
        <v>0</v>
      </c>
      <c r="Q41" s="13">
        <f>'TUSD BE'!$Q$41*'TUSD BE'!$Q$58</f>
        <v>-1.7061567261669188</v>
      </c>
      <c r="R41" s="13">
        <f>'TUSD BE'!$R$41*'TUSD BE'!$R$58</f>
        <v>-0.25686632949670912</v>
      </c>
      <c r="S41" s="13">
        <f>'TUSD BE'!$R$41*'TUSD BE'!$S$58</f>
        <v>0</v>
      </c>
      <c r="T41" s="13">
        <f ca="1">SUM($L$41:$S$41)</f>
        <v>-1.9777802926764962</v>
      </c>
      <c r="U41" s="13">
        <f>'TUSD BE'!$U$41*'TUSD BE'!$U$58</f>
        <v>0</v>
      </c>
      <c r="V41" s="13">
        <f>'TUSD BE'!$V$41*'TUSD BE'!$V$58</f>
        <v>0</v>
      </c>
      <c r="W41" s="13">
        <f>'TUSD BE'!$W$41*'TUSD BE'!$W$58</f>
        <v>0</v>
      </c>
      <c r="X41" s="13">
        <f>'TUSD BE'!$X$41*'TUSD BE'!$X$58</f>
        <v>0</v>
      </c>
      <c r="Y41" s="13">
        <f>'TUSD BE'!$Y$41*'TUSD BE'!$Y$58</f>
        <v>0.90518803510123325</v>
      </c>
      <c r="Z41" s="13">
        <f>'TUSD BE'!$Z$41*'TUSD BE'!$Z$58</f>
        <v>0</v>
      </c>
      <c r="AA41" s="13">
        <f>'TUSD BE'!$AA$41*'TUSD BE'!$AA$58</f>
        <v>0</v>
      </c>
      <c r="AB41" s="13">
        <f>SUM($U$41:$AA$41)</f>
        <v>0.90518803510123325</v>
      </c>
      <c r="AC41" s="13">
        <f>'TUSD BE'!$AC$41*'TUSD BE'!$AC$58</f>
        <v>0</v>
      </c>
      <c r="AD41" s="13">
        <f>SUM($AC$41:$AC$41)</f>
        <v>0</v>
      </c>
      <c r="AE41" s="13">
        <f ca="1">$AO$41*$AO$55</f>
        <v>-125.41337826061903</v>
      </c>
      <c r="AF41" s="13">
        <f ca="1">$AP$41*$AP$55</f>
        <v>0</v>
      </c>
      <c r="AG41" s="13">
        <f ca="1">SUM($AE$41:$AF$41)</f>
        <v>-125.41337826061903</v>
      </c>
      <c r="AH41" s="13">
        <f>'TUSD BE'!$AH$41*'TUSD BE'!$AH$58</f>
        <v>-0.28394603015538705</v>
      </c>
      <c r="AI41" s="13">
        <f>'TUSD BE'!$AI$41*'TUSD BE'!$AI$58</f>
        <v>-9.741730090581744E-3</v>
      </c>
      <c r="AJ41" s="13">
        <f ca="1">'TUSD BE'!$AJ$41*'TUSD BE'!$AJ$58</f>
        <v>-5.507710820302153E-2</v>
      </c>
      <c r="AK41" s="13">
        <f ca="1">'TUSD BE'!$AK$41*'TUSD BE'!$AK$58</f>
        <v>8.3786078080395621E-3</v>
      </c>
      <c r="AL41" s="13">
        <f ca="1">SUM($AH$41:$AK$41)</f>
        <v>-0.34038626064095079</v>
      </c>
      <c r="AM41" s="13">
        <f ca="1">SUMIF($L$4:$AL$4,"SUBTOTAL",$L$41:$AL$41)+AZ41</f>
        <v>-126.82635677883525</v>
      </c>
      <c r="AO41" s="26">
        <f ca="1">+'TUSD BE'!$T$41+'TUSD BE'!$AB$41+'TUSD BE'!$AD$41+'TUSD BE'!$AL$41</f>
        <v>454.26815861179813</v>
      </c>
      <c r="AP41" s="26">
        <f ca="1">+'TUSD BE'!$T$41+'TUSD BE'!$AB$41+'TUSD BE'!$AD$41+'TUSD BE'!$AL$41</f>
        <v>454.26815861179813</v>
      </c>
      <c r="AQ41" s="9" t="str">
        <f t="shared" si="0"/>
        <v>B2</v>
      </c>
      <c r="AR41" s="9" t="str">
        <f t="shared" si="1"/>
        <v>Convencional</v>
      </c>
      <c r="AS41" s="9" t="str">
        <f t="shared" si="2"/>
        <v>Rural</v>
      </c>
      <c r="AT41" s="9" t="str">
        <f t="shared" si="3"/>
        <v>Serviço público de irrigação rural</v>
      </c>
      <c r="AU41" s="9" t="str">
        <f t="shared" si="4"/>
        <v>Não se aplica</v>
      </c>
      <c r="AV41" s="9">
        <f t="shared" si="5"/>
        <v>1</v>
      </c>
      <c r="AW41" s="9">
        <f ca="1">TarifaMedia!$G$20</f>
        <v>0</v>
      </c>
      <c r="AX41" s="15">
        <f ca="1">'TUSD BE'!$AM41+'TUSD BF'!$AM41+'TUSD CVA'!$AM41</f>
        <v>350.41122835255294</v>
      </c>
      <c r="AY41" s="9">
        <v>310.8</v>
      </c>
      <c r="AZ41" s="9">
        <f t="shared" ca="1" si="6"/>
        <v>0</v>
      </c>
      <c r="BC41" s="88" t="s">
        <v>878</v>
      </c>
    </row>
    <row r="42" spans="1:55" ht="11.25" customHeight="1" x14ac:dyDescent="0.25">
      <c r="A42" s="142"/>
      <c r="B42" s="142" t="s">
        <v>90</v>
      </c>
      <c r="C42" s="142" t="s">
        <v>42</v>
      </c>
      <c r="D42" s="23" t="s">
        <v>25</v>
      </c>
      <c r="E42" s="23" t="s">
        <v>25</v>
      </c>
      <c r="F42" s="23" t="s">
        <v>25</v>
      </c>
      <c r="G42" s="24" t="s">
        <v>79</v>
      </c>
      <c r="H42" s="24" t="s">
        <v>75</v>
      </c>
      <c r="I42" s="24">
        <f>'MERCADO TUSD'!$U$39</f>
        <v>0</v>
      </c>
      <c r="J42" s="15"/>
      <c r="L42" s="13">
        <f>'TUSD BE'!$L$42*'TUSD BE'!$L$58</f>
        <v>0</v>
      </c>
      <c r="M42" s="13">
        <f>'TUSD BE'!$M$42*'TUSD BE'!$M$58</f>
        <v>-1.4760722786133952E-2</v>
      </c>
      <c r="N42" s="13">
        <f ca="1">'TUSD BE'!$N$42*'TUSD BE'!$N$58</f>
        <v>3.4857732656494363E-6</v>
      </c>
      <c r="O42" s="13">
        <f>'TUSD BE'!$O$42*'TUSD BE'!$O$58</f>
        <v>0</v>
      </c>
      <c r="P42" s="13">
        <f>'TUSD BE'!$P$42*'TUSD BE'!$P$58</f>
        <v>0</v>
      </c>
      <c r="Q42" s="13">
        <f>'TUSD BE'!$Q$42*'TUSD BE'!$Q$58</f>
        <v>-1.7061567261669188</v>
      </c>
      <c r="R42" s="13">
        <f>'TUSD BE'!$R$42*'TUSD BE'!$R$58</f>
        <v>-0.25686632949670912</v>
      </c>
      <c r="S42" s="13">
        <f>'TUSD BE'!$R$42*'TUSD BE'!$S$58</f>
        <v>0</v>
      </c>
      <c r="T42" s="13">
        <f ca="1">SUM($L$42:$S$42)</f>
        <v>-1.9777802926764962</v>
      </c>
      <c r="U42" s="13">
        <f>'TUSD BE'!$U$42*'TUSD BE'!$U$58</f>
        <v>0</v>
      </c>
      <c r="V42" s="13">
        <f>'TUSD BE'!$V$42*'TUSD BE'!$V$58</f>
        <v>0</v>
      </c>
      <c r="W42" s="13">
        <f>'TUSD BE'!$W$42*'TUSD BE'!$W$58</f>
        <v>0</v>
      </c>
      <c r="X42" s="13">
        <f>'TUSD BE'!$X$42*'TUSD BE'!$X$58</f>
        <v>0</v>
      </c>
      <c r="Y42" s="13">
        <f>'TUSD BE'!$Y$42*'TUSD BE'!$Y$58</f>
        <v>0.90518803510123325</v>
      </c>
      <c r="Z42" s="13">
        <f>'TUSD BE'!$Z$42*'TUSD BE'!$Z$58</f>
        <v>0</v>
      </c>
      <c r="AA42" s="13">
        <f>'TUSD BE'!$AA$42*'TUSD BE'!$AA$58</f>
        <v>0</v>
      </c>
      <c r="AB42" s="13">
        <f>SUM($U$42:$AA$42)</f>
        <v>0.90518803510123325</v>
      </c>
      <c r="AC42" s="13">
        <f>'TUSD BE'!$AC$42*'TUSD BE'!$AC$58</f>
        <v>0</v>
      </c>
      <c r="AD42" s="13">
        <f>SUM($AC$42:$AC$42)</f>
        <v>0</v>
      </c>
      <c r="AE42" s="13">
        <f ca="1">$AO$42*$AO$55</f>
        <v>-125.41337826061903</v>
      </c>
      <c r="AF42" s="13">
        <f ca="1">$AP$42*$AP$55</f>
        <v>0</v>
      </c>
      <c r="AG42" s="13">
        <f ca="1">SUM($AE$42:$AF$42)</f>
        <v>-125.41337826061903</v>
      </c>
      <c r="AH42" s="13">
        <f>'TUSD BE'!$AH$42*'TUSD BE'!$AH$58</f>
        <v>-0.28394603015538705</v>
      </c>
      <c r="AI42" s="13">
        <f>'TUSD BE'!$AI$42*'TUSD BE'!$AI$58</f>
        <v>-9.741730090581744E-3</v>
      </c>
      <c r="AJ42" s="13">
        <f ca="1">'TUSD BE'!$AJ$42*'TUSD BE'!$AJ$58</f>
        <v>-5.507710820302153E-2</v>
      </c>
      <c r="AK42" s="13">
        <f ca="1">'TUSD BE'!$AK$42*'TUSD BE'!$AK$58</f>
        <v>8.3786078080395621E-3</v>
      </c>
      <c r="AL42" s="13">
        <f ca="1">SUM($AH$42:$AK$42)</f>
        <v>-0.34038626064095079</v>
      </c>
      <c r="AM42" s="13">
        <f ca="1">SUMIF($L$4:$AL$4,"SUBTOTAL",$L$42:$AL$42)+AZ42</f>
        <v>-126.82635677883525</v>
      </c>
      <c r="AO42" s="26">
        <f ca="1">+'TUSD BE'!$T$42+'TUSD BE'!$AB$42+'TUSD BE'!$AD$42+'TUSD BE'!$AL$42</f>
        <v>454.26815861179813</v>
      </c>
      <c r="AP42" s="26">
        <f ca="1">+'TUSD BE'!$T$42+'TUSD BE'!$AB$42+'TUSD BE'!$AD$42+'TUSD BE'!$AL$42</f>
        <v>454.26815861179813</v>
      </c>
      <c r="AQ42" s="9" t="str">
        <f t="shared" si="0"/>
        <v>B2</v>
      </c>
      <c r="AR42" s="9" t="str">
        <f t="shared" si="1"/>
        <v>Convencional pré-pagamento</v>
      </c>
      <c r="AS42" s="9" t="str">
        <f t="shared" si="2"/>
        <v>Rural</v>
      </c>
      <c r="AT42" s="9" t="str">
        <f t="shared" si="3"/>
        <v>Não se aplica</v>
      </c>
      <c r="AU42" s="9" t="str">
        <f t="shared" si="4"/>
        <v>Não se aplica</v>
      </c>
      <c r="AV42" s="9">
        <f t="shared" si="5"/>
        <v>1</v>
      </c>
      <c r="AW42" s="9">
        <f ca="1">TarifaMedia!$G$20</f>
        <v>0</v>
      </c>
      <c r="AX42" s="15">
        <f ca="1">'TUSD BE'!$AM42+'TUSD BF'!$AM42+'TUSD CVA'!$AM42</f>
        <v>350.41122835255294</v>
      </c>
      <c r="AY42" s="9">
        <v>310.8</v>
      </c>
      <c r="AZ42" s="9">
        <f t="shared" ca="1" si="6"/>
        <v>0</v>
      </c>
      <c r="BC42" s="88" t="s">
        <v>878</v>
      </c>
    </row>
    <row r="43" spans="1:55" ht="11.25" customHeight="1" x14ac:dyDescent="0.25">
      <c r="A43" s="142"/>
      <c r="B43" s="142"/>
      <c r="C43" s="142"/>
      <c r="D43" s="23" t="s">
        <v>91</v>
      </c>
      <c r="E43" s="23" t="s">
        <v>25</v>
      </c>
      <c r="F43" s="23" t="s">
        <v>25</v>
      </c>
      <c r="G43" s="24" t="s">
        <v>79</v>
      </c>
      <c r="H43" s="24" t="s">
        <v>75</v>
      </c>
      <c r="I43" s="24">
        <f>'MERCADO TUSD'!$U$40</f>
        <v>0</v>
      </c>
      <c r="J43" s="15"/>
      <c r="L43" s="13">
        <f>'TUSD BE'!$L$43*'TUSD BE'!$L$58</f>
        <v>0</v>
      </c>
      <c r="M43" s="13">
        <f>'TUSD BE'!$M$43*'TUSD BE'!$M$58</f>
        <v>-1.4760722786133952E-2</v>
      </c>
      <c r="N43" s="13">
        <f ca="1">'TUSD BE'!$N$43*'TUSD BE'!$N$58</f>
        <v>3.4857732656494363E-6</v>
      </c>
      <c r="O43" s="13">
        <f>'TUSD BE'!$O$43*'TUSD BE'!$O$58</f>
        <v>0</v>
      </c>
      <c r="P43" s="13">
        <f>'TUSD BE'!$P$43*'TUSD BE'!$P$58</f>
        <v>0</v>
      </c>
      <c r="Q43" s="13">
        <f>'TUSD BE'!$Q$43*'TUSD BE'!$Q$58</f>
        <v>-1.7061567261669188</v>
      </c>
      <c r="R43" s="13">
        <f>'TUSD BE'!$R$43*'TUSD BE'!$R$58</f>
        <v>-0.25686632949670912</v>
      </c>
      <c r="S43" s="13">
        <f>'TUSD BE'!$R$43*'TUSD BE'!$S$58</f>
        <v>0</v>
      </c>
      <c r="T43" s="13">
        <f ca="1">SUM($L$43:$S$43)</f>
        <v>-1.9777802926764962</v>
      </c>
      <c r="U43" s="13">
        <f>'TUSD BE'!$U$43*'TUSD BE'!$U$58</f>
        <v>0</v>
      </c>
      <c r="V43" s="13">
        <f>'TUSD BE'!$V$43*'TUSD BE'!$V$58</f>
        <v>0</v>
      </c>
      <c r="W43" s="13">
        <f>'TUSD BE'!$W$43*'TUSD BE'!$W$58</f>
        <v>0</v>
      </c>
      <c r="X43" s="13">
        <f>'TUSD BE'!$X$43*'TUSD BE'!$X$58</f>
        <v>0</v>
      </c>
      <c r="Y43" s="13">
        <f>'TUSD BE'!$Y$43*'TUSD BE'!$Y$58</f>
        <v>0.90518803510123325</v>
      </c>
      <c r="Z43" s="13">
        <f>'TUSD BE'!$Z$43*'TUSD BE'!$Z$58</f>
        <v>0</v>
      </c>
      <c r="AA43" s="13">
        <f>'TUSD BE'!$AA$43*'TUSD BE'!$AA$58</f>
        <v>0</v>
      </c>
      <c r="AB43" s="13">
        <f>SUM($U$43:$AA$43)</f>
        <v>0.90518803510123325</v>
      </c>
      <c r="AC43" s="13">
        <f>'TUSD BE'!$AC$43*'TUSD BE'!$AC$58</f>
        <v>0</v>
      </c>
      <c r="AD43" s="13">
        <f>SUM($AC$43:$AC$43)</f>
        <v>0</v>
      </c>
      <c r="AE43" s="13">
        <f ca="1">$AO$43*$AO$55</f>
        <v>-125.41337826061903</v>
      </c>
      <c r="AF43" s="13">
        <f ca="1">$AP$43*$AP$55</f>
        <v>0</v>
      </c>
      <c r="AG43" s="13">
        <f ca="1">SUM($AE$43:$AF$43)</f>
        <v>-125.41337826061903</v>
      </c>
      <c r="AH43" s="13">
        <f>'TUSD BE'!$AH$43*'TUSD BE'!$AH$58</f>
        <v>-0.28394603015538705</v>
      </c>
      <c r="AI43" s="13">
        <f>'TUSD BE'!$AI$43*'TUSD BE'!$AI$58</f>
        <v>-9.741730090581744E-3</v>
      </c>
      <c r="AJ43" s="13">
        <f ca="1">'TUSD BE'!$AJ$43*'TUSD BE'!$AJ$58</f>
        <v>-5.507710820302153E-2</v>
      </c>
      <c r="AK43" s="13">
        <f ca="1">'TUSD BE'!$AK$43*'TUSD BE'!$AK$58</f>
        <v>8.3786078080395621E-3</v>
      </c>
      <c r="AL43" s="13">
        <f ca="1">SUM($AH$43:$AK$43)</f>
        <v>-0.34038626064095079</v>
      </c>
      <c r="AM43" s="13">
        <f ca="1">SUMIF($L$4:$AL$4,"SUBTOTAL",$L$43:$AL$43)+AZ43</f>
        <v>-126.82635677883525</v>
      </c>
      <c r="AO43" s="26">
        <f ca="1">+'TUSD BE'!$T$43+'TUSD BE'!$AB$43+'TUSD BE'!$AD$43+'TUSD BE'!$AL$43</f>
        <v>454.26815861179813</v>
      </c>
      <c r="AP43" s="26">
        <f ca="1">+'TUSD BE'!$T$43+'TUSD BE'!$AB$43+'TUSD BE'!$AD$43+'TUSD BE'!$AL$43</f>
        <v>454.26815861179813</v>
      </c>
      <c r="AQ43" s="9" t="str">
        <f t="shared" si="0"/>
        <v>B2</v>
      </c>
      <c r="AR43" s="9" t="str">
        <f t="shared" si="1"/>
        <v>Convencional pré-pagamento</v>
      </c>
      <c r="AS43" s="9" t="str">
        <f t="shared" si="2"/>
        <v>Rural</v>
      </c>
      <c r="AT43" s="9" t="str">
        <f t="shared" si="3"/>
        <v>Cooperativa de eletrificação rural</v>
      </c>
      <c r="AU43" s="9" t="str">
        <f t="shared" si="4"/>
        <v>Não se aplica</v>
      </c>
      <c r="AV43" s="9">
        <f t="shared" si="5"/>
        <v>1</v>
      </c>
      <c r="AW43" s="9">
        <f ca="1">TarifaMedia!$G$20</f>
        <v>0</v>
      </c>
      <c r="AX43" s="15">
        <f ca="1">'TUSD BE'!$AM43+'TUSD BF'!$AM43+'TUSD CVA'!$AM43</f>
        <v>350.41122835255294</v>
      </c>
      <c r="AY43" s="9">
        <v>310.8</v>
      </c>
      <c r="AZ43" s="9">
        <f t="shared" ca="1" si="6"/>
        <v>0</v>
      </c>
      <c r="BC43" s="88" t="s">
        <v>878</v>
      </c>
    </row>
    <row r="44" spans="1:55" ht="11.25" customHeight="1" x14ac:dyDescent="0.25">
      <c r="A44" s="142"/>
      <c r="B44" s="142"/>
      <c r="C44" s="142"/>
      <c r="D44" s="23" t="s">
        <v>92</v>
      </c>
      <c r="E44" s="23" t="s">
        <v>25</v>
      </c>
      <c r="F44" s="23" t="s">
        <v>25</v>
      </c>
      <c r="G44" s="24" t="s">
        <v>79</v>
      </c>
      <c r="H44" s="24" t="s">
        <v>75</v>
      </c>
      <c r="I44" s="24">
        <f>'MERCADO TUSD'!$U$41</f>
        <v>0</v>
      </c>
      <c r="J44" s="15"/>
      <c r="L44" s="13">
        <f>'TUSD BE'!$L$44*'TUSD BE'!$L$58</f>
        <v>0</v>
      </c>
      <c r="M44" s="13">
        <f>'TUSD BE'!$M$44*'TUSD BE'!$M$58</f>
        <v>-1.4760722786133952E-2</v>
      </c>
      <c r="N44" s="13">
        <f ca="1">'TUSD BE'!$N$44*'TUSD BE'!$N$58</f>
        <v>3.4857732656494363E-6</v>
      </c>
      <c r="O44" s="13">
        <f>'TUSD BE'!$O$44*'TUSD BE'!$O$58</f>
        <v>0</v>
      </c>
      <c r="P44" s="13">
        <f>'TUSD BE'!$P$44*'TUSD BE'!$P$58</f>
        <v>0</v>
      </c>
      <c r="Q44" s="13">
        <f>'TUSD BE'!$Q$44*'TUSD BE'!$Q$58</f>
        <v>-1.7061567261669188</v>
      </c>
      <c r="R44" s="13">
        <f>'TUSD BE'!$R$44*'TUSD BE'!$R$58</f>
        <v>-0.25686632949670912</v>
      </c>
      <c r="S44" s="13">
        <f>'TUSD BE'!$R$44*'TUSD BE'!$S$58</f>
        <v>0</v>
      </c>
      <c r="T44" s="13">
        <f ca="1">SUM($L$44:$S$44)</f>
        <v>-1.9777802926764962</v>
      </c>
      <c r="U44" s="13">
        <f>'TUSD BE'!$U$44*'TUSD BE'!$U$58</f>
        <v>0</v>
      </c>
      <c r="V44" s="13">
        <f>'TUSD BE'!$V$44*'TUSD BE'!$V$58</f>
        <v>0</v>
      </c>
      <c r="W44" s="13">
        <f>'TUSD BE'!$W$44*'TUSD BE'!$W$58</f>
        <v>0</v>
      </c>
      <c r="X44" s="13">
        <f>'TUSD BE'!$X$44*'TUSD BE'!$X$58</f>
        <v>0</v>
      </c>
      <c r="Y44" s="13">
        <f>'TUSD BE'!$Y$44*'TUSD BE'!$Y$58</f>
        <v>0.90518803510123325</v>
      </c>
      <c r="Z44" s="13">
        <f>'TUSD BE'!$Z$44*'TUSD BE'!$Z$58</f>
        <v>0</v>
      </c>
      <c r="AA44" s="13">
        <f>'TUSD BE'!$AA$44*'TUSD BE'!$AA$58</f>
        <v>0</v>
      </c>
      <c r="AB44" s="13">
        <f>SUM($U$44:$AA$44)</f>
        <v>0.90518803510123325</v>
      </c>
      <c r="AC44" s="13">
        <f>'TUSD BE'!$AC$44*'TUSD BE'!$AC$58</f>
        <v>0</v>
      </c>
      <c r="AD44" s="13">
        <f>SUM($AC$44:$AC$44)</f>
        <v>0</v>
      </c>
      <c r="AE44" s="13">
        <f ca="1">$AO$44*$AO$55</f>
        <v>-125.41337826061903</v>
      </c>
      <c r="AF44" s="13">
        <f ca="1">$AP$44*$AP$55</f>
        <v>0</v>
      </c>
      <c r="AG44" s="13">
        <f ca="1">SUM($AE$44:$AF$44)</f>
        <v>-125.41337826061903</v>
      </c>
      <c r="AH44" s="13">
        <f>'TUSD BE'!$AH$44*'TUSD BE'!$AH$58</f>
        <v>-0.28394603015538705</v>
      </c>
      <c r="AI44" s="13">
        <f>'TUSD BE'!$AI$44*'TUSD BE'!$AI$58</f>
        <v>-9.741730090581744E-3</v>
      </c>
      <c r="AJ44" s="13">
        <f ca="1">'TUSD BE'!$AJ$44*'TUSD BE'!$AJ$58</f>
        <v>-5.507710820302153E-2</v>
      </c>
      <c r="AK44" s="13">
        <f ca="1">'TUSD BE'!$AK$44*'TUSD BE'!$AK$58</f>
        <v>8.3786078080395621E-3</v>
      </c>
      <c r="AL44" s="13">
        <f ca="1">SUM($AH$44:$AK$44)</f>
        <v>-0.34038626064095079</v>
      </c>
      <c r="AM44" s="13">
        <f ca="1">SUMIF($L$4:$AL$4,"SUBTOTAL",$L$44:$AL$44)+AZ44</f>
        <v>-126.82635677883525</v>
      </c>
      <c r="AO44" s="26">
        <f ca="1">+'TUSD BE'!$T$44+'TUSD BE'!$AB$44+'TUSD BE'!$AD$44+'TUSD BE'!$AL$44</f>
        <v>454.26815861179813</v>
      </c>
      <c r="AP44" s="26">
        <f ca="1">+'TUSD BE'!$T$44+'TUSD BE'!$AB$44+'TUSD BE'!$AD$44+'TUSD BE'!$AL$44</f>
        <v>454.26815861179813</v>
      </c>
      <c r="AQ44" s="9" t="str">
        <f t="shared" si="0"/>
        <v>B2</v>
      </c>
      <c r="AR44" s="9" t="str">
        <f t="shared" si="1"/>
        <v>Convencional pré-pagamento</v>
      </c>
      <c r="AS44" s="9" t="str">
        <f t="shared" si="2"/>
        <v>Rural</v>
      </c>
      <c r="AT44" s="9" t="str">
        <f t="shared" si="3"/>
        <v>Serviço público de irrigação rural</v>
      </c>
      <c r="AU44" s="9" t="str">
        <f t="shared" si="4"/>
        <v>Não se aplica</v>
      </c>
      <c r="AV44" s="9">
        <f t="shared" si="5"/>
        <v>1</v>
      </c>
      <c r="AW44" s="9">
        <f ca="1">TarifaMedia!$G$20</f>
        <v>0</v>
      </c>
      <c r="AX44" s="15">
        <f ca="1">'TUSD BE'!$AM44+'TUSD BF'!$AM44+'TUSD CVA'!$AM44</f>
        <v>350.41122835255294</v>
      </c>
      <c r="AY44" s="9">
        <v>310.8</v>
      </c>
      <c r="AZ44" s="9">
        <f t="shared" ca="1" si="6"/>
        <v>0</v>
      </c>
      <c r="BC44" s="88" t="s">
        <v>878</v>
      </c>
    </row>
    <row r="45" spans="1:55" ht="11.25" customHeight="1" x14ac:dyDescent="0.25">
      <c r="A45" s="142" t="s">
        <v>36</v>
      </c>
      <c r="B45" s="142" t="s">
        <v>32</v>
      </c>
      <c r="C45" s="142" t="s">
        <v>25</v>
      </c>
      <c r="D45" s="142" t="s">
        <v>25</v>
      </c>
      <c r="E45" s="142" t="s">
        <v>25</v>
      </c>
      <c r="F45" s="142" t="s">
        <v>25</v>
      </c>
      <c r="G45" s="24" t="s">
        <v>76</v>
      </c>
      <c r="H45" s="24" t="s">
        <v>75</v>
      </c>
      <c r="I45" s="24">
        <f>'MERCADO TUSD'!$U$42</f>
        <v>0.33600000000000008</v>
      </c>
      <c r="J45" s="15"/>
      <c r="L45" s="13">
        <f>'TUSD BE'!$L$45*'TUSD BE'!$L$58</f>
        <v>0</v>
      </c>
      <c r="M45" s="13">
        <f>'TUSD BE'!$M$45*'TUSD BE'!$M$58</f>
        <v>-1.4760722786133952E-2</v>
      </c>
      <c r="N45" s="13">
        <f ca="1">'TUSD BE'!$N$45*'TUSD BE'!$N$58</f>
        <v>1.043359232214533E-5</v>
      </c>
      <c r="O45" s="13">
        <f>'TUSD BE'!$O$45*'TUSD BE'!$O$58</f>
        <v>0</v>
      </c>
      <c r="P45" s="13">
        <f>'TUSD BE'!$P$45*'TUSD BE'!$P$58</f>
        <v>0</v>
      </c>
      <c r="Q45" s="13">
        <f>'TUSD BE'!$Q$45*'TUSD BE'!$Q$58</f>
        <v>-1.7061567261669188</v>
      </c>
      <c r="R45" s="13">
        <f>'TUSD BE'!$R$45*'TUSD BE'!$R$58</f>
        <v>-0.25686632949670912</v>
      </c>
      <c r="S45" s="13">
        <f>'TUSD BE'!$R$45*'TUSD BE'!$S$58</f>
        <v>0</v>
      </c>
      <c r="T45" s="13">
        <f ca="1">SUM($L$45:$S$45)</f>
        <v>-1.9777733448574397</v>
      </c>
      <c r="U45" s="13">
        <f>'TUSD BE'!$U$45*'TUSD BE'!$U$58</f>
        <v>0</v>
      </c>
      <c r="V45" s="13">
        <f>'TUSD BE'!$V$45*'TUSD BE'!$V$58</f>
        <v>0</v>
      </c>
      <c r="W45" s="13">
        <f>'TUSD BE'!$W$45*'TUSD BE'!$W$58</f>
        <v>0</v>
      </c>
      <c r="X45" s="13">
        <f>'TUSD BE'!$X$45*'TUSD BE'!$X$58</f>
        <v>0</v>
      </c>
      <c r="Y45" s="13">
        <f>'TUSD BE'!$Y$45*'TUSD BE'!$Y$58</f>
        <v>2.9871212130416094</v>
      </c>
      <c r="Z45" s="13">
        <f>'TUSD BE'!$Z$45*'TUSD BE'!$Z$58</f>
        <v>0</v>
      </c>
      <c r="AA45" s="13">
        <f>'TUSD BE'!$AA$45*'TUSD BE'!$AA$58</f>
        <v>0</v>
      </c>
      <c r="AB45" s="13">
        <f>SUM($U$45:$AA$45)</f>
        <v>2.9871212130416094</v>
      </c>
      <c r="AC45" s="13">
        <f>'TUSD BE'!$AC$45*'TUSD BE'!$AC$58</f>
        <v>0</v>
      </c>
      <c r="AD45" s="13">
        <f>SUM($AC$45:$AC$45)</f>
        <v>0</v>
      </c>
      <c r="AE45" s="13">
        <f ca="1">$AO$45*$AO$55</f>
        <v>-332.14355183445696</v>
      </c>
      <c r="AF45" s="13">
        <f ca="1">$AP$45*$AP$55</f>
        <v>0</v>
      </c>
      <c r="AG45" s="13">
        <f ca="1">SUM($AE$45:$AF$45)</f>
        <v>-332.14355183445696</v>
      </c>
      <c r="AH45" s="13">
        <f>'TUSD BE'!$AH$45*'TUSD BE'!$AH$58</f>
        <v>-0.28394603015538705</v>
      </c>
      <c r="AI45" s="13">
        <f>'TUSD BE'!$AI$45*'TUSD BE'!$AI$58</f>
        <v>-9.741730090581744E-3</v>
      </c>
      <c r="AJ45" s="13">
        <f ca="1">'TUSD BE'!$AJ$45*'TUSD BE'!$AJ$58</f>
        <v>-5.507710820302153E-2</v>
      </c>
      <c r="AK45" s="13">
        <f ca="1">'TUSD BE'!$AK$45*'TUSD BE'!$AK$58</f>
        <v>8.3786078080395621E-3</v>
      </c>
      <c r="AL45" s="13">
        <f ca="1">SUM($AH$45:$AK$45)</f>
        <v>-0.34038626064095079</v>
      </c>
      <c r="AM45" s="13">
        <f ca="1">SUMIF($L$4:$AL$4,"SUBTOTAL",$L$45:$AL$45)+AZ45</f>
        <v>-331.47459022691373</v>
      </c>
      <c r="AO45" s="26">
        <f ca="1">+'TUSD BE'!$T$45+'TUSD BE'!$AB$45+'TUSD BE'!$AD$45+'TUSD BE'!$AL$45</f>
        <v>1203.0793028561573</v>
      </c>
      <c r="AP45" s="26">
        <f ca="1">+'TUSD BE'!$T$45+'TUSD BE'!$AB$45+'TUSD BE'!$AD$45+'TUSD BE'!$AL$45</f>
        <v>1203.0793028561573</v>
      </c>
      <c r="AQ45" s="9" t="str">
        <f t="shared" si="0"/>
        <v>B3</v>
      </c>
      <c r="AR45" s="9" t="str">
        <f t="shared" si="1"/>
        <v>Branca</v>
      </c>
      <c r="AS45" s="9" t="str">
        <f t="shared" si="2"/>
        <v>Não se aplica</v>
      </c>
      <c r="AT45" s="9" t="str">
        <f t="shared" si="3"/>
        <v>Não se aplica</v>
      </c>
      <c r="AU45" s="9" t="str">
        <f t="shared" si="4"/>
        <v>Não se aplica</v>
      </c>
      <c r="AV45" s="9">
        <f t="shared" si="5"/>
        <v>1</v>
      </c>
      <c r="AW45" s="9">
        <f ca="1">TarifaMedia!$G$20</f>
        <v>0</v>
      </c>
      <c r="AX45" s="15">
        <f ca="1">'TUSD BE'!$AM45+'TUSD BF'!$AM45+'TUSD CVA'!$AM45</f>
        <v>894.57413914883352</v>
      </c>
      <c r="AY45" s="9">
        <v>701.55</v>
      </c>
      <c r="AZ45" s="9">
        <f t="shared" ca="1" si="6"/>
        <v>0</v>
      </c>
      <c r="BC45" s="88" t="s">
        <v>885</v>
      </c>
    </row>
    <row r="46" spans="1:55" ht="11.25" customHeight="1" x14ac:dyDescent="0.25">
      <c r="A46" s="142"/>
      <c r="B46" s="142"/>
      <c r="C46" s="142"/>
      <c r="D46" s="142"/>
      <c r="E46" s="142"/>
      <c r="F46" s="142"/>
      <c r="G46" s="24" t="s">
        <v>88</v>
      </c>
      <c r="H46" s="24" t="s">
        <v>75</v>
      </c>
      <c r="I46" s="24">
        <f>'MERCADO TUSD'!$U$43</f>
        <v>0.45900000000000007</v>
      </c>
      <c r="J46" s="15"/>
      <c r="L46" s="13">
        <f>'TUSD BE'!$L$46*'TUSD BE'!$L$58</f>
        <v>0</v>
      </c>
      <c r="M46" s="13">
        <f>'TUSD BE'!$M$46*'TUSD BE'!$M$58</f>
        <v>-1.4760722786133952E-2</v>
      </c>
      <c r="N46" s="13">
        <f ca="1">'TUSD BE'!$N$46*'TUSD BE'!$N$58</f>
        <v>6.4461475115028514E-6</v>
      </c>
      <c r="O46" s="13">
        <f>'TUSD BE'!$O$46*'TUSD BE'!$O$58</f>
        <v>0</v>
      </c>
      <c r="P46" s="13">
        <f>'TUSD BE'!$P$46*'TUSD BE'!$P$58</f>
        <v>0</v>
      </c>
      <c r="Q46" s="13">
        <f>'TUSD BE'!$Q$46*'TUSD BE'!$Q$58</f>
        <v>-1.7061567261669188</v>
      </c>
      <c r="R46" s="13">
        <f>'TUSD BE'!$R$46*'TUSD BE'!$R$58</f>
        <v>-0.25686632949670912</v>
      </c>
      <c r="S46" s="13">
        <f>'TUSD BE'!$R$46*'TUSD BE'!$S$58</f>
        <v>0</v>
      </c>
      <c r="T46" s="13">
        <f ca="1">SUM($L$46:$S$46)</f>
        <v>-1.9777773323022503</v>
      </c>
      <c r="U46" s="13">
        <f>'TUSD BE'!$U$46*'TUSD BE'!$U$58</f>
        <v>0</v>
      </c>
      <c r="V46" s="13">
        <f>'TUSD BE'!$V$46*'TUSD BE'!$V$58</f>
        <v>0</v>
      </c>
      <c r="W46" s="13">
        <f>'TUSD BE'!$W$46*'TUSD BE'!$W$58</f>
        <v>0</v>
      </c>
      <c r="X46" s="13">
        <f>'TUSD BE'!$X$46*'TUSD BE'!$X$58</f>
        <v>0</v>
      </c>
      <c r="Y46" s="13">
        <f>'TUSD BE'!$Y$46*'TUSD BE'!$Y$58</f>
        <v>1.7922722049193107</v>
      </c>
      <c r="Z46" s="13">
        <f>'TUSD BE'!$Z$46*'TUSD BE'!$Z$58</f>
        <v>0</v>
      </c>
      <c r="AA46" s="13">
        <f>'TUSD BE'!$AA$46*'TUSD BE'!$AA$58</f>
        <v>0</v>
      </c>
      <c r="AB46" s="13">
        <f>SUM($U$46:$AA$46)</f>
        <v>1.7922722049193107</v>
      </c>
      <c r="AC46" s="13">
        <f>'TUSD BE'!$AC$46*'TUSD BE'!$AC$58</f>
        <v>0</v>
      </c>
      <c r="AD46" s="13">
        <f>SUM($AC$46:$AC$46)</f>
        <v>0</v>
      </c>
      <c r="AE46" s="13">
        <f ca="1">$AO$46*$AO$55</f>
        <v>-213.49838329161696</v>
      </c>
      <c r="AF46" s="13">
        <f ca="1">$AP$46*$AP$55</f>
        <v>0</v>
      </c>
      <c r="AG46" s="13">
        <f ca="1">SUM($AE$46:$AF$46)</f>
        <v>-213.49838329161696</v>
      </c>
      <c r="AH46" s="13">
        <f>'TUSD BE'!$AH$46*'TUSD BE'!$AH$58</f>
        <v>-0.28394603015538705</v>
      </c>
      <c r="AI46" s="13">
        <f>'TUSD BE'!$AI$46*'TUSD BE'!$AI$58</f>
        <v>-9.741730090581744E-3</v>
      </c>
      <c r="AJ46" s="13">
        <f ca="1">'TUSD BE'!$AJ$46*'TUSD BE'!$AJ$58</f>
        <v>-5.507710820302153E-2</v>
      </c>
      <c r="AK46" s="13">
        <f ca="1">'TUSD BE'!$AK$46*'TUSD BE'!$AK$58</f>
        <v>8.3786078080395621E-3</v>
      </c>
      <c r="AL46" s="13">
        <f ca="1">SUM($AH$46:$AK$46)</f>
        <v>-0.34038626064095079</v>
      </c>
      <c r="AM46" s="13">
        <f ca="1">SUMIF($L$4:$AL$4,"SUBTOTAL",$L$46:$AL$46)+AZ46</f>
        <v>-214.02427467964085</v>
      </c>
      <c r="AO46" s="26">
        <f ca="1">+'TUSD BE'!$T$46+'TUSD BE'!$AB$46+'TUSD BE'!$AD$46+'TUSD BE'!$AL$46</f>
        <v>773.32672789449191</v>
      </c>
      <c r="AP46" s="26">
        <f ca="1">+'TUSD BE'!$T$46+'TUSD BE'!$AB$46+'TUSD BE'!$AD$46+'TUSD BE'!$AL$46</f>
        <v>773.32672789449191</v>
      </c>
      <c r="AQ46" s="9" t="str">
        <f t="shared" si="0"/>
        <v>B3</v>
      </c>
      <c r="AR46" s="9" t="str">
        <f t="shared" si="1"/>
        <v>Branca</v>
      </c>
      <c r="AS46" s="9" t="str">
        <f t="shared" si="2"/>
        <v>Não se aplica</v>
      </c>
      <c r="AT46" s="9" t="str">
        <f t="shared" si="3"/>
        <v>Não se aplica</v>
      </c>
      <c r="AU46" s="9" t="str">
        <f t="shared" si="4"/>
        <v>Não se aplica</v>
      </c>
      <c r="AV46" s="9">
        <f t="shared" si="5"/>
        <v>1</v>
      </c>
      <c r="AW46" s="9">
        <f ca="1">TarifaMedia!$G$20</f>
        <v>0</v>
      </c>
      <c r="AX46" s="15">
        <f ca="1">'TUSD BE'!$AM46+'TUSD BF'!$AM46+'TUSD CVA'!$AM46</f>
        <v>582.27187973444109</v>
      </c>
      <c r="AY46" s="9">
        <v>477.29</v>
      </c>
      <c r="AZ46" s="9">
        <f t="shared" ca="1" si="6"/>
        <v>0</v>
      </c>
      <c r="BC46" s="88" t="s">
        <v>886</v>
      </c>
    </row>
    <row r="47" spans="1:55" ht="11.25" customHeight="1" x14ac:dyDescent="0.25">
      <c r="A47" s="142"/>
      <c r="B47" s="142"/>
      <c r="C47" s="142"/>
      <c r="D47" s="142"/>
      <c r="E47" s="142"/>
      <c r="F47" s="142"/>
      <c r="G47" s="24" t="s">
        <v>77</v>
      </c>
      <c r="H47" s="24" t="s">
        <v>75</v>
      </c>
      <c r="I47" s="24">
        <f>'MERCADO TUSD'!$U$44</f>
        <v>10.576000000000001</v>
      </c>
      <c r="J47" s="15"/>
      <c r="L47" s="13">
        <f>'TUSD BE'!$L$47*'TUSD BE'!$L$58</f>
        <v>0</v>
      </c>
      <c r="M47" s="13">
        <f>'TUSD BE'!$M$47*'TUSD BE'!$M$58</f>
        <v>-1.4760722786133952E-2</v>
      </c>
      <c r="N47" s="13">
        <f ca="1">'TUSD BE'!$N$47*'TUSD BE'!$N$58</f>
        <v>2.4587037619176614E-6</v>
      </c>
      <c r="O47" s="13">
        <f>'TUSD BE'!$O$47*'TUSD BE'!$O$58</f>
        <v>0</v>
      </c>
      <c r="P47" s="13">
        <f>'TUSD BE'!$P$47*'TUSD BE'!$P$58</f>
        <v>0</v>
      </c>
      <c r="Q47" s="13">
        <f>'TUSD BE'!$Q$47*'TUSD BE'!$Q$58</f>
        <v>-1.7061567261669188</v>
      </c>
      <c r="R47" s="13">
        <f>'TUSD BE'!$R$47*'TUSD BE'!$R$58</f>
        <v>-0.25686632949670912</v>
      </c>
      <c r="S47" s="13">
        <f>'TUSD BE'!$R$47*'TUSD BE'!$S$58</f>
        <v>0</v>
      </c>
      <c r="T47" s="13">
        <f ca="1">SUM($L$47:$S$47)</f>
        <v>-1.9777813197459999</v>
      </c>
      <c r="U47" s="13">
        <f>'TUSD BE'!$U$47*'TUSD BE'!$U$58</f>
        <v>0</v>
      </c>
      <c r="V47" s="13">
        <f>'TUSD BE'!$V$47*'TUSD BE'!$V$58</f>
        <v>0</v>
      </c>
      <c r="W47" s="13">
        <f>'TUSD BE'!$W$47*'TUSD BE'!$W$58</f>
        <v>0</v>
      </c>
      <c r="X47" s="13">
        <f>'TUSD BE'!$X$47*'TUSD BE'!$X$58</f>
        <v>0</v>
      </c>
      <c r="Y47" s="13">
        <f>'TUSD BE'!$Y$47*'TUSD BE'!$Y$58</f>
        <v>0.59742406830643691</v>
      </c>
      <c r="Z47" s="13">
        <f>'TUSD BE'!$Z$47*'TUSD BE'!$Z$58</f>
        <v>0</v>
      </c>
      <c r="AA47" s="13">
        <f>'TUSD BE'!$AA$47*'TUSD BE'!$AA$58</f>
        <v>0</v>
      </c>
      <c r="AB47" s="13">
        <f>SUM($U$47:$AA$47)</f>
        <v>0.59742406830643691</v>
      </c>
      <c r="AC47" s="13">
        <f>'TUSD BE'!$AC$47*'TUSD BE'!$AC$58</f>
        <v>0</v>
      </c>
      <c r="AD47" s="13">
        <f>SUM($AC$47:$AC$47)</f>
        <v>0</v>
      </c>
      <c r="AE47" s="13">
        <f ca="1">$AO$47*$AO$55</f>
        <v>-94.8532490014465</v>
      </c>
      <c r="AF47" s="13">
        <f ca="1">$AP$47*$AP$55</f>
        <v>0</v>
      </c>
      <c r="AG47" s="13">
        <f ca="1">SUM($AE$47:$AF$47)</f>
        <v>-94.8532490014465</v>
      </c>
      <c r="AH47" s="13">
        <f>'TUSD BE'!$AH$47*'TUSD BE'!$AH$58</f>
        <v>-0.28394603015538705</v>
      </c>
      <c r="AI47" s="13">
        <f>'TUSD BE'!$AI$47*'TUSD BE'!$AI$58</f>
        <v>-9.741730090581744E-3</v>
      </c>
      <c r="AJ47" s="13">
        <f ca="1">'TUSD BE'!$AJ$47*'TUSD BE'!$AJ$58</f>
        <v>-5.507710820302153E-2</v>
      </c>
      <c r="AK47" s="13">
        <f ca="1">'TUSD BE'!$AK$47*'TUSD BE'!$AK$58</f>
        <v>8.3786078080395621E-3</v>
      </c>
      <c r="AL47" s="13">
        <f ca="1">SUM($AH$47:$AK$47)</f>
        <v>-0.34038626064095079</v>
      </c>
      <c r="AM47" s="13">
        <f ca="1">SUMIF($L$4:$AL$4,"SUBTOTAL",$L$47:$AL$47)+AZ47</f>
        <v>-96.573992513527017</v>
      </c>
      <c r="AO47" s="26">
        <f ca="1">+'TUSD BE'!$T$47+'TUSD BE'!$AB$47+'TUSD BE'!$AD$47+'TUSD BE'!$AL$47</f>
        <v>343.57427700170462</v>
      </c>
      <c r="AP47" s="26">
        <f ca="1">+'TUSD BE'!$T$47+'TUSD BE'!$AB$47+'TUSD BE'!$AD$47+'TUSD BE'!$AL$47</f>
        <v>343.57427700170462</v>
      </c>
      <c r="AQ47" s="9" t="str">
        <f t="shared" si="0"/>
        <v>B3</v>
      </c>
      <c r="AR47" s="9" t="str">
        <f t="shared" si="1"/>
        <v>Branca</v>
      </c>
      <c r="AS47" s="9" t="str">
        <f t="shared" si="2"/>
        <v>Não se aplica</v>
      </c>
      <c r="AT47" s="9" t="str">
        <f t="shared" si="3"/>
        <v>Não se aplica</v>
      </c>
      <c r="AU47" s="9" t="str">
        <f t="shared" si="4"/>
        <v>Não se aplica</v>
      </c>
      <c r="AV47" s="9">
        <f t="shared" si="5"/>
        <v>1</v>
      </c>
      <c r="AW47" s="9">
        <f ca="1">TarifaMedia!$G$20</f>
        <v>0</v>
      </c>
      <c r="AX47" s="15">
        <f ca="1">'TUSD BE'!$AM47+'TUSD BF'!$AM47+'TUSD CVA'!$AM47</f>
        <v>269.96971100776761</v>
      </c>
      <c r="AY47" s="9">
        <v>253.04</v>
      </c>
      <c r="AZ47" s="9">
        <f t="shared" ca="1" si="6"/>
        <v>0</v>
      </c>
      <c r="BC47" s="88" t="s">
        <v>887</v>
      </c>
    </row>
    <row r="48" spans="1:55" ht="11.25" customHeight="1" x14ac:dyDescent="0.25">
      <c r="A48" s="142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79</v>
      </c>
      <c r="H48" s="24" t="s">
        <v>75</v>
      </c>
      <c r="I48" s="24">
        <f>'MERCADO TUSD'!$U$45</f>
        <v>6532.424</v>
      </c>
      <c r="J48" s="15"/>
      <c r="L48" s="13">
        <f>'TUSD BE'!$L$48*'TUSD BE'!$L$58</f>
        <v>0</v>
      </c>
      <c r="M48" s="13">
        <f>'TUSD BE'!$M$48*'TUSD BE'!$M$58</f>
        <v>-1.4760722786133952E-2</v>
      </c>
      <c r="N48" s="13">
        <f ca="1">'TUSD BE'!$N$48*'TUSD BE'!$N$58</f>
        <v>3.4857732656494363E-6</v>
      </c>
      <c r="O48" s="13">
        <f>'TUSD BE'!$O$48*'TUSD BE'!$O$58</f>
        <v>0</v>
      </c>
      <c r="P48" s="13">
        <f>'TUSD BE'!$P$48*'TUSD BE'!$P$58</f>
        <v>0</v>
      </c>
      <c r="Q48" s="13">
        <f>'TUSD BE'!$Q$48*'TUSD BE'!$Q$58</f>
        <v>-1.7061567261669188</v>
      </c>
      <c r="R48" s="13">
        <f>'TUSD BE'!$R$48*'TUSD BE'!$R$58</f>
        <v>-0.25686632949670912</v>
      </c>
      <c r="S48" s="13">
        <f>'TUSD BE'!$R$48*'TUSD BE'!$S$58</f>
        <v>0</v>
      </c>
      <c r="T48" s="13">
        <f ca="1">SUM($L$48:$S$48)</f>
        <v>-1.9777802926764962</v>
      </c>
      <c r="U48" s="13">
        <f>'TUSD BE'!$U$48*'TUSD BE'!$U$58</f>
        <v>0</v>
      </c>
      <c r="V48" s="13">
        <f>'TUSD BE'!$V$48*'TUSD BE'!$V$58</f>
        <v>0</v>
      </c>
      <c r="W48" s="13">
        <f>'TUSD BE'!$W$48*'TUSD BE'!$W$58</f>
        <v>0</v>
      </c>
      <c r="X48" s="13">
        <f>'TUSD BE'!$X$48*'TUSD BE'!$X$58</f>
        <v>0</v>
      </c>
      <c r="Y48" s="13">
        <f>'TUSD BE'!$Y$48*'TUSD BE'!$Y$58</f>
        <v>0.90518803510123325</v>
      </c>
      <c r="Z48" s="13">
        <f>'TUSD BE'!$Z$48*'TUSD BE'!$Z$58</f>
        <v>0</v>
      </c>
      <c r="AA48" s="13">
        <f>'TUSD BE'!$AA$48*'TUSD BE'!$AA$58</f>
        <v>0</v>
      </c>
      <c r="AB48" s="13">
        <f>SUM($U$48:$AA$48)</f>
        <v>0.90518803510123325</v>
      </c>
      <c r="AC48" s="13">
        <f>'TUSD BE'!$AC$48*'TUSD BE'!$AC$58</f>
        <v>0</v>
      </c>
      <c r="AD48" s="13">
        <f>SUM($AC$48:$AC$48)</f>
        <v>0</v>
      </c>
      <c r="AE48" s="13">
        <f ca="1">$AO$48*$AO$55</f>
        <v>-125.41337826061903</v>
      </c>
      <c r="AF48" s="13">
        <f ca="1">$AP$48*$AP$55</f>
        <v>0</v>
      </c>
      <c r="AG48" s="13">
        <f ca="1">SUM($AE$48:$AF$48)</f>
        <v>-125.41337826061903</v>
      </c>
      <c r="AH48" s="13">
        <f>'TUSD BE'!$AH$48*'TUSD BE'!$AH$58</f>
        <v>-0.28394603015538705</v>
      </c>
      <c r="AI48" s="13">
        <f>'TUSD BE'!$AI$48*'TUSD BE'!$AI$58</f>
        <v>-9.741730090581744E-3</v>
      </c>
      <c r="AJ48" s="13">
        <f ca="1">'TUSD BE'!$AJ$48*'TUSD BE'!$AJ$58</f>
        <v>-5.507710820302153E-2</v>
      </c>
      <c r="AK48" s="13">
        <f ca="1">'TUSD BE'!$AK$48*'TUSD BE'!$AK$58</f>
        <v>8.3786078080395621E-3</v>
      </c>
      <c r="AL48" s="13">
        <f ca="1">SUM($AH$48:$AK$48)</f>
        <v>-0.34038626064095079</v>
      </c>
      <c r="AM48" s="13">
        <f ca="1">SUMIF($L$4:$AL$4,"SUBTOTAL",$L$48:$AL$48)+AZ48</f>
        <v>-126.82635677883525</v>
      </c>
      <c r="AO48" s="26">
        <f ca="1">+'TUSD BE'!$T$48+'TUSD BE'!$AB$48+'TUSD BE'!$AD$48+'TUSD BE'!$AL$48</f>
        <v>454.26815861179813</v>
      </c>
      <c r="AP48" s="26">
        <f ca="1">+'TUSD BE'!$T$48+'TUSD BE'!$AB$48+'TUSD BE'!$AD$48+'TUSD BE'!$AL$48</f>
        <v>454.26815861179813</v>
      </c>
      <c r="AQ48" s="9" t="str">
        <f t="shared" si="0"/>
        <v>B3</v>
      </c>
      <c r="AR48" s="9" t="str">
        <f t="shared" si="1"/>
        <v>Convencional</v>
      </c>
      <c r="AS48" s="9" t="str">
        <f t="shared" si="2"/>
        <v>Não se aplica</v>
      </c>
      <c r="AT48" s="9" t="str">
        <f t="shared" si="3"/>
        <v>Não se aplica</v>
      </c>
      <c r="AU48" s="9" t="str">
        <f t="shared" si="4"/>
        <v>Não se aplica</v>
      </c>
      <c r="AV48" s="9">
        <f t="shared" si="5"/>
        <v>1</v>
      </c>
      <c r="AW48" s="9">
        <f ca="1">TarifaMedia!$G$20</f>
        <v>0</v>
      </c>
      <c r="AX48" s="15">
        <f ca="1">'TUSD BE'!$AM48+'TUSD BF'!$AM48+'TUSD CVA'!$AM48</f>
        <v>350.41122835255294</v>
      </c>
      <c r="AY48" s="9">
        <v>310.8</v>
      </c>
      <c r="AZ48" s="9">
        <f t="shared" ca="1" si="6"/>
        <v>0</v>
      </c>
      <c r="BC48" s="88" t="s">
        <v>888</v>
      </c>
    </row>
    <row r="49" spans="1:55" ht="11.25" customHeight="1" x14ac:dyDescent="0.25">
      <c r="A49" s="142"/>
      <c r="B49" s="23" t="s">
        <v>90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79</v>
      </c>
      <c r="H49" s="24" t="s">
        <v>75</v>
      </c>
      <c r="I49" s="24">
        <f>'MERCADO TUSD'!$U$46</f>
        <v>0</v>
      </c>
      <c r="J49" s="15"/>
      <c r="L49" s="13">
        <f>'TUSD BE'!$L$49*'TUSD BE'!$L$58</f>
        <v>0</v>
      </c>
      <c r="M49" s="13">
        <f>'TUSD BE'!$M$49*'TUSD BE'!$M$58</f>
        <v>-1.4760722786133952E-2</v>
      </c>
      <c r="N49" s="13">
        <f ca="1">'TUSD BE'!$N$49*'TUSD BE'!$N$58</f>
        <v>3.4857732656494363E-6</v>
      </c>
      <c r="O49" s="13">
        <f>'TUSD BE'!$O$49*'TUSD BE'!$O$58</f>
        <v>0</v>
      </c>
      <c r="P49" s="13">
        <f>'TUSD BE'!$P$49*'TUSD BE'!$P$58</f>
        <v>0</v>
      </c>
      <c r="Q49" s="13">
        <f>'TUSD BE'!$Q$49*'TUSD BE'!$Q$58</f>
        <v>-1.7061567261669188</v>
      </c>
      <c r="R49" s="13">
        <f>'TUSD BE'!$R$49*'TUSD BE'!$R$58</f>
        <v>-0.25686632949670912</v>
      </c>
      <c r="S49" s="13">
        <f>'TUSD BE'!$R$49*'TUSD BE'!$S$58</f>
        <v>0</v>
      </c>
      <c r="T49" s="13">
        <f ca="1">SUM($L$49:$S$49)</f>
        <v>-1.9777802926764962</v>
      </c>
      <c r="U49" s="13">
        <f>'TUSD BE'!$U$49*'TUSD BE'!$U$58</f>
        <v>0</v>
      </c>
      <c r="V49" s="13">
        <f>'TUSD BE'!$V$49*'TUSD BE'!$V$58</f>
        <v>0</v>
      </c>
      <c r="W49" s="13">
        <f>'TUSD BE'!$W$49*'TUSD BE'!$W$58</f>
        <v>0</v>
      </c>
      <c r="X49" s="13">
        <f>'TUSD BE'!$X$49*'TUSD BE'!$X$58</f>
        <v>0</v>
      </c>
      <c r="Y49" s="13">
        <f>'TUSD BE'!$Y$49*'TUSD BE'!$Y$58</f>
        <v>0.90518803510123325</v>
      </c>
      <c r="Z49" s="13">
        <f>'TUSD BE'!$Z$49*'TUSD BE'!$Z$58</f>
        <v>0</v>
      </c>
      <c r="AA49" s="13">
        <f>'TUSD BE'!$AA$49*'TUSD BE'!$AA$58</f>
        <v>0</v>
      </c>
      <c r="AB49" s="13">
        <f>SUM($U$49:$AA$49)</f>
        <v>0.90518803510123325</v>
      </c>
      <c r="AC49" s="13">
        <f>'TUSD BE'!$AC$49*'TUSD BE'!$AC$58</f>
        <v>0</v>
      </c>
      <c r="AD49" s="13">
        <f>SUM($AC$49:$AC$49)</f>
        <v>0</v>
      </c>
      <c r="AE49" s="13">
        <f ca="1">$AO$49*$AO$55</f>
        <v>-125.41337826061903</v>
      </c>
      <c r="AF49" s="13">
        <f ca="1">$AP$49*$AP$55</f>
        <v>0</v>
      </c>
      <c r="AG49" s="13">
        <f ca="1">SUM($AE$49:$AF$49)</f>
        <v>-125.41337826061903</v>
      </c>
      <c r="AH49" s="13">
        <f>'TUSD BE'!$AH$49*'TUSD BE'!$AH$58</f>
        <v>-0.28394603015538705</v>
      </c>
      <c r="AI49" s="13">
        <f>'TUSD BE'!$AI$49*'TUSD BE'!$AI$58</f>
        <v>-9.741730090581744E-3</v>
      </c>
      <c r="AJ49" s="13">
        <f ca="1">'TUSD BE'!$AJ$49*'TUSD BE'!$AJ$58</f>
        <v>-5.507710820302153E-2</v>
      </c>
      <c r="AK49" s="13">
        <f ca="1">'TUSD BE'!$AK$49*'TUSD BE'!$AK$58</f>
        <v>8.3786078080395621E-3</v>
      </c>
      <c r="AL49" s="13">
        <f ca="1">SUM($AH$49:$AK$49)</f>
        <v>-0.34038626064095079</v>
      </c>
      <c r="AM49" s="13">
        <f ca="1">SUMIF($L$4:$AL$4,"SUBTOTAL",$L$49:$AL$49)+AZ49</f>
        <v>-126.82635677883525</v>
      </c>
      <c r="AO49" s="26">
        <f ca="1">+'TUSD BE'!$T$49+'TUSD BE'!$AB$49+'TUSD BE'!$AD$49+'TUSD BE'!$AL$49</f>
        <v>454.26815861179813</v>
      </c>
      <c r="AP49" s="26">
        <f ca="1">+'TUSD BE'!$T$49+'TUSD BE'!$AB$49+'TUSD BE'!$AD$49+'TUSD BE'!$AL$49</f>
        <v>454.26815861179813</v>
      </c>
      <c r="AQ49" s="9" t="str">
        <f t="shared" si="0"/>
        <v>B3</v>
      </c>
      <c r="AR49" s="9" t="str">
        <f t="shared" si="1"/>
        <v>Convencional pré-pagamento</v>
      </c>
      <c r="AS49" s="9" t="str">
        <f t="shared" si="2"/>
        <v>Não se aplica</v>
      </c>
      <c r="AT49" s="9" t="str">
        <f t="shared" si="3"/>
        <v>Não se aplica</v>
      </c>
      <c r="AU49" s="9" t="str">
        <f t="shared" si="4"/>
        <v>Não se aplica</v>
      </c>
      <c r="AV49" s="9">
        <f t="shared" si="5"/>
        <v>1</v>
      </c>
      <c r="AW49" s="9">
        <f ca="1">TarifaMedia!$G$20</f>
        <v>0</v>
      </c>
      <c r="AX49" s="15">
        <f ca="1">'TUSD BE'!$AM49+'TUSD BF'!$AM49+'TUSD CVA'!$AM49</f>
        <v>350.41122835255294</v>
      </c>
      <c r="AY49" s="9">
        <v>310.8</v>
      </c>
      <c r="AZ49" s="9">
        <f t="shared" ca="1" si="6"/>
        <v>0</v>
      </c>
      <c r="BC49" s="88" t="s">
        <v>889</v>
      </c>
    </row>
    <row r="50" spans="1:55" ht="11.25" customHeight="1" x14ac:dyDescent="0.25">
      <c r="A50" s="142" t="s">
        <v>44</v>
      </c>
      <c r="B50" s="142" t="s">
        <v>23</v>
      </c>
      <c r="C50" s="142" t="s">
        <v>45</v>
      </c>
      <c r="D50" s="23" t="s">
        <v>93</v>
      </c>
      <c r="E50" s="23" t="s">
        <v>25</v>
      </c>
      <c r="F50" s="23" t="s">
        <v>25</v>
      </c>
      <c r="G50" s="24" t="s">
        <v>79</v>
      </c>
      <c r="H50" s="24" t="s">
        <v>75</v>
      </c>
      <c r="I50" s="24">
        <f>'MERCADO TUSD'!$U$47</f>
        <v>0</v>
      </c>
      <c r="J50" s="15"/>
      <c r="L50" s="13">
        <f>'TUSD BE'!$L$50*'TUSD BE'!$L$58</f>
        <v>0</v>
      </c>
      <c r="M50" s="13">
        <f>'TUSD BE'!$M$50*'TUSD BE'!$M$58</f>
        <v>-8.1183975323736741E-3</v>
      </c>
      <c r="N50" s="13">
        <f ca="1">'TUSD BE'!$N$50*'TUSD BE'!$N$58</f>
        <v>1.9171752961071897E-6</v>
      </c>
      <c r="O50" s="13">
        <f>'TUSD BE'!$O$50*'TUSD BE'!$O$58</f>
        <v>0</v>
      </c>
      <c r="P50" s="13">
        <f>'TUSD BE'!$P$50*'TUSD BE'!$P$58</f>
        <v>0</v>
      </c>
      <c r="Q50" s="13">
        <f>'TUSD BE'!$Q$50*'TUSD BE'!$Q$58</f>
        <v>-0.93838619939180545</v>
      </c>
      <c r="R50" s="13">
        <f>'TUSD BE'!$R$50*'TUSD BE'!$R$58</f>
        <v>-0.14127648122319</v>
      </c>
      <c r="S50" s="13">
        <f>'TUSD BE'!$R$50*'TUSD BE'!$S$58</f>
        <v>0</v>
      </c>
      <c r="T50" s="13">
        <f ca="1">SUM($L$50:$S$50)</f>
        <v>-1.0877791609720731</v>
      </c>
      <c r="U50" s="13">
        <f>'TUSD BE'!$U$50*'TUSD BE'!$U$58</f>
        <v>0</v>
      </c>
      <c r="V50" s="13">
        <f>'TUSD BE'!$V$50*'TUSD BE'!$V$58</f>
        <v>0</v>
      </c>
      <c r="W50" s="13">
        <f>'TUSD BE'!$W$50*'TUSD BE'!$W$58</f>
        <v>0</v>
      </c>
      <c r="X50" s="13">
        <f>'TUSD BE'!$X$50*'TUSD BE'!$X$58</f>
        <v>0</v>
      </c>
      <c r="Y50" s="13">
        <f>'TUSD BE'!$Y$50*'TUSD BE'!$Y$58</f>
        <v>0.49785341930567828</v>
      </c>
      <c r="Z50" s="13">
        <f>'TUSD BE'!$Z$50*'TUSD BE'!$Z$58</f>
        <v>0</v>
      </c>
      <c r="AA50" s="13">
        <f>'TUSD BE'!$AA$50*'TUSD BE'!$AA$58</f>
        <v>0</v>
      </c>
      <c r="AB50" s="13">
        <f>SUM($U$50:$AA$50)</f>
        <v>0.49785341930567828</v>
      </c>
      <c r="AC50" s="13">
        <f>'TUSD BE'!$AC$50*'TUSD BE'!$AC$58</f>
        <v>0</v>
      </c>
      <c r="AD50" s="13">
        <f>SUM($AC$50:$AC$50)</f>
        <v>0</v>
      </c>
      <c r="AE50" s="13">
        <f ca="1">$AO$50*$AO$55</f>
        <v>-68.977358043340459</v>
      </c>
      <c r="AF50" s="13">
        <f ca="1">$AP$50*$AP$55</f>
        <v>0</v>
      </c>
      <c r="AG50" s="13">
        <f ca="1">SUM($AE$50:$AF$50)</f>
        <v>-68.977358043340459</v>
      </c>
      <c r="AH50" s="13">
        <f>'TUSD BE'!$AH$50*'TUSD BE'!$AH$58</f>
        <v>-0.15617031658546293</v>
      </c>
      <c r="AI50" s="13">
        <f>'TUSD BE'!$AI$50*'TUSD BE'!$AI$58</f>
        <v>-5.3579515498199609E-3</v>
      </c>
      <c r="AJ50" s="13">
        <f ca="1">'TUSD BE'!$AJ$50*'TUSD BE'!$AJ$58</f>
        <v>-3.0292409511661841E-2</v>
      </c>
      <c r="AK50" s="13">
        <f ca="1">'TUSD BE'!$AK$50*'TUSD BE'!$AK$58</f>
        <v>4.6082342944217597E-3</v>
      </c>
      <c r="AL50" s="13">
        <f ca="1">SUM($AH$50:$AK$50)</f>
        <v>-0.18721244335252299</v>
      </c>
      <c r="AM50" s="13">
        <f ca="1">SUMIF($L$4:$AL$4,"SUBTOTAL",$L$50:$AL$50)+AZ50</f>
        <v>-69.754496228359372</v>
      </c>
      <c r="AO50" s="26">
        <f ca="1">+'TUSD BE'!$T$50+'TUSD BE'!$AB$50+'TUSD BE'!$AD$50+'TUSD BE'!$AL$50</f>
        <v>249.84748723648894</v>
      </c>
      <c r="AP50" s="26">
        <f ca="1">+'TUSD BE'!$T$50+'TUSD BE'!$AB$50+'TUSD BE'!$AD$50+'TUSD BE'!$AL$50</f>
        <v>249.84748723648894</v>
      </c>
      <c r="AQ50" s="9" t="str">
        <f t="shared" si="0"/>
        <v>B4</v>
      </c>
      <c r="AR50" s="9" t="str">
        <f t="shared" si="1"/>
        <v>Convencional</v>
      </c>
      <c r="AS50" s="9" t="str">
        <f t="shared" si="2"/>
        <v>Iluminação pública</v>
      </c>
      <c r="AT50" s="9" t="str">
        <f t="shared" si="3"/>
        <v>Iluminação pública – B4a</v>
      </c>
      <c r="AU50" s="9" t="str">
        <f t="shared" si="4"/>
        <v>Não se aplica</v>
      </c>
      <c r="AV50" s="9">
        <f t="shared" si="5"/>
        <v>1</v>
      </c>
      <c r="AW50" s="9">
        <f ca="1">TarifaMedia!$G$20</f>
        <v>0</v>
      </c>
      <c r="AX50" s="15">
        <f ca="1">'TUSD BE'!$AM50+'TUSD BF'!$AM50+'TUSD CVA'!$AM50</f>
        <v>192.72617559390409</v>
      </c>
      <c r="AY50" s="9">
        <v>170.94</v>
      </c>
      <c r="AZ50" s="9">
        <f t="shared" ca="1" si="6"/>
        <v>0</v>
      </c>
      <c r="BC50" s="88" t="s">
        <v>890</v>
      </c>
    </row>
    <row r="51" spans="1:55" ht="11.25" customHeight="1" x14ac:dyDescent="0.25">
      <c r="A51" s="142"/>
      <c r="B51" s="142"/>
      <c r="C51" s="142"/>
      <c r="D51" s="24" t="s">
        <v>46</v>
      </c>
      <c r="E51" s="24" t="s">
        <v>25</v>
      </c>
      <c r="F51" s="24" t="s">
        <v>25</v>
      </c>
      <c r="G51" s="24" t="s">
        <v>79</v>
      </c>
      <c r="H51" s="24" t="s">
        <v>75</v>
      </c>
      <c r="I51" s="24">
        <f>'MERCADO TUSD'!$U$48</f>
        <v>1655.8650000000002</v>
      </c>
      <c r="J51" s="15"/>
      <c r="L51" s="13">
        <f>'TUSD BE'!$L$51*'TUSD BE'!$L$58</f>
        <v>0</v>
      </c>
      <c r="M51" s="13">
        <f>'TUSD BE'!$M$51*'TUSD BE'!$M$58</f>
        <v>-8.8564336716803714E-3</v>
      </c>
      <c r="N51" s="13">
        <f ca="1">'TUSD BE'!$N$51*'TUSD BE'!$N$58</f>
        <v>2.0914639593896619E-6</v>
      </c>
      <c r="O51" s="13">
        <f>'TUSD BE'!$O$51*'TUSD BE'!$O$58</f>
        <v>0</v>
      </c>
      <c r="P51" s="13">
        <f>'TUSD BE'!$P$51*'TUSD BE'!$P$58</f>
        <v>0</v>
      </c>
      <c r="Q51" s="13">
        <f>'TUSD BE'!$Q$51*'TUSD BE'!$Q$58</f>
        <v>-1.0236940357001514</v>
      </c>
      <c r="R51" s="13">
        <f>'TUSD BE'!$R$51*'TUSD BE'!$R$58</f>
        <v>-0.15411979769802547</v>
      </c>
      <c r="S51" s="13">
        <f>'TUSD BE'!$R$51*'TUSD BE'!$S$58</f>
        <v>0</v>
      </c>
      <c r="T51" s="13">
        <f ca="1">SUM($L$51:$S$51)</f>
        <v>-1.1866681756058979</v>
      </c>
      <c r="U51" s="13">
        <f>'TUSD BE'!$U$51*'TUSD BE'!$U$58</f>
        <v>0</v>
      </c>
      <c r="V51" s="13">
        <f>'TUSD BE'!$V$51*'TUSD BE'!$V$58</f>
        <v>0</v>
      </c>
      <c r="W51" s="13">
        <f>'TUSD BE'!$W$51*'TUSD BE'!$W$58</f>
        <v>0</v>
      </c>
      <c r="X51" s="13">
        <f>'TUSD BE'!$X$51*'TUSD BE'!$X$58</f>
        <v>0</v>
      </c>
      <c r="Y51" s="13">
        <f>'TUSD BE'!$Y$51*'TUSD BE'!$Y$58</f>
        <v>0.54311282106073988</v>
      </c>
      <c r="Z51" s="13">
        <f>'TUSD BE'!$Z$51*'TUSD BE'!$Z$58</f>
        <v>0</v>
      </c>
      <c r="AA51" s="13">
        <f>'TUSD BE'!$AA$51*'TUSD BE'!$AA$58</f>
        <v>0</v>
      </c>
      <c r="AB51" s="13">
        <f>SUM($U$51:$AA$51)</f>
        <v>0.54311282106073988</v>
      </c>
      <c r="AC51" s="13">
        <f>'TUSD BE'!$AC$51*'TUSD BE'!$AC$58</f>
        <v>0</v>
      </c>
      <c r="AD51" s="13">
        <f>SUM($AC$51:$AC$51)</f>
        <v>0</v>
      </c>
      <c r="AE51" s="13">
        <f ca="1">$AO$51*$AO$55</f>
        <v>-75.248026956371419</v>
      </c>
      <c r="AF51" s="13">
        <f ca="1">$AP$51*$AP$55</f>
        <v>0</v>
      </c>
      <c r="AG51" s="13">
        <f ca="1">SUM($AE$51:$AF$51)</f>
        <v>-75.248026956371419</v>
      </c>
      <c r="AH51" s="13">
        <f>'TUSD BE'!$AH$51*'TUSD BE'!$AH$58</f>
        <v>-0.17036761809323225</v>
      </c>
      <c r="AI51" s="13">
        <f>'TUSD BE'!$AI$51*'TUSD BE'!$AI$58</f>
        <v>-5.8450380543490473E-3</v>
      </c>
      <c r="AJ51" s="13">
        <f ca="1">'TUSD BE'!$AJ$51*'TUSD BE'!$AJ$58</f>
        <v>-3.3046264921812916E-2</v>
      </c>
      <c r="AK51" s="13">
        <f ca="1">'TUSD BE'!$AK$51*'TUSD BE'!$AK$58</f>
        <v>5.0271646848237374E-3</v>
      </c>
      <c r="AL51" s="13">
        <f ca="1">SUM($AH$51:$AK$51)</f>
        <v>-0.2042317563845705</v>
      </c>
      <c r="AM51" s="13">
        <f ca="1">SUMIF($L$4:$AL$4,"SUBTOTAL",$L$51:$AL$51)+AZ51</f>
        <v>-76.095814067301148</v>
      </c>
      <c r="AO51" s="26">
        <f ca="1">+'TUSD BE'!$T$51+'TUSD BE'!$AB$51+'TUSD BE'!$AD$51+'TUSD BE'!$AL$51</f>
        <v>272.56089516707885</v>
      </c>
      <c r="AP51" s="26">
        <f ca="1">+'TUSD BE'!$T$51+'TUSD BE'!$AB$51+'TUSD BE'!$AD$51+'TUSD BE'!$AL$51</f>
        <v>272.56089516707885</v>
      </c>
      <c r="AQ51" s="9" t="str">
        <f t="shared" si="0"/>
        <v>B4</v>
      </c>
      <c r="AR51" s="9" t="str">
        <f t="shared" si="1"/>
        <v>Convencional</v>
      </c>
      <c r="AS51" s="9" t="str">
        <f t="shared" si="2"/>
        <v>Iluminação pública</v>
      </c>
      <c r="AT51" s="9" t="str">
        <f t="shared" si="3"/>
        <v>Iluminação pública – B4b</v>
      </c>
      <c r="AU51" s="9" t="str">
        <f t="shared" si="4"/>
        <v>Não se aplica</v>
      </c>
      <c r="AV51" s="9">
        <f t="shared" si="5"/>
        <v>1</v>
      </c>
      <c r="AW51" s="9">
        <f ca="1">TarifaMedia!$G$20</f>
        <v>0</v>
      </c>
      <c r="AX51" s="15">
        <f ca="1">'TUSD BE'!$AM51+'TUSD BF'!$AM51+'TUSD CVA'!$AM51</f>
        <v>210.24673701153174</v>
      </c>
      <c r="AY51" s="9">
        <v>186.48</v>
      </c>
      <c r="AZ51" s="9">
        <f t="shared" ca="1" si="6"/>
        <v>0</v>
      </c>
      <c r="BC51" s="88" t="s">
        <v>891</v>
      </c>
    </row>
    <row r="53" spans="1:55" ht="11.25" customHeight="1" x14ac:dyDescent="0.25">
      <c r="K53" s="16" t="s">
        <v>643</v>
      </c>
      <c r="L53" s="13">
        <f>SUMPRODUCT($I$5:$I51,$L$5:$L51)</f>
        <v>0</v>
      </c>
      <c r="M53" s="13">
        <f>SUMPRODUCT($I$5:$I51,$M$5:$M51)</f>
        <v>-457.71495656638444</v>
      </c>
      <c r="N53" s="13">
        <f ca="1">SUMPRODUCT($I$5:$I51,$N$5:$N51)</f>
        <v>8.5761777002605954E-2</v>
      </c>
      <c r="O53" s="13">
        <f>SUMPRODUCT($I$5:$I51,$O$5:$O51)</f>
        <v>0</v>
      </c>
      <c r="P53" s="13">
        <f>SUMPRODUCT($I$5:$I51,$P$5:$P51)</f>
        <v>0</v>
      </c>
      <c r="Q53" s="13">
        <f>SUMPRODUCT($I$5:$I51,$Q$5:$Q51)</f>
        <v>-105958.46523645593</v>
      </c>
      <c r="R53" s="13">
        <f>SUMPRODUCT($I$5:$I51,$R$5:$R51)</f>
        <v>-17941.33609469841</v>
      </c>
      <c r="S53" s="13">
        <f>SUMPRODUCT($I$5:$I51,$S$5:$S51)</f>
        <v>0</v>
      </c>
      <c r="T53" s="13">
        <f ca="1">SUMPRODUCT($I$5:$I51,$T$5:$T51)</f>
        <v>-124357.4305259437</v>
      </c>
      <c r="U53" s="13">
        <f>SUMPRODUCT($I$5:$I51,$U$5:$U51)</f>
        <v>0</v>
      </c>
      <c r="V53" s="13">
        <f>SUMPRODUCT($I$5:$I51,$V$5:$V51)</f>
        <v>0</v>
      </c>
      <c r="W53" s="13">
        <f>SUMPRODUCT($I$5:$I51,$W$5:$W51)</f>
        <v>0</v>
      </c>
      <c r="X53" s="13">
        <f>SUMPRODUCT($I$5:$I51,$X$5:$X51)</f>
        <v>0</v>
      </c>
      <c r="Y53" s="13">
        <f>SUMPRODUCT($I$5:$I51,$Y$5:$Y51)</f>
        <v>42588.727591660601</v>
      </c>
      <c r="Z53" s="13">
        <f>SUMPRODUCT($I$5:$I51,$Z$5:$Z51)</f>
        <v>0</v>
      </c>
      <c r="AA53" s="13">
        <f>SUMPRODUCT($I$5:$I51,$AA$5:$AA51)</f>
        <v>0</v>
      </c>
      <c r="AB53" s="13">
        <f>SUMPRODUCT($I$5:$I51,$AB$5:$AB51)</f>
        <v>42588.727591660601</v>
      </c>
      <c r="AC53" s="13">
        <f>SUMPRODUCT($I$5:$I51,$AC$5:$AC51)</f>
        <v>0</v>
      </c>
      <c r="AD53" s="13">
        <f>SUMPRODUCT($I$5:$I51,$AD$5:$AD51)</f>
        <v>0</v>
      </c>
      <c r="AE53" s="13">
        <f ca="1">SUMPRODUCT($I$5:$I51,$AE$5:$AE51)</f>
        <v>-5364684.1037082179</v>
      </c>
      <c r="AF53" s="13">
        <f ca="1">SUMPRODUCT($I$5:$I51,$AF$5:$AF51)</f>
        <v>0</v>
      </c>
      <c r="AG53" s="13">
        <f ca="1">SUMPRODUCT($I$5:$I51,$AG$5:$AG51)</f>
        <v>-5364684.1037082179</v>
      </c>
      <c r="AH53" s="13">
        <f>SUMPRODUCT($I$5:$I51,$AH$5:$AH51)</f>
        <v>-8045.6987564560186</v>
      </c>
      <c r="AI53" s="13">
        <f>SUMPRODUCT($I$5:$I51,$AI$5:$AI51)</f>
        <v>-276.03494098026817</v>
      </c>
      <c r="AJ53" s="13">
        <f ca="1">SUMPRODUCT($I$5:$I51,$AJ$5:$AJ51)</f>
        <v>-2408.8082096127278</v>
      </c>
      <c r="AK53" s="13">
        <f ca="1">SUMPRODUCT($I$5:$I51,$AK$5:$AK51)</f>
        <v>366.44006796318678</v>
      </c>
      <c r="AL53" s="13">
        <f ca="1">SUMPRODUCT($I$5:$I51,$AL$5:$AL51)</f>
        <v>-10364.101839085828</v>
      </c>
      <c r="AM53" s="13">
        <f ca="1">SUMPRODUCT($I$5:$I51,$AM$5:$AM51)</f>
        <v>-5456816.9084815858</v>
      </c>
      <c r="AO53" s="24">
        <f ca="1">SUMPRODUCT($I$5:$I51,$AO$5:$AO51)</f>
        <v>19431779.951427709</v>
      </c>
      <c r="AP53" s="24">
        <f ca="1">SUMPRODUCT($I$5:$I51,$AP$5:$AP51)</f>
        <v>19431779.951427709</v>
      </c>
    </row>
    <row r="54" spans="1:55" ht="11.25" customHeight="1" x14ac:dyDescent="0.25">
      <c r="K54" s="16" t="s">
        <v>575</v>
      </c>
      <c r="L54" s="13">
        <f>'TR TUSD'!$L$56</f>
        <v>0</v>
      </c>
      <c r="M54" s="13">
        <f>'TR TUSD'!$M$56</f>
        <v>27365.997860554216</v>
      </c>
      <c r="N54" s="13">
        <f>'TR TUSD'!$N$56</f>
        <v>83815.458027374334</v>
      </c>
      <c r="O54" s="13">
        <f>'TR TUSD'!$O$56</f>
        <v>0</v>
      </c>
      <c r="P54" s="13">
        <f>'TR TUSD'!$P$56</f>
        <v>0</v>
      </c>
      <c r="Q54" s="13">
        <f>'TR TUSD'!$Q$56</f>
        <v>5512588.8119572811</v>
      </c>
      <c r="R54" s="13">
        <f>'TR TUSD'!$R$56</f>
        <v>1008889.0274199464</v>
      </c>
      <c r="S54" s="13">
        <f>'TR TUSD'!$S$56</f>
        <v>0</v>
      </c>
      <c r="T54" s="13">
        <f>'TR TUSD'!$T$56</f>
        <v>6632659.2952651558</v>
      </c>
      <c r="U54" s="13">
        <f>'TR TUSD'!$U$56</f>
        <v>0</v>
      </c>
      <c r="V54" s="13">
        <f>'TR TUSD'!$V$56</f>
        <v>0</v>
      </c>
      <c r="W54" s="13">
        <f>'TR TUSD'!$W$56</f>
        <v>0</v>
      </c>
      <c r="X54" s="13">
        <f>'TR TUSD'!$X$56</f>
        <v>0</v>
      </c>
      <c r="Y54" s="13">
        <f>'TR TUSD'!$Y$56</f>
        <v>6012295.3953999998</v>
      </c>
      <c r="Z54" s="13">
        <f>'TR TUSD'!$Z$56</f>
        <v>0</v>
      </c>
      <c r="AA54" s="13">
        <f>'TR TUSD'!$AA$56</f>
        <v>0</v>
      </c>
      <c r="AB54" s="13">
        <f>'TR TUSD'!$AB$56</f>
        <v>6012295.3953999998</v>
      </c>
      <c r="AC54" s="13">
        <f>'TR TUSD'!$AC$56</f>
        <v>6040700.2605260396</v>
      </c>
      <c r="AD54" s="13">
        <f>'TR TUSD'!$AD$56</f>
        <v>6040700.2605260396</v>
      </c>
      <c r="AE54" s="13">
        <f>'TR TUSD'!$AE$56</f>
        <v>0</v>
      </c>
      <c r="AF54" s="13">
        <f>'TR TUSD'!$AF$56</f>
        <v>0</v>
      </c>
      <c r="AG54" s="13">
        <f>'TR TUSD'!$AG$56</f>
        <v>0</v>
      </c>
      <c r="AH54" s="13">
        <f>'TR TUSD'!$AH$56</f>
        <v>551804.93985913182</v>
      </c>
      <c r="AI54" s="13">
        <f>'TR TUSD'!$AI$56</f>
        <v>18931.537038273214</v>
      </c>
      <c r="AJ54" s="13">
        <f>'TR TUSD'!$AJ$56</f>
        <v>165205.32392179928</v>
      </c>
      <c r="AK54" s="13">
        <f>'TR TUSD'!$AK$56</f>
        <v>10183.199417314685</v>
      </c>
      <c r="AL54" s="13">
        <f>'TR TUSD'!$AL$56</f>
        <v>746125.00023651903</v>
      </c>
      <c r="AM54" s="13">
        <f>'TUSD BE'!$AM$54</f>
        <v>19431779.951427713</v>
      </c>
      <c r="AO54" s="24">
        <f>$AE$55</f>
        <v>-5364684.1037082169</v>
      </c>
      <c r="AP54" s="24">
        <f>$AF$55</f>
        <v>0</v>
      </c>
    </row>
    <row r="55" spans="1:55" ht="11.25" customHeight="1" x14ac:dyDescent="0.25">
      <c r="K55" s="16" t="s">
        <v>576</v>
      </c>
      <c r="L55" s="13">
        <f>CUSTOS!$E$2</f>
        <v>0</v>
      </c>
      <c r="M55" s="13">
        <f>CUSTOS!$E$3</f>
        <v>-457.71495656638444</v>
      </c>
      <c r="N55" s="13">
        <f>CUSTOS!$E$4</f>
        <v>8.5761777002605968E-2</v>
      </c>
      <c r="O55" s="13">
        <f>CUSTOS!$E$5</f>
        <v>0</v>
      </c>
      <c r="P55" s="13">
        <f>CUSTOS!$E$6</f>
        <v>0</v>
      </c>
      <c r="Q55" s="13">
        <f>CUSTOS!$E$7</f>
        <v>-105958.4652364559</v>
      </c>
      <c r="R55" s="13">
        <f>CUSTOS!$E$8</f>
        <v>-17941.336094698403</v>
      </c>
      <c r="S55" s="13">
        <f>CUSTOS!$E$9</f>
        <v>0</v>
      </c>
      <c r="T55" s="13">
        <f>CUSTOS!$E$10</f>
        <v>-124357.43052594368</v>
      </c>
      <c r="U55" s="13">
        <f>CUSTOS!$E$11</f>
        <v>0</v>
      </c>
      <c r="V55" s="13">
        <f>CUSTOS!$E$12</f>
        <v>0</v>
      </c>
      <c r="W55" s="13">
        <f>CUSTOS!$E$13</f>
        <v>0</v>
      </c>
      <c r="X55" s="13">
        <f>CUSTOS!$E$14</f>
        <v>0</v>
      </c>
      <c r="Y55" s="13">
        <f>CUSTOS!$E$15</f>
        <v>42588.727591660594</v>
      </c>
      <c r="Z55" s="13">
        <f>CUSTOS!$E$16</f>
        <v>0</v>
      </c>
      <c r="AA55" s="13">
        <f>CUSTOS!$E$17</f>
        <v>0</v>
      </c>
      <c r="AB55" s="13">
        <f>CUSTOS!$E$18</f>
        <v>42588.727591660594</v>
      </c>
      <c r="AC55" s="13">
        <f>CUSTOS!$E$19</f>
        <v>0</v>
      </c>
      <c r="AD55" s="13">
        <f>CUSTOS!$E$20</f>
        <v>0</v>
      </c>
      <c r="AE55" s="13">
        <f>CUSTOS!$E$21</f>
        <v>-5364684.1037082169</v>
      </c>
      <c r="AF55" s="13">
        <f>CUSTOS!$E$22</f>
        <v>0</v>
      </c>
      <c r="AG55" s="13">
        <f>CUSTOS!$E$23</f>
        <v>-5364684.1037082169</v>
      </c>
      <c r="AH55" s="13">
        <f>CUSTOS!$E$24</f>
        <v>-8045.6987564560177</v>
      </c>
      <c r="AI55" s="13">
        <f>CUSTOS!$E$25</f>
        <v>-276.03494098026817</v>
      </c>
      <c r="AJ55" s="13">
        <f>CUSTOS!$E$26</f>
        <v>-2408.8082096127278</v>
      </c>
      <c r="AK55" s="13">
        <f>CUSTOS!$E$27</f>
        <v>366.44006796318683</v>
      </c>
      <c r="AL55" s="13">
        <f>CUSTOS!$E$28</f>
        <v>-10364.101839085826</v>
      </c>
      <c r="AM55" s="13">
        <f>CUSTOS!$E$29</f>
        <v>-5456816.9084815858</v>
      </c>
      <c r="AO55" s="24">
        <f ca="1">IF(AO53&lt;&gt;0,AO54/AO53,0)</f>
        <v>-0.27607785375904581</v>
      </c>
      <c r="AP55" s="24">
        <f ca="1">IF(AP53&lt;&gt;0,AP54/AP53,0)</f>
        <v>0</v>
      </c>
    </row>
    <row r="56" spans="1:55" ht="11.25" customHeight="1" x14ac:dyDescent="0.25">
      <c r="K56" s="16" t="s">
        <v>577</v>
      </c>
      <c r="L56" s="13">
        <f>CUSTOS!$F$2</f>
        <v>0</v>
      </c>
      <c r="M56" s="13">
        <f>CUSTOS!$F$3</f>
        <v>0</v>
      </c>
      <c r="N56" s="13">
        <f>CUSTOS!$F$4</f>
        <v>0</v>
      </c>
      <c r="O56" s="13">
        <f>CUSTOS!$F$5</f>
        <v>0</v>
      </c>
      <c r="P56" s="13">
        <f>CUSTOS!$F$6</f>
        <v>0</v>
      </c>
      <c r="Q56" s="13">
        <f>CUSTOS!$F$7</f>
        <v>938744.41830000002</v>
      </c>
      <c r="R56" s="13">
        <f>CUSTOS!$F$8</f>
        <v>270128.0294</v>
      </c>
      <c r="S56" s="13">
        <f>CUSTOS!$F$9</f>
        <v>0</v>
      </c>
      <c r="T56" s="13">
        <f>CUSTOS!$F$10</f>
        <v>1208872.4476999999</v>
      </c>
      <c r="U56" s="13">
        <f>CUSTOS!$F$11</f>
        <v>0</v>
      </c>
      <c r="V56" s="13">
        <f>CUSTOS!$F$12</f>
        <v>0</v>
      </c>
      <c r="W56" s="13">
        <f>CUSTOS!$F$13</f>
        <v>0</v>
      </c>
      <c r="X56" s="13">
        <f>CUSTOS!$F$14</f>
        <v>0</v>
      </c>
      <c r="Y56" s="13">
        <f>CUSTOS!$F$15</f>
        <v>0</v>
      </c>
      <c r="Z56" s="13">
        <f>CUSTOS!$F$16</f>
        <v>0</v>
      </c>
      <c r="AA56" s="13">
        <f>CUSTOS!$F$17</f>
        <v>0</v>
      </c>
      <c r="AB56" s="13">
        <f>CUSTOS!$F$18</f>
        <v>0</v>
      </c>
      <c r="AC56" s="13">
        <f>CUSTOS!$F$19</f>
        <v>0</v>
      </c>
      <c r="AD56" s="13">
        <f>CUSTOS!$F$20</f>
        <v>0</v>
      </c>
      <c r="AE56" s="13">
        <f>CUSTOS!$F$21</f>
        <v>0</v>
      </c>
      <c r="AF56" s="13">
        <f>CUSTOS!$F$22</f>
        <v>0</v>
      </c>
      <c r="AG56" s="13">
        <f>CUSTOS!$F$23</f>
        <v>0</v>
      </c>
      <c r="AH56" s="13">
        <f>CUSTOS!$F$24</f>
        <v>91958.538671496077</v>
      </c>
      <c r="AI56" s="13">
        <f>CUSTOS!$F$25</f>
        <v>3154.9490682148294</v>
      </c>
      <c r="AJ56" s="13">
        <f>CUSTOS!$F$26</f>
        <v>27531.540715235598</v>
      </c>
      <c r="AK56" s="13">
        <f>CUSTOS!$F$27</f>
        <v>0</v>
      </c>
      <c r="AL56" s="13">
        <f>CUSTOS!$F$28</f>
        <v>122645.0284549465</v>
      </c>
      <c r="AM56" s="13">
        <f>CUSTOS!$F$29</f>
        <v>1331517.4761549465</v>
      </c>
    </row>
    <row r="57" spans="1:55" ht="11.25" customHeight="1" x14ac:dyDescent="0.25">
      <c r="K57" s="16" t="s">
        <v>640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f>SUM($L$57:$S$57)</f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f>SUM($U$57:$AA$57)</f>
        <v>0</v>
      </c>
      <c r="AC57" s="13">
        <v>0</v>
      </c>
      <c r="AD57" s="13">
        <f>SUM($AC$57:$AC$57)</f>
        <v>0</v>
      </c>
      <c r="AE57" s="13">
        <v>0</v>
      </c>
      <c r="AF57" s="13">
        <v>0</v>
      </c>
      <c r="AG57" s="13">
        <f>SUM($AE$57:$AF$57)</f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f>SUM($AH$57:$AK$57)</f>
        <v>0</v>
      </c>
      <c r="AM57" s="13"/>
    </row>
    <row r="58" spans="1:55" ht="11.25" customHeight="1" x14ac:dyDescent="0.25">
      <c r="K58" s="16" t="s">
        <v>652</v>
      </c>
      <c r="L58" s="13">
        <f t="shared" ref="L58:R58" si="7">IF((L54-(0))&lt;&gt;0,(L56)/(L54-(0)),0)</f>
        <v>0</v>
      </c>
      <c r="M58" s="13">
        <f t="shared" si="7"/>
        <v>0</v>
      </c>
      <c r="N58" s="13">
        <f t="shared" si="7"/>
        <v>0</v>
      </c>
      <c r="O58" s="13">
        <f t="shared" si="7"/>
        <v>0</v>
      </c>
      <c r="P58" s="13">
        <f t="shared" si="7"/>
        <v>0</v>
      </c>
      <c r="Q58" s="13">
        <f t="shared" si="7"/>
        <v>0.1702910284662956</v>
      </c>
      <c r="R58" s="13">
        <f t="shared" si="7"/>
        <v>0.26774800999749615</v>
      </c>
      <c r="S58" s="13">
        <f>IF((R53-(0)&lt;&gt;0),(S55)/(R53-(0)),0)</f>
        <v>0</v>
      </c>
      <c r="T58" s="13"/>
      <c r="U58" s="13">
        <f t="shared" ref="U58:AA58" si="8">IF((U54-(0))&lt;&gt;0,(U56)/(U54-(0)),0)</f>
        <v>0</v>
      </c>
      <c r="V58" s="13">
        <f t="shared" si="8"/>
        <v>0</v>
      </c>
      <c r="W58" s="13">
        <f t="shared" si="8"/>
        <v>0</v>
      </c>
      <c r="X58" s="13">
        <f t="shared" si="8"/>
        <v>0</v>
      </c>
      <c r="Y58" s="13">
        <f t="shared" si="8"/>
        <v>0</v>
      </c>
      <c r="Z58" s="13">
        <f t="shared" si="8"/>
        <v>0</v>
      </c>
      <c r="AA58" s="13">
        <f t="shared" si="8"/>
        <v>0</v>
      </c>
      <c r="AB58" s="13"/>
      <c r="AC58" s="13">
        <f>IF((AC54-(0))&lt;&gt;0,(AC56)/(AC54-(0)),0)</f>
        <v>0</v>
      </c>
      <c r="AD58" s="13"/>
      <c r="AE58" s="13">
        <f ca="1">IF(($AM53-(0))&lt;&gt;0,(AE55)/($AM53-(0)),0)</f>
        <v>0.98311601684304895</v>
      </c>
      <c r="AF58" s="13">
        <f ca="1">IF(($AM53-(0))&lt;&gt;0,(AF55)/($AM53-(0)),0)</f>
        <v>0</v>
      </c>
      <c r="AG58" s="13"/>
      <c r="AH58" s="13">
        <f>IF((AH54-(0))&lt;&gt;0,(AH56)/(AH54-(0)),0)</f>
        <v>0.16665044480205599</v>
      </c>
      <c r="AI58" s="13">
        <f>IF((AI54-(0))&lt;&gt;0,(AI56)/(AI54-(0)),0)</f>
        <v>0.16665044480205601</v>
      </c>
      <c r="AJ58" s="13">
        <f>IF((AJ54-(0))&lt;&gt;0,(AJ56)/(AJ54-(0)),0)</f>
        <v>0.16665044480205604</v>
      </c>
      <c r="AK58" s="13">
        <f>IF((AK54-(0))&lt;&gt;0,(AK56)/(AK54-(0)),0)</f>
        <v>0</v>
      </c>
      <c r="AL58" s="13"/>
      <c r="AM58" s="13"/>
    </row>
  </sheetData>
  <mergeCells count="84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0:D32"/>
    <mergeCell ref="E30:E32"/>
    <mergeCell ref="F30:F32"/>
    <mergeCell ref="B34:B36"/>
    <mergeCell ref="C34:C36"/>
    <mergeCell ref="D34:D36"/>
    <mergeCell ref="E34:E36"/>
    <mergeCell ref="AQ1:AQ4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E45:E47"/>
    <mergeCell ref="F45:F47"/>
    <mergeCell ref="A50:A51"/>
    <mergeCell ref="B50:B51"/>
    <mergeCell ref="C50:C51"/>
    <mergeCell ref="AX1:AX4"/>
    <mergeCell ref="AY1:AY4"/>
    <mergeCell ref="AZ1:AZ4"/>
    <mergeCell ref="BC1:BC4"/>
    <mergeCell ref="AR1:AR4"/>
    <mergeCell ref="AS1:AS4"/>
    <mergeCell ref="AT1:AT4"/>
    <mergeCell ref="AU1:AU4"/>
    <mergeCell ref="AV1:AV4"/>
    <mergeCell ref="AW1:AW4"/>
  </mergeCells>
  <conditionalFormatting sqref="L53">
    <cfRule type="cellIs" dxfId="272" priority="55" operator="notEqual">
      <formula>$L$55</formula>
    </cfRule>
    <cfRule type="cellIs" dxfId="271" priority="56" operator="equal">
      <formula>$L$55</formula>
    </cfRule>
  </conditionalFormatting>
  <conditionalFormatting sqref="M53">
    <cfRule type="cellIs" dxfId="270" priority="53" operator="notEqual">
      <formula>$M$55</formula>
    </cfRule>
    <cfRule type="cellIs" dxfId="269" priority="54" operator="equal">
      <formula>$M$55</formula>
    </cfRule>
  </conditionalFormatting>
  <conditionalFormatting sqref="N53">
    <cfRule type="cellIs" dxfId="268" priority="51" operator="notEqual">
      <formula>$N$55</formula>
    </cfRule>
    <cfRule type="cellIs" dxfId="267" priority="52" operator="equal">
      <formula>$N$55</formula>
    </cfRule>
  </conditionalFormatting>
  <conditionalFormatting sqref="O53">
    <cfRule type="cellIs" dxfId="266" priority="49" operator="notEqual">
      <formula>$O$55</formula>
    </cfRule>
    <cfRule type="cellIs" dxfId="265" priority="50" operator="equal">
      <formula>$O$55</formula>
    </cfRule>
  </conditionalFormatting>
  <conditionalFormatting sqref="P53">
    <cfRule type="cellIs" dxfId="264" priority="47" operator="notEqual">
      <formula>$P$55</formula>
    </cfRule>
    <cfRule type="cellIs" dxfId="263" priority="48" operator="equal">
      <formula>$P$55</formula>
    </cfRule>
  </conditionalFormatting>
  <conditionalFormatting sqref="Q53">
    <cfRule type="cellIs" dxfId="262" priority="45" operator="notEqual">
      <formula>$Q$55</formula>
    </cfRule>
    <cfRule type="cellIs" dxfId="261" priority="46" operator="equal">
      <formula>$Q$55</formula>
    </cfRule>
  </conditionalFormatting>
  <conditionalFormatting sqref="R53">
    <cfRule type="cellIs" dxfId="260" priority="43" operator="notEqual">
      <formula>$R$55</formula>
    </cfRule>
    <cfRule type="cellIs" dxfId="259" priority="44" operator="equal">
      <formula>$R$55</formula>
    </cfRule>
  </conditionalFormatting>
  <conditionalFormatting sqref="S53">
    <cfRule type="cellIs" dxfId="258" priority="41" operator="notEqual">
      <formula>$S$55</formula>
    </cfRule>
    <cfRule type="cellIs" dxfId="257" priority="42" operator="equal">
      <formula>$S$55</formula>
    </cfRule>
  </conditionalFormatting>
  <conditionalFormatting sqref="T53">
    <cfRule type="cellIs" dxfId="256" priority="39" operator="notEqual">
      <formula>$T$55</formula>
    </cfRule>
    <cfRule type="cellIs" dxfId="255" priority="40" operator="equal">
      <formula>$T$55</formula>
    </cfRule>
  </conditionalFormatting>
  <conditionalFormatting sqref="U53">
    <cfRule type="cellIs" dxfId="254" priority="37" operator="notEqual">
      <formula>$U$55</formula>
    </cfRule>
    <cfRule type="cellIs" dxfId="253" priority="38" operator="equal">
      <formula>$U$55</formula>
    </cfRule>
  </conditionalFormatting>
  <conditionalFormatting sqref="V53">
    <cfRule type="cellIs" dxfId="252" priority="35" operator="notEqual">
      <formula>$V$55</formula>
    </cfRule>
    <cfRule type="cellIs" dxfId="251" priority="36" operator="equal">
      <formula>$V$55</formula>
    </cfRule>
  </conditionalFormatting>
  <conditionalFormatting sqref="W53">
    <cfRule type="cellIs" dxfId="250" priority="33" operator="notEqual">
      <formula>$W$55</formula>
    </cfRule>
    <cfRule type="cellIs" dxfId="249" priority="34" operator="equal">
      <formula>$W$55</formula>
    </cfRule>
  </conditionalFormatting>
  <conditionalFormatting sqref="X53">
    <cfRule type="cellIs" dxfId="248" priority="31" operator="notEqual">
      <formula>$X$55</formula>
    </cfRule>
    <cfRule type="cellIs" dxfId="247" priority="32" operator="equal">
      <formula>$X$55</formula>
    </cfRule>
  </conditionalFormatting>
  <conditionalFormatting sqref="Y53">
    <cfRule type="cellIs" dxfId="246" priority="29" operator="notEqual">
      <formula>$Y$55</formula>
    </cfRule>
    <cfRule type="cellIs" dxfId="245" priority="30" operator="equal">
      <formula>$Y$55</formula>
    </cfRule>
  </conditionalFormatting>
  <conditionalFormatting sqref="Z53">
    <cfRule type="cellIs" dxfId="244" priority="27" operator="notEqual">
      <formula>$Z$55</formula>
    </cfRule>
    <cfRule type="cellIs" dxfId="243" priority="28" operator="equal">
      <formula>$Z$55</formula>
    </cfRule>
  </conditionalFormatting>
  <conditionalFormatting sqref="AA53">
    <cfRule type="cellIs" dxfId="242" priority="25" operator="notEqual">
      <formula>$AA$55</formula>
    </cfRule>
    <cfRule type="cellIs" dxfId="241" priority="26" operator="equal">
      <formula>$AA$55</formula>
    </cfRule>
  </conditionalFormatting>
  <conditionalFormatting sqref="AB53">
    <cfRule type="cellIs" dxfId="240" priority="23" operator="notEqual">
      <formula>$AB$55</formula>
    </cfRule>
    <cfRule type="cellIs" dxfId="239" priority="24" operator="equal">
      <formula>$AB$55</formula>
    </cfRule>
  </conditionalFormatting>
  <conditionalFormatting sqref="AC53">
    <cfRule type="cellIs" dxfId="238" priority="21" operator="notEqual">
      <formula>$AC$55</formula>
    </cfRule>
    <cfRule type="cellIs" dxfId="237" priority="22" operator="equal">
      <formula>$AC$55</formula>
    </cfRule>
  </conditionalFormatting>
  <conditionalFormatting sqref="AD53">
    <cfRule type="cellIs" dxfId="236" priority="19" operator="notEqual">
      <formula>$AD$55</formula>
    </cfRule>
    <cfRule type="cellIs" dxfId="235" priority="20" operator="equal">
      <formula>$AD$55</formula>
    </cfRule>
  </conditionalFormatting>
  <conditionalFormatting sqref="AE53">
    <cfRule type="cellIs" dxfId="234" priority="17" operator="notEqual">
      <formula>$AE$55</formula>
    </cfRule>
    <cfRule type="cellIs" dxfId="233" priority="18" operator="equal">
      <formula>$AE$55</formula>
    </cfRule>
  </conditionalFormatting>
  <conditionalFormatting sqref="AF53">
    <cfRule type="cellIs" dxfId="232" priority="16" operator="equal">
      <formula>$AF$55</formula>
    </cfRule>
  </conditionalFormatting>
  <conditionalFormatting sqref="AF53">
    <cfRule type="cellIs" dxfId="231" priority="15" operator="notEqual">
      <formula>$AF$55</formula>
    </cfRule>
  </conditionalFormatting>
  <conditionalFormatting sqref="AG53">
    <cfRule type="cellIs" dxfId="230" priority="14" operator="equal">
      <formula>$AG$55</formula>
    </cfRule>
  </conditionalFormatting>
  <conditionalFormatting sqref="AG53">
    <cfRule type="cellIs" dxfId="229" priority="13" operator="notEqual">
      <formula>$AG$55</formula>
    </cfRule>
  </conditionalFormatting>
  <conditionalFormatting sqref="AH53">
    <cfRule type="cellIs" dxfId="228" priority="12" operator="equal">
      <formula>$AH$55</formula>
    </cfRule>
  </conditionalFormatting>
  <conditionalFormatting sqref="AH53">
    <cfRule type="cellIs" dxfId="227" priority="11" operator="notEqual">
      <formula>$AH$55</formula>
    </cfRule>
  </conditionalFormatting>
  <conditionalFormatting sqref="AI53">
    <cfRule type="cellIs" dxfId="226" priority="10" operator="equal">
      <formula>$AI$55</formula>
    </cfRule>
  </conditionalFormatting>
  <conditionalFormatting sqref="AI53">
    <cfRule type="cellIs" dxfId="225" priority="9" operator="notEqual">
      <formula>$AI$55</formula>
    </cfRule>
  </conditionalFormatting>
  <conditionalFormatting sqref="AJ53">
    <cfRule type="cellIs" dxfId="224" priority="8" operator="equal">
      <formula>$AJ$55</formula>
    </cfRule>
  </conditionalFormatting>
  <conditionalFormatting sqref="AJ53">
    <cfRule type="cellIs" dxfId="223" priority="7" operator="notEqual">
      <formula>$AJ$55</formula>
    </cfRule>
  </conditionalFormatting>
  <conditionalFormatting sqref="AK53">
    <cfRule type="cellIs" dxfId="222" priority="6" operator="equal">
      <formula>$AK$55</formula>
    </cfRule>
  </conditionalFormatting>
  <conditionalFormatting sqref="AK53">
    <cfRule type="cellIs" dxfId="221" priority="5" operator="notEqual">
      <formula>$AK$55</formula>
    </cfRule>
  </conditionalFormatting>
  <conditionalFormatting sqref="AL53">
    <cfRule type="cellIs" dxfId="220" priority="4" operator="equal">
      <formula>$AL$55</formula>
    </cfRule>
  </conditionalFormatting>
  <conditionalFormatting sqref="AL53">
    <cfRule type="cellIs" dxfId="219" priority="3" operator="notEqual">
      <formula>$AL$55</formula>
    </cfRule>
  </conditionalFormatting>
  <conditionalFormatting sqref="AM53">
    <cfRule type="cellIs" dxfId="218" priority="2" operator="equal">
      <formula>$AM$55</formula>
    </cfRule>
  </conditionalFormatting>
  <conditionalFormatting sqref="AM53">
    <cfRule type="cellIs" dxfId="217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63032-F2FF-4127-B3DA-5F8EE155A749}">
  <sheetPr>
    <tabColor indexed="12" tint="-0.249977111117893"/>
  </sheetPr>
  <dimension ref="A1:AO50"/>
  <sheetViews>
    <sheetView showGridLines="0" topLeftCell="Q3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7.85546875" style="9" bestFit="1" customWidth="1"/>
    <col min="13" max="13" width="8.7109375" style="9" bestFit="1" customWidth="1"/>
    <col min="14" max="14" width="7.85546875" style="9" bestFit="1" customWidth="1"/>
    <col min="15" max="15" width="11.140625" style="9" bestFit="1" customWidth="1"/>
    <col min="16" max="17" width="9.28515625" style="9" bestFit="1" customWidth="1"/>
    <col min="18" max="18" width="15" style="9" bestFit="1" customWidth="1"/>
    <col min="19" max="19" width="10" style="9" bestFit="1" customWidth="1"/>
    <col min="20" max="20" width="8.71093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5703125" style="9" bestFit="1" customWidth="1"/>
    <col min="29" max="16384" width="9.140625" style="9"/>
  </cols>
  <sheetData>
    <row r="1" spans="1:41" ht="11.25" customHeight="1" x14ac:dyDescent="0.25">
      <c r="A1" s="147" t="s">
        <v>65</v>
      </c>
      <c r="B1" s="147" t="s">
        <v>66</v>
      </c>
      <c r="C1" s="147" t="s">
        <v>67</v>
      </c>
      <c r="D1" s="147" t="s">
        <v>68</v>
      </c>
      <c r="E1" s="147" t="s">
        <v>69</v>
      </c>
      <c r="F1" s="147" t="s">
        <v>15</v>
      </c>
      <c r="G1" s="147" t="s">
        <v>71</v>
      </c>
      <c r="H1" s="147" t="s">
        <v>72</v>
      </c>
      <c r="I1" s="147" t="s">
        <v>634</v>
      </c>
      <c r="J1" s="131"/>
      <c r="L1" s="148" t="s">
        <v>661</v>
      </c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59" t="s">
        <v>1</v>
      </c>
      <c r="AD1" s="157" t="s">
        <v>2</v>
      </c>
      <c r="AE1" s="157" t="s">
        <v>3</v>
      </c>
      <c r="AF1" s="157" t="s">
        <v>4</v>
      </c>
      <c r="AG1" s="157" t="s">
        <v>5</v>
      </c>
      <c r="AH1" s="157" t="s">
        <v>857</v>
      </c>
      <c r="AI1" s="157" t="s">
        <v>892</v>
      </c>
      <c r="AJ1" s="157" t="s">
        <v>859</v>
      </c>
      <c r="AK1" s="157" t="s">
        <v>860</v>
      </c>
      <c r="AL1" s="157" t="s">
        <v>861</v>
      </c>
      <c r="AO1" s="157" t="s">
        <v>862</v>
      </c>
    </row>
    <row r="2" spans="1:41" ht="11.25" customHeight="1" x14ac:dyDescent="0.25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8" t="s">
        <v>561</v>
      </c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60"/>
      <c r="AD2" s="158"/>
      <c r="AE2" s="158"/>
      <c r="AF2" s="158"/>
      <c r="AG2" s="158"/>
      <c r="AH2" s="158"/>
      <c r="AI2" s="158"/>
      <c r="AJ2" s="158"/>
      <c r="AK2" s="158"/>
      <c r="AL2" s="158"/>
      <c r="AO2" s="158"/>
    </row>
    <row r="3" spans="1:41" ht="11.25" customHeight="1" x14ac:dyDescent="0.25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8" t="s">
        <v>534</v>
      </c>
      <c r="M3" s="148"/>
      <c r="N3" s="148"/>
      <c r="O3" s="148"/>
      <c r="P3" s="148"/>
      <c r="Q3" s="148"/>
      <c r="R3" s="148" t="s">
        <v>565</v>
      </c>
      <c r="S3" s="148"/>
      <c r="T3" s="148" t="s">
        <v>543</v>
      </c>
      <c r="U3" s="148"/>
      <c r="V3" s="148"/>
      <c r="W3" s="148"/>
      <c r="X3" s="148" t="s">
        <v>553</v>
      </c>
      <c r="Y3" s="148"/>
      <c r="Z3" s="148" t="s">
        <v>556</v>
      </c>
      <c r="AA3" s="148"/>
      <c r="AB3" s="148" t="s">
        <v>542</v>
      </c>
      <c r="AC3" s="160"/>
      <c r="AD3" s="158"/>
      <c r="AE3" s="158"/>
      <c r="AF3" s="158"/>
      <c r="AG3" s="158"/>
      <c r="AH3" s="158"/>
      <c r="AI3" s="158"/>
      <c r="AJ3" s="158"/>
      <c r="AK3" s="158"/>
      <c r="AL3" s="158"/>
      <c r="AO3" s="158"/>
    </row>
    <row r="4" spans="1:41" ht="11.25" customHeight="1" x14ac:dyDescent="0.25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30" t="s">
        <v>536</v>
      </c>
      <c r="M4" s="30" t="s">
        <v>562</v>
      </c>
      <c r="N4" s="30" t="s">
        <v>563</v>
      </c>
      <c r="O4" s="30" t="s">
        <v>622</v>
      </c>
      <c r="P4" s="30" t="s">
        <v>564</v>
      </c>
      <c r="Q4" s="30" t="s">
        <v>542</v>
      </c>
      <c r="R4" s="30" t="s">
        <v>566</v>
      </c>
      <c r="S4" s="30" t="s">
        <v>542</v>
      </c>
      <c r="T4" s="30" t="s">
        <v>567</v>
      </c>
      <c r="U4" s="30" t="s">
        <v>568</v>
      </c>
      <c r="V4" s="30" t="s">
        <v>569</v>
      </c>
      <c r="W4" s="30" t="s">
        <v>542</v>
      </c>
      <c r="X4" s="30" t="s">
        <v>554</v>
      </c>
      <c r="Y4" s="30" t="s">
        <v>542</v>
      </c>
      <c r="Z4" s="30" t="s">
        <v>570</v>
      </c>
      <c r="AA4" s="30" t="s">
        <v>542</v>
      </c>
      <c r="AB4" s="149"/>
      <c r="AC4" s="160"/>
      <c r="AD4" s="158"/>
      <c r="AE4" s="158"/>
      <c r="AF4" s="158"/>
      <c r="AG4" s="158"/>
      <c r="AH4" s="158"/>
      <c r="AI4" s="158"/>
      <c r="AJ4" s="158"/>
      <c r="AK4" s="158"/>
      <c r="AL4" s="158"/>
      <c r="AO4" s="158"/>
    </row>
    <row r="5" spans="1:41" ht="11.25" customHeight="1" x14ac:dyDescent="0.25">
      <c r="A5" s="146" t="s">
        <v>38</v>
      </c>
      <c r="B5" s="146" t="s">
        <v>74</v>
      </c>
      <c r="C5" s="146" t="s">
        <v>25</v>
      </c>
      <c r="D5" s="146" t="s">
        <v>25</v>
      </c>
      <c r="E5" s="146" t="s">
        <v>25</v>
      </c>
      <c r="F5" s="146" t="s">
        <v>25</v>
      </c>
      <c r="G5" s="29" t="s">
        <v>76</v>
      </c>
      <c r="H5" s="29" t="s">
        <v>75</v>
      </c>
      <c r="I5" s="29">
        <f>'MERCADO TE'!$U$2</f>
        <v>280.50399999999996</v>
      </c>
      <c r="J5" s="15"/>
      <c r="L5" s="26">
        <f>'TE BE'!$L$5*'TE BE'!$L$49</f>
        <v>2.4920263424441011E-6</v>
      </c>
      <c r="M5" s="26">
        <f>'TE BE'!$M$5*'TE BE'!$M$49</f>
        <v>1.2128446024695703</v>
      </c>
      <c r="N5" s="26">
        <f>'TE BE'!$N$5*'TE BE'!$N$49</f>
        <v>0</v>
      </c>
      <c r="O5" s="26">
        <f>'TE BE'!$O$5*'TE BE'!$O$49</f>
        <v>0</v>
      </c>
      <c r="P5" s="26">
        <f>'TE BE'!$P$5*'TE BE'!$P$49</f>
        <v>0</v>
      </c>
      <c r="Q5" s="26">
        <f>SUM($L$5:$P$5)</f>
        <v>1.2128470944959127</v>
      </c>
      <c r="R5" s="26">
        <f>'TE BE'!$R$5*'TE BE'!$R$49</f>
        <v>-4.7432828843260548</v>
      </c>
      <c r="S5" s="26">
        <f>SUM($R$5:$R$5)</f>
        <v>-4.7432828843260548</v>
      </c>
      <c r="T5" s="26">
        <f>'TE BE'!$T$5*'TE BE'!$T$49</f>
        <v>0.886690099780992</v>
      </c>
      <c r="U5" s="26">
        <f>'TE BE'!$U$5*'TE BE'!$U$49</f>
        <v>0.96258762945720244</v>
      </c>
      <c r="V5" s="26">
        <f>'TE BE'!$V$5*'TE BE'!$V$49</f>
        <v>0</v>
      </c>
      <c r="W5" s="26">
        <f>SUM($T$5:$V$5)</f>
        <v>1.8492777292381946</v>
      </c>
      <c r="X5" s="26">
        <f>'TE BE'!$AB$5*'TE BE'!$X$49</f>
        <v>-95.946345103613325</v>
      </c>
      <c r="Y5" s="26">
        <f>SUM($X$5:$X$5)</f>
        <v>-95.946345103613325</v>
      </c>
      <c r="Z5" s="26">
        <f>'TE BE'!$Z$5*'TE BE'!$Z$49</f>
        <v>-7.6530785742854671E-2</v>
      </c>
      <c r="AA5" s="26">
        <f>SUM($Z$5:$Z$5)</f>
        <v>-7.6530785742854671E-2</v>
      </c>
      <c r="AB5" s="26">
        <f ca="1">SUMIF($L$4:$AA$4,"SUBTOTAL",$L$5:$AA$5)+AL5</f>
        <v>-97.704033949948141</v>
      </c>
      <c r="AC5" s="9" t="str">
        <f t="shared" ref="AC5:AC42" si="0">IF($A5="",AC4,$A5)</f>
        <v>A4</v>
      </c>
      <c r="AD5" s="9" t="str">
        <f t="shared" ref="AD5:AD42" si="1">IF($B5="",AD4,$B5)</f>
        <v>Energia horária</v>
      </c>
      <c r="AE5" s="9" t="str">
        <f t="shared" ref="AE5:AE42" si="2">IF($C5="",AE4,$C5)</f>
        <v>Não se aplica</v>
      </c>
      <c r="AF5" s="9" t="str">
        <f t="shared" ref="AF5:AF42" si="3">IF($D5="",AF4,$D5)</f>
        <v>Não se aplica</v>
      </c>
      <c r="AG5" s="9" t="str">
        <f t="shared" ref="AG5:AG42" si="4">IF($E5="",AG4,$E5)</f>
        <v>Não se aplica</v>
      </c>
      <c r="AH5" s="9">
        <v>1</v>
      </c>
      <c r="AI5" s="9">
        <f ca="1">IFERROR(VLOOKUP(AC5,TarifaMedia!$C$18:$G$18,5,0),0)</f>
        <v>0</v>
      </c>
      <c r="AJ5" s="15">
        <f>'TE BE'!$AB5+'TE BF'!$AB5+'TE CVA'!$AB5</f>
        <v>316.97983140624547</v>
      </c>
      <c r="AK5" s="9">
        <v>388.08</v>
      </c>
      <c r="AL5" s="9">
        <f t="shared" ref="AL5:AL42" ca="1" si="5">(AK5-AJ5)*AI5*AH5</f>
        <v>0</v>
      </c>
      <c r="AO5" s="88" t="s">
        <v>893</v>
      </c>
    </row>
    <row r="6" spans="1:41" ht="11.25" customHeight="1" x14ac:dyDescent="0.25">
      <c r="A6" s="146"/>
      <c r="B6" s="146"/>
      <c r="C6" s="146"/>
      <c r="D6" s="146"/>
      <c r="E6" s="146"/>
      <c r="F6" s="146"/>
      <c r="G6" s="29" t="s">
        <v>77</v>
      </c>
      <c r="H6" s="29" t="s">
        <v>75</v>
      </c>
      <c r="I6" s="29">
        <f>'MERCADO TE'!$U$3</f>
        <v>7558.6610000000001</v>
      </c>
      <c r="J6" s="15"/>
      <c r="L6" s="26">
        <f>'TE BE'!$L$6*'TE BE'!$L$49</f>
        <v>2.4920263424441011E-6</v>
      </c>
      <c r="M6" s="26">
        <f>'TE BE'!$M$6*'TE BE'!$M$49</f>
        <v>1.2128446024695703</v>
      </c>
      <c r="N6" s="26">
        <f>'TE BE'!$N$6*'TE BE'!$N$49</f>
        <v>0</v>
      </c>
      <c r="O6" s="26">
        <f>'TE BE'!$O$6*'TE BE'!$O$49</f>
        <v>0</v>
      </c>
      <c r="P6" s="26">
        <f>'TE BE'!$P$6*'TE BE'!$P$49</f>
        <v>0</v>
      </c>
      <c r="Q6" s="26">
        <f>SUM($L$6:$P$6)</f>
        <v>1.2128470944959127</v>
      </c>
      <c r="R6" s="26">
        <f>'TE BE'!$R$6*'TE BE'!$R$49</f>
        <v>-2.7577226071663108</v>
      </c>
      <c r="S6" s="26">
        <f>SUM($R$6:$R$6)</f>
        <v>-2.7577226071663108</v>
      </c>
      <c r="T6" s="26">
        <f>'TE BE'!$T$6*'TE BE'!$T$49</f>
        <v>0.886690099780992</v>
      </c>
      <c r="U6" s="26">
        <f>'TE BE'!$U$6*'TE BE'!$U$49</f>
        <v>0.96258762945720244</v>
      </c>
      <c r="V6" s="26">
        <f>'TE BE'!$V$6*'TE BE'!$V$49</f>
        <v>0</v>
      </c>
      <c r="W6" s="26">
        <f>SUM($T$6:$V$6)</f>
        <v>1.8492777292381946</v>
      </c>
      <c r="X6" s="26">
        <f>'TE BE'!$AB$6*'TE BE'!$X$49</f>
        <v>-58.350793426164429</v>
      </c>
      <c r="Y6" s="26">
        <f>SUM($X$6:$X$6)</f>
        <v>-58.350793426164429</v>
      </c>
      <c r="Z6" s="26">
        <f>'TE BE'!$Z$6*'TE BE'!$Z$49</f>
        <v>-7.6530785742854671E-2</v>
      </c>
      <c r="AA6" s="26">
        <f>SUM($Z$6:$Z$6)</f>
        <v>-7.6530785742854671E-2</v>
      </c>
      <c r="AB6" s="26">
        <f ca="1">SUMIF($L$4:$AA$4,"SUBTOTAL",$L$6:$AA$6)+AL6</f>
        <v>-58.122921995339489</v>
      </c>
      <c r="AC6" s="9" t="str">
        <f t="shared" si="0"/>
        <v>A4</v>
      </c>
      <c r="AD6" s="9" t="str">
        <f t="shared" si="1"/>
        <v>Energia horária</v>
      </c>
      <c r="AE6" s="9" t="str">
        <f t="shared" si="2"/>
        <v>Não se aplica</v>
      </c>
      <c r="AF6" s="9" t="str">
        <f t="shared" si="3"/>
        <v>Não se aplica</v>
      </c>
      <c r="AG6" s="9" t="str">
        <f t="shared" si="4"/>
        <v>Não se aplica</v>
      </c>
      <c r="AH6" s="9">
        <v>1</v>
      </c>
      <c r="AI6" s="9">
        <f ca="1">IFERROR(VLOOKUP(AC6,TarifaMedia!$C$18:$G$18,5,0),0)</f>
        <v>0</v>
      </c>
      <c r="AJ6" s="15">
        <f>'TE BE'!$AB6+'TE BF'!$AB6+'TE CVA'!$AB6</f>
        <v>197.6895725142987</v>
      </c>
      <c r="AK6" s="9">
        <v>247.2</v>
      </c>
      <c r="AL6" s="9">
        <f t="shared" ca="1" si="5"/>
        <v>0</v>
      </c>
      <c r="AO6" s="88" t="s">
        <v>894</v>
      </c>
    </row>
    <row r="7" spans="1:41" ht="11.25" customHeight="1" x14ac:dyDescent="0.25">
      <c r="A7" s="146"/>
      <c r="B7" s="28" t="s">
        <v>78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79</v>
      </c>
      <c r="H7" s="29" t="s">
        <v>75</v>
      </c>
      <c r="I7" s="29">
        <f>'MERCADO TE'!$U$4</f>
        <v>0</v>
      </c>
      <c r="J7" s="15"/>
      <c r="L7" s="26">
        <f>'TE BE'!$L$7*'TE BE'!$L$49</f>
        <v>2.4920263424441011E-6</v>
      </c>
      <c r="M7" s="26">
        <f>'TE BE'!$M$7*'TE BE'!$M$49</f>
        <v>1.2128446024695703</v>
      </c>
      <c r="N7" s="26">
        <f>'TE BE'!$N$7*'TE BE'!$N$49</f>
        <v>0</v>
      </c>
      <c r="O7" s="26">
        <f>'TE BE'!$O$7*'TE BE'!$O$49</f>
        <v>0</v>
      </c>
      <c r="P7" s="26">
        <f>'TE BE'!$P$7*'TE BE'!$P$49</f>
        <v>0</v>
      </c>
      <c r="Q7" s="26">
        <f>SUM($L$7:$P$7)</f>
        <v>1.2128470944959127</v>
      </c>
      <c r="R7" s="26">
        <f>'TE BE'!$R$7*'TE BE'!$R$49</f>
        <v>-2.9231859635962891</v>
      </c>
      <c r="S7" s="26">
        <f>SUM($R$7:$R$7)</f>
        <v>-2.9231859635962891</v>
      </c>
      <c r="T7" s="26">
        <f>'TE BE'!$T$7*'TE BE'!$T$49</f>
        <v>0.886690099780992</v>
      </c>
      <c r="U7" s="26">
        <f>'TE BE'!$U$7*'TE BE'!$U$49</f>
        <v>0.96258762945720244</v>
      </c>
      <c r="V7" s="26">
        <f>'TE BE'!$V$7*'TE BE'!$V$49</f>
        <v>0</v>
      </c>
      <c r="W7" s="26">
        <f>SUM($T$7:$V$7)</f>
        <v>1.8492777292381946</v>
      </c>
      <c r="X7" s="26">
        <f>'TE BE'!$AB$7*'TE BE'!$X$49</f>
        <v>-61.483756065951837</v>
      </c>
      <c r="Y7" s="26">
        <f>SUM($X$7:$X$7)</f>
        <v>-61.483756065951837</v>
      </c>
      <c r="Z7" s="26">
        <f>'TE BE'!$Z$7*'TE BE'!$Z$49</f>
        <v>-7.6530785742854671E-2</v>
      </c>
      <c r="AA7" s="26">
        <f>SUM($Z$7:$Z$7)</f>
        <v>-7.6530785742854671E-2</v>
      </c>
      <c r="AB7" s="26">
        <f ca="1">SUMIF($L$4:$AA$4,"SUBTOTAL",$L$7:$AA$7)+AL7</f>
        <v>-61.421347991556871</v>
      </c>
      <c r="AC7" s="9" t="str">
        <f t="shared" si="0"/>
        <v>A4</v>
      </c>
      <c r="AD7" s="9" t="str">
        <f t="shared" si="1"/>
        <v>Energia convencional</v>
      </c>
      <c r="AE7" s="9" t="str">
        <f t="shared" si="2"/>
        <v>Não se aplica</v>
      </c>
      <c r="AF7" s="9" t="str">
        <f t="shared" si="3"/>
        <v>Não se aplica</v>
      </c>
      <c r="AG7" s="9" t="str">
        <f t="shared" si="4"/>
        <v>Não se aplica</v>
      </c>
      <c r="AH7" s="9">
        <v>1</v>
      </c>
      <c r="AI7" s="9">
        <f ca="1">IFERROR(VLOOKUP(AC7,TarifaMedia!$C$18:$G$18,5,0),0)</f>
        <v>0</v>
      </c>
      <c r="AJ7" s="15">
        <f>'TE BE'!$AB7+'TE BF'!$AB7+'TE CVA'!$AB7</f>
        <v>207.63042742196092</v>
      </c>
      <c r="AK7" s="9">
        <v>0</v>
      </c>
      <c r="AL7" s="9">
        <f t="shared" ca="1" si="5"/>
        <v>0</v>
      </c>
      <c r="AO7" s="88" t="s">
        <v>895</v>
      </c>
    </row>
    <row r="8" spans="1:41" ht="11.25" customHeight="1" x14ac:dyDescent="0.25">
      <c r="A8" s="146" t="s">
        <v>22</v>
      </c>
      <c r="B8" s="146" t="s">
        <v>74</v>
      </c>
      <c r="C8" s="146" t="s">
        <v>24</v>
      </c>
      <c r="D8" s="146" t="s">
        <v>24</v>
      </c>
      <c r="E8" s="146" t="s">
        <v>25</v>
      </c>
      <c r="F8" s="146" t="s">
        <v>25</v>
      </c>
      <c r="G8" s="29" t="s">
        <v>76</v>
      </c>
      <c r="H8" s="29" t="s">
        <v>75</v>
      </c>
      <c r="I8" s="29">
        <f>'MERCADO TE'!$U$5</f>
        <v>0.17000000000000004</v>
      </c>
      <c r="J8" s="15"/>
      <c r="L8" s="26">
        <f>'TE BE'!$L$8*'TE BE'!$L$49</f>
        <v>2.4920263424441011E-6</v>
      </c>
      <c r="M8" s="26">
        <f>'TE BE'!$M$8*'TE BE'!$M$49</f>
        <v>1.2128446024695703</v>
      </c>
      <c r="N8" s="26">
        <f>'TE BE'!$N$8*'TE BE'!$N$49</f>
        <v>0</v>
      </c>
      <c r="O8" s="26">
        <f>'TE BE'!$O$8*'TE BE'!$O$49</f>
        <v>0</v>
      </c>
      <c r="P8" s="26">
        <f>'TE BE'!$P$8*'TE BE'!$P$49</f>
        <v>0</v>
      </c>
      <c r="Q8" s="26">
        <f>SUM($L$8:$P$8)</f>
        <v>1.2128470944959127</v>
      </c>
      <c r="R8" s="26">
        <f>'TE BE'!$R$8*'TE BE'!$R$49</f>
        <v>-4.7432828843260548</v>
      </c>
      <c r="S8" s="26">
        <f>SUM($R$8:$R$8)</f>
        <v>-4.7432828843260548</v>
      </c>
      <c r="T8" s="26">
        <f>'TE BE'!$T$8*'TE BE'!$T$49</f>
        <v>0.886690099780992</v>
      </c>
      <c r="U8" s="26">
        <f>'TE BE'!$U$8*'TE BE'!$U$49</f>
        <v>0.96258762945720244</v>
      </c>
      <c r="V8" s="26">
        <f>'TE BE'!$V$8*'TE BE'!$V$49</f>
        <v>0</v>
      </c>
      <c r="W8" s="26">
        <f>SUM($T$8:$V$8)</f>
        <v>1.8492777292381946</v>
      </c>
      <c r="X8" s="26">
        <f>'TE BE'!$AB$8*'TE BE'!$X$49</f>
        <v>-95.946345103613325</v>
      </c>
      <c r="Y8" s="26">
        <f>SUM($X$8:$X$8)</f>
        <v>-95.946345103613325</v>
      </c>
      <c r="Z8" s="26">
        <f>'TE BE'!$Z$8*'TE BE'!$Z$49</f>
        <v>-7.6530785742854671E-2</v>
      </c>
      <c r="AA8" s="26">
        <f>SUM($Z$8:$Z$8)</f>
        <v>-7.6530785742854671E-2</v>
      </c>
      <c r="AB8" s="26">
        <f ca="1">SUMIF($L$4:$AA$4,"SUBTOTAL",$L$8:$AA$8)+AL8</f>
        <v>-97.704033949948141</v>
      </c>
      <c r="AC8" s="9" t="str">
        <f t="shared" si="0"/>
        <v>B1</v>
      </c>
      <c r="AD8" s="9" t="str">
        <f t="shared" si="1"/>
        <v>Energia horária</v>
      </c>
      <c r="AE8" s="9" t="str">
        <f t="shared" si="2"/>
        <v>Residencial</v>
      </c>
      <c r="AF8" s="9" t="str">
        <f t="shared" si="3"/>
        <v>Residencial</v>
      </c>
      <c r="AG8" s="9" t="str">
        <f t="shared" si="4"/>
        <v>Não se aplica</v>
      </c>
      <c r="AH8" s="9">
        <v>1</v>
      </c>
      <c r="AI8" s="9">
        <f ca="1">TarifaMedia!$G$20</f>
        <v>0</v>
      </c>
      <c r="AJ8" s="15">
        <f>'TE BE'!$AB8+'TE BF'!$AB8+'TE CVA'!$AB8</f>
        <v>316.97983140624547</v>
      </c>
      <c r="AK8" s="9">
        <v>388.08</v>
      </c>
      <c r="AL8" s="9">
        <f t="shared" ca="1" si="5"/>
        <v>0</v>
      </c>
      <c r="AO8" s="88" t="s">
        <v>896</v>
      </c>
    </row>
    <row r="9" spans="1:41" ht="11.25" customHeight="1" x14ac:dyDescent="0.25">
      <c r="A9" s="146"/>
      <c r="B9" s="146"/>
      <c r="C9" s="146"/>
      <c r="D9" s="146"/>
      <c r="E9" s="146"/>
      <c r="F9" s="146"/>
      <c r="G9" s="29" t="s">
        <v>88</v>
      </c>
      <c r="H9" s="29" t="s">
        <v>75</v>
      </c>
      <c r="I9" s="29">
        <f>'MERCADO TE'!$U$6</f>
        <v>0.13000000000000003</v>
      </c>
      <c r="J9" s="15"/>
      <c r="L9" s="26">
        <f>'TE BE'!$L$9*'TE BE'!$L$49</f>
        <v>2.4920263424441011E-6</v>
      </c>
      <c r="M9" s="26">
        <f>'TE BE'!$M$9*'TE BE'!$M$49</f>
        <v>1.2128446024695703</v>
      </c>
      <c r="N9" s="26">
        <f>'TE BE'!$N$9*'TE BE'!$N$49</f>
        <v>0</v>
      </c>
      <c r="O9" s="26">
        <f>'TE BE'!$O$9*'TE BE'!$O$49</f>
        <v>0</v>
      </c>
      <c r="P9" s="26">
        <f>'TE BE'!$P$9*'TE BE'!$P$49</f>
        <v>0</v>
      </c>
      <c r="Q9" s="26">
        <f>SUM($L$9:$P$9)</f>
        <v>1.2128470944959127</v>
      </c>
      <c r="R9" s="26">
        <f>'TE BE'!$R$9*'TE BE'!$R$49</f>
        <v>-2.7577226071663108</v>
      </c>
      <c r="S9" s="26">
        <f>SUM($R$9:$R$9)</f>
        <v>-2.7577226071663108</v>
      </c>
      <c r="T9" s="26">
        <f>'TE BE'!$T$9*'TE BE'!$T$49</f>
        <v>0.886690099780992</v>
      </c>
      <c r="U9" s="26">
        <f>'TE BE'!$U$9*'TE BE'!$U$49</f>
        <v>0.96258762945720244</v>
      </c>
      <c r="V9" s="26">
        <f>'TE BE'!$V$9*'TE BE'!$V$49</f>
        <v>0</v>
      </c>
      <c r="W9" s="26">
        <f>SUM($T$9:$V$9)</f>
        <v>1.8492777292381946</v>
      </c>
      <c r="X9" s="26">
        <f>'TE BE'!$AB$9*'TE BE'!$X$49</f>
        <v>-58.350793426164429</v>
      </c>
      <c r="Y9" s="26">
        <f>SUM($X$9:$X$9)</f>
        <v>-58.350793426164429</v>
      </c>
      <c r="Z9" s="26">
        <f>'TE BE'!$Z$9*'TE BE'!$Z$49</f>
        <v>-7.6530785742854671E-2</v>
      </c>
      <c r="AA9" s="26">
        <f>SUM($Z$9:$Z$9)</f>
        <v>-7.6530785742854671E-2</v>
      </c>
      <c r="AB9" s="26">
        <f ca="1">SUMIF($L$4:$AA$4,"SUBTOTAL",$L$9:$AA$9)+AL9</f>
        <v>-58.122921995339489</v>
      </c>
      <c r="AC9" s="9" t="str">
        <f t="shared" si="0"/>
        <v>B1</v>
      </c>
      <c r="AD9" s="9" t="str">
        <f t="shared" si="1"/>
        <v>Energia horária</v>
      </c>
      <c r="AE9" s="9" t="str">
        <f t="shared" si="2"/>
        <v>Residencial</v>
      </c>
      <c r="AF9" s="9" t="str">
        <f t="shared" si="3"/>
        <v>Residencial</v>
      </c>
      <c r="AG9" s="9" t="str">
        <f t="shared" si="4"/>
        <v>Não se aplica</v>
      </c>
      <c r="AH9" s="9">
        <v>1</v>
      </c>
      <c r="AI9" s="9">
        <f ca="1">TarifaMedia!$G$20</f>
        <v>0</v>
      </c>
      <c r="AJ9" s="15">
        <f>'TE BE'!$AB9+'TE BF'!$AB9+'TE CVA'!$AB9</f>
        <v>197.6895725142987</v>
      </c>
      <c r="AK9" s="9">
        <v>247.2</v>
      </c>
      <c r="AL9" s="9">
        <f t="shared" ca="1" si="5"/>
        <v>0</v>
      </c>
      <c r="AO9" s="88" t="s">
        <v>897</v>
      </c>
    </row>
    <row r="10" spans="1:41" ht="11.25" customHeight="1" x14ac:dyDescent="0.25">
      <c r="A10" s="146"/>
      <c r="B10" s="146"/>
      <c r="C10" s="146"/>
      <c r="D10" s="146"/>
      <c r="E10" s="146"/>
      <c r="F10" s="146"/>
      <c r="G10" s="29" t="s">
        <v>77</v>
      </c>
      <c r="H10" s="29" t="s">
        <v>75</v>
      </c>
      <c r="I10" s="29">
        <f>'MERCADO TE'!$U$7</f>
        <v>2.4539999999999997</v>
      </c>
      <c r="J10" s="15"/>
      <c r="L10" s="26">
        <f>'TE BE'!$L$10*'TE BE'!$L$49</f>
        <v>2.4920263424441011E-6</v>
      </c>
      <c r="M10" s="26">
        <f>'TE BE'!$M$10*'TE BE'!$M$49</f>
        <v>1.2128446024695703</v>
      </c>
      <c r="N10" s="26">
        <f>'TE BE'!$N$10*'TE BE'!$N$49</f>
        <v>0</v>
      </c>
      <c r="O10" s="26">
        <f>'TE BE'!$O$10*'TE BE'!$O$49</f>
        <v>0</v>
      </c>
      <c r="P10" s="26">
        <f>'TE BE'!$P$10*'TE BE'!$P$49</f>
        <v>0</v>
      </c>
      <c r="Q10" s="26">
        <f>SUM($L$10:$P$10)</f>
        <v>1.2128470944959127</v>
      </c>
      <c r="R10" s="26">
        <f>'TE BE'!$R$10*'TE BE'!$R$49</f>
        <v>-2.7577226071663108</v>
      </c>
      <c r="S10" s="26">
        <f>SUM($R$10:$R$10)</f>
        <v>-2.7577226071663108</v>
      </c>
      <c r="T10" s="26">
        <f>'TE BE'!$T$10*'TE BE'!$T$49</f>
        <v>0.886690099780992</v>
      </c>
      <c r="U10" s="26">
        <f>'TE BE'!$U$10*'TE BE'!$U$49</f>
        <v>0.96258762945720244</v>
      </c>
      <c r="V10" s="26">
        <f>'TE BE'!$V$10*'TE BE'!$V$49</f>
        <v>0</v>
      </c>
      <c r="W10" s="26">
        <f>SUM($T$10:$V$10)</f>
        <v>1.8492777292381946</v>
      </c>
      <c r="X10" s="26">
        <f>'TE BE'!$AB$10*'TE BE'!$X$49</f>
        <v>-58.350793426164429</v>
      </c>
      <c r="Y10" s="26">
        <f>SUM($X$10:$X$10)</f>
        <v>-58.350793426164429</v>
      </c>
      <c r="Z10" s="26">
        <f>'TE BE'!$Z$10*'TE BE'!$Z$49</f>
        <v>-7.6530785742854671E-2</v>
      </c>
      <c r="AA10" s="26">
        <f>SUM($Z$10:$Z$10)</f>
        <v>-7.6530785742854671E-2</v>
      </c>
      <c r="AB10" s="26">
        <f ca="1">SUMIF($L$4:$AA$4,"SUBTOTAL",$L$10:$AA$10)+AL10</f>
        <v>-58.122921995339489</v>
      </c>
      <c r="AC10" s="9" t="str">
        <f t="shared" si="0"/>
        <v>B1</v>
      </c>
      <c r="AD10" s="9" t="str">
        <f t="shared" si="1"/>
        <v>Energia horária</v>
      </c>
      <c r="AE10" s="9" t="str">
        <f t="shared" si="2"/>
        <v>Residencial</v>
      </c>
      <c r="AF10" s="9" t="str">
        <f t="shared" si="3"/>
        <v>Residencial</v>
      </c>
      <c r="AG10" s="9" t="str">
        <f t="shared" si="4"/>
        <v>Não se aplica</v>
      </c>
      <c r="AH10" s="9">
        <v>1</v>
      </c>
      <c r="AI10" s="9">
        <f ca="1">TarifaMedia!$G$20</f>
        <v>0</v>
      </c>
      <c r="AJ10" s="15">
        <f>'TE BE'!$AB10+'TE BF'!$AB10+'TE CVA'!$AB10</f>
        <v>197.6895725142987</v>
      </c>
      <c r="AK10" s="9">
        <v>247.2</v>
      </c>
      <c r="AL10" s="9">
        <f t="shared" ca="1" si="5"/>
        <v>0</v>
      </c>
      <c r="AO10" s="88" t="s">
        <v>898</v>
      </c>
    </row>
    <row r="11" spans="1:41" ht="11.25" customHeight="1" x14ac:dyDescent="0.25">
      <c r="A11" s="146"/>
      <c r="B11" s="146" t="s">
        <v>78</v>
      </c>
      <c r="C11" s="146" t="s">
        <v>24</v>
      </c>
      <c r="D11" s="28" t="s">
        <v>24</v>
      </c>
      <c r="E11" s="28" t="s">
        <v>25</v>
      </c>
      <c r="F11" s="28" t="s">
        <v>25</v>
      </c>
      <c r="G11" s="29" t="s">
        <v>79</v>
      </c>
      <c r="H11" s="29" t="s">
        <v>75</v>
      </c>
      <c r="I11" s="29">
        <f>'MERCADO TE'!$U$8</f>
        <v>10574.981000000002</v>
      </c>
      <c r="J11" s="15"/>
      <c r="L11" s="26">
        <f>'TE BE'!$L$11*'TE BE'!$L$49</f>
        <v>2.4920263424441011E-6</v>
      </c>
      <c r="M11" s="26">
        <f>'TE BE'!$M$11*'TE BE'!$M$49</f>
        <v>1.2128446024695703</v>
      </c>
      <c r="N11" s="26">
        <f>'TE BE'!$N$11*'TE BE'!$N$49</f>
        <v>0</v>
      </c>
      <c r="O11" s="26">
        <f>'TE BE'!$O$11*'TE BE'!$O$49</f>
        <v>0</v>
      </c>
      <c r="P11" s="26">
        <f>'TE BE'!$P$11*'TE BE'!$P$49</f>
        <v>0</v>
      </c>
      <c r="Q11" s="26">
        <f>SUM($L$11:$P$11)</f>
        <v>1.2128470944959127</v>
      </c>
      <c r="R11" s="26">
        <f>'TE BE'!$R$11*'TE BE'!$R$49</f>
        <v>-2.9231859635962891</v>
      </c>
      <c r="S11" s="26">
        <f>SUM($R$11:$R$11)</f>
        <v>-2.9231859635962891</v>
      </c>
      <c r="T11" s="26">
        <f>'TE BE'!$T$11*'TE BE'!$T$49</f>
        <v>0.886690099780992</v>
      </c>
      <c r="U11" s="26">
        <f>'TE BE'!$U$11*'TE BE'!$U$49</f>
        <v>0.96258762945720244</v>
      </c>
      <c r="V11" s="26">
        <f>'TE BE'!$V$11*'TE BE'!$V$49</f>
        <v>0</v>
      </c>
      <c r="W11" s="26">
        <f>SUM($T$11:$V$11)</f>
        <v>1.8492777292381946</v>
      </c>
      <c r="X11" s="26">
        <f>'TE BE'!$AB$11*'TE BE'!$X$49</f>
        <v>-61.483756065951837</v>
      </c>
      <c r="Y11" s="26">
        <f>SUM($X$11:$X$11)</f>
        <v>-61.483756065951837</v>
      </c>
      <c r="Z11" s="26">
        <f>'TE BE'!$Z$11*'TE BE'!$Z$49</f>
        <v>-7.6530785742854671E-2</v>
      </c>
      <c r="AA11" s="26">
        <f>SUM($Z$11:$Z$11)</f>
        <v>-7.6530785742854671E-2</v>
      </c>
      <c r="AB11" s="26">
        <f ca="1">SUMIF($L$4:$AA$4,"SUBTOTAL",$L$11:$AA$11)+AL11</f>
        <v>-61.421347991556871</v>
      </c>
      <c r="AC11" s="9" t="str">
        <f t="shared" si="0"/>
        <v>B1</v>
      </c>
      <c r="AD11" s="9" t="str">
        <f t="shared" si="1"/>
        <v>Energia convencional</v>
      </c>
      <c r="AE11" s="9" t="str">
        <f t="shared" si="2"/>
        <v>Residencial</v>
      </c>
      <c r="AF11" s="9" t="str">
        <f t="shared" si="3"/>
        <v>Residencial</v>
      </c>
      <c r="AG11" s="9" t="str">
        <f t="shared" si="4"/>
        <v>Não se aplica</v>
      </c>
      <c r="AH11" s="9">
        <v>1</v>
      </c>
      <c r="AI11" s="9">
        <f ca="1">TarifaMedia!$G$20</f>
        <v>0</v>
      </c>
      <c r="AJ11" s="15">
        <f>'TE BE'!$AB11+'TE BF'!$AB11+'TE CVA'!$AB11</f>
        <v>207.63042742196092</v>
      </c>
      <c r="AK11" s="9">
        <v>258.94</v>
      </c>
      <c r="AL11" s="9">
        <f t="shared" ca="1" si="5"/>
        <v>0</v>
      </c>
      <c r="AO11" s="88" t="s">
        <v>899</v>
      </c>
    </row>
    <row r="12" spans="1:41" ht="11.25" customHeight="1" x14ac:dyDescent="0.25">
      <c r="A12" s="146"/>
      <c r="B12" s="146"/>
      <c r="C12" s="146"/>
      <c r="D12" s="28" t="s">
        <v>28</v>
      </c>
      <c r="E12" s="28" t="s">
        <v>25</v>
      </c>
      <c r="F12" s="28" t="s">
        <v>25</v>
      </c>
      <c r="G12" s="29" t="s">
        <v>79</v>
      </c>
      <c r="H12" s="29" t="s">
        <v>75</v>
      </c>
      <c r="I12" s="29">
        <f>'MERCADO TE'!$U$9</f>
        <v>204.62</v>
      </c>
      <c r="J12" s="15"/>
      <c r="L12" s="26">
        <f>'TE BE'!$L$12*'TE BE'!$L$49</f>
        <v>2.4920263424441011E-6</v>
      </c>
      <c r="M12" s="26">
        <f>'TE BE'!$M$12*'TE BE'!$M$49</f>
        <v>1.2128446024695703</v>
      </c>
      <c r="N12" s="26">
        <f>'TE BE'!$N$12*'TE BE'!$N$49</f>
        <v>0</v>
      </c>
      <c r="O12" s="26">
        <f>'TE BE'!$O$12*'TE BE'!$O$49</f>
        <v>0</v>
      </c>
      <c r="P12" s="26">
        <f>'TE BE'!$P$12*'TE BE'!$P$49</f>
        <v>0</v>
      </c>
      <c r="Q12" s="26">
        <f>SUM($L$12:$P$12)</f>
        <v>1.2128470944959127</v>
      </c>
      <c r="R12" s="26">
        <f>'TE BE'!$R$12*'TE BE'!$R$49</f>
        <v>-2.9231859635962891</v>
      </c>
      <c r="S12" s="26">
        <f>SUM($R$12:$R$12)</f>
        <v>-2.9231859635962891</v>
      </c>
      <c r="T12" s="26">
        <f>'TE BE'!$T$12*'TE BE'!$T$49</f>
        <v>0.886690099780992</v>
      </c>
      <c r="U12" s="26">
        <f>'TE BE'!$U$12*'TE BE'!$U$49</f>
        <v>0.96258762945720244</v>
      </c>
      <c r="V12" s="26">
        <f>'TE BE'!$V$12*'TE BE'!$V$49</f>
        <v>0</v>
      </c>
      <c r="W12" s="26">
        <f>SUM($T$12:$V$12)</f>
        <v>1.8492777292381946</v>
      </c>
      <c r="X12" s="26">
        <f>'TE BE'!$AB$12*'TE BE'!$X$49</f>
        <v>-61.483756065951837</v>
      </c>
      <c r="Y12" s="26">
        <f>SUM($X$12:$X$12)</f>
        <v>-61.483756065951837</v>
      </c>
      <c r="Z12" s="26">
        <f>'TE BE'!$Z$12*'TE BE'!$Z$49</f>
        <v>-7.6530785742854671E-2</v>
      </c>
      <c r="AA12" s="26">
        <f>SUM($Z$12:$Z$12)</f>
        <v>-7.6530785742854671E-2</v>
      </c>
      <c r="AB12" s="26">
        <f ca="1">SUMIF($L$4:$AA$4,"SUBTOTAL",$L$12:$AA$12)+AL12</f>
        <v>-61.421347991556871</v>
      </c>
      <c r="AC12" s="9" t="str">
        <f t="shared" si="0"/>
        <v>B1</v>
      </c>
      <c r="AD12" s="9" t="str">
        <f t="shared" si="1"/>
        <v>Energia convencional</v>
      </c>
      <c r="AE12" s="9" t="str">
        <f t="shared" si="2"/>
        <v>Residencial</v>
      </c>
      <c r="AF12" s="9" t="str">
        <f t="shared" si="3"/>
        <v>Residencial baixa renda – faixa 01</v>
      </c>
      <c r="AG12" s="9" t="str">
        <f t="shared" si="4"/>
        <v>Não se aplica</v>
      </c>
      <c r="AH12" s="9">
        <v>1</v>
      </c>
      <c r="AI12" s="9">
        <f ca="1">TarifaMedia!$G$20</f>
        <v>0</v>
      </c>
      <c r="AJ12" s="15">
        <f>'TE BE'!$AB12+'TE BF'!$AB12+'TE CVA'!$AB12</f>
        <v>207.63042742196092</v>
      </c>
      <c r="AK12" s="9">
        <v>258.94</v>
      </c>
      <c r="AL12" s="9">
        <f t="shared" ca="1" si="5"/>
        <v>0</v>
      </c>
      <c r="AO12" s="88" t="s">
        <v>900</v>
      </c>
    </row>
    <row r="13" spans="1:41" ht="11.25" customHeight="1" x14ac:dyDescent="0.25">
      <c r="A13" s="146"/>
      <c r="B13" s="146"/>
      <c r="C13" s="146"/>
      <c r="D13" s="28" t="s">
        <v>29</v>
      </c>
      <c r="E13" s="28" t="s">
        <v>25</v>
      </c>
      <c r="F13" s="28" t="s">
        <v>25</v>
      </c>
      <c r="G13" s="29" t="s">
        <v>79</v>
      </c>
      <c r="H13" s="29" t="s">
        <v>75</v>
      </c>
      <c r="I13" s="29">
        <f>'MERCADO TE'!$U$10</f>
        <v>376.553</v>
      </c>
      <c r="J13" s="15"/>
      <c r="L13" s="26">
        <f>'TE BE'!$L$13*'TE BE'!$L$49</f>
        <v>2.4920263424441011E-6</v>
      </c>
      <c r="M13" s="26">
        <f>'TE BE'!$M$13*'TE BE'!$M$49</f>
        <v>1.2128446024695703</v>
      </c>
      <c r="N13" s="26">
        <f>'TE BE'!$N$13*'TE BE'!$N$49</f>
        <v>0</v>
      </c>
      <c r="O13" s="26">
        <f>'TE BE'!$O$13*'TE BE'!$O$49</f>
        <v>0</v>
      </c>
      <c r="P13" s="26">
        <f>'TE BE'!$P$13*'TE BE'!$P$49</f>
        <v>0</v>
      </c>
      <c r="Q13" s="26">
        <f>SUM($L$13:$P$13)</f>
        <v>1.2128470944959127</v>
      </c>
      <c r="R13" s="26">
        <f>'TE BE'!$R$13*'TE BE'!$R$49</f>
        <v>-2.9231859635962891</v>
      </c>
      <c r="S13" s="26">
        <f>SUM($R$13:$R$13)</f>
        <v>-2.9231859635962891</v>
      </c>
      <c r="T13" s="26">
        <f>'TE BE'!$T$13*'TE BE'!$T$49</f>
        <v>0.886690099780992</v>
      </c>
      <c r="U13" s="26">
        <f>'TE BE'!$U$13*'TE BE'!$U$49</f>
        <v>0.96258762945720244</v>
      </c>
      <c r="V13" s="26">
        <f>'TE BE'!$V$13*'TE BE'!$V$49</f>
        <v>0</v>
      </c>
      <c r="W13" s="26">
        <f>SUM($T$13:$V$13)</f>
        <v>1.8492777292381946</v>
      </c>
      <c r="X13" s="26">
        <f>'TE BE'!$AB$13*'TE BE'!$X$49</f>
        <v>-61.483756065951837</v>
      </c>
      <c r="Y13" s="26">
        <f>SUM($X$13:$X$13)</f>
        <v>-61.483756065951837</v>
      </c>
      <c r="Z13" s="26">
        <f>'TE BE'!$Z$13*'TE BE'!$Z$49</f>
        <v>-7.6530785742854671E-2</v>
      </c>
      <c r="AA13" s="26">
        <f>SUM($Z$13:$Z$13)</f>
        <v>-7.6530785742854671E-2</v>
      </c>
      <c r="AB13" s="26">
        <f ca="1">SUMIF($L$4:$AA$4,"SUBTOTAL",$L$13:$AA$13)+AL13</f>
        <v>-61.421347991556871</v>
      </c>
      <c r="AC13" s="9" t="str">
        <f t="shared" si="0"/>
        <v>B1</v>
      </c>
      <c r="AD13" s="9" t="str">
        <f t="shared" si="1"/>
        <v>Energia convencional</v>
      </c>
      <c r="AE13" s="9" t="str">
        <f t="shared" si="2"/>
        <v>Residencial</v>
      </c>
      <c r="AF13" s="9" t="str">
        <f t="shared" si="3"/>
        <v>Residencial baixa renda – faixa 02</v>
      </c>
      <c r="AG13" s="9" t="str">
        <f t="shared" si="4"/>
        <v>Não se aplica</v>
      </c>
      <c r="AH13" s="9">
        <v>1</v>
      </c>
      <c r="AI13" s="9">
        <f ca="1">TarifaMedia!$G$20</f>
        <v>0</v>
      </c>
      <c r="AJ13" s="15">
        <f>'TE BE'!$AB13+'TE BF'!$AB13+'TE CVA'!$AB13</f>
        <v>207.63042742196092</v>
      </c>
      <c r="AK13" s="9">
        <v>258.94</v>
      </c>
      <c r="AL13" s="9">
        <f t="shared" ca="1" si="5"/>
        <v>0</v>
      </c>
      <c r="AO13" s="88" t="s">
        <v>900</v>
      </c>
    </row>
    <row r="14" spans="1:41" ht="11.25" customHeight="1" x14ac:dyDescent="0.25">
      <c r="A14" s="146"/>
      <c r="B14" s="146"/>
      <c r="C14" s="146"/>
      <c r="D14" s="28" t="s">
        <v>30</v>
      </c>
      <c r="E14" s="28" t="s">
        <v>25</v>
      </c>
      <c r="F14" s="28" t="s">
        <v>25</v>
      </c>
      <c r="G14" s="29" t="s">
        <v>79</v>
      </c>
      <c r="H14" s="29" t="s">
        <v>75</v>
      </c>
      <c r="I14" s="29">
        <f>'MERCADO TE'!$U$11</f>
        <v>166.29699999999997</v>
      </c>
      <c r="J14" s="15"/>
      <c r="L14" s="26">
        <f>'TE BE'!$L$14*'TE BE'!$L$49</f>
        <v>2.4920263424441011E-6</v>
      </c>
      <c r="M14" s="26">
        <f>'TE BE'!$M$14*'TE BE'!$M$49</f>
        <v>1.2128446024695703</v>
      </c>
      <c r="N14" s="26">
        <f>'TE BE'!$N$14*'TE BE'!$N$49</f>
        <v>0</v>
      </c>
      <c r="O14" s="26">
        <f>'TE BE'!$O$14*'TE BE'!$O$49</f>
        <v>0</v>
      </c>
      <c r="P14" s="26">
        <f>'TE BE'!$P$14*'TE BE'!$P$49</f>
        <v>0</v>
      </c>
      <c r="Q14" s="26">
        <f>SUM($L$14:$P$14)</f>
        <v>1.2128470944959127</v>
      </c>
      <c r="R14" s="26">
        <f>'TE BE'!$R$14*'TE BE'!$R$49</f>
        <v>-2.9231859635962891</v>
      </c>
      <c r="S14" s="26">
        <f>SUM($R$14:$R$14)</f>
        <v>-2.9231859635962891</v>
      </c>
      <c r="T14" s="26">
        <f>'TE BE'!$T$14*'TE BE'!$T$49</f>
        <v>0.886690099780992</v>
      </c>
      <c r="U14" s="26">
        <f>'TE BE'!$U$14*'TE BE'!$U$49</f>
        <v>0.96258762945720244</v>
      </c>
      <c r="V14" s="26">
        <f>'TE BE'!$V$14*'TE BE'!$V$49</f>
        <v>0</v>
      </c>
      <c r="W14" s="26">
        <f>SUM($T$14:$V$14)</f>
        <v>1.8492777292381946</v>
      </c>
      <c r="X14" s="26">
        <f>'TE BE'!$AB$14*'TE BE'!$X$49</f>
        <v>-61.483756065951837</v>
      </c>
      <c r="Y14" s="26">
        <f>SUM($X$14:$X$14)</f>
        <v>-61.483756065951837</v>
      </c>
      <c r="Z14" s="26">
        <f>'TE BE'!$Z$14*'TE BE'!$Z$49</f>
        <v>-7.6530785742854671E-2</v>
      </c>
      <c r="AA14" s="26">
        <f>SUM($Z$14:$Z$14)</f>
        <v>-7.6530785742854671E-2</v>
      </c>
      <c r="AB14" s="26">
        <f ca="1">SUMIF($L$4:$AA$4,"SUBTOTAL",$L$14:$AA$14)+AL14</f>
        <v>-61.421347991556871</v>
      </c>
      <c r="AC14" s="9" t="str">
        <f t="shared" si="0"/>
        <v>B1</v>
      </c>
      <c r="AD14" s="9" t="str">
        <f t="shared" si="1"/>
        <v>Energia convencional</v>
      </c>
      <c r="AE14" s="9" t="str">
        <f t="shared" si="2"/>
        <v>Residencial</v>
      </c>
      <c r="AF14" s="9" t="str">
        <f t="shared" si="3"/>
        <v>Residencial baixa renda – faixa 03</v>
      </c>
      <c r="AG14" s="9" t="str">
        <f t="shared" si="4"/>
        <v>Não se aplica</v>
      </c>
      <c r="AH14" s="9">
        <v>1</v>
      </c>
      <c r="AI14" s="9">
        <f ca="1">TarifaMedia!$G$20</f>
        <v>0</v>
      </c>
      <c r="AJ14" s="15">
        <f>'TE BE'!$AB14+'TE BF'!$AB14+'TE CVA'!$AB14</f>
        <v>207.63042742196092</v>
      </c>
      <c r="AK14" s="9">
        <v>258.94</v>
      </c>
      <c r="AL14" s="9">
        <f t="shared" ca="1" si="5"/>
        <v>0</v>
      </c>
      <c r="AO14" s="88" t="s">
        <v>900</v>
      </c>
    </row>
    <row r="15" spans="1:41" ht="11.25" customHeight="1" x14ac:dyDescent="0.25">
      <c r="A15" s="146"/>
      <c r="B15" s="146"/>
      <c r="C15" s="146"/>
      <c r="D15" s="28" t="s">
        <v>31</v>
      </c>
      <c r="E15" s="28" t="s">
        <v>25</v>
      </c>
      <c r="F15" s="28" t="s">
        <v>25</v>
      </c>
      <c r="G15" s="29" t="s">
        <v>79</v>
      </c>
      <c r="H15" s="29" t="s">
        <v>75</v>
      </c>
      <c r="I15" s="29">
        <f>'MERCADO TE'!$U$12</f>
        <v>17.806999999999999</v>
      </c>
      <c r="J15" s="15"/>
      <c r="L15" s="26">
        <f>'TE BE'!$L$15*'TE BE'!$L$49</f>
        <v>2.4920263424441011E-6</v>
      </c>
      <c r="M15" s="26">
        <f>'TE BE'!$M$15*'TE BE'!$M$49</f>
        <v>1.2128446024695703</v>
      </c>
      <c r="N15" s="26">
        <f>'TE BE'!$N$15*'TE BE'!$N$49</f>
        <v>0</v>
      </c>
      <c r="O15" s="26">
        <f>'TE BE'!$O$15*'TE BE'!$O$49</f>
        <v>0</v>
      </c>
      <c r="P15" s="26">
        <f>'TE BE'!$P$15*'TE BE'!$P$49</f>
        <v>0</v>
      </c>
      <c r="Q15" s="26">
        <f>SUM($L$15:$P$15)</f>
        <v>1.2128470944959127</v>
      </c>
      <c r="R15" s="26">
        <f>'TE BE'!$R$15*'TE BE'!$R$49</f>
        <v>-2.9231859635962891</v>
      </c>
      <c r="S15" s="26">
        <f>SUM($R$15:$R$15)</f>
        <v>-2.9231859635962891</v>
      </c>
      <c r="T15" s="26">
        <f>'TE BE'!$T$15*'TE BE'!$T$49</f>
        <v>0.886690099780992</v>
      </c>
      <c r="U15" s="26">
        <f>'TE BE'!$U$15*'TE BE'!$U$49</f>
        <v>0.96258762945720244</v>
      </c>
      <c r="V15" s="26">
        <f>'TE BE'!$V$15*'TE BE'!$V$49</f>
        <v>0</v>
      </c>
      <c r="W15" s="26">
        <f>SUM($T$15:$V$15)</f>
        <v>1.8492777292381946</v>
      </c>
      <c r="X15" s="26">
        <f>'TE BE'!$AB$15*'TE BE'!$X$49</f>
        <v>-61.483756065951837</v>
      </c>
      <c r="Y15" s="26">
        <f>SUM($X$15:$X$15)</f>
        <v>-61.483756065951837</v>
      </c>
      <c r="Z15" s="26">
        <f>'TE BE'!$Z$15*'TE BE'!$Z$49</f>
        <v>-7.6530785742854671E-2</v>
      </c>
      <c r="AA15" s="26">
        <f>SUM($Z$15:$Z$15)</f>
        <v>-7.6530785742854671E-2</v>
      </c>
      <c r="AB15" s="26">
        <f ca="1">SUMIF($L$4:$AA$4,"SUBTOTAL",$L$15:$AA$15)+AL15</f>
        <v>-61.421347991556871</v>
      </c>
      <c r="AC15" s="9" t="str">
        <f t="shared" si="0"/>
        <v>B1</v>
      </c>
      <c r="AD15" s="9" t="str">
        <f t="shared" si="1"/>
        <v>Energia convencional</v>
      </c>
      <c r="AE15" s="9" t="str">
        <f t="shared" si="2"/>
        <v>Residencial</v>
      </c>
      <c r="AF15" s="9" t="str">
        <f t="shared" si="3"/>
        <v>Residencial baixa renda – faixa 04</v>
      </c>
      <c r="AG15" s="9" t="str">
        <f t="shared" si="4"/>
        <v>Não se aplica</v>
      </c>
      <c r="AH15" s="9">
        <v>1</v>
      </c>
      <c r="AI15" s="9">
        <f ca="1">TarifaMedia!$G$20</f>
        <v>0</v>
      </c>
      <c r="AJ15" s="15">
        <f>'TE BE'!$AB15+'TE BF'!$AB15+'TE CVA'!$AB15</f>
        <v>207.63042742196092</v>
      </c>
      <c r="AK15" s="9">
        <v>258.94</v>
      </c>
      <c r="AL15" s="9">
        <f t="shared" ca="1" si="5"/>
        <v>0</v>
      </c>
      <c r="AO15" s="88" t="s">
        <v>900</v>
      </c>
    </row>
    <row r="16" spans="1:41" ht="11.25" customHeight="1" x14ac:dyDescent="0.25">
      <c r="A16" s="146"/>
      <c r="B16" s="146" t="s">
        <v>89</v>
      </c>
      <c r="C16" s="146" t="s">
        <v>24</v>
      </c>
      <c r="D16" s="28" t="s">
        <v>24</v>
      </c>
      <c r="E16" s="28" t="s">
        <v>25</v>
      </c>
      <c r="F16" s="28" t="s">
        <v>25</v>
      </c>
      <c r="G16" s="29" t="s">
        <v>79</v>
      </c>
      <c r="H16" s="29" t="s">
        <v>75</v>
      </c>
      <c r="I16" s="29">
        <f>'MERCADO TE'!$U$13</f>
        <v>0</v>
      </c>
      <c r="J16" s="15"/>
      <c r="L16" s="26">
        <f>'TE BE'!$L$16*'TE BE'!$L$49</f>
        <v>2.4920263424441011E-6</v>
      </c>
      <c r="M16" s="26">
        <f>'TE BE'!$M$16*'TE BE'!$M$49</f>
        <v>1.2128446024695703</v>
      </c>
      <c r="N16" s="26">
        <f>'TE BE'!$N$16*'TE BE'!$N$49</f>
        <v>0</v>
      </c>
      <c r="O16" s="26">
        <f>'TE BE'!$O$16*'TE BE'!$O$49</f>
        <v>0</v>
      </c>
      <c r="P16" s="26">
        <f>'TE BE'!$P$16*'TE BE'!$P$49</f>
        <v>0</v>
      </c>
      <c r="Q16" s="26">
        <f>SUM($L$16:$P$16)</f>
        <v>1.2128470944959127</v>
      </c>
      <c r="R16" s="26">
        <f>'TE BE'!$R$16*'TE BE'!$R$49</f>
        <v>-2.9231859635962891</v>
      </c>
      <c r="S16" s="26">
        <f>SUM($R$16:$R$16)</f>
        <v>-2.9231859635962891</v>
      </c>
      <c r="T16" s="26">
        <f>'TE BE'!$T$16*'TE BE'!$T$49</f>
        <v>0.886690099780992</v>
      </c>
      <c r="U16" s="26">
        <f>'TE BE'!$U$16*'TE BE'!$U$49</f>
        <v>0.96258762945720244</v>
      </c>
      <c r="V16" s="26">
        <f>'TE BE'!$V$16*'TE BE'!$V$49</f>
        <v>0</v>
      </c>
      <c r="W16" s="26">
        <f>SUM($T$16:$V$16)</f>
        <v>1.8492777292381946</v>
      </c>
      <c r="X16" s="26">
        <f>'TE BE'!$AB$16*'TE BE'!$X$49</f>
        <v>-61.483756065951837</v>
      </c>
      <c r="Y16" s="26">
        <f>SUM($X$16:$X$16)</f>
        <v>-61.483756065951837</v>
      </c>
      <c r="Z16" s="26">
        <f>'TE BE'!$Z$16*'TE BE'!$Z$49</f>
        <v>-7.6530785742854671E-2</v>
      </c>
      <c r="AA16" s="26">
        <f>SUM($Z$16:$Z$16)</f>
        <v>-7.6530785742854671E-2</v>
      </c>
      <c r="AB16" s="26">
        <f ca="1">SUMIF($L$4:$AA$4,"SUBTOTAL",$L$16:$AA$16)+AL16</f>
        <v>-61.421347991556871</v>
      </c>
      <c r="AC16" s="9" t="str">
        <f t="shared" si="0"/>
        <v>B1</v>
      </c>
      <c r="AD16" s="9" t="str">
        <f t="shared" si="1"/>
        <v>Energia convencional pré-pagamento</v>
      </c>
      <c r="AE16" s="9" t="str">
        <f t="shared" si="2"/>
        <v>Residencial</v>
      </c>
      <c r="AF16" s="9" t="str">
        <f t="shared" si="3"/>
        <v>Residencial</v>
      </c>
      <c r="AG16" s="9" t="str">
        <f t="shared" si="4"/>
        <v>Não se aplica</v>
      </c>
      <c r="AH16" s="9">
        <v>1</v>
      </c>
      <c r="AI16" s="9">
        <f ca="1">TarifaMedia!$G$20</f>
        <v>0</v>
      </c>
      <c r="AJ16" s="15">
        <f>'TE BE'!$AB16+'TE BF'!$AB16+'TE CVA'!$AB16</f>
        <v>207.63042742196092</v>
      </c>
      <c r="AK16" s="9">
        <v>258.94</v>
      </c>
      <c r="AL16" s="9">
        <f t="shared" ca="1" si="5"/>
        <v>0</v>
      </c>
      <c r="AO16" s="88" t="s">
        <v>901</v>
      </c>
    </row>
    <row r="17" spans="1:41" ht="11.25" customHeight="1" x14ac:dyDescent="0.25">
      <c r="A17" s="146"/>
      <c r="B17" s="146"/>
      <c r="C17" s="146"/>
      <c r="D17" s="28" t="s">
        <v>28</v>
      </c>
      <c r="E17" s="28" t="s">
        <v>25</v>
      </c>
      <c r="F17" s="28" t="s">
        <v>25</v>
      </c>
      <c r="G17" s="29" t="s">
        <v>79</v>
      </c>
      <c r="H17" s="29" t="s">
        <v>75</v>
      </c>
      <c r="I17" s="29">
        <f>'MERCADO TE'!$U$14</f>
        <v>0</v>
      </c>
      <c r="J17" s="15"/>
      <c r="L17" s="26">
        <f>'TE BE'!$L$17*'TE BE'!$L$49</f>
        <v>2.4920263424441011E-6</v>
      </c>
      <c r="M17" s="26">
        <f>'TE BE'!$M$17*'TE BE'!$M$49</f>
        <v>1.2128446024695703</v>
      </c>
      <c r="N17" s="26">
        <f>'TE BE'!$N$17*'TE BE'!$N$49</f>
        <v>0</v>
      </c>
      <c r="O17" s="26">
        <f>'TE BE'!$O$17*'TE BE'!$O$49</f>
        <v>0</v>
      </c>
      <c r="P17" s="26">
        <f>'TE BE'!$P$17*'TE BE'!$P$49</f>
        <v>0</v>
      </c>
      <c r="Q17" s="26">
        <f>SUM($L$17:$P$17)</f>
        <v>1.2128470944959127</v>
      </c>
      <c r="R17" s="26">
        <f>'TE BE'!$R$17*'TE BE'!$R$49</f>
        <v>-2.9231859635962891</v>
      </c>
      <c r="S17" s="26">
        <f>SUM($R$17:$R$17)</f>
        <v>-2.9231859635962891</v>
      </c>
      <c r="T17" s="26">
        <f>'TE BE'!$T$17*'TE BE'!$T$49</f>
        <v>0.886690099780992</v>
      </c>
      <c r="U17" s="26">
        <f>'TE BE'!$U$17*'TE BE'!$U$49</f>
        <v>0.96258762945720244</v>
      </c>
      <c r="V17" s="26">
        <f>'TE BE'!$V$17*'TE BE'!$V$49</f>
        <v>0</v>
      </c>
      <c r="W17" s="26">
        <f>SUM($T$17:$V$17)</f>
        <v>1.8492777292381946</v>
      </c>
      <c r="X17" s="26">
        <f>'TE BE'!$AB$17*'TE BE'!$X$49</f>
        <v>-61.483756065951837</v>
      </c>
      <c r="Y17" s="26">
        <f>SUM($X$17:$X$17)</f>
        <v>-61.483756065951837</v>
      </c>
      <c r="Z17" s="26">
        <f>'TE BE'!$Z$17*'TE BE'!$Z$49</f>
        <v>-7.6530785742854671E-2</v>
      </c>
      <c r="AA17" s="26">
        <f>SUM($Z$17:$Z$17)</f>
        <v>-7.6530785742854671E-2</v>
      </c>
      <c r="AB17" s="26">
        <f ca="1">SUMIF($L$4:$AA$4,"SUBTOTAL",$L$17:$AA$17)+AL17</f>
        <v>-61.421347991556871</v>
      </c>
      <c r="AC17" s="9" t="str">
        <f t="shared" si="0"/>
        <v>B1</v>
      </c>
      <c r="AD17" s="9" t="str">
        <f t="shared" si="1"/>
        <v>Energia convencional pré-pagamento</v>
      </c>
      <c r="AE17" s="9" t="str">
        <f t="shared" si="2"/>
        <v>Residencial</v>
      </c>
      <c r="AF17" s="9" t="str">
        <f t="shared" si="3"/>
        <v>Residencial baixa renda – faixa 01</v>
      </c>
      <c r="AG17" s="9" t="str">
        <f t="shared" si="4"/>
        <v>Não se aplica</v>
      </c>
      <c r="AH17" s="9">
        <v>1</v>
      </c>
      <c r="AI17" s="9">
        <f ca="1">TarifaMedia!$G$20</f>
        <v>0</v>
      </c>
      <c r="AJ17" s="15">
        <f>'TE BE'!$AB17+'TE BF'!$AB17+'TE CVA'!$AB17</f>
        <v>207.63042742196092</v>
      </c>
      <c r="AK17" s="9">
        <v>258.94</v>
      </c>
      <c r="AL17" s="9">
        <f t="shared" ca="1" si="5"/>
        <v>0</v>
      </c>
      <c r="AO17" s="88" t="s">
        <v>902</v>
      </c>
    </row>
    <row r="18" spans="1:41" ht="11.25" customHeight="1" x14ac:dyDescent="0.25">
      <c r="A18" s="146"/>
      <c r="B18" s="146"/>
      <c r="C18" s="146"/>
      <c r="D18" s="28" t="s">
        <v>29</v>
      </c>
      <c r="E18" s="28" t="s">
        <v>25</v>
      </c>
      <c r="F18" s="28" t="s">
        <v>25</v>
      </c>
      <c r="G18" s="29" t="s">
        <v>79</v>
      </c>
      <c r="H18" s="29" t="s">
        <v>75</v>
      </c>
      <c r="I18" s="29">
        <f>'MERCADO TE'!$U$15</f>
        <v>0</v>
      </c>
      <c r="J18" s="15"/>
      <c r="L18" s="26">
        <f>'TE BE'!$L$18*'TE BE'!$L$49</f>
        <v>2.4920263424441011E-6</v>
      </c>
      <c r="M18" s="26">
        <f>'TE BE'!$M$18*'TE BE'!$M$49</f>
        <v>1.2128446024695703</v>
      </c>
      <c r="N18" s="26">
        <f>'TE BE'!$N$18*'TE BE'!$N$49</f>
        <v>0</v>
      </c>
      <c r="O18" s="26">
        <f>'TE BE'!$O$18*'TE BE'!$O$49</f>
        <v>0</v>
      </c>
      <c r="P18" s="26">
        <f>'TE BE'!$P$18*'TE BE'!$P$49</f>
        <v>0</v>
      </c>
      <c r="Q18" s="26">
        <f>SUM($L$18:$P$18)</f>
        <v>1.2128470944959127</v>
      </c>
      <c r="R18" s="26">
        <f>'TE BE'!$R$18*'TE BE'!$R$49</f>
        <v>-2.9231859635962891</v>
      </c>
      <c r="S18" s="26">
        <f>SUM($R$18:$R$18)</f>
        <v>-2.9231859635962891</v>
      </c>
      <c r="T18" s="26">
        <f>'TE BE'!$T$18*'TE BE'!$T$49</f>
        <v>0.886690099780992</v>
      </c>
      <c r="U18" s="26">
        <f>'TE BE'!$U$18*'TE BE'!$U$49</f>
        <v>0.96258762945720244</v>
      </c>
      <c r="V18" s="26">
        <f>'TE BE'!$V$18*'TE BE'!$V$49</f>
        <v>0</v>
      </c>
      <c r="W18" s="26">
        <f>SUM($T$18:$V$18)</f>
        <v>1.8492777292381946</v>
      </c>
      <c r="X18" s="26">
        <f>'TE BE'!$AB$18*'TE BE'!$X$49</f>
        <v>-61.483756065951837</v>
      </c>
      <c r="Y18" s="26">
        <f>SUM($X$18:$X$18)</f>
        <v>-61.483756065951837</v>
      </c>
      <c r="Z18" s="26">
        <f>'TE BE'!$Z$18*'TE BE'!$Z$49</f>
        <v>-7.6530785742854671E-2</v>
      </c>
      <c r="AA18" s="26">
        <f>SUM($Z$18:$Z$18)</f>
        <v>-7.6530785742854671E-2</v>
      </c>
      <c r="AB18" s="26">
        <f ca="1">SUMIF($L$4:$AA$4,"SUBTOTAL",$L$18:$AA$18)+AL18</f>
        <v>-61.421347991556871</v>
      </c>
      <c r="AC18" s="9" t="str">
        <f t="shared" si="0"/>
        <v>B1</v>
      </c>
      <c r="AD18" s="9" t="str">
        <f t="shared" si="1"/>
        <v>Energia convencional pré-pagamento</v>
      </c>
      <c r="AE18" s="9" t="str">
        <f t="shared" si="2"/>
        <v>Residencial</v>
      </c>
      <c r="AF18" s="9" t="str">
        <f t="shared" si="3"/>
        <v>Residencial baixa renda – faixa 02</v>
      </c>
      <c r="AG18" s="9" t="str">
        <f t="shared" si="4"/>
        <v>Não se aplica</v>
      </c>
      <c r="AH18" s="9">
        <v>1</v>
      </c>
      <c r="AI18" s="9">
        <f ca="1">TarifaMedia!$G$20</f>
        <v>0</v>
      </c>
      <c r="AJ18" s="15">
        <f>'TE BE'!$AB18+'TE BF'!$AB18+'TE CVA'!$AB18</f>
        <v>207.63042742196092</v>
      </c>
      <c r="AK18" s="9">
        <v>258.94</v>
      </c>
      <c r="AL18" s="9">
        <f t="shared" ca="1" si="5"/>
        <v>0</v>
      </c>
      <c r="AO18" s="88" t="s">
        <v>902</v>
      </c>
    </row>
    <row r="19" spans="1:41" ht="11.25" customHeight="1" x14ac:dyDescent="0.25">
      <c r="A19" s="146"/>
      <c r="B19" s="146"/>
      <c r="C19" s="146"/>
      <c r="D19" s="28" t="s">
        <v>30</v>
      </c>
      <c r="E19" s="28" t="s">
        <v>25</v>
      </c>
      <c r="F19" s="28" t="s">
        <v>25</v>
      </c>
      <c r="G19" s="29" t="s">
        <v>79</v>
      </c>
      <c r="H19" s="29" t="s">
        <v>75</v>
      </c>
      <c r="I19" s="29">
        <f>'MERCADO TE'!$U$16</f>
        <v>0</v>
      </c>
      <c r="J19" s="15"/>
      <c r="L19" s="26">
        <f>'TE BE'!$L$19*'TE BE'!$L$49</f>
        <v>2.4920263424441011E-6</v>
      </c>
      <c r="M19" s="26">
        <f>'TE BE'!$M$19*'TE BE'!$M$49</f>
        <v>1.2128446024695703</v>
      </c>
      <c r="N19" s="26">
        <f>'TE BE'!$N$19*'TE BE'!$N$49</f>
        <v>0</v>
      </c>
      <c r="O19" s="26">
        <f>'TE BE'!$O$19*'TE BE'!$O$49</f>
        <v>0</v>
      </c>
      <c r="P19" s="26">
        <f>'TE BE'!$P$19*'TE BE'!$P$49</f>
        <v>0</v>
      </c>
      <c r="Q19" s="26">
        <f>SUM($L$19:$P$19)</f>
        <v>1.2128470944959127</v>
      </c>
      <c r="R19" s="26">
        <f>'TE BE'!$R$19*'TE BE'!$R$49</f>
        <v>-2.9231859635962891</v>
      </c>
      <c r="S19" s="26">
        <f>SUM($R$19:$R$19)</f>
        <v>-2.9231859635962891</v>
      </c>
      <c r="T19" s="26">
        <f>'TE BE'!$T$19*'TE BE'!$T$49</f>
        <v>0.886690099780992</v>
      </c>
      <c r="U19" s="26">
        <f>'TE BE'!$U$19*'TE BE'!$U$49</f>
        <v>0.96258762945720244</v>
      </c>
      <c r="V19" s="26">
        <f>'TE BE'!$V$19*'TE BE'!$V$49</f>
        <v>0</v>
      </c>
      <c r="W19" s="26">
        <f>SUM($T$19:$V$19)</f>
        <v>1.8492777292381946</v>
      </c>
      <c r="X19" s="26">
        <f>'TE BE'!$AB$19*'TE BE'!$X$49</f>
        <v>-61.483756065951837</v>
      </c>
      <c r="Y19" s="26">
        <f>SUM($X$19:$X$19)</f>
        <v>-61.483756065951837</v>
      </c>
      <c r="Z19" s="26">
        <f>'TE BE'!$Z$19*'TE BE'!$Z$49</f>
        <v>-7.6530785742854671E-2</v>
      </c>
      <c r="AA19" s="26">
        <f>SUM($Z$19:$Z$19)</f>
        <v>-7.6530785742854671E-2</v>
      </c>
      <c r="AB19" s="26">
        <f ca="1">SUMIF($L$4:$AA$4,"SUBTOTAL",$L$19:$AA$19)+AL19</f>
        <v>-61.421347991556871</v>
      </c>
      <c r="AC19" s="9" t="str">
        <f t="shared" si="0"/>
        <v>B1</v>
      </c>
      <c r="AD19" s="9" t="str">
        <f t="shared" si="1"/>
        <v>Energia convencional pré-pagamento</v>
      </c>
      <c r="AE19" s="9" t="str">
        <f t="shared" si="2"/>
        <v>Residencial</v>
      </c>
      <c r="AF19" s="9" t="str">
        <f t="shared" si="3"/>
        <v>Residencial baixa renda – faixa 03</v>
      </c>
      <c r="AG19" s="9" t="str">
        <f t="shared" si="4"/>
        <v>Não se aplica</v>
      </c>
      <c r="AH19" s="9">
        <v>1</v>
      </c>
      <c r="AI19" s="9">
        <f ca="1">TarifaMedia!$G$20</f>
        <v>0</v>
      </c>
      <c r="AJ19" s="15">
        <f>'TE BE'!$AB19+'TE BF'!$AB19+'TE CVA'!$AB19</f>
        <v>207.63042742196092</v>
      </c>
      <c r="AK19" s="9">
        <v>258.94</v>
      </c>
      <c r="AL19" s="9">
        <f t="shared" ca="1" si="5"/>
        <v>0</v>
      </c>
      <c r="AO19" s="88" t="s">
        <v>902</v>
      </c>
    </row>
    <row r="20" spans="1:41" ht="11.25" customHeight="1" x14ac:dyDescent="0.25">
      <c r="A20" s="146"/>
      <c r="B20" s="146"/>
      <c r="C20" s="146"/>
      <c r="D20" s="28" t="s">
        <v>31</v>
      </c>
      <c r="E20" s="28" t="s">
        <v>25</v>
      </c>
      <c r="F20" s="28" t="s">
        <v>25</v>
      </c>
      <c r="G20" s="29" t="s">
        <v>79</v>
      </c>
      <c r="H20" s="29" t="s">
        <v>75</v>
      </c>
      <c r="I20" s="29">
        <f>'MERCADO TE'!$U$17</f>
        <v>0</v>
      </c>
      <c r="J20" s="15"/>
      <c r="L20" s="26">
        <f>'TE BE'!$L$20*'TE BE'!$L$49</f>
        <v>2.4920263424441011E-6</v>
      </c>
      <c r="M20" s="26">
        <f>'TE BE'!$M$20*'TE BE'!$M$49</f>
        <v>1.2128446024695703</v>
      </c>
      <c r="N20" s="26">
        <f>'TE BE'!$N$20*'TE BE'!$N$49</f>
        <v>0</v>
      </c>
      <c r="O20" s="26">
        <f>'TE BE'!$O$20*'TE BE'!$O$49</f>
        <v>0</v>
      </c>
      <c r="P20" s="26">
        <f>'TE BE'!$P$20*'TE BE'!$P$49</f>
        <v>0</v>
      </c>
      <c r="Q20" s="26">
        <f>SUM($L$20:$P$20)</f>
        <v>1.2128470944959127</v>
      </c>
      <c r="R20" s="26">
        <f>'TE BE'!$R$20*'TE BE'!$R$49</f>
        <v>-2.9231859635962891</v>
      </c>
      <c r="S20" s="26">
        <f>SUM($R$20:$R$20)</f>
        <v>-2.9231859635962891</v>
      </c>
      <c r="T20" s="26">
        <f>'TE BE'!$T$20*'TE BE'!$T$49</f>
        <v>0.886690099780992</v>
      </c>
      <c r="U20" s="26">
        <f>'TE BE'!$U$20*'TE BE'!$U$49</f>
        <v>0.96258762945720244</v>
      </c>
      <c r="V20" s="26">
        <f>'TE BE'!$V$20*'TE BE'!$V$49</f>
        <v>0</v>
      </c>
      <c r="W20" s="26">
        <f>SUM($T$20:$V$20)</f>
        <v>1.8492777292381946</v>
      </c>
      <c r="X20" s="26">
        <f>'TE BE'!$AB$20*'TE BE'!$X$49</f>
        <v>-61.483756065951837</v>
      </c>
      <c r="Y20" s="26">
        <f>SUM($X$20:$X$20)</f>
        <v>-61.483756065951837</v>
      </c>
      <c r="Z20" s="26">
        <f>'TE BE'!$Z$20*'TE BE'!$Z$49</f>
        <v>-7.6530785742854671E-2</v>
      </c>
      <c r="AA20" s="26">
        <f>SUM($Z$20:$Z$20)</f>
        <v>-7.6530785742854671E-2</v>
      </c>
      <c r="AB20" s="26">
        <f ca="1">SUMIF($L$4:$AA$4,"SUBTOTAL",$L$20:$AA$20)+AL20</f>
        <v>-61.421347991556871</v>
      </c>
      <c r="AC20" s="9" t="str">
        <f t="shared" si="0"/>
        <v>B1</v>
      </c>
      <c r="AD20" s="9" t="str">
        <f t="shared" si="1"/>
        <v>Energia convencional pré-pagamento</v>
      </c>
      <c r="AE20" s="9" t="str">
        <f t="shared" si="2"/>
        <v>Residencial</v>
      </c>
      <c r="AF20" s="9" t="str">
        <f t="shared" si="3"/>
        <v>Residencial baixa renda – faixa 04</v>
      </c>
      <c r="AG20" s="9" t="str">
        <f t="shared" si="4"/>
        <v>Não se aplica</v>
      </c>
      <c r="AH20" s="9">
        <v>1</v>
      </c>
      <c r="AI20" s="9">
        <f ca="1">TarifaMedia!$G$20</f>
        <v>0</v>
      </c>
      <c r="AJ20" s="15">
        <f>'TE BE'!$AB20+'TE BF'!$AB20+'TE CVA'!$AB20</f>
        <v>207.63042742196092</v>
      </c>
      <c r="AK20" s="9">
        <v>258.94</v>
      </c>
      <c r="AL20" s="9">
        <f t="shared" ca="1" si="5"/>
        <v>0</v>
      </c>
      <c r="AO20" s="88" t="s">
        <v>902</v>
      </c>
    </row>
    <row r="21" spans="1:41" ht="11.25" customHeight="1" x14ac:dyDescent="0.25">
      <c r="A21" s="146" t="s">
        <v>41</v>
      </c>
      <c r="B21" s="146" t="s">
        <v>74</v>
      </c>
      <c r="C21" s="146" t="s">
        <v>42</v>
      </c>
      <c r="D21" s="146" t="s">
        <v>25</v>
      </c>
      <c r="E21" s="146" t="s">
        <v>25</v>
      </c>
      <c r="F21" s="146" t="s">
        <v>25</v>
      </c>
      <c r="G21" s="29" t="s">
        <v>76</v>
      </c>
      <c r="H21" s="29" t="s">
        <v>75</v>
      </c>
      <c r="I21" s="29">
        <f>'MERCADO TE'!$U$18</f>
        <v>0</v>
      </c>
      <c r="J21" s="15"/>
      <c r="L21" s="26">
        <f>'TE BE'!$L$21*'TE BE'!$L$49</f>
        <v>2.4920263424441011E-6</v>
      </c>
      <c r="M21" s="26">
        <f>'TE BE'!$M$21*'TE BE'!$M$49</f>
        <v>1.2128446024695703</v>
      </c>
      <c r="N21" s="26">
        <f>'TE BE'!$N$21*'TE BE'!$N$49</f>
        <v>0</v>
      </c>
      <c r="O21" s="26">
        <f>'TE BE'!$O$21*'TE BE'!$O$49</f>
        <v>0</v>
      </c>
      <c r="P21" s="26">
        <f>'TE BE'!$P$21*'TE BE'!$P$49</f>
        <v>0</v>
      </c>
      <c r="Q21" s="26">
        <f>SUM($L$21:$P$21)</f>
        <v>1.2128470944959127</v>
      </c>
      <c r="R21" s="26">
        <f>'TE BE'!$R$21*'TE BE'!$R$49</f>
        <v>-4.7432828843260548</v>
      </c>
      <c r="S21" s="26">
        <f>SUM($R$21:$R$21)</f>
        <v>-4.7432828843260548</v>
      </c>
      <c r="T21" s="26">
        <f>'TE BE'!$T$21*'TE BE'!$T$49</f>
        <v>0.886690099780992</v>
      </c>
      <c r="U21" s="26">
        <f>'TE BE'!$U$21*'TE BE'!$U$49</f>
        <v>0.96258762945720244</v>
      </c>
      <c r="V21" s="26">
        <f>'TE BE'!$V$21*'TE BE'!$V$49</f>
        <v>0</v>
      </c>
      <c r="W21" s="26">
        <f>SUM($T$21:$V$21)</f>
        <v>1.8492777292381946</v>
      </c>
      <c r="X21" s="26">
        <f>'TE BE'!$AB$21*'TE BE'!$X$49</f>
        <v>-95.946345103613325</v>
      </c>
      <c r="Y21" s="26">
        <f>SUM($X$21:$X$21)</f>
        <v>-95.946345103613325</v>
      </c>
      <c r="Z21" s="26">
        <f>'TE BE'!$Z$21*'TE BE'!$Z$49</f>
        <v>-7.6530785742854671E-2</v>
      </c>
      <c r="AA21" s="26">
        <f>SUM($Z$21:$Z$21)</f>
        <v>-7.6530785742854671E-2</v>
      </c>
      <c r="AB21" s="26">
        <f ca="1">SUMIF($L$4:$AA$4,"SUBTOTAL",$L$21:$AA$21)+AL21</f>
        <v>-97.704033949948141</v>
      </c>
      <c r="AC21" s="9" t="str">
        <f t="shared" si="0"/>
        <v>B2</v>
      </c>
      <c r="AD21" s="9" t="str">
        <f t="shared" si="1"/>
        <v>Energia horária</v>
      </c>
      <c r="AE21" s="9" t="str">
        <f t="shared" si="2"/>
        <v>Rural</v>
      </c>
      <c r="AF21" s="9" t="str">
        <f t="shared" si="3"/>
        <v>Não se aplica</v>
      </c>
      <c r="AG21" s="9" t="str">
        <f t="shared" si="4"/>
        <v>Não se aplica</v>
      </c>
      <c r="AH21" s="9">
        <v>1</v>
      </c>
      <c r="AI21" s="9">
        <f ca="1">TarifaMedia!$G$20</f>
        <v>0</v>
      </c>
      <c r="AJ21" s="15">
        <f>'TE BE'!$AB21+'TE BF'!$AB21+'TE CVA'!$AB21</f>
        <v>316.97983140624547</v>
      </c>
      <c r="AK21" s="9">
        <f>ROUND(364.8/(1-CUSTOS!$M$38),2)</f>
        <v>388.09</v>
      </c>
      <c r="AL21" s="9">
        <f t="shared" ca="1" si="5"/>
        <v>0</v>
      </c>
      <c r="AO21" s="88" t="s">
        <v>903</v>
      </c>
    </row>
    <row r="22" spans="1:41" ht="11.25" customHeight="1" x14ac:dyDescent="0.25">
      <c r="A22" s="146"/>
      <c r="B22" s="146"/>
      <c r="C22" s="146"/>
      <c r="D22" s="146"/>
      <c r="E22" s="146"/>
      <c r="F22" s="146"/>
      <c r="G22" s="29" t="s">
        <v>88</v>
      </c>
      <c r="H22" s="29" t="s">
        <v>75</v>
      </c>
      <c r="I22" s="29">
        <f>'MERCADO TE'!$U$19</f>
        <v>0</v>
      </c>
      <c r="J22" s="15"/>
      <c r="L22" s="26">
        <f>'TE BE'!$L$22*'TE BE'!$L$49</f>
        <v>2.4920263424441011E-6</v>
      </c>
      <c r="M22" s="26">
        <f>'TE BE'!$M$22*'TE BE'!$M$49</f>
        <v>1.2128446024695703</v>
      </c>
      <c r="N22" s="26">
        <f>'TE BE'!$N$22*'TE BE'!$N$49</f>
        <v>0</v>
      </c>
      <c r="O22" s="26">
        <f>'TE BE'!$O$22*'TE BE'!$O$49</f>
        <v>0</v>
      </c>
      <c r="P22" s="26">
        <f>'TE BE'!$P$22*'TE BE'!$P$49</f>
        <v>0</v>
      </c>
      <c r="Q22" s="26">
        <f>SUM($L$22:$P$22)</f>
        <v>1.2128470944959127</v>
      </c>
      <c r="R22" s="26">
        <f>'TE BE'!$R$22*'TE BE'!$R$49</f>
        <v>-2.7577226071663108</v>
      </c>
      <c r="S22" s="26">
        <f>SUM($R$22:$R$22)</f>
        <v>-2.7577226071663108</v>
      </c>
      <c r="T22" s="26">
        <f>'TE BE'!$T$22*'TE BE'!$T$49</f>
        <v>0.886690099780992</v>
      </c>
      <c r="U22" s="26">
        <f>'TE BE'!$U$22*'TE BE'!$U$49</f>
        <v>0.96258762945720244</v>
      </c>
      <c r="V22" s="26">
        <f>'TE BE'!$V$22*'TE BE'!$V$49</f>
        <v>0</v>
      </c>
      <c r="W22" s="26">
        <f>SUM($T$22:$V$22)</f>
        <v>1.8492777292381946</v>
      </c>
      <c r="X22" s="26">
        <f>'TE BE'!$AB$22*'TE BE'!$X$49</f>
        <v>-58.350793426164429</v>
      </c>
      <c r="Y22" s="26">
        <f>SUM($X$22:$X$22)</f>
        <v>-58.350793426164429</v>
      </c>
      <c r="Z22" s="26">
        <f>'TE BE'!$Z$22*'TE BE'!$Z$49</f>
        <v>-7.6530785742854671E-2</v>
      </c>
      <c r="AA22" s="26">
        <f>SUM($Z$22:$Z$22)</f>
        <v>-7.6530785742854671E-2</v>
      </c>
      <c r="AB22" s="26">
        <f ca="1">SUMIF($L$4:$AA$4,"SUBTOTAL",$L$22:$AA$22)+AL22</f>
        <v>-58.122921995339489</v>
      </c>
      <c r="AC22" s="9" t="str">
        <f t="shared" si="0"/>
        <v>B2</v>
      </c>
      <c r="AD22" s="9" t="str">
        <f t="shared" si="1"/>
        <v>Energia horária</v>
      </c>
      <c r="AE22" s="9" t="str">
        <f t="shared" si="2"/>
        <v>Rural</v>
      </c>
      <c r="AF22" s="9" t="str">
        <f t="shared" si="3"/>
        <v>Não se aplica</v>
      </c>
      <c r="AG22" s="9" t="str">
        <f t="shared" si="4"/>
        <v>Não se aplica</v>
      </c>
      <c r="AH22" s="9">
        <v>1</v>
      </c>
      <c r="AI22" s="9">
        <f ca="1">TarifaMedia!$G$20</f>
        <v>0</v>
      </c>
      <c r="AJ22" s="15">
        <f>'TE BE'!$AB22+'TE BF'!$AB22+'TE CVA'!$AB22</f>
        <v>197.6895725142987</v>
      </c>
      <c r="AK22" s="9">
        <f>ROUND(232.37/(1-CUSTOS!$M$38),2)</f>
        <v>247.2</v>
      </c>
      <c r="AL22" s="9">
        <f t="shared" ca="1" si="5"/>
        <v>0</v>
      </c>
      <c r="AO22" s="88" t="s">
        <v>904</v>
      </c>
    </row>
    <row r="23" spans="1:41" ht="11.25" customHeight="1" x14ac:dyDescent="0.25">
      <c r="A23" s="146"/>
      <c r="B23" s="146"/>
      <c r="C23" s="146"/>
      <c r="D23" s="146"/>
      <c r="E23" s="146"/>
      <c r="F23" s="146"/>
      <c r="G23" s="29" t="s">
        <v>77</v>
      </c>
      <c r="H23" s="29" t="s">
        <v>75</v>
      </c>
      <c r="I23" s="29">
        <f>'MERCADO TE'!$U$20</f>
        <v>0</v>
      </c>
      <c r="J23" s="15"/>
      <c r="L23" s="26">
        <f>'TE BE'!$L$23*'TE BE'!$L$49</f>
        <v>2.4920263424441011E-6</v>
      </c>
      <c r="M23" s="26">
        <f>'TE BE'!$M$23*'TE BE'!$M$49</f>
        <v>1.2128446024695703</v>
      </c>
      <c r="N23" s="26">
        <f>'TE BE'!$N$23*'TE BE'!$N$49</f>
        <v>0</v>
      </c>
      <c r="O23" s="26">
        <f>'TE BE'!$O$23*'TE BE'!$O$49</f>
        <v>0</v>
      </c>
      <c r="P23" s="26">
        <f>'TE BE'!$P$23*'TE BE'!$P$49</f>
        <v>0</v>
      </c>
      <c r="Q23" s="26">
        <f>SUM($L$23:$P$23)</f>
        <v>1.2128470944959127</v>
      </c>
      <c r="R23" s="26">
        <f>'TE BE'!$R$23*'TE BE'!$R$49</f>
        <v>-2.7577226071663108</v>
      </c>
      <c r="S23" s="26">
        <f>SUM($R$23:$R$23)</f>
        <v>-2.7577226071663108</v>
      </c>
      <c r="T23" s="26">
        <f>'TE BE'!$T$23*'TE BE'!$T$49</f>
        <v>0.886690099780992</v>
      </c>
      <c r="U23" s="26">
        <f>'TE BE'!$U$23*'TE BE'!$U$49</f>
        <v>0.96258762945720244</v>
      </c>
      <c r="V23" s="26">
        <f>'TE BE'!$V$23*'TE BE'!$V$49</f>
        <v>0</v>
      </c>
      <c r="W23" s="26">
        <f>SUM($T$23:$V$23)</f>
        <v>1.8492777292381946</v>
      </c>
      <c r="X23" s="26">
        <f>'TE BE'!$AB$23*'TE BE'!$X$49</f>
        <v>-58.350793426164429</v>
      </c>
      <c r="Y23" s="26">
        <f>SUM($X$23:$X$23)</f>
        <v>-58.350793426164429</v>
      </c>
      <c r="Z23" s="26">
        <f>'TE BE'!$Z$23*'TE BE'!$Z$49</f>
        <v>-7.6530785742854671E-2</v>
      </c>
      <c r="AA23" s="26">
        <f>SUM($Z$23:$Z$23)</f>
        <v>-7.6530785742854671E-2</v>
      </c>
      <c r="AB23" s="26">
        <f ca="1">SUMIF($L$4:$AA$4,"SUBTOTAL",$L$23:$AA$23)+AL23</f>
        <v>-58.122921995339489</v>
      </c>
      <c r="AC23" s="9" t="str">
        <f t="shared" si="0"/>
        <v>B2</v>
      </c>
      <c r="AD23" s="9" t="str">
        <f t="shared" si="1"/>
        <v>Energia horária</v>
      </c>
      <c r="AE23" s="9" t="str">
        <f t="shared" si="2"/>
        <v>Rural</v>
      </c>
      <c r="AF23" s="9" t="str">
        <f t="shared" si="3"/>
        <v>Não se aplica</v>
      </c>
      <c r="AG23" s="9" t="str">
        <f t="shared" si="4"/>
        <v>Não se aplica</v>
      </c>
      <c r="AH23" s="9">
        <v>1</v>
      </c>
      <c r="AI23" s="9">
        <f ca="1">TarifaMedia!$G$20</f>
        <v>0</v>
      </c>
      <c r="AJ23" s="15">
        <f>'TE BE'!$AB23+'TE BF'!$AB23+'TE CVA'!$AB23</f>
        <v>197.6895725142987</v>
      </c>
      <c r="AK23" s="9">
        <f>ROUND(232.37/(1-CUSTOS!$M$38),2)</f>
        <v>247.2</v>
      </c>
      <c r="AL23" s="9">
        <f t="shared" ca="1" si="5"/>
        <v>0</v>
      </c>
      <c r="AO23" s="88" t="s">
        <v>905</v>
      </c>
    </row>
    <row r="24" spans="1:41" ht="11.25" customHeight="1" x14ac:dyDescent="0.25">
      <c r="A24" s="146"/>
      <c r="B24" s="28" t="s">
        <v>78</v>
      </c>
      <c r="C24" s="28" t="s">
        <v>42</v>
      </c>
      <c r="D24" s="28" t="s">
        <v>25</v>
      </c>
      <c r="E24" s="28" t="s">
        <v>25</v>
      </c>
      <c r="F24" s="28" t="s">
        <v>25</v>
      </c>
      <c r="G24" s="29" t="s">
        <v>79</v>
      </c>
      <c r="H24" s="29" t="s">
        <v>75</v>
      </c>
      <c r="I24" s="29">
        <f>'MERCADO TE'!$U$21</f>
        <v>3335.7969999999996</v>
      </c>
      <c r="J24" s="15"/>
      <c r="L24" s="26">
        <f>'TE BE'!$L$24*'TE BE'!$L$49</f>
        <v>2.4920263424441011E-6</v>
      </c>
      <c r="M24" s="26">
        <f>'TE BE'!$M$24*'TE BE'!$M$49</f>
        <v>1.2128446024695703</v>
      </c>
      <c r="N24" s="26">
        <f>'TE BE'!$N$24*'TE BE'!$N$49</f>
        <v>0</v>
      </c>
      <c r="O24" s="26">
        <f>'TE BE'!$O$24*'TE BE'!$O$49</f>
        <v>0</v>
      </c>
      <c r="P24" s="26">
        <f>'TE BE'!$P$24*'TE BE'!$P$49</f>
        <v>0</v>
      </c>
      <c r="Q24" s="26">
        <f>SUM($L$24:$P$24)</f>
        <v>1.2128470944959127</v>
      </c>
      <c r="R24" s="26">
        <f>'TE BE'!$R$24*'TE BE'!$R$49</f>
        <v>-2.9231859635962891</v>
      </c>
      <c r="S24" s="26">
        <f>SUM($R$24:$R$24)</f>
        <v>-2.9231859635962891</v>
      </c>
      <c r="T24" s="26">
        <f>'TE BE'!$T$24*'TE BE'!$T$49</f>
        <v>0.886690099780992</v>
      </c>
      <c r="U24" s="26">
        <f>'TE BE'!$U$24*'TE BE'!$U$49</f>
        <v>0.96258762945720244</v>
      </c>
      <c r="V24" s="26">
        <f>'TE BE'!$V$24*'TE BE'!$V$49</f>
        <v>0</v>
      </c>
      <c r="W24" s="26">
        <f>SUM($T$24:$V$24)</f>
        <v>1.8492777292381946</v>
      </c>
      <c r="X24" s="26">
        <f>'TE BE'!$AB$24*'TE BE'!$X$49</f>
        <v>-61.483756065951837</v>
      </c>
      <c r="Y24" s="26">
        <f>SUM($X$24:$X$24)</f>
        <v>-61.483756065951837</v>
      </c>
      <c r="Z24" s="26">
        <f>'TE BE'!$Z$24*'TE BE'!$Z$49</f>
        <v>-7.6530785742854671E-2</v>
      </c>
      <c r="AA24" s="26">
        <f>SUM($Z$24:$Z$24)</f>
        <v>-7.6530785742854671E-2</v>
      </c>
      <c r="AB24" s="26">
        <f ca="1">SUMIF($L$4:$AA$4,"SUBTOTAL",$L$24:$AA$24)+AL24</f>
        <v>-61.421347991556871</v>
      </c>
      <c r="AC24" s="9" t="str">
        <f t="shared" si="0"/>
        <v>B2</v>
      </c>
      <c r="AD24" s="9" t="str">
        <f t="shared" si="1"/>
        <v>Energia convencional</v>
      </c>
      <c r="AE24" s="9" t="str">
        <f t="shared" si="2"/>
        <v>Rural</v>
      </c>
      <c r="AF24" s="9" t="str">
        <f t="shared" si="3"/>
        <v>Não se aplica</v>
      </c>
      <c r="AG24" s="9" t="str">
        <f t="shared" si="4"/>
        <v>Não se aplica</v>
      </c>
      <c r="AH24" s="9">
        <v>1</v>
      </c>
      <c r="AI24" s="9">
        <f ca="1">TarifaMedia!$G$20</f>
        <v>0</v>
      </c>
      <c r="AJ24" s="15">
        <f>'TE BE'!$AB24+'TE BF'!$AB24+'TE CVA'!$AB24</f>
        <v>207.63042742196092</v>
      </c>
      <c r="AK24" s="9">
        <v>258.94</v>
      </c>
      <c r="AL24" s="9">
        <f t="shared" ca="1" si="5"/>
        <v>0</v>
      </c>
      <c r="AO24" s="88" t="s">
        <v>899</v>
      </c>
    </row>
    <row r="25" spans="1:41" ht="11.25" customHeight="1" x14ac:dyDescent="0.25">
      <c r="A25" s="146"/>
      <c r="B25" s="146" t="s">
        <v>74</v>
      </c>
      <c r="C25" s="146" t="s">
        <v>42</v>
      </c>
      <c r="D25" s="146" t="s">
        <v>91</v>
      </c>
      <c r="E25" s="146" t="s">
        <v>25</v>
      </c>
      <c r="F25" s="146" t="s">
        <v>25</v>
      </c>
      <c r="G25" s="29" t="s">
        <v>76</v>
      </c>
      <c r="H25" s="29" t="s">
        <v>75</v>
      </c>
      <c r="I25" s="29">
        <f>'MERCADO TE'!$U$22</f>
        <v>0</v>
      </c>
      <c r="J25" s="15"/>
      <c r="L25" s="26">
        <f>'TE BE'!$L$25*'TE BE'!$L$49</f>
        <v>2.4920263424441011E-6</v>
      </c>
      <c r="M25" s="26">
        <f>'TE BE'!$M$25*'TE BE'!$M$49</f>
        <v>1.2128446024695703</v>
      </c>
      <c r="N25" s="26">
        <f>'TE BE'!$N$25*'TE BE'!$N$49</f>
        <v>0</v>
      </c>
      <c r="O25" s="26">
        <f>'TE BE'!$O$25*'TE BE'!$O$49</f>
        <v>0</v>
      </c>
      <c r="P25" s="26">
        <f>'TE BE'!$P$25*'TE BE'!$P$49</f>
        <v>0</v>
      </c>
      <c r="Q25" s="26">
        <f>SUM($L$25:$P$25)</f>
        <v>1.2128470944959127</v>
      </c>
      <c r="R25" s="26">
        <f>'TE BE'!$R$25*'TE BE'!$R$49</f>
        <v>-4.7432828843260548</v>
      </c>
      <c r="S25" s="26">
        <f>SUM($R$25:$R$25)</f>
        <v>-4.7432828843260548</v>
      </c>
      <c r="T25" s="26">
        <f>'TE BE'!$T$25*'TE BE'!$T$49</f>
        <v>0.886690099780992</v>
      </c>
      <c r="U25" s="26">
        <f>'TE BE'!$U$25*'TE BE'!$U$49</f>
        <v>0.96258762945720244</v>
      </c>
      <c r="V25" s="26">
        <f>'TE BE'!$V$25*'TE BE'!$V$49</f>
        <v>0</v>
      </c>
      <c r="W25" s="26">
        <f>SUM($T$25:$V$25)</f>
        <v>1.8492777292381946</v>
      </c>
      <c r="X25" s="26">
        <f>'TE BE'!$AB$25*'TE BE'!$X$49</f>
        <v>-95.946345103613325</v>
      </c>
      <c r="Y25" s="26">
        <f>SUM($X$25:$X$25)</f>
        <v>-95.946345103613325</v>
      </c>
      <c r="Z25" s="26">
        <f>'TE BE'!$Z$25*'TE BE'!$Z$49</f>
        <v>-7.6530785742854671E-2</v>
      </c>
      <c r="AA25" s="26">
        <f>SUM($Z$25:$Z$25)</f>
        <v>-7.6530785742854671E-2</v>
      </c>
      <c r="AB25" s="26">
        <f ca="1">SUMIF($L$4:$AA$4,"SUBTOTAL",$L$25:$AA$25)+AL25</f>
        <v>-97.704033949948141</v>
      </c>
      <c r="AC25" s="9" t="str">
        <f t="shared" si="0"/>
        <v>B2</v>
      </c>
      <c r="AD25" s="9" t="str">
        <f t="shared" si="1"/>
        <v>Energia horária</v>
      </c>
      <c r="AE25" s="9" t="str">
        <f t="shared" si="2"/>
        <v>Rural</v>
      </c>
      <c r="AF25" s="9" t="str">
        <f t="shared" si="3"/>
        <v>Cooperativa de eletrificação rural</v>
      </c>
      <c r="AG25" s="9" t="str">
        <f t="shared" si="4"/>
        <v>Não se aplica</v>
      </c>
      <c r="AH25" s="9">
        <v>1</v>
      </c>
      <c r="AI25" s="9">
        <f ca="1">TarifaMedia!$G$20</f>
        <v>0</v>
      </c>
      <c r="AJ25" s="15">
        <f>'TE BE'!$AB25+'TE BF'!$AB25+'TE CVA'!$AB25</f>
        <v>316.97983140624547</v>
      </c>
      <c r="AK25" s="9">
        <f>ROUND(364.8/(1-CUSTOS!$M$38),2)</f>
        <v>388.09</v>
      </c>
      <c r="AL25" s="9">
        <f t="shared" ca="1" si="5"/>
        <v>0</v>
      </c>
      <c r="AO25" s="88" t="s">
        <v>903</v>
      </c>
    </row>
    <row r="26" spans="1:41" ht="11.25" customHeight="1" x14ac:dyDescent="0.25">
      <c r="A26" s="146"/>
      <c r="B26" s="146"/>
      <c r="C26" s="146"/>
      <c r="D26" s="146"/>
      <c r="E26" s="146"/>
      <c r="F26" s="146"/>
      <c r="G26" s="29" t="s">
        <v>88</v>
      </c>
      <c r="H26" s="29" t="s">
        <v>75</v>
      </c>
      <c r="I26" s="29">
        <f>'MERCADO TE'!$U$23</f>
        <v>0</v>
      </c>
      <c r="J26" s="15"/>
      <c r="L26" s="26">
        <f>'TE BE'!$L$26*'TE BE'!$L$49</f>
        <v>2.4920263424441011E-6</v>
      </c>
      <c r="M26" s="26">
        <f>'TE BE'!$M$26*'TE BE'!$M$49</f>
        <v>1.2128446024695703</v>
      </c>
      <c r="N26" s="26">
        <f>'TE BE'!$N$26*'TE BE'!$N$49</f>
        <v>0</v>
      </c>
      <c r="O26" s="26">
        <f>'TE BE'!$O$26*'TE BE'!$O$49</f>
        <v>0</v>
      </c>
      <c r="P26" s="26">
        <f>'TE BE'!$P$26*'TE BE'!$P$49</f>
        <v>0</v>
      </c>
      <c r="Q26" s="26">
        <f>SUM($L$26:$P$26)</f>
        <v>1.2128470944959127</v>
      </c>
      <c r="R26" s="26">
        <f>'TE BE'!$R$26*'TE BE'!$R$49</f>
        <v>-2.7577226071663108</v>
      </c>
      <c r="S26" s="26">
        <f>SUM($R$26:$R$26)</f>
        <v>-2.7577226071663108</v>
      </c>
      <c r="T26" s="26">
        <f>'TE BE'!$T$26*'TE BE'!$T$49</f>
        <v>0.886690099780992</v>
      </c>
      <c r="U26" s="26">
        <f>'TE BE'!$U$26*'TE BE'!$U$49</f>
        <v>0.96258762945720244</v>
      </c>
      <c r="V26" s="26">
        <f>'TE BE'!$V$26*'TE BE'!$V$49</f>
        <v>0</v>
      </c>
      <c r="W26" s="26">
        <f>SUM($T$26:$V$26)</f>
        <v>1.8492777292381946</v>
      </c>
      <c r="X26" s="26">
        <f>'TE BE'!$AB$26*'TE BE'!$X$49</f>
        <v>-58.350793426164429</v>
      </c>
      <c r="Y26" s="26">
        <f>SUM($X$26:$X$26)</f>
        <v>-58.350793426164429</v>
      </c>
      <c r="Z26" s="26">
        <f>'TE BE'!$Z$26*'TE BE'!$Z$49</f>
        <v>-7.6530785742854671E-2</v>
      </c>
      <c r="AA26" s="26">
        <f>SUM($Z$26:$Z$26)</f>
        <v>-7.6530785742854671E-2</v>
      </c>
      <c r="AB26" s="26">
        <f ca="1">SUMIF($L$4:$AA$4,"SUBTOTAL",$L$26:$AA$26)+AL26</f>
        <v>-58.122921995339489</v>
      </c>
      <c r="AC26" s="9" t="str">
        <f t="shared" si="0"/>
        <v>B2</v>
      </c>
      <c r="AD26" s="9" t="str">
        <f t="shared" si="1"/>
        <v>Energia horária</v>
      </c>
      <c r="AE26" s="9" t="str">
        <f t="shared" si="2"/>
        <v>Rural</v>
      </c>
      <c r="AF26" s="9" t="str">
        <f t="shared" si="3"/>
        <v>Cooperativa de eletrificação rural</v>
      </c>
      <c r="AG26" s="9" t="str">
        <f t="shared" si="4"/>
        <v>Não se aplica</v>
      </c>
      <c r="AH26" s="9">
        <v>1</v>
      </c>
      <c r="AI26" s="9">
        <f ca="1">TarifaMedia!$G$20</f>
        <v>0</v>
      </c>
      <c r="AJ26" s="15">
        <f>'TE BE'!$AB26+'TE BF'!$AB26+'TE CVA'!$AB26</f>
        <v>197.6895725142987</v>
      </c>
      <c r="AK26" s="9">
        <f>ROUND(232.37/(1-CUSTOS!$M$38),2)</f>
        <v>247.2</v>
      </c>
      <c r="AL26" s="9">
        <f t="shared" ca="1" si="5"/>
        <v>0</v>
      </c>
      <c r="AO26" s="88" t="s">
        <v>904</v>
      </c>
    </row>
    <row r="27" spans="1:41" ht="11.25" customHeight="1" x14ac:dyDescent="0.25">
      <c r="A27" s="146"/>
      <c r="B27" s="146"/>
      <c r="C27" s="146"/>
      <c r="D27" s="146"/>
      <c r="E27" s="146"/>
      <c r="F27" s="146"/>
      <c r="G27" s="29" t="s">
        <v>77</v>
      </c>
      <c r="H27" s="29" t="s">
        <v>75</v>
      </c>
      <c r="I27" s="29">
        <f>'MERCADO TE'!$U$24</f>
        <v>0</v>
      </c>
      <c r="J27" s="15"/>
      <c r="L27" s="26">
        <f>'TE BE'!$L$27*'TE BE'!$L$49</f>
        <v>2.4920263424441011E-6</v>
      </c>
      <c r="M27" s="26">
        <f>'TE BE'!$M$27*'TE BE'!$M$49</f>
        <v>1.2128446024695703</v>
      </c>
      <c r="N27" s="26">
        <f>'TE BE'!$N$27*'TE BE'!$N$49</f>
        <v>0</v>
      </c>
      <c r="O27" s="26">
        <f>'TE BE'!$O$27*'TE BE'!$O$49</f>
        <v>0</v>
      </c>
      <c r="P27" s="26">
        <f>'TE BE'!$P$27*'TE BE'!$P$49</f>
        <v>0</v>
      </c>
      <c r="Q27" s="26">
        <f>SUM($L$27:$P$27)</f>
        <v>1.2128470944959127</v>
      </c>
      <c r="R27" s="26">
        <f>'TE BE'!$R$27*'TE BE'!$R$49</f>
        <v>-2.7577226071663108</v>
      </c>
      <c r="S27" s="26">
        <f>SUM($R$27:$R$27)</f>
        <v>-2.7577226071663108</v>
      </c>
      <c r="T27" s="26">
        <f>'TE BE'!$T$27*'TE BE'!$T$49</f>
        <v>0.886690099780992</v>
      </c>
      <c r="U27" s="26">
        <f>'TE BE'!$U$27*'TE BE'!$U$49</f>
        <v>0.96258762945720244</v>
      </c>
      <c r="V27" s="26">
        <f>'TE BE'!$V$27*'TE BE'!$V$49</f>
        <v>0</v>
      </c>
      <c r="W27" s="26">
        <f>SUM($T$27:$V$27)</f>
        <v>1.8492777292381946</v>
      </c>
      <c r="X27" s="26">
        <f>'TE BE'!$AB$27*'TE BE'!$X$49</f>
        <v>-58.350793426164429</v>
      </c>
      <c r="Y27" s="26">
        <f>SUM($X$27:$X$27)</f>
        <v>-58.350793426164429</v>
      </c>
      <c r="Z27" s="26">
        <f>'TE BE'!$Z$27*'TE BE'!$Z$49</f>
        <v>-7.6530785742854671E-2</v>
      </c>
      <c r="AA27" s="26">
        <f>SUM($Z$27:$Z$27)</f>
        <v>-7.6530785742854671E-2</v>
      </c>
      <c r="AB27" s="26">
        <f ca="1">SUMIF($L$4:$AA$4,"SUBTOTAL",$L$27:$AA$27)+AL27</f>
        <v>-58.122921995339489</v>
      </c>
      <c r="AC27" s="9" t="str">
        <f t="shared" si="0"/>
        <v>B2</v>
      </c>
      <c r="AD27" s="9" t="str">
        <f t="shared" si="1"/>
        <v>Energia horária</v>
      </c>
      <c r="AE27" s="9" t="str">
        <f t="shared" si="2"/>
        <v>Rural</v>
      </c>
      <c r="AF27" s="9" t="str">
        <f t="shared" si="3"/>
        <v>Cooperativa de eletrificação rural</v>
      </c>
      <c r="AG27" s="9" t="str">
        <f t="shared" si="4"/>
        <v>Não se aplica</v>
      </c>
      <c r="AH27" s="9">
        <v>1</v>
      </c>
      <c r="AI27" s="9">
        <f ca="1">TarifaMedia!$G$20</f>
        <v>0</v>
      </c>
      <c r="AJ27" s="15">
        <f>'TE BE'!$AB27+'TE BF'!$AB27+'TE CVA'!$AB27</f>
        <v>197.6895725142987</v>
      </c>
      <c r="AK27" s="9">
        <f>ROUND(232.37/(1-CUSTOS!$M$38),2)</f>
        <v>247.2</v>
      </c>
      <c r="AL27" s="9">
        <f t="shared" ca="1" si="5"/>
        <v>0</v>
      </c>
      <c r="AO27" s="88" t="s">
        <v>905</v>
      </c>
    </row>
    <row r="28" spans="1:41" ht="11.25" customHeight="1" x14ac:dyDescent="0.25">
      <c r="A28" s="146"/>
      <c r="B28" s="28" t="s">
        <v>78</v>
      </c>
      <c r="C28" s="28" t="s">
        <v>42</v>
      </c>
      <c r="D28" s="28" t="s">
        <v>91</v>
      </c>
      <c r="E28" s="28" t="s">
        <v>25</v>
      </c>
      <c r="F28" s="28" t="s">
        <v>25</v>
      </c>
      <c r="G28" s="29" t="s">
        <v>79</v>
      </c>
      <c r="H28" s="29" t="s">
        <v>75</v>
      </c>
      <c r="I28" s="29">
        <f>'MERCADO TE'!$U$25</f>
        <v>0</v>
      </c>
      <c r="J28" s="15"/>
      <c r="L28" s="26">
        <f>'TE BE'!$L$28*'TE BE'!$L$49</f>
        <v>2.4920263424441011E-6</v>
      </c>
      <c r="M28" s="26">
        <f>'TE BE'!$M$28*'TE BE'!$M$49</f>
        <v>1.2128446024695703</v>
      </c>
      <c r="N28" s="26">
        <f>'TE BE'!$N$28*'TE BE'!$N$49</f>
        <v>0</v>
      </c>
      <c r="O28" s="26">
        <f>'TE BE'!$O$28*'TE BE'!$O$49</f>
        <v>0</v>
      </c>
      <c r="P28" s="26">
        <f>'TE BE'!$P$28*'TE BE'!$P$49</f>
        <v>0</v>
      </c>
      <c r="Q28" s="26">
        <f>SUM($L$28:$P$28)</f>
        <v>1.2128470944959127</v>
      </c>
      <c r="R28" s="26">
        <f>'TE BE'!$R$28*'TE BE'!$R$49</f>
        <v>-2.9231859635962891</v>
      </c>
      <c r="S28" s="26">
        <f>SUM($R$28:$R$28)</f>
        <v>-2.9231859635962891</v>
      </c>
      <c r="T28" s="26">
        <f>'TE BE'!$T$28*'TE BE'!$T$49</f>
        <v>0.886690099780992</v>
      </c>
      <c r="U28" s="26">
        <f>'TE BE'!$U$28*'TE BE'!$U$49</f>
        <v>0.96258762945720244</v>
      </c>
      <c r="V28" s="26">
        <f>'TE BE'!$V$28*'TE BE'!$V$49</f>
        <v>0</v>
      </c>
      <c r="W28" s="26">
        <f>SUM($T$28:$V$28)</f>
        <v>1.8492777292381946</v>
      </c>
      <c r="X28" s="26">
        <f>'TE BE'!$AB$28*'TE BE'!$X$49</f>
        <v>-61.483756065951837</v>
      </c>
      <c r="Y28" s="26">
        <f>SUM($X$28:$X$28)</f>
        <v>-61.483756065951837</v>
      </c>
      <c r="Z28" s="26">
        <f>'TE BE'!$Z$28*'TE BE'!$Z$49</f>
        <v>-7.6530785742854671E-2</v>
      </c>
      <c r="AA28" s="26">
        <f>SUM($Z$28:$Z$28)</f>
        <v>-7.6530785742854671E-2</v>
      </c>
      <c r="AB28" s="26">
        <f ca="1">SUMIF($L$4:$AA$4,"SUBTOTAL",$L$28:$AA$28)+AL28</f>
        <v>-61.421347991556871</v>
      </c>
      <c r="AC28" s="9" t="str">
        <f t="shared" si="0"/>
        <v>B2</v>
      </c>
      <c r="AD28" s="9" t="str">
        <f t="shared" si="1"/>
        <v>Energia convencional</v>
      </c>
      <c r="AE28" s="9" t="str">
        <f t="shared" si="2"/>
        <v>Rural</v>
      </c>
      <c r="AF28" s="9" t="str">
        <f t="shared" si="3"/>
        <v>Cooperativa de eletrificação rural</v>
      </c>
      <c r="AG28" s="9" t="str">
        <f t="shared" si="4"/>
        <v>Não se aplica</v>
      </c>
      <c r="AH28" s="9">
        <v>1</v>
      </c>
      <c r="AI28" s="9">
        <f ca="1">TarifaMedia!$G$20</f>
        <v>0</v>
      </c>
      <c r="AJ28" s="15">
        <f>'TE BE'!$AB28+'TE BF'!$AB28+'TE CVA'!$AB28</f>
        <v>207.63042742196092</v>
      </c>
      <c r="AK28" s="9">
        <v>258.94</v>
      </c>
      <c r="AL28" s="9">
        <f t="shared" ca="1" si="5"/>
        <v>0</v>
      </c>
      <c r="AO28" s="88" t="s">
        <v>899</v>
      </c>
    </row>
    <row r="29" spans="1:41" ht="11.25" customHeight="1" x14ac:dyDescent="0.25">
      <c r="A29" s="146"/>
      <c r="B29" s="146" t="s">
        <v>74</v>
      </c>
      <c r="C29" s="146" t="s">
        <v>42</v>
      </c>
      <c r="D29" s="146" t="s">
        <v>92</v>
      </c>
      <c r="E29" s="146" t="s">
        <v>25</v>
      </c>
      <c r="F29" s="146" t="s">
        <v>25</v>
      </c>
      <c r="G29" s="29" t="s">
        <v>76</v>
      </c>
      <c r="H29" s="29" t="s">
        <v>75</v>
      </c>
      <c r="I29" s="29">
        <f>'MERCADO TE'!$U$26</f>
        <v>0</v>
      </c>
      <c r="J29" s="15"/>
      <c r="L29" s="26">
        <f>'TE BE'!$L$29*'TE BE'!$L$49</f>
        <v>2.4920263424441011E-6</v>
      </c>
      <c r="M29" s="26">
        <f>'TE BE'!$M$29*'TE BE'!$M$49</f>
        <v>1.2128446024695703</v>
      </c>
      <c r="N29" s="26">
        <f>'TE BE'!$N$29*'TE BE'!$N$49</f>
        <v>0</v>
      </c>
      <c r="O29" s="26">
        <f>'TE BE'!$O$29*'TE BE'!$O$49</f>
        <v>0</v>
      </c>
      <c r="P29" s="26">
        <f>'TE BE'!$P$29*'TE BE'!$P$49</f>
        <v>0</v>
      </c>
      <c r="Q29" s="26">
        <f>SUM($L$29:$P$29)</f>
        <v>1.2128470944959127</v>
      </c>
      <c r="R29" s="26">
        <f>'TE BE'!$R$29*'TE BE'!$R$49</f>
        <v>-4.7432828843260548</v>
      </c>
      <c r="S29" s="26">
        <f>SUM($R$29:$R$29)</f>
        <v>-4.7432828843260548</v>
      </c>
      <c r="T29" s="26">
        <f>'TE BE'!$T$29*'TE BE'!$T$49</f>
        <v>0.886690099780992</v>
      </c>
      <c r="U29" s="26">
        <f>'TE BE'!$U$29*'TE BE'!$U$49</f>
        <v>0.96258762945720244</v>
      </c>
      <c r="V29" s="26">
        <f>'TE BE'!$V$29*'TE BE'!$V$49</f>
        <v>0</v>
      </c>
      <c r="W29" s="26">
        <f>SUM($T$29:$V$29)</f>
        <v>1.8492777292381946</v>
      </c>
      <c r="X29" s="26">
        <f>'TE BE'!$AB$29*'TE BE'!$X$49</f>
        <v>-95.946345103613325</v>
      </c>
      <c r="Y29" s="26">
        <f>SUM($X$29:$X$29)</f>
        <v>-95.946345103613325</v>
      </c>
      <c r="Z29" s="26">
        <f>'TE BE'!$Z$29*'TE BE'!$Z$49</f>
        <v>-7.6530785742854671E-2</v>
      </c>
      <c r="AA29" s="26">
        <f>SUM($Z$29:$Z$29)</f>
        <v>-7.6530785742854671E-2</v>
      </c>
      <c r="AB29" s="26">
        <f ca="1">SUMIF($L$4:$AA$4,"SUBTOTAL",$L$29:$AA$29)+AL29</f>
        <v>-97.704033949948141</v>
      </c>
      <c r="AC29" s="9" t="str">
        <f t="shared" si="0"/>
        <v>B2</v>
      </c>
      <c r="AD29" s="9" t="str">
        <f t="shared" si="1"/>
        <v>Energia horária</v>
      </c>
      <c r="AE29" s="9" t="str">
        <f t="shared" si="2"/>
        <v>Rural</v>
      </c>
      <c r="AF29" s="9" t="str">
        <f t="shared" si="3"/>
        <v>Serviço público de irrigação rural</v>
      </c>
      <c r="AG29" s="9" t="str">
        <f t="shared" si="4"/>
        <v>Não se aplica</v>
      </c>
      <c r="AH29" s="9">
        <v>1</v>
      </c>
      <c r="AI29" s="9">
        <f ca="1">TarifaMedia!$G$20</f>
        <v>0</v>
      </c>
      <c r="AJ29" s="15">
        <f>'TE BE'!$AB29+'TE BF'!$AB29+'TE CVA'!$AB29</f>
        <v>316.97983140624547</v>
      </c>
      <c r="AK29" s="9">
        <f>ROUND(364.8/(1-CUSTOS!$M$38),2)</f>
        <v>388.09</v>
      </c>
      <c r="AL29" s="9">
        <f t="shared" ca="1" si="5"/>
        <v>0</v>
      </c>
      <c r="AO29" s="88" t="s">
        <v>903</v>
      </c>
    </row>
    <row r="30" spans="1:41" ht="11.25" customHeight="1" x14ac:dyDescent="0.25">
      <c r="A30" s="146"/>
      <c r="B30" s="146"/>
      <c r="C30" s="146"/>
      <c r="D30" s="146"/>
      <c r="E30" s="146"/>
      <c r="F30" s="146"/>
      <c r="G30" s="29" t="s">
        <v>88</v>
      </c>
      <c r="H30" s="29" t="s">
        <v>75</v>
      </c>
      <c r="I30" s="29">
        <f>'MERCADO TE'!$U$27</f>
        <v>0</v>
      </c>
      <c r="J30" s="15"/>
      <c r="L30" s="26">
        <f>'TE BE'!$L$30*'TE BE'!$L$49</f>
        <v>2.4920263424441011E-6</v>
      </c>
      <c r="M30" s="26">
        <f>'TE BE'!$M$30*'TE BE'!$M$49</f>
        <v>1.2128446024695703</v>
      </c>
      <c r="N30" s="26">
        <f>'TE BE'!$N$30*'TE BE'!$N$49</f>
        <v>0</v>
      </c>
      <c r="O30" s="26">
        <f>'TE BE'!$O$30*'TE BE'!$O$49</f>
        <v>0</v>
      </c>
      <c r="P30" s="26">
        <f>'TE BE'!$P$30*'TE BE'!$P$49</f>
        <v>0</v>
      </c>
      <c r="Q30" s="26">
        <f>SUM($L$30:$P$30)</f>
        <v>1.2128470944959127</v>
      </c>
      <c r="R30" s="26">
        <f>'TE BE'!$R$30*'TE BE'!$R$49</f>
        <v>-2.7577226071663108</v>
      </c>
      <c r="S30" s="26">
        <f>SUM($R$30:$R$30)</f>
        <v>-2.7577226071663108</v>
      </c>
      <c r="T30" s="26">
        <f>'TE BE'!$T$30*'TE BE'!$T$49</f>
        <v>0.886690099780992</v>
      </c>
      <c r="U30" s="26">
        <f>'TE BE'!$U$30*'TE BE'!$U$49</f>
        <v>0.96258762945720244</v>
      </c>
      <c r="V30" s="26">
        <f>'TE BE'!$V$30*'TE BE'!$V$49</f>
        <v>0</v>
      </c>
      <c r="W30" s="26">
        <f>SUM($T$30:$V$30)</f>
        <v>1.8492777292381946</v>
      </c>
      <c r="X30" s="26">
        <f>'TE BE'!$AB$30*'TE BE'!$X$49</f>
        <v>-58.350793426164429</v>
      </c>
      <c r="Y30" s="26">
        <f>SUM($X$30:$X$30)</f>
        <v>-58.350793426164429</v>
      </c>
      <c r="Z30" s="26">
        <f>'TE BE'!$Z$30*'TE BE'!$Z$49</f>
        <v>-7.6530785742854671E-2</v>
      </c>
      <c r="AA30" s="26">
        <f>SUM($Z$30:$Z$30)</f>
        <v>-7.6530785742854671E-2</v>
      </c>
      <c r="AB30" s="26">
        <f ca="1">SUMIF($L$4:$AA$4,"SUBTOTAL",$L$30:$AA$30)+AL30</f>
        <v>-58.122921995339489</v>
      </c>
      <c r="AC30" s="9" t="str">
        <f t="shared" si="0"/>
        <v>B2</v>
      </c>
      <c r="AD30" s="9" t="str">
        <f t="shared" si="1"/>
        <v>Energia horária</v>
      </c>
      <c r="AE30" s="9" t="str">
        <f t="shared" si="2"/>
        <v>Rural</v>
      </c>
      <c r="AF30" s="9" t="str">
        <f t="shared" si="3"/>
        <v>Serviço público de irrigação rural</v>
      </c>
      <c r="AG30" s="9" t="str">
        <f t="shared" si="4"/>
        <v>Não se aplica</v>
      </c>
      <c r="AH30" s="9">
        <v>1</v>
      </c>
      <c r="AI30" s="9">
        <f ca="1">TarifaMedia!$G$20</f>
        <v>0</v>
      </c>
      <c r="AJ30" s="15">
        <f>'TE BE'!$AB30+'TE BF'!$AB30+'TE CVA'!$AB30</f>
        <v>197.6895725142987</v>
      </c>
      <c r="AK30" s="9">
        <f>ROUND(232.37/(1-CUSTOS!$M$38),2)</f>
        <v>247.2</v>
      </c>
      <c r="AL30" s="9">
        <f t="shared" ca="1" si="5"/>
        <v>0</v>
      </c>
      <c r="AO30" s="88" t="s">
        <v>904</v>
      </c>
    </row>
    <row r="31" spans="1:41" ht="11.25" customHeight="1" x14ac:dyDescent="0.25">
      <c r="A31" s="146"/>
      <c r="B31" s="146"/>
      <c r="C31" s="146"/>
      <c r="D31" s="146"/>
      <c r="E31" s="146"/>
      <c r="F31" s="146"/>
      <c r="G31" s="29" t="s">
        <v>77</v>
      </c>
      <c r="H31" s="29" t="s">
        <v>75</v>
      </c>
      <c r="I31" s="29">
        <f>'MERCADO TE'!$U$28</f>
        <v>0</v>
      </c>
      <c r="J31" s="15"/>
      <c r="L31" s="26">
        <f>'TE BE'!$L$31*'TE BE'!$L$49</f>
        <v>2.4920263424441011E-6</v>
      </c>
      <c r="M31" s="26">
        <f>'TE BE'!$M$31*'TE BE'!$M$49</f>
        <v>1.2128446024695703</v>
      </c>
      <c r="N31" s="26">
        <f>'TE BE'!$N$31*'TE BE'!$N$49</f>
        <v>0</v>
      </c>
      <c r="O31" s="26">
        <f>'TE BE'!$O$31*'TE BE'!$O$49</f>
        <v>0</v>
      </c>
      <c r="P31" s="26">
        <f>'TE BE'!$P$31*'TE BE'!$P$49</f>
        <v>0</v>
      </c>
      <c r="Q31" s="26">
        <f>SUM($L$31:$P$31)</f>
        <v>1.2128470944959127</v>
      </c>
      <c r="R31" s="26">
        <f>'TE BE'!$R$31*'TE BE'!$R$49</f>
        <v>-2.7577226071663108</v>
      </c>
      <c r="S31" s="26">
        <f>SUM($R$31:$R$31)</f>
        <v>-2.7577226071663108</v>
      </c>
      <c r="T31" s="26">
        <f>'TE BE'!$T$31*'TE BE'!$T$49</f>
        <v>0.886690099780992</v>
      </c>
      <c r="U31" s="26">
        <f>'TE BE'!$U$31*'TE BE'!$U$49</f>
        <v>0.96258762945720244</v>
      </c>
      <c r="V31" s="26">
        <f>'TE BE'!$V$31*'TE BE'!$V$49</f>
        <v>0</v>
      </c>
      <c r="W31" s="26">
        <f>SUM($T$31:$V$31)</f>
        <v>1.8492777292381946</v>
      </c>
      <c r="X31" s="26">
        <f>'TE BE'!$AB$31*'TE BE'!$X$49</f>
        <v>-58.350793426164429</v>
      </c>
      <c r="Y31" s="26">
        <f>SUM($X$31:$X$31)</f>
        <v>-58.350793426164429</v>
      </c>
      <c r="Z31" s="26">
        <f>'TE BE'!$Z$31*'TE BE'!$Z$49</f>
        <v>-7.6530785742854671E-2</v>
      </c>
      <c r="AA31" s="26">
        <f>SUM($Z$31:$Z$31)</f>
        <v>-7.6530785742854671E-2</v>
      </c>
      <c r="AB31" s="26">
        <f ca="1">SUMIF($L$4:$AA$4,"SUBTOTAL",$L$31:$AA$31)+AL31</f>
        <v>-58.122921995339489</v>
      </c>
      <c r="AC31" s="9" t="str">
        <f t="shared" si="0"/>
        <v>B2</v>
      </c>
      <c r="AD31" s="9" t="str">
        <f t="shared" si="1"/>
        <v>Energia horária</v>
      </c>
      <c r="AE31" s="9" t="str">
        <f t="shared" si="2"/>
        <v>Rural</v>
      </c>
      <c r="AF31" s="9" t="str">
        <f t="shared" si="3"/>
        <v>Serviço público de irrigação rural</v>
      </c>
      <c r="AG31" s="9" t="str">
        <f t="shared" si="4"/>
        <v>Não se aplica</v>
      </c>
      <c r="AH31" s="9">
        <v>1</v>
      </c>
      <c r="AI31" s="9">
        <f ca="1">TarifaMedia!$G$20</f>
        <v>0</v>
      </c>
      <c r="AJ31" s="15">
        <f>'TE BE'!$AB31+'TE BF'!$AB31+'TE CVA'!$AB31</f>
        <v>197.6895725142987</v>
      </c>
      <c r="AK31" s="9">
        <f>ROUND(232.37/(1-CUSTOS!$M$38),2)</f>
        <v>247.2</v>
      </c>
      <c r="AL31" s="9">
        <f t="shared" ca="1" si="5"/>
        <v>0</v>
      </c>
      <c r="AO31" s="88" t="s">
        <v>905</v>
      </c>
    </row>
    <row r="32" spans="1:41" ht="11.25" customHeight="1" x14ac:dyDescent="0.25">
      <c r="A32" s="146"/>
      <c r="B32" s="28" t="s">
        <v>78</v>
      </c>
      <c r="C32" s="28" t="s">
        <v>42</v>
      </c>
      <c r="D32" s="28" t="s">
        <v>92</v>
      </c>
      <c r="E32" s="28" t="s">
        <v>25</v>
      </c>
      <c r="F32" s="28" t="s">
        <v>25</v>
      </c>
      <c r="G32" s="29" t="s">
        <v>79</v>
      </c>
      <c r="H32" s="29" t="s">
        <v>75</v>
      </c>
      <c r="I32" s="29">
        <f>'MERCADO TE'!$U$29</f>
        <v>0</v>
      </c>
      <c r="J32" s="15"/>
      <c r="L32" s="26">
        <f>'TE BE'!$L$32*'TE BE'!$L$49</f>
        <v>2.4920263424441011E-6</v>
      </c>
      <c r="M32" s="26">
        <f>'TE BE'!$M$32*'TE BE'!$M$49</f>
        <v>1.2128446024695703</v>
      </c>
      <c r="N32" s="26">
        <f>'TE BE'!$N$32*'TE BE'!$N$49</f>
        <v>0</v>
      </c>
      <c r="O32" s="26">
        <f>'TE BE'!$O$32*'TE BE'!$O$49</f>
        <v>0</v>
      </c>
      <c r="P32" s="26">
        <f>'TE BE'!$P$32*'TE BE'!$P$49</f>
        <v>0</v>
      </c>
      <c r="Q32" s="26">
        <f>SUM($L$32:$P$32)</f>
        <v>1.2128470944959127</v>
      </c>
      <c r="R32" s="26">
        <f>'TE BE'!$R$32*'TE BE'!$R$49</f>
        <v>-2.9231859635962891</v>
      </c>
      <c r="S32" s="26">
        <f>SUM($R$32:$R$32)</f>
        <v>-2.9231859635962891</v>
      </c>
      <c r="T32" s="26">
        <f>'TE BE'!$T$32*'TE BE'!$T$49</f>
        <v>0.886690099780992</v>
      </c>
      <c r="U32" s="26">
        <f>'TE BE'!$U$32*'TE BE'!$U$49</f>
        <v>0.96258762945720244</v>
      </c>
      <c r="V32" s="26">
        <f>'TE BE'!$V$32*'TE BE'!$V$49</f>
        <v>0</v>
      </c>
      <c r="W32" s="26">
        <f>SUM($T$32:$V$32)</f>
        <v>1.8492777292381946</v>
      </c>
      <c r="X32" s="26">
        <f>'TE BE'!$AB$32*'TE BE'!$X$49</f>
        <v>-61.483756065951837</v>
      </c>
      <c r="Y32" s="26">
        <f>SUM($X$32:$X$32)</f>
        <v>-61.483756065951837</v>
      </c>
      <c r="Z32" s="26">
        <f>'TE BE'!$Z$32*'TE BE'!$Z$49</f>
        <v>-7.6530785742854671E-2</v>
      </c>
      <c r="AA32" s="26">
        <f>SUM($Z$32:$Z$32)</f>
        <v>-7.6530785742854671E-2</v>
      </c>
      <c r="AB32" s="26">
        <f ca="1">SUMIF($L$4:$AA$4,"SUBTOTAL",$L$32:$AA$32)+AL32</f>
        <v>-61.421347991556871</v>
      </c>
      <c r="AC32" s="9" t="str">
        <f t="shared" si="0"/>
        <v>B2</v>
      </c>
      <c r="AD32" s="9" t="str">
        <f t="shared" si="1"/>
        <v>Energia convencional</v>
      </c>
      <c r="AE32" s="9" t="str">
        <f t="shared" si="2"/>
        <v>Rural</v>
      </c>
      <c r="AF32" s="9" t="str">
        <f t="shared" si="3"/>
        <v>Serviço público de irrigação rural</v>
      </c>
      <c r="AG32" s="9" t="str">
        <f t="shared" si="4"/>
        <v>Não se aplica</v>
      </c>
      <c r="AH32" s="9">
        <v>1</v>
      </c>
      <c r="AI32" s="9">
        <f ca="1">TarifaMedia!$G$20</f>
        <v>0</v>
      </c>
      <c r="AJ32" s="15">
        <f>'TE BE'!$AB32+'TE BF'!$AB32+'TE CVA'!$AB32</f>
        <v>207.63042742196092</v>
      </c>
      <c r="AK32" s="9">
        <v>258.94</v>
      </c>
      <c r="AL32" s="9">
        <f t="shared" ca="1" si="5"/>
        <v>0</v>
      </c>
      <c r="AO32" s="88" t="s">
        <v>899</v>
      </c>
    </row>
    <row r="33" spans="1:41" ht="11.25" customHeight="1" x14ac:dyDescent="0.25">
      <c r="A33" s="146"/>
      <c r="B33" s="146" t="s">
        <v>89</v>
      </c>
      <c r="C33" s="146" t="s">
        <v>42</v>
      </c>
      <c r="D33" s="28" t="s">
        <v>25</v>
      </c>
      <c r="E33" s="28" t="s">
        <v>25</v>
      </c>
      <c r="F33" s="28" t="s">
        <v>25</v>
      </c>
      <c r="G33" s="29" t="s">
        <v>79</v>
      </c>
      <c r="H33" s="29" t="s">
        <v>75</v>
      </c>
      <c r="I33" s="29">
        <f>'MERCADO TE'!$U$30</f>
        <v>0</v>
      </c>
      <c r="J33" s="15"/>
      <c r="L33" s="26">
        <f>'TE BE'!$L$33*'TE BE'!$L$49</f>
        <v>2.4920263424441011E-6</v>
      </c>
      <c r="M33" s="26">
        <f>'TE BE'!$M$33*'TE BE'!$M$49</f>
        <v>1.2128446024695703</v>
      </c>
      <c r="N33" s="26">
        <f>'TE BE'!$N$33*'TE BE'!$N$49</f>
        <v>0</v>
      </c>
      <c r="O33" s="26">
        <f>'TE BE'!$O$33*'TE BE'!$O$49</f>
        <v>0</v>
      </c>
      <c r="P33" s="26">
        <f>'TE BE'!$P$33*'TE BE'!$P$49</f>
        <v>0</v>
      </c>
      <c r="Q33" s="26">
        <f>SUM($L$33:$P$33)</f>
        <v>1.2128470944959127</v>
      </c>
      <c r="R33" s="26">
        <f>'TE BE'!$R$33*'TE BE'!$R$49</f>
        <v>-2.9231859635962891</v>
      </c>
      <c r="S33" s="26">
        <f>SUM($R$33:$R$33)</f>
        <v>-2.9231859635962891</v>
      </c>
      <c r="T33" s="26">
        <f>'TE BE'!$T$33*'TE BE'!$T$49</f>
        <v>0.886690099780992</v>
      </c>
      <c r="U33" s="26">
        <f>'TE BE'!$U$33*'TE BE'!$U$49</f>
        <v>0.96258762945720244</v>
      </c>
      <c r="V33" s="26">
        <f>'TE BE'!$V$33*'TE BE'!$V$49</f>
        <v>0</v>
      </c>
      <c r="W33" s="26">
        <f>SUM($T$33:$V$33)</f>
        <v>1.8492777292381946</v>
      </c>
      <c r="X33" s="26">
        <f>'TE BE'!$AB$33*'TE BE'!$X$49</f>
        <v>-61.483756065951837</v>
      </c>
      <c r="Y33" s="26">
        <f>SUM($X$33:$X$33)</f>
        <v>-61.483756065951837</v>
      </c>
      <c r="Z33" s="26">
        <f>'TE BE'!$Z$33*'TE BE'!$Z$49</f>
        <v>-7.6530785742854671E-2</v>
      </c>
      <c r="AA33" s="26">
        <f>SUM($Z$33:$Z$33)</f>
        <v>-7.6530785742854671E-2</v>
      </c>
      <c r="AB33" s="26">
        <f ca="1">SUMIF($L$4:$AA$4,"SUBTOTAL",$L$33:$AA$33)+AL33</f>
        <v>-61.421347991556871</v>
      </c>
      <c r="AC33" s="9" t="str">
        <f t="shared" si="0"/>
        <v>B2</v>
      </c>
      <c r="AD33" s="9" t="str">
        <f t="shared" si="1"/>
        <v>Energia convencional pré-pagamento</v>
      </c>
      <c r="AE33" s="9" t="str">
        <f t="shared" si="2"/>
        <v>Rural</v>
      </c>
      <c r="AF33" s="9" t="str">
        <f t="shared" si="3"/>
        <v>Não se aplica</v>
      </c>
      <c r="AG33" s="9" t="str">
        <f t="shared" si="4"/>
        <v>Não se aplica</v>
      </c>
      <c r="AH33" s="9">
        <v>1</v>
      </c>
      <c r="AI33" s="9">
        <f ca="1">TarifaMedia!$G$20</f>
        <v>0</v>
      </c>
      <c r="AJ33" s="15">
        <f>'TE BE'!$AB33+'TE BF'!$AB33+'TE CVA'!$AB33</f>
        <v>207.63042742196092</v>
      </c>
      <c r="AK33" s="9">
        <v>258.94</v>
      </c>
      <c r="AL33" s="9">
        <f t="shared" ca="1" si="5"/>
        <v>0</v>
      </c>
      <c r="AO33" s="88" t="s">
        <v>899</v>
      </c>
    </row>
    <row r="34" spans="1:41" ht="11.25" customHeight="1" x14ac:dyDescent="0.25">
      <c r="A34" s="146"/>
      <c r="B34" s="146"/>
      <c r="C34" s="146"/>
      <c r="D34" s="28" t="s">
        <v>91</v>
      </c>
      <c r="E34" s="28" t="s">
        <v>25</v>
      </c>
      <c r="F34" s="28" t="s">
        <v>25</v>
      </c>
      <c r="G34" s="29" t="s">
        <v>79</v>
      </c>
      <c r="H34" s="29" t="s">
        <v>75</v>
      </c>
      <c r="I34" s="29">
        <f>'MERCADO TE'!$U$31</f>
        <v>0</v>
      </c>
      <c r="J34" s="15"/>
      <c r="L34" s="26">
        <f>'TE BE'!$L$34*'TE BE'!$L$49</f>
        <v>2.4920263424441011E-6</v>
      </c>
      <c r="M34" s="26">
        <f>'TE BE'!$M$34*'TE BE'!$M$49</f>
        <v>1.2128446024695703</v>
      </c>
      <c r="N34" s="26">
        <f>'TE BE'!$N$34*'TE BE'!$N$49</f>
        <v>0</v>
      </c>
      <c r="O34" s="26">
        <f>'TE BE'!$O$34*'TE BE'!$O$49</f>
        <v>0</v>
      </c>
      <c r="P34" s="26">
        <f>'TE BE'!$P$34*'TE BE'!$P$49</f>
        <v>0</v>
      </c>
      <c r="Q34" s="26">
        <f>SUM($L$34:$P$34)</f>
        <v>1.2128470944959127</v>
      </c>
      <c r="R34" s="26">
        <f>'TE BE'!$R$34*'TE BE'!$R$49</f>
        <v>-2.9231859635962891</v>
      </c>
      <c r="S34" s="26">
        <f>SUM($R$34:$R$34)</f>
        <v>-2.9231859635962891</v>
      </c>
      <c r="T34" s="26">
        <f>'TE BE'!$T$34*'TE BE'!$T$49</f>
        <v>0.886690099780992</v>
      </c>
      <c r="U34" s="26">
        <f>'TE BE'!$U$34*'TE BE'!$U$49</f>
        <v>0.96258762945720244</v>
      </c>
      <c r="V34" s="26">
        <f>'TE BE'!$V$34*'TE BE'!$V$49</f>
        <v>0</v>
      </c>
      <c r="W34" s="26">
        <f>SUM($T$34:$V$34)</f>
        <v>1.8492777292381946</v>
      </c>
      <c r="X34" s="26">
        <f>'TE BE'!$AB$34*'TE BE'!$X$49</f>
        <v>-61.483756065951837</v>
      </c>
      <c r="Y34" s="26">
        <f>SUM($X$34:$X$34)</f>
        <v>-61.483756065951837</v>
      </c>
      <c r="Z34" s="26">
        <f>'TE BE'!$Z$34*'TE BE'!$Z$49</f>
        <v>-7.6530785742854671E-2</v>
      </c>
      <c r="AA34" s="26">
        <f>SUM($Z$34:$Z$34)</f>
        <v>-7.6530785742854671E-2</v>
      </c>
      <c r="AB34" s="26">
        <f ca="1">SUMIF($L$4:$AA$4,"SUBTOTAL",$L$34:$AA$34)+AL34</f>
        <v>-61.421347991556871</v>
      </c>
      <c r="AC34" s="9" t="str">
        <f t="shared" si="0"/>
        <v>B2</v>
      </c>
      <c r="AD34" s="9" t="str">
        <f t="shared" si="1"/>
        <v>Energia convencional pré-pagamento</v>
      </c>
      <c r="AE34" s="9" t="str">
        <f t="shared" si="2"/>
        <v>Rural</v>
      </c>
      <c r="AF34" s="9" t="str">
        <f t="shared" si="3"/>
        <v>Cooperativa de eletrificação rural</v>
      </c>
      <c r="AG34" s="9" t="str">
        <f t="shared" si="4"/>
        <v>Não se aplica</v>
      </c>
      <c r="AH34" s="9">
        <v>1</v>
      </c>
      <c r="AI34" s="9">
        <f ca="1">TarifaMedia!$G$20</f>
        <v>0</v>
      </c>
      <c r="AJ34" s="15">
        <f>'TE BE'!$AB34+'TE BF'!$AB34+'TE CVA'!$AB34</f>
        <v>207.63042742196092</v>
      </c>
      <c r="AK34" s="9">
        <v>258.94</v>
      </c>
      <c r="AL34" s="9">
        <f t="shared" ca="1" si="5"/>
        <v>0</v>
      </c>
      <c r="AO34" s="88" t="s">
        <v>899</v>
      </c>
    </row>
    <row r="35" spans="1:41" ht="11.25" customHeight="1" x14ac:dyDescent="0.25">
      <c r="A35" s="146"/>
      <c r="B35" s="146"/>
      <c r="C35" s="146"/>
      <c r="D35" s="28" t="s">
        <v>92</v>
      </c>
      <c r="E35" s="28" t="s">
        <v>25</v>
      </c>
      <c r="F35" s="28" t="s">
        <v>25</v>
      </c>
      <c r="G35" s="29" t="s">
        <v>79</v>
      </c>
      <c r="H35" s="29" t="s">
        <v>75</v>
      </c>
      <c r="I35" s="29">
        <f>'MERCADO TE'!$U$32</f>
        <v>0</v>
      </c>
      <c r="J35" s="15"/>
      <c r="L35" s="26">
        <f>'TE BE'!$L$35*'TE BE'!$L$49</f>
        <v>2.4920263424441011E-6</v>
      </c>
      <c r="M35" s="26">
        <f>'TE BE'!$M$35*'TE BE'!$M$49</f>
        <v>1.2128446024695703</v>
      </c>
      <c r="N35" s="26">
        <f>'TE BE'!$N$35*'TE BE'!$N$49</f>
        <v>0</v>
      </c>
      <c r="O35" s="26">
        <f>'TE BE'!$O$35*'TE BE'!$O$49</f>
        <v>0</v>
      </c>
      <c r="P35" s="26">
        <f>'TE BE'!$P$35*'TE BE'!$P$49</f>
        <v>0</v>
      </c>
      <c r="Q35" s="26">
        <f>SUM($L$35:$P$35)</f>
        <v>1.2128470944959127</v>
      </c>
      <c r="R35" s="26">
        <f>'TE BE'!$R$35*'TE BE'!$R$49</f>
        <v>-2.9231859635962891</v>
      </c>
      <c r="S35" s="26">
        <f>SUM($R$35:$R$35)</f>
        <v>-2.9231859635962891</v>
      </c>
      <c r="T35" s="26">
        <f>'TE BE'!$T$35*'TE BE'!$T$49</f>
        <v>0.886690099780992</v>
      </c>
      <c r="U35" s="26">
        <f>'TE BE'!$U$35*'TE BE'!$U$49</f>
        <v>0.96258762945720244</v>
      </c>
      <c r="V35" s="26">
        <f>'TE BE'!$V$35*'TE BE'!$V$49</f>
        <v>0</v>
      </c>
      <c r="W35" s="26">
        <f>SUM($T$35:$V$35)</f>
        <v>1.8492777292381946</v>
      </c>
      <c r="X35" s="26">
        <f>'TE BE'!$AB$35*'TE BE'!$X$49</f>
        <v>-61.483756065951837</v>
      </c>
      <c r="Y35" s="26">
        <f>SUM($X$35:$X$35)</f>
        <v>-61.483756065951837</v>
      </c>
      <c r="Z35" s="26">
        <f>'TE BE'!$Z$35*'TE BE'!$Z$49</f>
        <v>-7.6530785742854671E-2</v>
      </c>
      <c r="AA35" s="26">
        <f>SUM($Z$35:$Z$35)</f>
        <v>-7.6530785742854671E-2</v>
      </c>
      <c r="AB35" s="26">
        <f ca="1">SUMIF($L$4:$AA$4,"SUBTOTAL",$L$35:$AA$35)+AL35</f>
        <v>-61.421347991556871</v>
      </c>
      <c r="AC35" s="9" t="str">
        <f t="shared" si="0"/>
        <v>B2</v>
      </c>
      <c r="AD35" s="9" t="str">
        <f t="shared" si="1"/>
        <v>Energia convencional pré-pagamento</v>
      </c>
      <c r="AE35" s="9" t="str">
        <f t="shared" si="2"/>
        <v>Rural</v>
      </c>
      <c r="AF35" s="9" t="str">
        <f t="shared" si="3"/>
        <v>Serviço público de irrigação rural</v>
      </c>
      <c r="AG35" s="9" t="str">
        <f t="shared" si="4"/>
        <v>Não se aplica</v>
      </c>
      <c r="AH35" s="9">
        <v>1</v>
      </c>
      <c r="AI35" s="9">
        <f ca="1">TarifaMedia!$G$20</f>
        <v>0</v>
      </c>
      <c r="AJ35" s="15">
        <f>'TE BE'!$AB35+'TE BF'!$AB35+'TE CVA'!$AB35</f>
        <v>207.63042742196092</v>
      </c>
      <c r="AK35" s="9">
        <v>258.94</v>
      </c>
      <c r="AL35" s="9">
        <f t="shared" ca="1" si="5"/>
        <v>0</v>
      </c>
      <c r="AO35" s="88" t="s">
        <v>899</v>
      </c>
    </row>
    <row r="36" spans="1:41" ht="11.25" customHeight="1" x14ac:dyDescent="0.25">
      <c r="A36" s="146" t="s">
        <v>36</v>
      </c>
      <c r="B36" s="146" t="s">
        <v>74</v>
      </c>
      <c r="C36" s="146" t="s">
        <v>25</v>
      </c>
      <c r="D36" s="146" t="s">
        <v>25</v>
      </c>
      <c r="E36" s="146" t="s">
        <v>25</v>
      </c>
      <c r="F36" s="146" t="s">
        <v>25</v>
      </c>
      <c r="G36" s="29" t="s">
        <v>76</v>
      </c>
      <c r="H36" s="29" t="s">
        <v>75</v>
      </c>
      <c r="I36" s="29">
        <f>'MERCADO TE'!$U$33</f>
        <v>0.33600000000000008</v>
      </c>
      <c r="J36" s="15"/>
      <c r="L36" s="26">
        <f>'TE BE'!$L$36*'TE BE'!$L$49</f>
        <v>2.4920263424441011E-6</v>
      </c>
      <c r="M36" s="26">
        <f>'TE BE'!$M$36*'TE BE'!$M$49</f>
        <v>1.2128446024695703</v>
      </c>
      <c r="N36" s="26">
        <f>'TE BE'!$N$36*'TE BE'!$N$49</f>
        <v>0</v>
      </c>
      <c r="O36" s="26">
        <f>'TE BE'!$O$36*'TE BE'!$O$49</f>
        <v>0</v>
      </c>
      <c r="P36" s="26">
        <f>'TE BE'!$P$36*'TE BE'!$P$49</f>
        <v>0</v>
      </c>
      <c r="Q36" s="26">
        <f>SUM($L$36:$P$36)</f>
        <v>1.2128470944959127</v>
      </c>
      <c r="R36" s="26">
        <f>'TE BE'!$R$36*'TE BE'!$R$49</f>
        <v>-4.7432828843260548</v>
      </c>
      <c r="S36" s="26">
        <f>SUM($R$36:$R$36)</f>
        <v>-4.7432828843260548</v>
      </c>
      <c r="T36" s="26">
        <f>'TE BE'!$T$36*'TE BE'!$T$49</f>
        <v>0.886690099780992</v>
      </c>
      <c r="U36" s="26">
        <f>'TE BE'!$U$36*'TE BE'!$U$49</f>
        <v>0.96258762945720244</v>
      </c>
      <c r="V36" s="26">
        <f>'TE BE'!$V$36*'TE BE'!$V$49</f>
        <v>0</v>
      </c>
      <c r="W36" s="26">
        <f>SUM($T$36:$V$36)</f>
        <v>1.8492777292381946</v>
      </c>
      <c r="X36" s="26">
        <f>'TE BE'!$AB$36*'TE BE'!$X$49</f>
        <v>-95.946345103613325</v>
      </c>
      <c r="Y36" s="26">
        <f>SUM($X$36:$X$36)</f>
        <v>-95.946345103613325</v>
      </c>
      <c r="Z36" s="26">
        <f>'TE BE'!$Z$36*'TE BE'!$Z$49</f>
        <v>-7.6530785742854671E-2</v>
      </c>
      <c r="AA36" s="26">
        <f>SUM($Z$36:$Z$36)</f>
        <v>-7.6530785742854671E-2</v>
      </c>
      <c r="AB36" s="26">
        <f ca="1">SUMIF($L$4:$AA$4,"SUBTOTAL",$L$36:$AA$36)+AL36</f>
        <v>-97.704033949948141</v>
      </c>
      <c r="AC36" s="9" t="str">
        <f t="shared" si="0"/>
        <v>B3</v>
      </c>
      <c r="AD36" s="9" t="str">
        <f t="shared" si="1"/>
        <v>Energia horária</v>
      </c>
      <c r="AE36" s="9" t="str">
        <f t="shared" si="2"/>
        <v>Não se aplica</v>
      </c>
      <c r="AF36" s="9" t="str">
        <f t="shared" si="3"/>
        <v>Não se aplica</v>
      </c>
      <c r="AG36" s="9" t="str">
        <f t="shared" si="4"/>
        <v>Não se aplica</v>
      </c>
      <c r="AH36" s="9">
        <v>1</v>
      </c>
      <c r="AI36" s="9">
        <f ca="1">TarifaMedia!$G$20</f>
        <v>0</v>
      </c>
      <c r="AJ36" s="15">
        <f>'TE BE'!$AB36+'TE BF'!$AB36+'TE CVA'!$AB36</f>
        <v>316.97983140624547</v>
      </c>
      <c r="AK36" s="9">
        <v>388.08</v>
      </c>
      <c r="AL36" s="9">
        <f t="shared" ca="1" si="5"/>
        <v>0</v>
      </c>
      <c r="AO36" s="88" t="s">
        <v>906</v>
      </c>
    </row>
    <row r="37" spans="1:41" ht="11.25" customHeight="1" x14ac:dyDescent="0.25">
      <c r="A37" s="146"/>
      <c r="B37" s="146"/>
      <c r="C37" s="146"/>
      <c r="D37" s="146"/>
      <c r="E37" s="146"/>
      <c r="F37" s="146"/>
      <c r="G37" s="29" t="s">
        <v>88</v>
      </c>
      <c r="H37" s="29" t="s">
        <v>75</v>
      </c>
      <c r="I37" s="29">
        <f>'MERCADO TE'!$U$34</f>
        <v>0.45900000000000007</v>
      </c>
      <c r="J37" s="15"/>
      <c r="L37" s="26">
        <f>'TE BE'!$L$37*'TE BE'!$L$49</f>
        <v>2.4920263424441011E-6</v>
      </c>
      <c r="M37" s="26">
        <f>'TE BE'!$M$37*'TE BE'!$M$49</f>
        <v>1.2128446024695703</v>
      </c>
      <c r="N37" s="26">
        <f>'TE BE'!$N$37*'TE BE'!$N$49</f>
        <v>0</v>
      </c>
      <c r="O37" s="26">
        <f>'TE BE'!$O$37*'TE BE'!$O$49</f>
        <v>0</v>
      </c>
      <c r="P37" s="26">
        <f>'TE BE'!$P$37*'TE BE'!$P$49</f>
        <v>0</v>
      </c>
      <c r="Q37" s="26">
        <f>SUM($L$37:$P$37)</f>
        <v>1.2128470944959127</v>
      </c>
      <c r="R37" s="26">
        <f>'TE BE'!$R$37*'TE BE'!$R$49</f>
        <v>-2.7577226071663108</v>
      </c>
      <c r="S37" s="26">
        <f>SUM($R$37:$R$37)</f>
        <v>-2.7577226071663108</v>
      </c>
      <c r="T37" s="26">
        <f>'TE BE'!$T$37*'TE BE'!$T$49</f>
        <v>0.886690099780992</v>
      </c>
      <c r="U37" s="26">
        <f>'TE BE'!$U$37*'TE BE'!$U$49</f>
        <v>0.96258762945720244</v>
      </c>
      <c r="V37" s="26">
        <f>'TE BE'!$V$37*'TE BE'!$V$49</f>
        <v>0</v>
      </c>
      <c r="W37" s="26">
        <f>SUM($T$37:$V$37)</f>
        <v>1.8492777292381946</v>
      </c>
      <c r="X37" s="26">
        <f>'TE BE'!$AB$37*'TE BE'!$X$49</f>
        <v>-58.350793426164429</v>
      </c>
      <c r="Y37" s="26">
        <f>SUM($X$37:$X$37)</f>
        <v>-58.350793426164429</v>
      </c>
      <c r="Z37" s="26">
        <f>'TE BE'!$Z$37*'TE BE'!$Z$49</f>
        <v>-7.6530785742854671E-2</v>
      </c>
      <c r="AA37" s="26">
        <f>SUM($Z$37:$Z$37)</f>
        <v>-7.6530785742854671E-2</v>
      </c>
      <c r="AB37" s="26">
        <f ca="1">SUMIF($L$4:$AA$4,"SUBTOTAL",$L$37:$AA$37)+AL37</f>
        <v>-58.122921995339489</v>
      </c>
      <c r="AC37" s="9" t="str">
        <f t="shared" si="0"/>
        <v>B3</v>
      </c>
      <c r="AD37" s="9" t="str">
        <f t="shared" si="1"/>
        <v>Energia horária</v>
      </c>
      <c r="AE37" s="9" t="str">
        <f t="shared" si="2"/>
        <v>Não se aplica</v>
      </c>
      <c r="AF37" s="9" t="str">
        <f t="shared" si="3"/>
        <v>Não se aplica</v>
      </c>
      <c r="AG37" s="9" t="str">
        <f t="shared" si="4"/>
        <v>Não se aplica</v>
      </c>
      <c r="AH37" s="9">
        <v>1</v>
      </c>
      <c r="AI37" s="9">
        <f ca="1">TarifaMedia!$G$20</f>
        <v>0</v>
      </c>
      <c r="AJ37" s="15">
        <f>'TE BE'!$AB37+'TE BF'!$AB37+'TE CVA'!$AB37</f>
        <v>197.6895725142987</v>
      </c>
      <c r="AK37" s="9">
        <v>247.2</v>
      </c>
      <c r="AL37" s="9">
        <f t="shared" ca="1" si="5"/>
        <v>0</v>
      </c>
      <c r="AO37" s="88" t="s">
        <v>907</v>
      </c>
    </row>
    <row r="38" spans="1:41" ht="11.25" customHeight="1" x14ac:dyDescent="0.25">
      <c r="A38" s="146"/>
      <c r="B38" s="146"/>
      <c r="C38" s="146"/>
      <c r="D38" s="146"/>
      <c r="E38" s="146"/>
      <c r="F38" s="146"/>
      <c r="G38" s="29" t="s">
        <v>77</v>
      </c>
      <c r="H38" s="29" t="s">
        <v>75</v>
      </c>
      <c r="I38" s="29">
        <f>'MERCADO TE'!$U$35</f>
        <v>10.576000000000001</v>
      </c>
      <c r="J38" s="15"/>
      <c r="L38" s="26">
        <f>'TE BE'!$L$38*'TE BE'!$L$49</f>
        <v>2.4920263424441011E-6</v>
      </c>
      <c r="M38" s="26">
        <f>'TE BE'!$M$38*'TE BE'!$M$49</f>
        <v>1.2128446024695703</v>
      </c>
      <c r="N38" s="26">
        <f>'TE BE'!$N$38*'TE BE'!$N$49</f>
        <v>0</v>
      </c>
      <c r="O38" s="26">
        <f>'TE BE'!$O$38*'TE BE'!$O$49</f>
        <v>0</v>
      </c>
      <c r="P38" s="26">
        <f>'TE BE'!$P$38*'TE BE'!$P$49</f>
        <v>0</v>
      </c>
      <c r="Q38" s="26">
        <f>SUM($L$38:$P$38)</f>
        <v>1.2128470944959127</v>
      </c>
      <c r="R38" s="26">
        <f>'TE BE'!$R$38*'TE BE'!$R$49</f>
        <v>-2.7577226071663108</v>
      </c>
      <c r="S38" s="26">
        <f>SUM($R$38:$R$38)</f>
        <v>-2.7577226071663108</v>
      </c>
      <c r="T38" s="26">
        <f>'TE BE'!$T$38*'TE BE'!$T$49</f>
        <v>0.886690099780992</v>
      </c>
      <c r="U38" s="26">
        <f>'TE BE'!$U$38*'TE BE'!$U$49</f>
        <v>0.96258762945720244</v>
      </c>
      <c r="V38" s="26">
        <f>'TE BE'!$V$38*'TE BE'!$V$49</f>
        <v>0</v>
      </c>
      <c r="W38" s="26">
        <f>SUM($T$38:$V$38)</f>
        <v>1.8492777292381946</v>
      </c>
      <c r="X38" s="26">
        <f>'TE BE'!$AB$38*'TE BE'!$X$49</f>
        <v>-58.350793426164429</v>
      </c>
      <c r="Y38" s="26">
        <f>SUM($X$38:$X$38)</f>
        <v>-58.350793426164429</v>
      </c>
      <c r="Z38" s="26">
        <f>'TE BE'!$Z$38*'TE BE'!$Z$49</f>
        <v>-7.6530785742854671E-2</v>
      </c>
      <c r="AA38" s="26">
        <f>SUM($Z$38:$Z$38)</f>
        <v>-7.6530785742854671E-2</v>
      </c>
      <c r="AB38" s="26">
        <f ca="1">SUMIF($L$4:$AA$4,"SUBTOTAL",$L$38:$AA$38)+AL38</f>
        <v>-58.122921995339489</v>
      </c>
      <c r="AC38" s="9" t="str">
        <f t="shared" si="0"/>
        <v>B3</v>
      </c>
      <c r="AD38" s="9" t="str">
        <f t="shared" si="1"/>
        <v>Energia horária</v>
      </c>
      <c r="AE38" s="9" t="str">
        <f t="shared" si="2"/>
        <v>Não se aplica</v>
      </c>
      <c r="AF38" s="9" t="str">
        <f t="shared" si="3"/>
        <v>Não se aplica</v>
      </c>
      <c r="AG38" s="9" t="str">
        <f t="shared" si="4"/>
        <v>Não se aplica</v>
      </c>
      <c r="AH38" s="9">
        <v>1</v>
      </c>
      <c r="AI38" s="9">
        <f ca="1">TarifaMedia!$G$20</f>
        <v>0</v>
      </c>
      <c r="AJ38" s="15">
        <f>'TE BE'!$AB38+'TE BF'!$AB38+'TE CVA'!$AB38</f>
        <v>197.6895725142987</v>
      </c>
      <c r="AK38" s="9">
        <v>247.2</v>
      </c>
      <c r="AL38" s="9">
        <f t="shared" ca="1" si="5"/>
        <v>0</v>
      </c>
      <c r="AO38" s="88" t="s">
        <v>908</v>
      </c>
    </row>
    <row r="39" spans="1:41" ht="11.25" customHeight="1" x14ac:dyDescent="0.25">
      <c r="A39" s="146"/>
      <c r="B39" s="28" t="s">
        <v>78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79</v>
      </c>
      <c r="H39" s="29" t="s">
        <v>75</v>
      </c>
      <c r="I39" s="29">
        <f>'MERCADO TE'!$U$36</f>
        <v>6532.424</v>
      </c>
      <c r="J39" s="15"/>
      <c r="L39" s="26">
        <f>'TE BE'!$L$39*'TE BE'!$L$49</f>
        <v>2.4920263424441011E-6</v>
      </c>
      <c r="M39" s="26">
        <f>'TE BE'!$M$39*'TE BE'!$M$49</f>
        <v>1.2128446024695703</v>
      </c>
      <c r="N39" s="26">
        <f>'TE BE'!$N$39*'TE BE'!$N$49</f>
        <v>0</v>
      </c>
      <c r="O39" s="26">
        <f>'TE BE'!$O$39*'TE BE'!$O$49</f>
        <v>0</v>
      </c>
      <c r="P39" s="26">
        <f>'TE BE'!$P$39*'TE BE'!$P$49</f>
        <v>0</v>
      </c>
      <c r="Q39" s="26">
        <f>SUM($L$39:$P$39)</f>
        <v>1.2128470944959127</v>
      </c>
      <c r="R39" s="26">
        <f>'TE BE'!$R$39*'TE BE'!$R$49</f>
        <v>-2.9231859635962891</v>
      </c>
      <c r="S39" s="26">
        <f>SUM($R$39:$R$39)</f>
        <v>-2.9231859635962891</v>
      </c>
      <c r="T39" s="26">
        <f>'TE BE'!$T$39*'TE BE'!$T$49</f>
        <v>0.886690099780992</v>
      </c>
      <c r="U39" s="26">
        <f>'TE BE'!$U$39*'TE BE'!$U$49</f>
        <v>0.96258762945720244</v>
      </c>
      <c r="V39" s="26">
        <f>'TE BE'!$V$39*'TE BE'!$V$49</f>
        <v>0</v>
      </c>
      <c r="W39" s="26">
        <f>SUM($T$39:$V$39)</f>
        <v>1.8492777292381946</v>
      </c>
      <c r="X39" s="26">
        <f>'TE BE'!$AB$39*'TE BE'!$X$49</f>
        <v>-61.483756065951837</v>
      </c>
      <c r="Y39" s="26">
        <f>SUM($X$39:$X$39)</f>
        <v>-61.483756065951837</v>
      </c>
      <c r="Z39" s="26">
        <f>'TE BE'!$Z$39*'TE BE'!$Z$49</f>
        <v>-7.6530785742854671E-2</v>
      </c>
      <c r="AA39" s="26">
        <f>SUM($Z$39:$Z$39)</f>
        <v>-7.6530785742854671E-2</v>
      </c>
      <c r="AB39" s="26">
        <f ca="1">SUMIF($L$4:$AA$4,"SUBTOTAL",$L$39:$AA$39)+AL39</f>
        <v>-61.421347991556871</v>
      </c>
      <c r="AC39" s="9" t="str">
        <f t="shared" si="0"/>
        <v>B3</v>
      </c>
      <c r="AD39" s="9" t="str">
        <f t="shared" si="1"/>
        <v>Energia convencional</v>
      </c>
      <c r="AE39" s="9" t="str">
        <f t="shared" si="2"/>
        <v>Não se aplica</v>
      </c>
      <c r="AF39" s="9" t="str">
        <f t="shared" si="3"/>
        <v>Não se aplica</v>
      </c>
      <c r="AG39" s="9" t="str">
        <f t="shared" si="4"/>
        <v>Não se aplica</v>
      </c>
      <c r="AH39" s="9">
        <v>1</v>
      </c>
      <c r="AI39" s="9">
        <f ca="1">TarifaMedia!$G$20</f>
        <v>0</v>
      </c>
      <c r="AJ39" s="15">
        <f>'TE BE'!$AB39+'TE BF'!$AB39+'TE CVA'!$AB39</f>
        <v>207.63042742196092</v>
      </c>
      <c r="AK39" s="9">
        <v>258.94</v>
      </c>
      <c r="AL39" s="9">
        <f t="shared" ca="1" si="5"/>
        <v>0</v>
      </c>
      <c r="AO39" s="88" t="s">
        <v>909</v>
      </c>
    </row>
    <row r="40" spans="1:41" ht="11.25" customHeight="1" x14ac:dyDescent="0.25">
      <c r="A40" s="146"/>
      <c r="B40" s="28" t="s">
        <v>89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79</v>
      </c>
      <c r="H40" s="29" t="s">
        <v>75</v>
      </c>
      <c r="I40" s="29">
        <f>'MERCADO TE'!$U$37</f>
        <v>0</v>
      </c>
      <c r="J40" s="15"/>
      <c r="L40" s="26">
        <f>'TE BE'!$L$40*'TE BE'!$L$49</f>
        <v>2.4920263424441011E-6</v>
      </c>
      <c r="M40" s="26">
        <f>'TE BE'!$M$40*'TE BE'!$M$49</f>
        <v>1.2128446024695703</v>
      </c>
      <c r="N40" s="26">
        <f>'TE BE'!$N$40*'TE BE'!$N$49</f>
        <v>0</v>
      </c>
      <c r="O40" s="26">
        <f>'TE BE'!$O$40*'TE BE'!$O$49</f>
        <v>0</v>
      </c>
      <c r="P40" s="26">
        <f>'TE BE'!$P$40*'TE BE'!$P$49</f>
        <v>0</v>
      </c>
      <c r="Q40" s="26">
        <f>SUM($L$40:$P$40)</f>
        <v>1.2128470944959127</v>
      </c>
      <c r="R40" s="26">
        <f>'TE BE'!$R$40*'TE BE'!$R$49</f>
        <v>-2.9231859635962891</v>
      </c>
      <c r="S40" s="26">
        <f>SUM($R$40:$R$40)</f>
        <v>-2.9231859635962891</v>
      </c>
      <c r="T40" s="26">
        <f>'TE BE'!$T$40*'TE BE'!$T$49</f>
        <v>0.886690099780992</v>
      </c>
      <c r="U40" s="26">
        <f>'TE BE'!$U$40*'TE BE'!$U$49</f>
        <v>0.96258762945720244</v>
      </c>
      <c r="V40" s="26">
        <f>'TE BE'!$V$40*'TE BE'!$V$49</f>
        <v>0</v>
      </c>
      <c r="W40" s="26">
        <f>SUM($T$40:$V$40)</f>
        <v>1.8492777292381946</v>
      </c>
      <c r="X40" s="26">
        <f>'TE BE'!$AB$40*'TE BE'!$X$49</f>
        <v>-61.483756065951837</v>
      </c>
      <c r="Y40" s="26">
        <f>SUM($X$40:$X$40)</f>
        <v>-61.483756065951837</v>
      </c>
      <c r="Z40" s="26">
        <f>'TE BE'!$Z$40*'TE BE'!$Z$49</f>
        <v>-7.6530785742854671E-2</v>
      </c>
      <c r="AA40" s="26">
        <f>SUM($Z$40:$Z$40)</f>
        <v>-7.6530785742854671E-2</v>
      </c>
      <c r="AB40" s="26">
        <f ca="1">SUMIF($L$4:$AA$4,"SUBTOTAL",$L$40:$AA$40)+AL40</f>
        <v>-61.421347991556871</v>
      </c>
      <c r="AC40" s="9" t="str">
        <f t="shared" si="0"/>
        <v>B3</v>
      </c>
      <c r="AD40" s="9" t="str">
        <f t="shared" si="1"/>
        <v>Energia convencional pré-pagamento</v>
      </c>
      <c r="AE40" s="9" t="str">
        <f t="shared" si="2"/>
        <v>Não se aplica</v>
      </c>
      <c r="AF40" s="9" t="str">
        <f t="shared" si="3"/>
        <v>Não se aplica</v>
      </c>
      <c r="AG40" s="9" t="str">
        <f t="shared" si="4"/>
        <v>Não se aplica</v>
      </c>
      <c r="AH40" s="9">
        <v>1</v>
      </c>
      <c r="AI40" s="9">
        <f ca="1">TarifaMedia!$G$20</f>
        <v>0</v>
      </c>
      <c r="AJ40" s="15">
        <f>'TE BE'!$AB40+'TE BF'!$AB40+'TE CVA'!$AB40</f>
        <v>207.63042742196092</v>
      </c>
      <c r="AK40" s="9">
        <v>258.94</v>
      </c>
      <c r="AL40" s="9">
        <f t="shared" ca="1" si="5"/>
        <v>0</v>
      </c>
      <c r="AO40" s="88" t="s">
        <v>910</v>
      </c>
    </row>
    <row r="41" spans="1:41" ht="11.25" customHeight="1" x14ac:dyDescent="0.25">
      <c r="A41" s="146" t="s">
        <v>44</v>
      </c>
      <c r="B41" s="146" t="s">
        <v>78</v>
      </c>
      <c r="C41" s="146" t="s">
        <v>45</v>
      </c>
      <c r="D41" s="28" t="s">
        <v>93</v>
      </c>
      <c r="E41" s="28" t="s">
        <v>25</v>
      </c>
      <c r="F41" s="28" t="s">
        <v>25</v>
      </c>
      <c r="G41" s="29" t="s">
        <v>79</v>
      </c>
      <c r="H41" s="29" t="s">
        <v>75</v>
      </c>
      <c r="I41" s="29">
        <f>'MERCADO TE'!$U$38</f>
        <v>0</v>
      </c>
      <c r="J41" s="15"/>
      <c r="L41" s="26">
        <f>'TE BE'!$L$41*'TE BE'!$L$49</f>
        <v>1.3706144883442555E-6</v>
      </c>
      <c r="M41" s="26">
        <f>'TE BE'!$M$41*'TE BE'!$M$49</f>
        <v>0.66706453135826371</v>
      </c>
      <c r="N41" s="26">
        <f>'TE BE'!$N$41*'TE BE'!$N$49</f>
        <v>0</v>
      </c>
      <c r="O41" s="26">
        <f>'TE BE'!$O$41*'TE BE'!$O$49</f>
        <v>0</v>
      </c>
      <c r="P41" s="26">
        <f>'TE BE'!$P$41*'TE BE'!$P$49</f>
        <v>0</v>
      </c>
      <c r="Q41" s="26">
        <f>SUM($L$41:$P$41)</f>
        <v>0.66706590197275206</v>
      </c>
      <c r="R41" s="26">
        <f>'TE BE'!$R$41*'TE BE'!$R$49</f>
        <v>-1.6077522799779593</v>
      </c>
      <c r="S41" s="26">
        <f>SUM($R$41:$R$41)</f>
        <v>-1.6077522799779593</v>
      </c>
      <c r="T41" s="26">
        <f>'TE BE'!$T$41*'TE BE'!$T$49</f>
        <v>0.48767955487954567</v>
      </c>
      <c r="U41" s="26">
        <f>'TE BE'!$U$41*'TE BE'!$U$49</f>
        <v>0.52942319620146139</v>
      </c>
      <c r="V41" s="26">
        <f>'TE BE'!$V$41*'TE BE'!$V$49</f>
        <v>0</v>
      </c>
      <c r="W41" s="26">
        <f>SUM($T$41:$V$41)</f>
        <v>1.0171027510810071</v>
      </c>
      <c r="X41" s="26">
        <f>'TE BE'!$AB$41*'TE BE'!$X$49</f>
        <v>-33.816065836273516</v>
      </c>
      <c r="Y41" s="26">
        <f>SUM($X$41:$X$41)</f>
        <v>-33.816065836273516</v>
      </c>
      <c r="Z41" s="26">
        <f>'TE BE'!$Z$41*'TE BE'!$Z$49</f>
        <v>-4.2091932158570072E-2</v>
      </c>
      <c r="AA41" s="26">
        <f>SUM($Z$41:$Z$41)</f>
        <v>-4.2091932158570072E-2</v>
      </c>
      <c r="AB41" s="26">
        <f ca="1">SUMIF($L$4:$AA$4,"SUBTOTAL",$L$41:$AA$41)+AL41</f>
        <v>-33.781741395356285</v>
      </c>
      <c r="AC41" s="9" t="str">
        <f t="shared" si="0"/>
        <v>B4</v>
      </c>
      <c r="AD41" s="9" t="str">
        <f t="shared" si="1"/>
        <v>Energia convencional</v>
      </c>
      <c r="AE41" s="9" t="str">
        <f t="shared" si="2"/>
        <v>Iluminação pública</v>
      </c>
      <c r="AF41" s="9" t="str">
        <f t="shared" si="3"/>
        <v>Iluminação pública – B4a</v>
      </c>
      <c r="AG41" s="9" t="str">
        <f t="shared" si="4"/>
        <v>Não se aplica</v>
      </c>
      <c r="AH41" s="9">
        <v>1</v>
      </c>
      <c r="AI41" s="9">
        <f ca="1">TarifaMedia!$G$20</f>
        <v>0</v>
      </c>
      <c r="AJ41" s="15">
        <f>'TE BE'!$AB41+'TE BF'!$AB41+'TE CVA'!$AB41</f>
        <v>114.19673508207853</v>
      </c>
      <c r="AK41" s="9">
        <v>142.41999999999999</v>
      </c>
      <c r="AL41" s="9">
        <f t="shared" ca="1" si="5"/>
        <v>0</v>
      </c>
      <c r="AO41" s="88" t="s">
        <v>911</v>
      </c>
    </row>
    <row r="42" spans="1:41" ht="11.25" customHeight="1" x14ac:dyDescent="0.25">
      <c r="A42" s="146"/>
      <c r="B42" s="146"/>
      <c r="C42" s="146"/>
      <c r="D42" s="29" t="s">
        <v>46</v>
      </c>
      <c r="E42" s="29" t="s">
        <v>25</v>
      </c>
      <c r="F42" s="29" t="s">
        <v>25</v>
      </c>
      <c r="G42" s="29" t="s">
        <v>79</v>
      </c>
      <c r="H42" s="29" t="s">
        <v>75</v>
      </c>
      <c r="I42" s="29">
        <f>'MERCADO TE'!$U$39</f>
        <v>1655.8650000000002</v>
      </c>
      <c r="J42" s="15"/>
      <c r="L42" s="26">
        <f>'TE BE'!$L$42*'TE BE'!$L$49</f>
        <v>1.4952158054664606E-6</v>
      </c>
      <c r="M42" s="26">
        <f>'TE BE'!$M$42*'TE BE'!$M$49</f>
        <v>0.72770676148174207</v>
      </c>
      <c r="N42" s="26">
        <f>'TE BE'!$N$42*'TE BE'!$N$49</f>
        <v>0</v>
      </c>
      <c r="O42" s="26">
        <f>'TE BE'!$O$42*'TE BE'!$O$49</f>
        <v>0</v>
      </c>
      <c r="P42" s="26">
        <f>'TE BE'!$P$42*'TE BE'!$P$49</f>
        <v>0</v>
      </c>
      <c r="Q42" s="26">
        <f>SUM($L$42:$P$42)</f>
        <v>0.72770825669754757</v>
      </c>
      <c r="R42" s="26">
        <f>'TE BE'!$R$42*'TE BE'!$R$49</f>
        <v>-1.7539115781577737</v>
      </c>
      <c r="S42" s="26">
        <f>SUM($R$42:$R$42)</f>
        <v>-1.7539115781577737</v>
      </c>
      <c r="T42" s="26">
        <f>'TE BE'!$T$42*'TE BE'!$T$49</f>
        <v>0.53201405986859518</v>
      </c>
      <c r="U42" s="26">
        <f>'TE BE'!$U$42*'TE BE'!$U$49</f>
        <v>0.57755257767432144</v>
      </c>
      <c r="V42" s="26">
        <f>'TE BE'!$V$42*'TE BE'!$V$49</f>
        <v>0</v>
      </c>
      <c r="W42" s="26">
        <f>SUM($T$42:$V$42)</f>
        <v>1.1095666375429167</v>
      </c>
      <c r="X42" s="26">
        <f>'TE BE'!$AB$42*'TE BE'!$X$49</f>
        <v>-36.8902536395711</v>
      </c>
      <c r="Y42" s="26">
        <f>SUM($X$42:$X$42)</f>
        <v>-36.8902536395711</v>
      </c>
      <c r="Z42" s="26">
        <f>'TE BE'!$Z$42*'TE BE'!$Z$49</f>
        <v>-4.5918471445712802E-2</v>
      </c>
      <c r="AA42" s="26">
        <f>SUM($Z$42:$Z$42)</f>
        <v>-4.5918471445712802E-2</v>
      </c>
      <c r="AB42" s="26">
        <f ca="1">SUMIF($L$4:$AA$4,"SUBTOTAL",$L$42:$AA$42)+AL42</f>
        <v>-36.85280879493412</v>
      </c>
      <c r="AC42" s="9" t="str">
        <f t="shared" si="0"/>
        <v>B4</v>
      </c>
      <c r="AD42" s="9" t="str">
        <f t="shared" si="1"/>
        <v>Energia convencional</v>
      </c>
      <c r="AE42" s="9" t="str">
        <f t="shared" si="2"/>
        <v>Iluminação pública</v>
      </c>
      <c r="AF42" s="9" t="str">
        <f t="shared" si="3"/>
        <v>Iluminação pública – B4b</v>
      </c>
      <c r="AG42" s="9" t="str">
        <f t="shared" si="4"/>
        <v>Não se aplica</v>
      </c>
      <c r="AH42" s="9">
        <v>1</v>
      </c>
      <c r="AI42" s="9">
        <f ca="1">TarifaMedia!$G$20</f>
        <v>0</v>
      </c>
      <c r="AJ42" s="15">
        <f>'TE BE'!$AB42+'TE BF'!$AB42+'TE CVA'!$AB42</f>
        <v>124.57825645317655</v>
      </c>
      <c r="AK42" s="9">
        <v>155.36000000000001</v>
      </c>
      <c r="AL42" s="9">
        <f t="shared" ca="1" si="5"/>
        <v>0</v>
      </c>
      <c r="AO42" s="88" t="s">
        <v>912</v>
      </c>
    </row>
    <row r="44" spans="1:41" ht="11.25" customHeight="1" x14ac:dyDescent="0.25">
      <c r="K44" s="31" t="s">
        <v>656</v>
      </c>
      <c r="L44" s="26">
        <f t="shared" ref="L44:AB44" si="6">SUMPRODUCT($I$5:$I$42,L$5:L$42)</f>
        <v>7.4898569425744077E-2</v>
      </c>
      <c r="M44" s="26">
        <f t="shared" si="6"/>
        <v>36452.39382646844</v>
      </c>
      <c r="N44" s="26">
        <f t="shared" si="6"/>
        <v>0</v>
      </c>
      <c r="O44" s="26">
        <f t="shared" si="6"/>
        <v>0</v>
      </c>
      <c r="P44" s="26">
        <f t="shared" si="6"/>
        <v>0</v>
      </c>
      <c r="Q44" s="26">
        <f t="shared" si="6"/>
        <v>36452.46872503787</v>
      </c>
      <c r="R44" s="26">
        <f t="shared" si="6"/>
        <v>-87115.726584510659</v>
      </c>
      <c r="S44" s="26">
        <f t="shared" si="6"/>
        <v>-87115.726584510659</v>
      </c>
      <c r="T44" s="26">
        <f t="shared" si="6"/>
        <v>26649.726315666456</v>
      </c>
      <c r="U44" s="26">
        <f t="shared" si="6"/>
        <v>28930.848428573503</v>
      </c>
      <c r="V44" s="26">
        <f t="shared" si="6"/>
        <v>0</v>
      </c>
      <c r="W44" s="26">
        <f t="shared" si="6"/>
        <v>55580.574744239966</v>
      </c>
      <c r="X44" s="26">
        <f t="shared" si="6"/>
        <v>-1833872.657691394</v>
      </c>
      <c r="Y44" s="26">
        <f t="shared" si="6"/>
        <v>-1833872.657691394</v>
      </c>
      <c r="Z44" s="26">
        <f t="shared" si="6"/>
        <v>-2300.154806367791</v>
      </c>
      <c r="AA44" s="26">
        <f t="shared" si="6"/>
        <v>-2300.154806367791</v>
      </c>
      <c r="AB44" s="26">
        <f t="shared" ca="1" si="6"/>
        <v>-1831255.4956129938</v>
      </c>
    </row>
    <row r="45" spans="1:41" ht="11.25" customHeight="1" x14ac:dyDescent="0.25">
      <c r="K45" s="31" t="s">
        <v>575</v>
      </c>
      <c r="L45" s="26">
        <f>CUSTOS!$D$30</f>
        <v>73198.785302957069</v>
      </c>
      <c r="M45" s="26">
        <f>CUSTOS!$D$31</f>
        <v>631086.40869767964</v>
      </c>
      <c r="N45" s="26">
        <f>CUSTOS!$D$32</f>
        <v>0</v>
      </c>
      <c r="O45" s="26">
        <f>CUSTOS!$D$33</f>
        <v>0</v>
      </c>
      <c r="P45" s="26">
        <f>CUSTOS!$D$34</f>
        <v>-701487.35</v>
      </c>
      <c r="Q45" s="26">
        <f>CUSTOS!$D$35</f>
        <v>2797.8440006367164</v>
      </c>
      <c r="R45" s="26">
        <f>CUSTOS!$D$36</f>
        <v>5974731.309717196</v>
      </c>
      <c r="S45" s="26">
        <f>CUSTOS!$D$37</f>
        <v>5974731.309717196</v>
      </c>
      <c r="T45" s="26">
        <f>CUSTOS!$D$38</f>
        <v>300438.78378876136</v>
      </c>
      <c r="U45" s="26">
        <f>CUSTOS!$D$39</f>
        <v>206871.02282621071</v>
      </c>
      <c r="V45" s="26">
        <f>CUSTOS!$D$40</f>
        <v>0</v>
      </c>
      <c r="W45" s="26">
        <f>CUSTOS!$D$41</f>
        <v>507309.80661497207</v>
      </c>
      <c r="X45" s="26">
        <f>CUSTOS!$D$42</f>
        <v>0</v>
      </c>
      <c r="Y45" s="26">
        <f>CUSTOS!$D$43</f>
        <v>0</v>
      </c>
      <c r="Z45" s="26">
        <f>CUSTOS!$D$44</f>
        <v>157753.45597870075</v>
      </c>
      <c r="AA45" s="26">
        <f>CUSTOS!$D$45</f>
        <v>157753.45597870075</v>
      </c>
      <c r="AB45" s="26">
        <f>CUSTOS!$D$46</f>
        <v>6642592.4163115053</v>
      </c>
    </row>
    <row r="46" spans="1:41" ht="11.25" customHeight="1" x14ac:dyDescent="0.25">
      <c r="K46" s="31" t="s">
        <v>576</v>
      </c>
      <c r="L46" s="26">
        <f>CUSTOS!$E$30</f>
        <v>7.4898569425744063E-2</v>
      </c>
      <c r="M46" s="26">
        <f>CUSTOS!$E$31</f>
        <v>36452.39382646844</v>
      </c>
      <c r="N46" s="26">
        <f>CUSTOS!$E$32</f>
        <v>0</v>
      </c>
      <c r="O46" s="26">
        <f>CUSTOS!$E$33</f>
        <v>-9.4234900844694225E-19</v>
      </c>
      <c r="P46" s="26">
        <f>CUSTOS!$E$34</f>
        <v>0</v>
      </c>
      <c r="Q46" s="26">
        <f>CUSTOS!$E$35</f>
        <v>36452.468725037863</v>
      </c>
      <c r="R46" s="26">
        <f>CUSTOS!$E$36</f>
        <v>-87115.726584510674</v>
      </c>
      <c r="S46" s="26">
        <f>CUSTOS!$E$37</f>
        <v>-87115.726584510674</v>
      </c>
      <c r="T46" s="26">
        <f>CUSTOS!$E$38</f>
        <v>26649.726315666448</v>
      </c>
      <c r="U46" s="26">
        <f>CUSTOS!$E$39</f>
        <v>28930.848428573499</v>
      </c>
      <c r="V46" s="26">
        <f>CUSTOS!$E$40</f>
        <v>0</v>
      </c>
      <c r="W46" s="26">
        <f>CUSTOS!$E$41</f>
        <v>55580.574744239944</v>
      </c>
      <c r="X46" s="26">
        <f>CUSTOS!$E$42</f>
        <v>-1833872.6576913935</v>
      </c>
      <c r="Y46" s="26">
        <f>CUSTOS!$E$43</f>
        <v>-1833872.6576913935</v>
      </c>
      <c r="Z46" s="26">
        <f>CUSTOS!$E$44</f>
        <v>-2300.154806367791</v>
      </c>
      <c r="AA46" s="26">
        <f>CUSTOS!$E$45</f>
        <v>-2300.154806367791</v>
      </c>
      <c r="AB46" s="26">
        <f>CUSTOS!$E$46</f>
        <v>-1831255.4956129943</v>
      </c>
    </row>
    <row r="47" spans="1:41" ht="11.25" customHeight="1" x14ac:dyDescent="0.25">
      <c r="K47" s="31" t="s">
        <v>577</v>
      </c>
      <c r="L47" s="26">
        <f>CUSTOS!$F$30</f>
        <v>0</v>
      </c>
      <c r="M47" s="26">
        <f>CUSTOS!$F$31</f>
        <v>290820.58199999999</v>
      </c>
      <c r="N47" s="26">
        <f>CUSTOS!$F$32</f>
        <v>0</v>
      </c>
      <c r="O47" s="26">
        <f>CUSTOS!$F$33</f>
        <v>0</v>
      </c>
      <c r="P47" s="26">
        <f>CUSTOS!$F$34</f>
        <v>0</v>
      </c>
      <c r="Q47" s="26">
        <f>CUSTOS!$F$35</f>
        <v>290820.58199999999</v>
      </c>
      <c r="R47" s="26">
        <f>CUSTOS!$F$36</f>
        <v>995691.63033714134</v>
      </c>
      <c r="S47" s="26">
        <f>CUSTOS!$F$37</f>
        <v>995691.63033714134</v>
      </c>
      <c r="T47" s="26">
        <f>CUSTOS!$F$38</f>
        <v>63621.552600000003</v>
      </c>
      <c r="U47" s="26">
        <f>CUSTOS!$F$39</f>
        <v>8085.2637000000004</v>
      </c>
      <c r="V47" s="26">
        <f>CUSTOS!$F$40</f>
        <v>0</v>
      </c>
      <c r="W47" s="26">
        <f>CUSTOS!$F$41</f>
        <v>71706.816300000006</v>
      </c>
      <c r="X47" s="26">
        <f>CUSTOS!$F$42</f>
        <v>0</v>
      </c>
      <c r="Y47" s="26">
        <f>CUSTOS!$F$43</f>
        <v>0</v>
      </c>
      <c r="Z47" s="26">
        <f>CUSTOS!$F$44</f>
        <v>26289.68360791204</v>
      </c>
      <c r="AA47" s="26">
        <f>CUSTOS!$F$45</f>
        <v>26289.68360791204</v>
      </c>
      <c r="AB47" s="26">
        <f>CUSTOS!$F$46</f>
        <v>1384508.7122450536</v>
      </c>
    </row>
    <row r="48" spans="1:41" ht="11.25" customHeight="1" x14ac:dyDescent="0.25">
      <c r="K48" s="31" t="s">
        <v>657</v>
      </c>
      <c r="L48" s="26">
        <f>'TR TE'!$L$48*L49</f>
        <v>0</v>
      </c>
      <c r="M48" s="26">
        <f>'TR TE'!$M$48*M49</f>
        <v>9.6761868327463709</v>
      </c>
      <c r="N48" s="26">
        <f>'TR TE'!$N$48*N49</f>
        <v>0</v>
      </c>
      <c r="O48" s="26">
        <f>'TR TE'!$O$48*O49</f>
        <v>0</v>
      </c>
      <c r="P48" s="26">
        <f>'TR TE'!$P$48*P49</f>
        <v>0</v>
      </c>
      <c r="Q48" s="26"/>
      <c r="R48" s="26">
        <f>'TR TE'!$R$48*R49</f>
        <v>33.134237258837736</v>
      </c>
      <c r="S48" s="26"/>
      <c r="T48" s="26">
        <f>'TR TE'!$T$48*T49</f>
        <v>2.1168172668982579</v>
      </c>
      <c r="U48" s="26">
        <f>'TR TE'!$U$48*U49</f>
        <v>0.26901301694397345</v>
      </c>
      <c r="V48" s="26">
        <f>'TR TE'!$V$48*V49</f>
        <v>0</v>
      </c>
      <c r="W48" s="26"/>
      <c r="X48" s="26"/>
      <c r="Y48" s="26"/>
      <c r="Z48" s="26">
        <f>'TR TE'!$Z$48*Z49</f>
        <v>0.87471075332607173</v>
      </c>
      <c r="AA48" s="26"/>
      <c r="AB48" s="26"/>
    </row>
    <row r="49" spans="11:28" ht="11.25" customHeight="1" x14ac:dyDescent="0.25">
      <c r="K49" s="31" t="s">
        <v>652</v>
      </c>
      <c r="L49" s="26">
        <f>IF(L45&lt;&gt;0,L47/L45,0)</f>
        <v>0</v>
      </c>
      <c r="M49" s="26">
        <f>IF(M45&lt;&gt;0,M47/M45,0)</f>
        <v>0.46082529744245665</v>
      </c>
      <c r="N49" s="26">
        <f>IF(N45&lt;&gt;0,N47/N45,0)</f>
        <v>0</v>
      </c>
      <c r="O49" s="26">
        <f>IF(O45&lt;&gt;0,O47/O45,0)</f>
        <v>0</v>
      </c>
      <c r="P49" s="26">
        <f>IF(P45&lt;&gt;0,P47/P45,0)</f>
        <v>0</v>
      </c>
      <c r="Q49" s="26"/>
      <c r="R49" s="26">
        <f>IF(R45&lt;&gt;0,R47/R45,0)</f>
        <v>0.16665044480205601</v>
      </c>
      <c r="S49" s="26"/>
      <c r="T49" s="26">
        <f>IF(T45&lt;&gt;0,T47/T45,0)</f>
        <v>0.21176211605467138</v>
      </c>
      <c r="U49" s="26">
        <f>IF(U45&lt;&gt;0,U47/U45,0)</f>
        <v>3.908359706227349E-2</v>
      </c>
      <c r="V49" s="26">
        <f>IF(V45&lt;&gt;0,V47/V45,0)</f>
        <v>0</v>
      </c>
      <c r="W49" s="26"/>
      <c r="X49" s="26">
        <f>IF($AB45&lt;&gt;0,X47/($AB45-SUM('TR TE'!$L48:'TR TE'!$AA48)*0),0)</f>
        <v>0</v>
      </c>
      <c r="Y49" s="26"/>
      <c r="Z49" s="26">
        <f>IF(Z45&lt;&gt;0,Z47/Z45,0)</f>
        <v>0.16665044480205601</v>
      </c>
      <c r="AA49" s="26"/>
      <c r="AB49" s="26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72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1:D23"/>
    <mergeCell ref="E21:E23"/>
    <mergeCell ref="F21:F23"/>
    <mergeCell ref="B25:B27"/>
    <mergeCell ref="C25:C27"/>
    <mergeCell ref="D25:D27"/>
    <mergeCell ref="E25:E27"/>
    <mergeCell ref="AC1:AC4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E29:E31"/>
    <mergeCell ref="F29:F31"/>
    <mergeCell ref="A21:A35"/>
    <mergeCell ref="B21:B23"/>
    <mergeCell ref="C21:C23"/>
    <mergeCell ref="E36:E38"/>
    <mergeCell ref="F36:F38"/>
    <mergeCell ref="A41:A42"/>
    <mergeCell ref="B41:B42"/>
    <mergeCell ref="C41:C42"/>
    <mergeCell ref="AJ1:AJ4"/>
    <mergeCell ref="AK1:AK4"/>
    <mergeCell ref="AL1:AL4"/>
    <mergeCell ref="AO1:AO4"/>
    <mergeCell ref="AD1:AD4"/>
    <mergeCell ref="AE1:AE4"/>
    <mergeCell ref="AF1:AF4"/>
    <mergeCell ref="AG1:AG4"/>
    <mergeCell ref="AH1:AH4"/>
    <mergeCell ref="AI1:AI4"/>
  </mergeCells>
  <conditionalFormatting sqref="L44">
    <cfRule type="cellIs" dxfId="216" priority="33" operator="notEqual">
      <formula>$L$46</formula>
    </cfRule>
    <cfRule type="cellIs" dxfId="215" priority="34" operator="equal">
      <formula>$L$46</formula>
    </cfRule>
  </conditionalFormatting>
  <conditionalFormatting sqref="M44">
    <cfRule type="cellIs" dxfId="214" priority="31" operator="notEqual">
      <formula>$M$46</formula>
    </cfRule>
    <cfRule type="cellIs" dxfId="213" priority="32" operator="equal">
      <formula>$M$46</formula>
    </cfRule>
  </conditionalFormatting>
  <conditionalFormatting sqref="N44">
    <cfRule type="cellIs" dxfId="212" priority="29" operator="notEqual">
      <formula>$N$46</formula>
    </cfRule>
    <cfRule type="cellIs" dxfId="211" priority="30" operator="equal">
      <formula>$N$46</formula>
    </cfRule>
  </conditionalFormatting>
  <conditionalFormatting sqref="O44">
    <cfRule type="cellIs" dxfId="210" priority="27" operator="notEqual">
      <formula>$O$46</formula>
    </cfRule>
    <cfRule type="cellIs" dxfId="209" priority="28" operator="equal">
      <formula>$O$46</formula>
    </cfRule>
  </conditionalFormatting>
  <conditionalFormatting sqref="P44">
    <cfRule type="cellIs" dxfId="208" priority="25" operator="notEqual">
      <formula>$P$46</formula>
    </cfRule>
    <cfRule type="cellIs" dxfId="207" priority="26" operator="equal">
      <formula>$P$46</formula>
    </cfRule>
  </conditionalFormatting>
  <conditionalFormatting sqref="Q44">
    <cfRule type="cellIs" dxfId="206" priority="23" operator="notEqual">
      <formula>$Q$46</formula>
    </cfRule>
    <cfRule type="cellIs" dxfId="205" priority="24" operator="equal">
      <formula>$Q$46</formula>
    </cfRule>
  </conditionalFormatting>
  <conditionalFormatting sqref="R44">
    <cfRule type="cellIs" dxfId="204" priority="21" operator="notEqual">
      <formula>$R$46</formula>
    </cfRule>
    <cfRule type="cellIs" dxfId="203" priority="22" operator="equal">
      <formula>$R$46</formula>
    </cfRule>
  </conditionalFormatting>
  <conditionalFormatting sqref="S44">
    <cfRule type="cellIs" dxfId="202" priority="19" operator="notEqual">
      <formula>$S$46</formula>
    </cfRule>
    <cfRule type="cellIs" dxfId="201" priority="20" operator="equal">
      <formula>$S$46</formula>
    </cfRule>
  </conditionalFormatting>
  <conditionalFormatting sqref="T44">
    <cfRule type="cellIs" dxfId="200" priority="17" operator="notEqual">
      <formula>$T$46</formula>
    </cfRule>
    <cfRule type="cellIs" dxfId="199" priority="18" operator="equal">
      <formula>$T$46</formula>
    </cfRule>
  </conditionalFormatting>
  <conditionalFormatting sqref="U44">
    <cfRule type="cellIs" dxfId="198" priority="15" operator="notEqual">
      <formula>$U$46</formula>
    </cfRule>
    <cfRule type="cellIs" dxfId="197" priority="16" operator="equal">
      <formula>$U$46</formula>
    </cfRule>
  </conditionalFormatting>
  <conditionalFormatting sqref="V44">
    <cfRule type="cellIs" dxfId="196" priority="13" operator="notEqual">
      <formula>$V$46</formula>
    </cfRule>
    <cfRule type="cellIs" dxfId="195" priority="14" operator="equal">
      <formula>$V$46</formula>
    </cfRule>
  </conditionalFormatting>
  <conditionalFormatting sqref="W44">
    <cfRule type="cellIs" dxfId="194" priority="11" operator="notEqual">
      <formula>$W$46</formula>
    </cfRule>
    <cfRule type="cellIs" dxfId="193" priority="12" operator="equal">
      <formula>$W$46</formula>
    </cfRule>
  </conditionalFormatting>
  <conditionalFormatting sqref="X44">
    <cfRule type="cellIs" dxfId="192" priority="9" operator="notEqual">
      <formula>$X$46</formula>
    </cfRule>
    <cfRule type="cellIs" dxfId="191" priority="10" operator="equal">
      <formula>$X$46</formula>
    </cfRule>
  </conditionalFormatting>
  <conditionalFormatting sqref="Y44">
    <cfRule type="cellIs" dxfId="190" priority="7" operator="notEqual">
      <formula>$Y$46</formula>
    </cfRule>
    <cfRule type="cellIs" dxfId="189" priority="8" operator="equal">
      <formula>$Y$46</formula>
    </cfRule>
  </conditionalFormatting>
  <conditionalFormatting sqref="Z44">
    <cfRule type="cellIs" dxfId="188" priority="5" operator="notEqual">
      <formula>$Z$46</formula>
    </cfRule>
    <cfRule type="cellIs" dxfId="187" priority="6" operator="equal">
      <formula>$Z$46</formula>
    </cfRule>
  </conditionalFormatting>
  <conditionalFormatting sqref="AA44">
    <cfRule type="cellIs" dxfId="186" priority="3" operator="notEqual">
      <formula>$AA$46</formula>
    </cfRule>
    <cfRule type="cellIs" dxfId="185" priority="4" operator="equal">
      <formula>$AA$46</formula>
    </cfRule>
  </conditionalFormatting>
  <conditionalFormatting sqref="AB44">
    <cfRule type="cellIs" dxfId="184" priority="1" operator="notEqual">
      <formula>$AB$46</formula>
    </cfRule>
    <cfRule type="cellIs" dxfId="183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0AEE7-A867-4873-9099-803B9AEB5945}">
  <sheetPr>
    <tabColor indexed="12" tint="-0.249977111117893"/>
  </sheetPr>
  <dimension ref="A1:J565"/>
  <sheetViews>
    <sheetView workbookViewId="0"/>
  </sheetViews>
  <sheetFormatPr defaultRowHeight="15" x14ac:dyDescent="0.25"/>
  <cols>
    <col min="1" max="1" width="40.5703125" bestFit="1" customWidth="1"/>
    <col min="2" max="2" width="29.42578125" style="65" bestFit="1" customWidth="1"/>
    <col min="3" max="3" width="30.7109375" style="65" bestFit="1" customWidth="1"/>
    <col min="4" max="4" width="31.42578125" style="65" bestFit="1" customWidth="1"/>
    <col min="5" max="5" width="32.5703125" style="65" bestFit="1" customWidth="1"/>
    <col min="6" max="6" width="28.7109375" style="65" bestFit="1" customWidth="1"/>
    <col min="7" max="7" width="30" style="65" bestFit="1" customWidth="1"/>
    <col min="8" max="8" width="22" style="99" bestFit="1" customWidth="1"/>
    <col min="9" max="9" width="19.28515625" style="99" bestFit="1" customWidth="1"/>
    <col min="10" max="10" width="16.7109375" style="99" bestFit="1" customWidth="1"/>
  </cols>
  <sheetData>
    <row r="1" spans="1:10" x14ac:dyDescent="0.25">
      <c r="A1" s="89" t="s">
        <v>719</v>
      </c>
      <c r="B1" s="65" t="s">
        <v>720</v>
      </c>
      <c r="C1" s="65" t="s">
        <v>721</v>
      </c>
      <c r="D1" s="65" t="s">
        <v>722</v>
      </c>
      <c r="E1" s="65" t="s">
        <v>723</v>
      </c>
      <c r="F1" s="65" t="s">
        <v>724</v>
      </c>
      <c r="G1" s="65" t="s">
        <v>725</v>
      </c>
      <c r="H1" s="99" t="s">
        <v>726</v>
      </c>
      <c r="I1" s="99" t="s">
        <v>727</v>
      </c>
      <c r="J1" s="99" t="s">
        <v>728</v>
      </c>
    </row>
    <row r="2" spans="1:10" x14ac:dyDescent="0.25">
      <c r="A2" s="90" t="s">
        <v>38</v>
      </c>
      <c r="B2" s="65">
        <v>2386749.7921999982</v>
      </c>
      <c r="C2" s="65">
        <v>2610671.9906476228</v>
      </c>
      <c r="D2" s="65">
        <v>2410734.2122137984</v>
      </c>
      <c r="E2" s="65">
        <v>3373796.0874048071</v>
      </c>
      <c r="F2" s="65">
        <v>2117178.5408321987</v>
      </c>
      <c r="G2" s="65">
        <v>1575477.5337243301</v>
      </c>
      <c r="H2" s="99">
        <v>0.24741803673479268</v>
      </c>
      <c r="I2" s="99">
        <v>-0.25585986097088553</v>
      </c>
      <c r="J2" s="99">
        <v>9.3320977315720643E-2</v>
      </c>
    </row>
    <row r="3" spans="1:10" x14ac:dyDescent="0.25">
      <c r="A3" s="91" t="s">
        <v>56</v>
      </c>
      <c r="B3" s="65">
        <v>1751710.28</v>
      </c>
      <c r="C3" s="65">
        <v>1919914.1510981631</v>
      </c>
      <c r="D3" s="65">
        <v>1496349.1867800001</v>
      </c>
      <c r="E3" s="65">
        <v>2170646.0755940708</v>
      </c>
      <c r="F3" s="65">
        <v>0</v>
      </c>
      <c r="G3" s="65">
        <v>0</v>
      </c>
      <c r="H3" s="99">
        <v>0.25938587902377797</v>
      </c>
      <c r="I3" s="99">
        <v>0</v>
      </c>
      <c r="J3" s="99">
        <v>0.25938587902377797</v>
      </c>
    </row>
    <row r="4" spans="1:10" x14ac:dyDescent="0.25">
      <c r="A4" s="92" t="s">
        <v>58</v>
      </c>
      <c r="B4" s="65">
        <v>1751710.28</v>
      </c>
      <c r="C4" s="65">
        <v>1919914.1510981631</v>
      </c>
      <c r="D4" s="65">
        <v>1496349.1867800001</v>
      </c>
      <c r="E4" s="65">
        <v>2170646.0755940708</v>
      </c>
      <c r="F4" s="65">
        <v>0</v>
      </c>
      <c r="G4" s="65">
        <v>0</v>
      </c>
      <c r="H4" s="99">
        <v>0.25938587902377797</v>
      </c>
      <c r="I4" s="99">
        <v>0</v>
      </c>
      <c r="J4" s="99">
        <v>0.25938587902377797</v>
      </c>
    </row>
    <row r="5" spans="1:10" x14ac:dyDescent="0.25">
      <c r="A5" s="93" t="s">
        <v>37</v>
      </c>
      <c r="B5" s="65">
        <v>1751710.28</v>
      </c>
      <c r="C5" s="65">
        <v>1919914.1510981631</v>
      </c>
      <c r="D5" s="65">
        <v>1496349.1867800001</v>
      </c>
      <c r="E5" s="65">
        <v>2170646.0755940708</v>
      </c>
      <c r="F5" s="65">
        <v>0</v>
      </c>
      <c r="G5" s="65">
        <v>0</v>
      </c>
      <c r="H5" s="99">
        <v>0.25938587902377797</v>
      </c>
      <c r="I5" s="99">
        <v>0</v>
      </c>
      <c r="J5" s="99">
        <v>0.25938587902377797</v>
      </c>
    </row>
    <row r="6" spans="1:10" x14ac:dyDescent="0.25">
      <c r="A6" s="94" t="s">
        <v>25</v>
      </c>
      <c r="B6" s="65">
        <v>1751710.28</v>
      </c>
      <c r="C6" s="65">
        <v>1919914.1510981631</v>
      </c>
      <c r="D6" s="65">
        <v>1496349.1867800001</v>
      </c>
      <c r="E6" s="65">
        <v>2170646.0755940708</v>
      </c>
      <c r="F6" s="65">
        <v>0</v>
      </c>
      <c r="G6" s="65">
        <v>0</v>
      </c>
      <c r="H6" s="99">
        <v>0.25938587902377797</v>
      </c>
      <c r="I6" s="99">
        <v>0</v>
      </c>
      <c r="J6" s="99">
        <v>0.25938587902377797</v>
      </c>
    </row>
    <row r="7" spans="1:10" x14ac:dyDescent="0.25">
      <c r="A7" s="95" t="s">
        <v>57</v>
      </c>
      <c r="B7" s="65">
        <v>1751710.28</v>
      </c>
      <c r="C7" s="65">
        <v>1919914.1510981631</v>
      </c>
      <c r="D7" s="65">
        <v>1496349.1867800001</v>
      </c>
      <c r="E7" s="65">
        <v>2170646.0755940708</v>
      </c>
      <c r="F7" s="65">
        <v>0</v>
      </c>
      <c r="G7" s="65">
        <v>0</v>
      </c>
      <c r="H7" s="99">
        <v>0.25938587902377797</v>
      </c>
      <c r="I7" s="99">
        <v>0</v>
      </c>
      <c r="J7" s="99">
        <v>0.25938587902377797</v>
      </c>
    </row>
    <row r="8" spans="1:10" x14ac:dyDescent="0.25">
      <c r="A8" s="96" t="s">
        <v>25</v>
      </c>
      <c r="B8" s="65">
        <v>1751710.28</v>
      </c>
      <c r="C8" s="65">
        <v>1919914.1510981631</v>
      </c>
      <c r="D8" s="65">
        <v>1496349.1867800001</v>
      </c>
      <c r="E8" s="65">
        <v>2170646.0755940708</v>
      </c>
      <c r="F8" s="65">
        <v>0</v>
      </c>
      <c r="G8" s="65">
        <v>0</v>
      </c>
      <c r="H8" s="99">
        <v>0.25938587902377797</v>
      </c>
      <c r="I8" s="99">
        <v>0</v>
      </c>
      <c r="J8" s="99">
        <v>0.25938587902377797</v>
      </c>
    </row>
    <row r="9" spans="1:10" x14ac:dyDescent="0.25">
      <c r="A9" s="97" t="s">
        <v>34</v>
      </c>
      <c r="B9" s="65">
        <v>750334.90500000003</v>
      </c>
      <c r="C9" s="65">
        <v>822131.87429979746</v>
      </c>
      <c r="D9" s="65">
        <v>0</v>
      </c>
      <c r="E9" s="65">
        <v>0</v>
      </c>
      <c r="F9" s="65">
        <v>0</v>
      </c>
      <c r="G9" s="65">
        <v>0</v>
      </c>
      <c r="H9" s="99">
        <v>9.5686564521208606E-2</v>
      </c>
      <c r="I9" s="99">
        <v>0</v>
      </c>
      <c r="J9" s="99">
        <v>9.5686564521208606E-2</v>
      </c>
    </row>
    <row r="10" spans="1:10" x14ac:dyDescent="0.25">
      <c r="A10" s="98">
        <v>44409</v>
      </c>
      <c r="B10" s="65">
        <v>61471.44</v>
      </c>
      <c r="C10" s="65">
        <v>67353.430909771618</v>
      </c>
      <c r="D10" s="65">
        <v>0</v>
      </c>
      <c r="E10" s="65">
        <v>0</v>
      </c>
      <c r="F10" s="65">
        <v>0</v>
      </c>
      <c r="G10" s="65">
        <v>0</v>
      </c>
      <c r="H10" s="99">
        <v>9.5686564521208828E-2</v>
      </c>
      <c r="I10" s="99">
        <v>0</v>
      </c>
      <c r="J10" s="99">
        <v>9.5686564521208828E-2</v>
      </c>
    </row>
    <row r="11" spans="1:10" x14ac:dyDescent="0.25">
      <c r="A11" s="98">
        <v>44440</v>
      </c>
      <c r="B11" s="65">
        <v>61987.140000000007</v>
      </c>
      <c r="C11" s="65">
        <v>67918.4764710952</v>
      </c>
      <c r="D11" s="65">
        <v>0</v>
      </c>
      <c r="E11" s="65">
        <v>0</v>
      </c>
      <c r="F11" s="65">
        <v>0</v>
      </c>
      <c r="G11" s="65">
        <v>0</v>
      </c>
      <c r="H11" s="99">
        <v>9.5686564521208606E-2</v>
      </c>
      <c r="I11" s="99">
        <v>0</v>
      </c>
      <c r="J11" s="99">
        <v>9.5686564521208606E-2</v>
      </c>
    </row>
    <row r="12" spans="1:10" x14ac:dyDescent="0.25">
      <c r="A12" s="98">
        <v>44470</v>
      </c>
      <c r="B12" s="65">
        <v>63628.785000000003</v>
      </c>
      <c r="C12" s="65">
        <v>69717.204841308616</v>
      </c>
      <c r="D12" s="65">
        <v>0</v>
      </c>
      <c r="E12" s="65">
        <v>0</v>
      </c>
      <c r="F12" s="65">
        <v>0</v>
      </c>
      <c r="G12" s="65">
        <v>0</v>
      </c>
      <c r="H12" s="99">
        <v>9.5686564521208606E-2</v>
      </c>
      <c r="I12" s="99">
        <v>0</v>
      </c>
      <c r="J12" s="99">
        <v>9.5686564521208606E-2</v>
      </c>
    </row>
    <row r="13" spans="1:10" x14ac:dyDescent="0.25">
      <c r="A13" s="98">
        <v>44501</v>
      </c>
      <c r="B13" s="65">
        <v>62193.420000000006</v>
      </c>
      <c r="C13" s="65">
        <v>68144.494695624642</v>
      </c>
      <c r="D13" s="65">
        <v>0</v>
      </c>
      <c r="E13" s="65">
        <v>0</v>
      </c>
      <c r="F13" s="65">
        <v>0</v>
      </c>
      <c r="G13" s="65">
        <v>0</v>
      </c>
      <c r="H13" s="99">
        <v>9.5686564521208828E-2</v>
      </c>
      <c r="I13" s="99">
        <v>0</v>
      </c>
      <c r="J13" s="99">
        <v>9.5686564521208828E-2</v>
      </c>
    </row>
    <row r="14" spans="1:10" x14ac:dyDescent="0.25">
      <c r="A14" s="98">
        <v>44531</v>
      </c>
      <c r="B14" s="65">
        <v>60809.625000000007</v>
      </c>
      <c r="C14" s="65">
        <v>66628.289106073003</v>
      </c>
      <c r="D14" s="65">
        <v>0</v>
      </c>
      <c r="E14" s="65">
        <v>0</v>
      </c>
      <c r="F14" s="65">
        <v>0</v>
      </c>
      <c r="G14" s="65">
        <v>0</v>
      </c>
      <c r="H14" s="99">
        <v>9.5686564521208606E-2</v>
      </c>
      <c r="I14" s="99">
        <v>0</v>
      </c>
      <c r="J14" s="99">
        <v>9.5686564521208606E-2</v>
      </c>
    </row>
    <row r="15" spans="1:10" x14ac:dyDescent="0.25">
      <c r="A15" s="98">
        <v>44562</v>
      </c>
      <c r="B15" s="65">
        <v>61832.430000000008</v>
      </c>
      <c r="C15" s="65">
        <v>67748.962802698123</v>
      </c>
      <c r="D15" s="65">
        <v>0</v>
      </c>
      <c r="E15" s="65">
        <v>0</v>
      </c>
      <c r="F15" s="65">
        <v>0</v>
      </c>
      <c r="G15" s="65">
        <v>0</v>
      </c>
      <c r="H15" s="99">
        <v>9.5686564521208606E-2</v>
      </c>
      <c r="I15" s="99">
        <v>0</v>
      </c>
      <c r="J15" s="99">
        <v>9.5686564521208606E-2</v>
      </c>
    </row>
    <row r="16" spans="1:10" x14ac:dyDescent="0.25">
      <c r="A16" s="98">
        <v>44593</v>
      </c>
      <c r="B16" s="65">
        <v>63671.76</v>
      </c>
      <c r="C16" s="65">
        <v>69764.291971418919</v>
      </c>
      <c r="D16" s="65">
        <v>0</v>
      </c>
      <c r="E16" s="65">
        <v>0</v>
      </c>
      <c r="F16" s="65">
        <v>0</v>
      </c>
      <c r="G16" s="65">
        <v>0</v>
      </c>
      <c r="H16" s="99">
        <v>9.5686564521208828E-2</v>
      </c>
      <c r="I16" s="99">
        <v>0</v>
      </c>
      <c r="J16" s="99">
        <v>9.5686564521208828E-2</v>
      </c>
    </row>
    <row r="17" spans="1:10" x14ac:dyDescent="0.25">
      <c r="A17" s="98">
        <v>44621</v>
      </c>
      <c r="B17" s="65">
        <v>65218.860000000008</v>
      </c>
      <c r="C17" s="65">
        <v>71459.428655389682</v>
      </c>
      <c r="D17" s="65">
        <v>0</v>
      </c>
      <c r="E17" s="65">
        <v>0</v>
      </c>
      <c r="F17" s="65">
        <v>0</v>
      </c>
      <c r="G17" s="65">
        <v>0</v>
      </c>
      <c r="H17" s="99">
        <v>9.5686564521208606E-2</v>
      </c>
      <c r="I17" s="99">
        <v>0</v>
      </c>
      <c r="J17" s="99">
        <v>9.5686564521208606E-2</v>
      </c>
    </row>
    <row r="18" spans="1:10" x14ac:dyDescent="0.25">
      <c r="A18" s="98">
        <v>44652</v>
      </c>
      <c r="B18" s="65">
        <v>63938.205000000002</v>
      </c>
      <c r="C18" s="65">
        <v>70056.232178102771</v>
      </c>
      <c r="D18" s="65">
        <v>0</v>
      </c>
      <c r="E18" s="65">
        <v>0</v>
      </c>
      <c r="F18" s="65">
        <v>0</v>
      </c>
      <c r="G18" s="65">
        <v>0</v>
      </c>
      <c r="H18" s="99">
        <v>9.5686564521208606E-2</v>
      </c>
      <c r="I18" s="99">
        <v>0</v>
      </c>
      <c r="J18" s="99">
        <v>9.5686564521208606E-2</v>
      </c>
    </row>
    <row r="19" spans="1:10" x14ac:dyDescent="0.25">
      <c r="A19" s="98">
        <v>44682</v>
      </c>
      <c r="B19" s="65">
        <v>61316.73</v>
      </c>
      <c r="C19" s="65">
        <v>67183.91724137454</v>
      </c>
      <c r="D19" s="65">
        <v>0</v>
      </c>
      <c r="E19" s="65">
        <v>0</v>
      </c>
      <c r="F19" s="65">
        <v>0</v>
      </c>
      <c r="G19" s="65">
        <v>0</v>
      </c>
      <c r="H19" s="99">
        <v>9.5686564521208828E-2</v>
      </c>
      <c r="I19" s="99">
        <v>0</v>
      </c>
      <c r="J19" s="99">
        <v>9.5686564521208828E-2</v>
      </c>
    </row>
    <row r="20" spans="1:10" x14ac:dyDescent="0.25">
      <c r="A20" s="98">
        <v>44713</v>
      </c>
      <c r="B20" s="65">
        <v>62133.255000000005</v>
      </c>
      <c r="C20" s="65">
        <v>68078.572713470217</v>
      </c>
      <c r="D20" s="65">
        <v>0</v>
      </c>
      <c r="E20" s="65">
        <v>0</v>
      </c>
      <c r="F20" s="65">
        <v>0</v>
      </c>
      <c r="G20" s="65">
        <v>0</v>
      </c>
      <c r="H20" s="99">
        <v>9.5686564521208606E-2</v>
      </c>
      <c r="I20" s="99">
        <v>0</v>
      </c>
      <c r="J20" s="99">
        <v>9.5686564521208606E-2</v>
      </c>
    </row>
    <row r="21" spans="1:10" x14ac:dyDescent="0.25">
      <c r="A21" s="98">
        <v>44743</v>
      </c>
      <c r="B21" s="65">
        <v>62133.255000000005</v>
      </c>
      <c r="C21" s="65">
        <v>68078.572713470217</v>
      </c>
      <c r="D21" s="65">
        <v>0</v>
      </c>
      <c r="E21" s="65">
        <v>0</v>
      </c>
      <c r="F21" s="65">
        <v>0</v>
      </c>
      <c r="G21" s="65">
        <v>0</v>
      </c>
      <c r="H21" s="99">
        <v>9.5686564521208606E-2</v>
      </c>
      <c r="I21" s="99">
        <v>0</v>
      </c>
      <c r="J21" s="99">
        <v>9.5686564521208606E-2</v>
      </c>
    </row>
    <row r="22" spans="1:10" x14ac:dyDescent="0.25">
      <c r="A22" s="97" t="s">
        <v>25</v>
      </c>
      <c r="B22" s="65">
        <v>0</v>
      </c>
      <c r="C22" s="65">
        <v>0</v>
      </c>
      <c r="D22" s="65">
        <v>1496349.1867800001</v>
      </c>
      <c r="E22" s="65">
        <v>2170646.0755940708</v>
      </c>
      <c r="F22" s="65">
        <v>0</v>
      </c>
      <c r="G22" s="65">
        <v>0</v>
      </c>
      <c r="H22" s="99">
        <v>0.45062803172639998</v>
      </c>
      <c r="I22" s="99">
        <v>0</v>
      </c>
      <c r="J22" s="99">
        <v>0.45062803172639998</v>
      </c>
    </row>
    <row r="23" spans="1:10" x14ac:dyDescent="0.25">
      <c r="A23" s="98">
        <v>44409</v>
      </c>
      <c r="B23" s="65">
        <v>0</v>
      </c>
      <c r="C23" s="65">
        <v>0</v>
      </c>
      <c r="D23" s="65">
        <v>125770.84897000001</v>
      </c>
      <c r="E23" s="65">
        <v>182446.71908990943</v>
      </c>
      <c r="F23" s="65">
        <v>0</v>
      </c>
      <c r="G23" s="65">
        <v>0</v>
      </c>
      <c r="H23" s="99">
        <v>0.45062803172639998</v>
      </c>
      <c r="I23" s="99">
        <v>0</v>
      </c>
      <c r="J23" s="99">
        <v>0.45062803172639998</v>
      </c>
    </row>
    <row r="24" spans="1:10" x14ac:dyDescent="0.25">
      <c r="A24" s="98">
        <v>44440</v>
      </c>
      <c r="B24" s="65">
        <v>0</v>
      </c>
      <c r="C24" s="65">
        <v>0</v>
      </c>
      <c r="D24" s="65">
        <v>122939.93251500002</v>
      </c>
      <c r="E24" s="65">
        <v>178340.11232481091</v>
      </c>
      <c r="F24" s="65">
        <v>0</v>
      </c>
      <c r="G24" s="65">
        <v>0</v>
      </c>
      <c r="H24" s="99">
        <v>0.45062803172639976</v>
      </c>
      <c r="I24" s="99">
        <v>0</v>
      </c>
      <c r="J24" s="99">
        <v>0.45062803172639976</v>
      </c>
    </row>
    <row r="25" spans="1:10" x14ac:dyDescent="0.25">
      <c r="A25" s="98">
        <v>44470</v>
      </c>
      <c r="B25" s="65">
        <v>0</v>
      </c>
      <c r="C25" s="65">
        <v>0</v>
      </c>
      <c r="D25" s="65">
        <v>127067.52374500001</v>
      </c>
      <c r="E25" s="65">
        <v>184327.71186655696</v>
      </c>
      <c r="F25" s="65">
        <v>0</v>
      </c>
      <c r="G25" s="65">
        <v>0</v>
      </c>
      <c r="H25" s="99">
        <v>0.45062803172639998</v>
      </c>
      <c r="I25" s="99">
        <v>0</v>
      </c>
      <c r="J25" s="99">
        <v>0.45062803172639998</v>
      </c>
    </row>
    <row r="26" spans="1:10" x14ac:dyDescent="0.25">
      <c r="A26" s="98">
        <v>44501</v>
      </c>
      <c r="B26" s="65">
        <v>0</v>
      </c>
      <c r="C26" s="65">
        <v>0</v>
      </c>
      <c r="D26" s="65">
        <v>126000.48345000001</v>
      </c>
      <c r="E26" s="65">
        <v>182779.83330364837</v>
      </c>
      <c r="F26" s="65">
        <v>0</v>
      </c>
      <c r="G26" s="65">
        <v>0</v>
      </c>
      <c r="H26" s="99">
        <v>0.45062803172639998</v>
      </c>
      <c r="I26" s="99">
        <v>0</v>
      </c>
      <c r="J26" s="99">
        <v>0.45062803172639998</v>
      </c>
    </row>
    <row r="27" spans="1:10" x14ac:dyDescent="0.25">
      <c r="A27" s="98">
        <v>44531</v>
      </c>
      <c r="B27" s="65">
        <v>0</v>
      </c>
      <c r="C27" s="65">
        <v>0</v>
      </c>
      <c r="D27" s="65">
        <v>111799.08142</v>
      </c>
      <c r="E27" s="65">
        <v>162178.88142911415</v>
      </c>
      <c r="F27" s="65">
        <v>0</v>
      </c>
      <c r="G27" s="65">
        <v>0</v>
      </c>
      <c r="H27" s="99">
        <v>0.45062803172639998</v>
      </c>
      <c r="I27" s="99">
        <v>0</v>
      </c>
      <c r="J27" s="99">
        <v>0.45062803172639998</v>
      </c>
    </row>
    <row r="28" spans="1:10" x14ac:dyDescent="0.25">
      <c r="A28" s="98">
        <v>44562</v>
      </c>
      <c r="B28" s="65">
        <v>0</v>
      </c>
      <c r="C28" s="65">
        <v>0</v>
      </c>
      <c r="D28" s="65">
        <v>129532.33111500001</v>
      </c>
      <c r="E28" s="65">
        <v>187903.23053028478</v>
      </c>
      <c r="F28" s="65">
        <v>0</v>
      </c>
      <c r="G28" s="65">
        <v>0</v>
      </c>
      <c r="H28" s="99">
        <v>0.45062803172639998</v>
      </c>
      <c r="I28" s="99">
        <v>0</v>
      </c>
      <c r="J28" s="99">
        <v>0.45062803172639998</v>
      </c>
    </row>
    <row r="29" spans="1:10" x14ac:dyDescent="0.25">
      <c r="A29" s="98">
        <v>44593</v>
      </c>
      <c r="B29" s="65">
        <v>0</v>
      </c>
      <c r="C29" s="65">
        <v>0</v>
      </c>
      <c r="D29" s="65">
        <v>119432.65692000001</v>
      </c>
      <c r="E29" s="65">
        <v>173252.36003171402</v>
      </c>
      <c r="F29" s="65">
        <v>0</v>
      </c>
      <c r="G29" s="65">
        <v>0</v>
      </c>
      <c r="H29" s="99">
        <v>0.45062803172639998</v>
      </c>
      <c r="I29" s="99">
        <v>0</v>
      </c>
      <c r="J29" s="99">
        <v>0.45062803172639998</v>
      </c>
    </row>
    <row r="30" spans="1:10" x14ac:dyDescent="0.25">
      <c r="A30" s="98">
        <v>44621</v>
      </c>
      <c r="B30" s="65">
        <v>0</v>
      </c>
      <c r="C30" s="65">
        <v>0</v>
      </c>
      <c r="D30" s="65">
        <v>136096.68951500001</v>
      </c>
      <c r="E30" s="65">
        <v>197425.67283562344</v>
      </c>
      <c r="F30" s="65">
        <v>0</v>
      </c>
      <c r="G30" s="65">
        <v>0</v>
      </c>
      <c r="H30" s="99">
        <v>0.45062803172639998</v>
      </c>
      <c r="I30" s="99">
        <v>0</v>
      </c>
      <c r="J30" s="99">
        <v>0.45062803172639998</v>
      </c>
    </row>
    <row r="31" spans="1:10" x14ac:dyDescent="0.25">
      <c r="A31" s="98">
        <v>44652</v>
      </c>
      <c r="B31" s="65">
        <v>0</v>
      </c>
      <c r="C31" s="65">
        <v>0</v>
      </c>
      <c r="D31" s="65">
        <v>124440.26769000001</v>
      </c>
      <c r="E31" s="65">
        <v>180516.54058665104</v>
      </c>
      <c r="F31" s="65">
        <v>0</v>
      </c>
      <c r="G31" s="65">
        <v>0</v>
      </c>
      <c r="H31" s="99">
        <v>0.45062803172639998</v>
      </c>
      <c r="I31" s="99">
        <v>0</v>
      </c>
      <c r="J31" s="99">
        <v>0.45062803172639998</v>
      </c>
    </row>
    <row r="32" spans="1:10" x14ac:dyDescent="0.25">
      <c r="A32" s="98">
        <v>44682</v>
      </c>
      <c r="B32" s="65">
        <v>0</v>
      </c>
      <c r="C32" s="65">
        <v>0</v>
      </c>
      <c r="D32" s="65">
        <v>125085.41366000001</v>
      </c>
      <c r="E32" s="65">
        <v>181452.40741528835</v>
      </c>
      <c r="F32" s="65">
        <v>0</v>
      </c>
      <c r="G32" s="65">
        <v>0</v>
      </c>
      <c r="H32" s="99">
        <v>0.45062803172639998</v>
      </c>
      <c r="I32" s="99">
        <v>0</v>
      </c>
      <c r="J32" s="99">
        <v>0.45062803172639998</v>
      </c>
    </row>
    <row r="33" spans="1:10" x14ac:dyDescent="0.25">
      <c r="A33" s="98">
        <v>44713</v>
      </c>
      <c r="B33" s="65">
        <v>0</v>
      </c>
      <c r="C33" s="65">
        <v>0</v>
      </c>
      <c r="D33" s="65">
        <v>124091.97889000001</v>
      </c>
      <c r="E33" s="65">
        <v>180011.30309023469</v>
      </c>
      <c r="F33" s="65">
        <v>0</v>
      </c>
      <c r="G33" s="65">
        <v>0</v>
      </c>
      <c r="H33" s="99">
        <v>0.45062803172639998</v>
      </c>
      <c r="I33" s="99">
        <v>0</v>
      </c>
      <c r="J33" s="99">
        <v>0.45062803172639998</v>
      </c>
    </row>
    <row r="34" spans="1:10" x14ac:dyDescent="0.25">
      <c r="A34" s="98">
        <v>44743</v>
      </c>
      <c r="B34" s="65">
        <v>0</v>
      </c>
      <c r="C34" s="65">
        <v>0</v>
      </c>
      <c r="D34" s="65">
        <v>124091.97889000001</v>
      </c>
      <c r="E34" s="65">
        <v>180011.30309023469</v>
      </c>
      <c r="F34" s="65">
        <v>0</v>
      </c>
      <c r="G34" s="65">
        <v>0</v>
      </c>
      <c r="H34" s="99">
        <v>0.45062803172639998</v>
      </c>
      <c r="I34" s="99">
        <v>0</v>
      </c>
      <c r="J34" s="99">
        <v>0.45062803172639998</v>
      </c>
    </row>
    <row r="35" spans="1:10" x14ac:dyDescent="0.25">
      <c r="A35" s="97" t="s">
        <v>33</v>
      </c>
      <c r="B35" s="65">
        <v>1001375.3749999998</v>
      </c>
      <c r="C35" s="65">
        <v>1097782.2767983652</v>
      </c>
      <c r="D35" s="65">
        <v>0</v>
      </c>
      <c r="E35" s="65">
        <v>0</v>
      </c>
      <c r="F35" s="65">
        <v>0</v>
      </c>
      <c r="G35" s="65">
        <v>0</v>
      </c>
      <c r="H35" s="99">
        <v>9.6274488274055603E-2</v>
      </c>
      <c r="I35" s="99">
        <v>0</v>
      </c>
      <c r="J35" s="99">
        <v>9.6274488274055603E-2</v>
      </c>
    </row>
    <row r="36" spans="1:10" x14ac:dyDescent="0.25">
      <c r="A36" s="98">
        <v>44409</v>
      </c>
      <c r="B36" s="65">
        <v>83833.75</v>
      </c>
      <c r="C36" s="65">
        <v>91904.801381345082</v>
      </c>
      <c r="D36" s="65">
        <v>0</v>
      </c>
      <c r="E36" s="65">
        <v>0</v>
      </c>
      <c r="F36" s="65">
        <v>0</v>
      </c>
      <c r="G36" s="65">
        <v>0</v>
      </c>
      <c r="H36" s="99">
        <v>9.6274488274055381E-2</v>
      </c>
      <c r="I36" s="99">
        <v>0</v>
      </c>
      <c r="J36" s="99">
        <v>9.6274488274055381E-2</v>
      </c>
    </row>
    <row r="37" spans="1:10" x14ac:dyDescent="0.25">
      <c r="A37" s="98">
        <v>44440</v>
      </c>
      <c r="B37" s="65">
        <v>83833.75</v>
      </c>
      <c r="C37" s="65">
        <v>91904.801381345082</v>
      </c>
      <c r="D37" s="65">
        <v>0</v>
      </c>
      <c r="E37" s="65">
        <v>0</v>
      </c>
      <c r="F37" s="65">
        <v>0</v>
      </c>
      <c r="G37" s="65">
        <v>0</v>
      </c>
      <c r="H37" s="99">
        <v>9.6274488274055381E-2</v>
      </c>
      <c r="I37" s="99">
        <v>0</v>
      </c>
      <c r="J37" s="99">
        <v>9.6274488274055381E-2</v>
      </c>
    </row>
    <row r="38" spans="1:10" x14ac:dyDescent="0.25">
      <c r="A38" s="98">
        <v>44470</v>
      </c>
      <c r="B38" s="65">
        <v>83833.75</v>
      </c>
      <c r="C38" s="65">
        <v>91904.801381345082</v>
      </c>
      <c r="D38" s="65">
        <v>0</v>
      </c>
      <c r="E38" s="65">
        <v>0</v>
      </c>
      <c r="F38" s="65">
        <v>0</v>
      </c>
      <c r="G38" s="65">
        <v>0</v>
      </c>
      <c r="H38" s="99">
        <v>9.6274488274055381E-2</v>
      </c>
      <c r="I38" s="99">
        <v>0</v>
      </c>
      <c r="J38" s="99">
        <v>9.6274488274055381E-2</v>
      </c>
    </row>
    <row r="39" spans="1:10" x14ac:dyDescent="0.25">
      <c r="A39" s="98">
        <v>44501</v>
      </c>
      <c r="B39" s="65">
        <v>83833.75</v>
      </c>
      <c r="C39" s="65">
        <v>91904.801381345082</v>
      </c>
      <c r="D39" s="65">
        <v>0</v>
      </c>
      <c r="E39" s="65">
        <v>0</v>
      </c>
      <c r="F39" s="65">
        <v>0</v>
      </c>
      <c r="G39" s="65">
        <v>0</v>
      </c>
      <c r="H39" s="99">
        <v>9.6274488274055381E-2</v>
      </c>
      <c r="I39" s="99">
        <v>0</v>
      </c>
      <c r="J39" s="99">
        <v>9.6274488274055381E-2</v>
      </c>
    </row>
    <row r="40" spans="1:10" x14ac:dyDescent="0.25">
      <c r="A40" s="98">
        <v>44531</v>
      </c>
      <c r="B40" s="65">
        <v>83833.75</v>
      </c>
      <c r="C40" s="65">
        <v>91904.801381345082</v>
      </c>
      <c r="D40" s="65">
        <v>0</v>
      </c>
      <c r="E40" s="65">
        <v>0</v>
      </c>
      <c r="F40" s="65">
        <v>0</v>
      </c>
      <c r="G40" s="65">
        <v>0</v>
      </c>
      <c r="H40" s="99">
        <v>9.6274488274055381E-2</v>
      </c>
      <c r="I40" s="99">
        <v>0</v>
      </c>
      <c r="J40" s="99">
        <v>9.6274488274055381E-2</v>
      </c>
    </row>
    <row r="41" spans="1:10" x14ac:dyDescent="0.25">
      <c r="A41" s="98">
        <v>44562</v>
      </c>
      <c r="B41" s="65">
        <v>84184.099999999991</v>
      </c>
      <c r="C41" s="65">
        <v>92288.881148311892</v>
      </c>
      <c r="D41" s="65">
        <v>0</v>
      </c>
      <c r="E41" s="65">
        <v>0</v>
      </c>
      <c r="F41" s="65">
        <v>0</v>
      </c>
      <c r="G41" s="65">
        <v>0</v>
      </c>
      <c r="H41" s="99">
        <v>9.6274488274055381E-2</v>
      </c>
      <c r="I41" s="99">
        <v>0</v>
      </c>
      <c r="J41" s="99">
        <v>9.6274488274055381E-2</v>
      </c>
    </row>
    <row r="42" spans="1:10" x14ac:dyDescent="0.25">
      <c r="A42" s="98">
        <v>44593</v>
      </c>
      <c r="B42" s="65">
        <v>83833.75</v>
      </c>
      <c r="C42" s="65">
        <v>91904.801381345082</v>
      </c>
      <c r="D42" s="65">
        <v>0</v>
      </c>
      <c r="E42" s="65">
        <v>0</v>
      </c>
      <c r="F42" s="65">
        <v>0</v>
      </c>
      <c r="G42" s="65">
        <v>0</v>
      </c>
      <c r="H42" s="99">
        <v>9.6274488274055381E-2</v>
      </c>
      <c r="I42" s="99">
        <v>0</v>
      </c>
      <c r="J42" s="99">
        <v>9.6274488274055381E-2</v>
      </c>
    </row>
    <row r="43" spans="1:10" x14ac:dyDescent="0.25">
      <c r="A43" s="98">
        <v>44621</v>
      </c>
      <c r="B43" s="65">
        <v>83833.75</v>
      </c>
      <c r="C43" s="65">
        <v>91904.801381345082</v>
      </c>
      <c r="D43" s="65">
        <v>0</v>
      </c>
      <c r="E43" s="65">
        <v>0</v>
      </c>
      <c r="F43" s="65">
        <v>0</v>
      </c>
      <c r="G43" s="65">
        <v>0</v>
      </c>
      <c r="H43" s="99">
        <v>9.6274488274055381E-2</v>
      </c>
      <c r="I43" s="99">
        <v>0</v>
      </c>
      <c r="J43" s="99">
        <v>9.6274488274055381E-2</v>
      </c>
    </row>
    <row r="44" spans="1:10" x14ac:dyDescent="0.25">
      <c r="A44" s="98">
        <v>44652</v>
      </c>
      <c r="B44" s="65">
        <v>85034.95</v>
      </c>
      <c r="C44" s="65">
        <v>93221.646296659877</v>
      </c>
      <c r="D44" s="65">
        <v>0</v>
      </c>
      <c r="E44" s="65">
        <v>0</v>
      </c>
      <c r="F44" s="65">
        <v>0</v>
      </c>
      <c r="G44" s="65">
        <v>0</v>
      </c>
      <c r="H44" s="99">
        <v>9.6274488274055381E-2</v>
      </c>
      <c r="I44" s="99">
        <v>0</v>
      </c>
      <c r="J44" s="99">
        <v>9.6274488274055381E-2</v>
      </c>
    </row>
    <row r="45" spans="1:10" x14ac:dyDescent="0.25">
      <c r="A45" s="98">
        <v>44682</v>
      </c>
      <c r="B45" s="65">
        <v>81005.924999999988</v>
      </c>
      <c r="C45" s="65">
        <v>88804.72897654149</v>
      </c>
      <c r="D45" s="65">
        <v>0</v>
      </c>
      <c r="E45" s="65">
        <v>0</v>
      </c>
      <c r="F45" s="65">
        <v>0</v>
      </c>
      <c r="G45" s="65">
        <v>0</v>
      </c>
      <c r="H45" s="99">
        <v>9.6274488274055381E-2</v>
      </c>
      <c r="I45" s="99">
        <v>0</v>
      </c>
      <c r="J45" s="99">
        <v>9.6274488274055381E-2</v>
      </c>
    </row>
    <row r="46" spans="1:10" x14ac:dyDescent="0.25">
      <c r="A46" s="98">
        <v>44713</v>
      </c>
      <c r="B46" s="65">
        <v>82157.074999999997</v>
      </c>
      <c r="C46" s="65">
        <v>90066.705353718178</v>
      </c>
      <c r="D46" s="65">
        <v>0</v>
      </c>
      <c r="E46" s="65">
        <v>0</v>
      </c>
      <c r="F46" s="65">
        <v>0</v>
      </c>
      <c r="G46" s="65">
        <v>0</v>
      </c>
      <c r="H46" s="99">
        <v>9.6274488274055381E-2</v>
      </c>
      <c r="I46" s="99">
        <v>0</v>
      </c>
      <c r="J46" s="99">
        <v>9.6274488274055381E-2</v>
      </c>
    </row>
    <row r="47" spans="1:10" x14ac:dyDescent="0.25">
      <c r="A47" s="98">
        <v>44743</v>
      </c>
      <c r="B47" s="65">
        <v>82157.074999999997</v>
      </c>
      <c r="C47" s="65">
        <v>90066.705353718178</v>
      </c>
      <c r="D47" s="65">
        <v>0</v>
      </c>
      <c r="E47" s="65">
        <v>0</v>
      </c>
      <c r="F47" s="65">
        <v>0</v>
      </c>
      <c r="G47" s="65">
        <v>0</v>
      </c>
      <c r="H47" s="99">
        <v>9.6274488274055381E-2</v>
      </c>
      <c r="I47" s="99">
        <v>0</v>
      </c>
      <c r="J47" s="99">
        <v>9.6274488274055381E-2</v>
      </c>
    </row>
    <row r="48" spans="1:10" x14ac:dyDescent="0.25">
      <c r="A48" s="91" t="s">
        <v>39</v>
      </c>
      <c r="B48" s="65">
        <v>635039.51220000058</v>
      </c>
      <c r="C48" s="65">
        <v>690757.83954946115</v>
      </c>
      <c r="D48" s="65">
        <v>914385.02543379983</v>
      </c>
      <c r="E48" s="65">
        <v>1203150.011810736</v>
      </c>
      <c r="F48" s="65">
        <v>2117178.5408321987</v>
      </c>
      <c r="G48" s="65">
        <v>1575477.5337243301</v>
      </c>
      <c r="H48" s="99">
        <v>0.22232984269919553</v>
      </c>
      <c r="I48" s="99">
        <v>-0.25585986097088553</v>
      </c>
      <c r="J48" s="99">
        <v>-5.3787576446366225E-2</v>
      </c>
    </row>
    <row r="49" spans="1:10" x14ac:dyDescent="0.25">
      <c r="A49" s="92" t="s">
        <v>26</v>
      </c>
      <c r="B49" s="65">
        <v>635039.51220000058</v>
      </c>
      <c r="C49" s="65">
        <v>690757.83954946115</v>
      </c>
      <c r="D49" s="65">
        <v>914385.02543379983</v>
      </c>
      <c r="E49" s="65">
        <v>1203150.011810736</v>
      </c>
      <c r="F49" s="65">
        <v>2117178.5408321987</v>
      </c>
      <c r="G49" s="65">
        <v>1575477.5337243301</v>
      </c>
      <c r="H49" s="99">
        <v>0.22232984269919553</v>
      </c>
      <c r="I49" s="99">
        <v>-0.25585986097088553</v>
      </c>
      <c r="J49" s="99">
        <v>-5.3787576446366225E-2</v>
      </c>
    </row>
    <row r="50" spans="1:10" x14ac:dyDescent="0.25">
      <c r="A50" s="93" t="s">
        <v>40</v>
      </c>
      <c r="B50" s="65">
        <v>214737.48000000004</v>
      </c>
      <c r="C50" s="65">
        <v>235284.97173514179</v>
      </c>
      <c r="D50" s="65">
        <v>442328.50097000005</v>
      </c>
      <c r="E50" s="65">
        <v>560444.98642465752</v>
      </c>
      <c r="F50" s="65">
        <v>816329.30203000014</v>
      </c>
      <c r="G50" s="65">
        <v>604079.2752333926</v>
      </c>
      <c r="H50" s="99">
        <v>0.21103508811260485</v>
      </c>
      <c r="I50" s="99">
        <v>-0.26000540011095585</v>
      </c>
      <c r="J50" s="99">
        <v>-4.9943182563323307E-2</v>
      </c>
    </row>
    <row r="51" spans="1:10" x14ac:dyDescent="0.25">
      <c r="A51" s="94" t="s">
        <v>25</v>
      </c>
      <c r="B51" s="65">
        <v>214737.48000000004</v>
      </c>
      <c r="C51" s="65">
        <v>235284.97173514179</v>
      </c>
      <c r="D51" s="65">
        <v>442328.50097000005</v>
      </c>
      <c r="E51" s="65">
        <v>560444.98642465752</v>
      </c>
      <c r="F51" s="65">
        <v>816329.30203000014</v>
      </c>
      <c r="G51" s="65">
        <v>604079.2752333926</v>
      </c>
      <c r="H51" s="99">
        <v>0.21103508811260485</v>
      </c>
      <c r="I51" s="99">
        <v>-0.26000540011095585</v>
      </c>
      <c r="J51" s="99">
        <v>-4.9943182563323307E-2</v>
      </c>
    </row>
    <row r="52" spans="1:10" x14ac:dyDescent="0.25">
      <c r="A52" s="95" t="s">
        <v>25</v>
      </c>
      <c r="B52" s="65">
        <v>214737.48000000004</v>
      </c>
      <c r="C52" s="65">
        <v>235284.97173514179</v>
      </c>
      <c r="D52" s="65">
        <v>442328.50097000005</v>
      </c>
      <c r="E52" s="65">
        <v>560444.98642465752</v>
      </c>
      <c r="F52" s="65">
        <v>816329.30203000014</v>
      </c>
      <c r="G52" s="65">
        <v>604079.2752333926</v>
      </c>
      <c r="H52" s="99">
        <v>0.21103508811260485</v>
      </c>
      <c r="I52" s="99">
        <v>-0.26000540011095585</v>
      </c>
      <c r="J52" s="99">
        <v>-4.9943182563323307E-2</v>
      </c>
    </row>
    <row r="53" spans="1:10" x14ac:dyDescent="0.25">
      <c r="A53" s="96" t="s">
        <v>25</v>
      </c>
      <c r="B53" s="65">
        <v>214737.48000000004</v>
      </c>
      <c r="C53" s="65">
        <v>235284.97173514179</v>
      </c>
      <c r="D53" s="65">
        <v>442328.50097000005</v>
      </c>
      <c r="E53" s="65">
        <v>560444.98642465752</v>
      </c>
      <c r="F53" s="65">
        <v>816329.30203000014</v>
      </c>
      <c r="G53" s="65">
        <v>604079.2752333926</v>
      </c>
      <c r="H53" s="99">
        <v>0.21103508811260485</v>
      </c>
      <c r="I53" s="99">
        <v>-0.26000540011095585</v>
      </c>
      <c r="J53" s="99">
        <v>-4.9943182563323307E-2</v>
      </c>
    </row>
    <row r="54" spans="1:10" x14ac:dyDescent="0.25">
      <c r="A54" s="97" t="s">
        <v>34</v>
      </c>
      <c r="B54" s="65">
        <v>0</v>
      </c>
      <c r="C54" s="65">
        <v>0</v>
      </c>
      <c r="D54" s="65">
        <v>203691.24422000002</v>
      </c>
      <c r="E54" s="65">
        <v>295480.22868276009</v>
      </c>
      <c r="F54" s="65">
        <v>736231.08478000003</v>
      </c>
      <c r="G54" s="65">
        <v>545705.85438077536</v>
      </c>
      <c r="H54" s="99">
        <v>0.45062803172639998</v>
      </c>
      <c r="I54" s="99">
        <v>-0.25878455058191041</v>
      </c>
      <c r="J54" s="99">
        <v>-0.10504723942616823</v>
      </c>
    </row>
    <row r="55" spans="1:10" x14ac:dyDescent="0.25">
      <c r="A55" s="98">
        <v>44409</v>
      </c>
      <c r="B55" s="65">
        <v>0</v>
      </c>
      <c r="C55" s="65">
        <v>0</v>
      </c>
      <c r="D55" s="65">
        <v>15815.558280000001</v>
      </c>
      <c r="E55" s="65">
        <v>22942.492178370569</v>
      </c>
      <c r="F55" s="65">
        <v>57164.487719999997</v>
      </c>
      <c r="G55" s="65">
        <v>42371.201456134666</v>
      </c>
      <c r="H55" s="99">
        <v>0.45062803172639998</v>
      </c>
      <c r="I55" s="99">
        <v>-0.2587845505819103</v>
      </c>
      <c r="J55" s="99">
        <v>-0.10504723942616812</v>
      </c>
    </row>
    <row r="56" spans="1:10" x14ac:dyDescent="0.25">
      <c r="A56" s="98">
        <v>44440</v>
      </c>
      <c r="B56" s="65">
        <v>0</v>
      </c>
      <c r="C56" s="65">
        <v>0</v>
      </c>
      <c r="D56" s="65">
        <v>14008.219810000001</v>
      </c>
      <c r="E56" s="65">
        <v>20320.716330971067</v>
      </c>
      <c r="F56" s="65">
        <v>50631.959689999996</v>
      </c>
      <c r="G56" s="65">
        <v>37529.190756541953</v>
      </c>
      <c r="H56" s="99">
        <v>0.45062803172639998</v>
      </c>
      <c r="I56" s="99">
        <v>-0.25878455058191019</v>
      </c>
      <c r="J56" s="99">
        <v>-0.105047239426168</v>
      </c>
    </row>
    <row r="57" spans="1:10" x14ac:dyDescent="0.25">
      <c r="A57" s="98">
        <v>44470</v>
      </c>
      <c r="B57" s="65">
        <v>0</v>
      </c>
      <c r="C57" s="65">
        <v>0</v>
      </c>
      <c r="D57" s="65">
        <v>19931.416900000004</v>
      </c>
      <c r="E57" s="65">
        <v>28913.072067165311</v>
      </c>
      <c r="F57" s="65">
        <v>72041.038100000005</v>
      </c>
      <c r="G57" s="65">
        <v>53397.930431837223</v>
      </c>
      <c r="H57" s="99">
        <v>0.45062803172639998</v>
      </c>
      <c r="I57" s="99">
        <v>-0.2587845505819103</v>
      </c>
      <c r="J57" s="99">
        <v>-0.10504723942616823</v>
      </c>
    </row>
    <row r="58" spans="1:10" x14ac:dyDescent="0.25">
      <c r="A58" s="98">
        <v>44501</v>
      </c>
      <c r="B58" s="65">
        <v>0</v>
      </c>
      <c r="C58" s="65">
        <v>0</v>
      </c>
      <c r="D58" s="65">
        <v>19735.8734</v>
      </c>
      <c r="E58" s="65">
        <v>28629.411184643413</v>
      </c>
      <c r="F58" s="65">
        <v>71334.256599999993</v>
      </c>
      <c r="G58" s="65">
        <v>52874.053064674328</v>
      </c>
      <c r="H58" s="99">
        <v>0.45062803172639998</v>
      </c>
      <c r="I58" s="99">
        <v>-0.2587845505819103</v>
      </c>
      <c r="J58" s="99">
        <v>-0.10504723942616812</v>
      </c>
    </row>
    <row r="59" spans="1:10" x14ac:dyDescent="0.25">
      <c r="A59" s="98">
        <v>44531</v>
      </c>
      <c r="B59" s="65">
        <v>0</v>
      </c>
      <c r="C59" s="65">
        <v>0</v>
      </c>
      <c r="D59" s="65">
        <v>17718.823750000003</v>
      </c>
      <c r="E59" s="65">
        <v>25703.422420969491</v>
      </c>
      <c r="F59" s="65">
        <v>64043.738749999997</v>
      </c>
      <c r="G59" s="65">
        <v>47470.208599995975</v>
      </c>
      <c r="H59" s="99">
        <v>0.45062803172639976</v>
      </c>
      <c r="I59" s="99">
        <v>-0.2587845505819103</v>
      </c>
      <c r="J59" s="99">
        <v>-0.10504723942616812</v>
      </c>
    </row>
    <row r="60" spans="1:10" x14ac:dyDescent="0.25">
      <c r="A60" s="98">
        <v>44562</v>
      </c>
      <c r="B60" s="65">
        <v>0</v>
      </c>
      <c r="C60" s="65">
        <v>0</v>
      </c>
      <c r="D60" s="65">
        <v>17129.167860000001</v>
      </c>
      <c r="E60" s="65">
        <v>24848.051057862911</v>
      </c>
      <c r="F60" s="65">
        <v>61912.459139999992</v>
      </c>
      <c r="G60" s="65">
        <v>45890.471226034213</v>
      </c>
      <c r="H60" s="99">
        <v>0.45062803172639998</v>
      </c>
      <c r="I60" s="99">
        <v>-0.25878455058191019</v>
      </c>
      <c r="J60" s="99">
        <v>-0.10504723942616812</v>
      </c>
    </row>
    <row r="61" spans="1:10" x14ac:dyDescent="0.25">
      <c r="A61" s="98">
        <v>44593</v>
      </c>
      <c r="B61" s="65">
        <v>0</v>
      </c>
      <c r="C61" s="65">
        <v>0</v>
      </c>
      <c r="D61" s="65">
        <v>19350.02549</v>
      </c>
      <c r="E61" s="65">
        <v>28069.689390414369</v>
      </c>
      <c r="F61" s="65">
        <v>69939.630009999993</v>
      </c>
      <c r="G61" s="65">
        <v>51840.334289997059</v>
      </c>
      <c r="H61" s="99">
        <v>0.45062803172639998</v>
      </c>
      <c r="I61" s="99">
        <v>-0.2587845505819103</v>
      </c>
      <c r="J61" s="99">
        <v>-0.10504723942616812</v>
      </c>
    </row>
    <row r="62" spans="1:10" x14ac:dyDescent="0.25">
      <c r="A62" s="98">
        <v>44621</v>
      </c>
      <c r="B62" s="65">
        <v>0</v>
      </c>
      <c r="C62" s="65">
        <v>0</v>
      </c>
      <c r="D62" s="65">
        <v>21652.716230000002</v>
      </c>
      <c r="E62" s="65">
        <v>31410.037126255182</v>
      </c>
      <c r="F62" s="65">
        <v>78262.582269999999</v>
      </c>
      <c r="G62" s="65">
        <v>58009.435089878272</v>
      </c>
      <c r="H62" s="99">
        <v>0.4506280317264002</v>
      </c>
      <c r="I62" s="99">
        <v>-0.2587845505819103</v>
      </c>
      <c r="J62" s="99">
        <v>-0.10504723942616812</v>
      </c>
    </row>
    <row r="63" spans="1:10" x14ac:dyDescent="0.25">
      <c r="A63" s="98">
        <v>44652</v>
      </c>
      <c r="B63" s="65">
        <v>0</v>
      </c>
      <c r="C63" s="65">
        <v>0</v>
      </c>
      <c r="D63" s="65">
        <v>16763.981150000003</v>
      </c>
      <c r="E63" s="65">
        <v>24318.300979522974</v>
      </c>
      <c r="F63" s="65">
        <v>60592.511349999993</v>
      </c>
      <c r="G63" s="65">
        <v>44912.105531660949</v>
      </c>
      <c r="H63" s="99">
        <v>0.45062803172639976</v>
      </c>
      <c r="I63" s="99">
        <v>-0.2587845505819103</v>
      </c>
      <c r="J63" s="99">
        <v>-0.10504723942616812</v>
      </c>
    </row>
    <row r="64" spans="1:10" x14ac:dyDescent="0.25">
      <c r="A64" s="98">
        <v>44682</v>
      </c>
      <c r="B64" s="65">
        <v>0</v>
      </c>
      <c r="C64" s="65">
        <v>0</v>
      </c>
      <c r="D64" s="65">
        <v>14827.141230000003</v>
      </c>
      <c r="E64" s="65">
        <v>21508.666698604258</v>
      </c>
      <c r="F64" s="65">
        <v>53591.907269999996</v>
      </c>
      <c r="G64" s="65">
        <v>39723.149632305642</v>
      </c>
      <c r="H64" s="99">
        <v>0.45062803172639998</v>
      </c>
      <c r="I64" s="99">
        <v>-0.25878455058191019</v>
      </c>
      <c r="J64" s="99">
        <v>-0.105047239426168</v>
      </c>
    </row>
    <row r="65" spans="1:10" x14ac:dyDescent="0.25">
      <c r="A65" s="98">
        <v>44713</v>
      </c>
      <c r="B65" s="65">
        <v>0</v>
      </c>
      <c r="C65" s="65">
        <v>0</v>
      </c>
      <c r="D65" s="65">
        <v>13379.16006</v>
      </c>
      <c r="E65" s="65">
        <v>19408.184623990266</v>
      </c>
      <c r="F65" s="65">
        <v>48358.256939999992</v>
      </c>
      <c r="G65" s="65">
        <v>35843.887150857554</v>
      </c>
      <c r="H65" s="99">
        <v>0.4506280317264002</v>
      </c>
      <c r="I65" s="99">
        <v>-0.25878455058191019</v>
      </c>
      <c r="J65" s="99">
        <v>-0.105047239426168</v>
      </c>
    </row>
    <row r="66" spans="1:10" x14ac:dyDescent="0.25">
      <c r="A66" s="98">
        <v>44743</v>
      </c>
      <c r="B66" s="65">
        <v>0</v>
      </c>
      <c r="C66" s="65">
        <v>0</v>
      </c>
      <c r="D66" s="65">
        <v>13379.16006</v>
      </c>
      <c r="E66" s="65">
        <v>19408.184623990266</v>
      </c>
      <c r="F66" s="65">
        <v>48358.256939999992</v>
      </c>
      <c r="G66" s="65">
        <v>35843.887150857554</v>
      </c>
      <c r="H66" s="99">
        <v>0.4506280317264002</v>
      </c>
      <c r="I66" s="99">
        <v>-0.25878455058191019</v>
      </c>
      <c r="J66" s="99">
        <v>-0.105047239426168</v>
      </c>
    </row>
    <row r="67" spans="1:10" x14ac:dyDescent="0.25">
      <c r="A67" s="97" t="s">
        <v>25</v>
      </c>
      <c r="B67" s="65">
        <v>214737.48000000004</v>
      </c>
      <c r="C67" s="65">
        <v>235284.97173514179</v>
      </c>
      <c r="D67" s="65">
        <v>0</v>
      </c>
      <c r="E67" s="65">
        <v>0</v>
      </c>
      <c r="F67" s="65">
        <v>0</v>
      </c>
      <c r="G67" s="65">
        <v>0</v>
      </c>
      <c r="H67" s="99">
        <v>9.5686564521208606E-2</v>
      </c>
      <c r="I67" s="99">
        <v>0</v>
      </c>
      <c r="J67" s="99">
        <v>9.5686564521208606E-2</v>
      </c>
    </row>
    <row r="68" spans="1:10" x14ac:dyDescent="0.25">
      <c r="A68" s="98">
        <v>44409</v>
      </c>
      <c r="B68" s="65">
        <v>16450.830000000002</v>
      </c>
      <c r="C68" s="65">
        <v>18024.953406222437</v>
      </c>
      <c r="D68" s="65">
        <v>0</v>
      </c>
      <c r="E68" s="65">
        <v>0</v>
      </c>
      <c r="F68" s="65">
        <v>0</v>
      </c>
      <c r="G68" s="65">
        <v>0</v>
      </c>
      <c r="H68" s="99">
        <v>9.5686564521208606E-2</v>
      </c>
      <c r="I68" s="99">
        <v>0</v>
      </c>
      <c r="J68" s="99">
        <v>9.5686564521208606E-2</v>
      </c>
    </row>
    <row r="69" spans="1:10" x14ac:dyDescent="0.25">
      <c r="A69" s="98">
        <v>44440</v>
      </c>
      <c r="B69" s="65">
        <v>16416.45</v>
      </c>
      <c r="C69" s="65">
        <v>17987.283702134198</v>
      </c>
      <c r="D69" s="65">
        <v>0</v>
      </c>
      <c r="E69" s="65">
        <v>0</v>
      </c>
      <c r="F69" s="65">
        <v>0</v>
      </c>
      <c r="G69" s="65">
        <v>0</v>
      </c>
      <c r="H69" s="99">
        <v>9.5686564521208828E-2</v>
      </c>
      <c r="I69" s="99">
        <v>0</v>
      </c>
      <c r="J69" s="99">
        <v>9.5686564521208828E-2</v>
      </c>
    </row>
    <row r="70" spans="1:10" x14ac:dyDescent="0.25">
      <c r="A70" s="98">
        <v>44470</v>
      </c>
      <c r="B70" s="65">
        <v>20559.240000000002</v>
      </c>
      <c r="C70" s="65">
        <v>22526.483044767017</v>
      </c>
      <c r="D70" s="65">
        <v>0</v>
      </c>
      <c r="E70" s="65">
        <v>0</v>
      </c>
      <c r="F70" s="65">
        <v>0</v>
      </c>
      <c r="G70" s="65">
        <v>0</v>
      </c>
      <c r="H70" s="99">
        <v>9.5686564521208828E-2</v>
      </c>
      <c r="I70" s="99">
        <v>0</v>
      </c>
      <c r="J70" s="99">
        <v>9.5686564521208828E-2</v>
      </c>
    </row>
    <row r="71" spans="1:10" x14ac:dyDescent="0.25">
      <c r="A71" s="98">
        <v>44501</v>
      </c>
      <c r="B71" s="65">
        <v>18994.95</v>
      </c>
      <c r="C71" s="65">
        <v>20812.511508752134</v>
      </c>
      <c r="D71" s="65">
        <v>0</v>
      </c>
      <c r="E71" s="65">
        <v>0</v>
      </c>
      <c r="F71" s="65">
        <v>0</v>
      </c>
      <c r="G71" s="65">
        <v>0</v>
      </c>
      <c r="H71" s="99">
        <v>9.5686564521208606E-2</v>
      </c>
      <c r="I71" s="99">
        <v>0</v>
      </c>
      <c r="J71" s="99">
        <v>9.5686564521208606E-2</v>
      </c>
    </row>
    <row r="72" spans="1:10" x14ac:dyDescent="0.25">
      <c r="A72" s="98">
        <v>44531</v>
      </c>
      <c r="B72" s="65">
        <v>17293.140000000003</v>
      </c>
      <c r="C72" s="65">
        <v>18947.861156384297</v>
      </c>
      <c r="D72" s="65">
        <v>0</v>
      </c>
      <c r="E72" s="65">
        <v>0</v>
      </c>
      <c r="F72" s="65">
        <v>0</v>
      </c>
      <c r="G72" s="65">
        <v>0</v>
      </c>
      <c r="H72" s="99">
        <v>9.5686564521208606E-2</v>
      </c>
      <c r="I72" s="99">
        <v>0</v>
      </c>
      <c r="J72" s="99">
        <v>9.5686564521208606E-2</v>
      </c>
    </row>
    <row r="73" spans="1:10" x14ac:dyDescent="0.25">
      <c r="A73" s="98">
        <v>44562</v>
      </c>
      <c r="B73" s="65">
        <v>17482.23</v>
      </c>
      <c r="C73" s="65">
        <v>19155.04452886961</v>
      </c>
      <c r="D73" s="65">
        <v>0</v>
      </c>
      <c r="E73" s="65">
        <v>0</v>
      </c>
      <c r="F73" s="65">
        <v>0</v>
      </c>
      <c r="G73" s="65">
        <v>0</v>
      </c>
      <c r="H73" s="99">
        <v>9.5686564521208606E-2</v>
      </c>
      <c r="I73" s="99">
        <v>0</v>
      </c>
      <c r="J73" s="99">
        <v>9.5686564521208606E-2</v>
      </c>
    </row>
    <row r="74" spans="1:10" x14ac:dyDescent="0.25">
      <c r="A74" s="98">
        <v>44593</v>
      </c>
      <c r="B74" s="65">
        <v>20301.390000000003</v>
      </c>
      <c r="C74" s="65">
        <v>22243.960264105222</v>
      </c>
      <c r="D74" s="65">
        <v>0</v>
      </c>
      <c r="E74" s="65">
        <v>0</v>
      </c>
      <c r="F74" s="65">
        <v>0</v>
      </c>
      <c r="G74" s="65">
        <v>0</v>
      </c>
      <c r="H74" s="99">
        <v>9.5686564521208606E-2</v>
      </c>
      <c r="I74" s="99">
        <v>0</v>
      </c>
      <c r="J74" s="99">
        <v>9.5686564521208606E-2</v>
      </c>
    </row>
    <row r="75" spans="1:10" x14ac:dyDescent="0.25">
      <c r="A75" s="98">
        <v>44621</v>
      </c>
      <c r="B75" s="65">
        <v>20129.490000000002</v>
      </c>
      <c r="C75" s="65">
        <v>22055.611743664027</v>
      </c>
      <c r="D75" s="65">
        <v>0</v>
      </c>
      <c r="E75" s="65">
        <v>0</v>
      </c>
      <c r="F75" s="65">
        <v>0</v>
      </c>
      <c r="G75" s="65">
        <v>0</v>
      </c>
      <c r="H75" s="99">
        <v>9.5686564521208606E-2</v>
      </c>
      <c r="I75" s="99">
        <v>0</v>
      </c>
      <c r="J75" s="99">
        <v>9.5686564521208606E-2</v>
      </c>
    </row>
    <row r="76" spans="1:10" x14ac:dyDescent="0.25">
      <c r="A76" s="98">
        <v>44652</v>
      </c>
      <c r="B76" s="65">
        <v>20421.72</v>
      </c>
      <c r="C76" s="65">
        <v>22375.804228414061</v>
      </c>
      <c r="D76" s="65">
        <v>0</v>
      </c>
      <c r="E76" s="65">
        <v>0</v>
      </c>
      <c r="F76" s="65">
        <v>0</v>
      </c>
      <c r="G76" s="65">
        <v>0</v>
      </c>
      <c r="H76" s="99">
        <v>9.5686564521208828E-2</v>
      </c>
      <c r="I76" s="99">
        <v>0</v>
      </c>
      <c r="J76" s="99">
        <v>9.5686564521208828E-2</v>
      </c>
    </row>
    <row r="77" spans="1:10" x14ac:dyDescent="0.25">
      <c r="A77" s="98">
        <v>44682</v>
      </c>
      <c r="B77" s="65">
        <v>16364.880000000001</v>
      </c>
      <c r="C77" s="65">
        <v>17930.779146001838</v>
      </c>
      <c r="D77" s="65">
        <v>0</v>
      </c>
      <c r="E77" s="65">
        <v>0</v>
      </c>
      <c r="F77" s="65">
        <v>0</v>
      </c>
      <c r="G77" s="65">
        <v>0</v>
      </c>
      <c r="H77" s="99">
        <v>9.5686564521208606E-2</v>
      </c>
      <c r="I77" s="99">
        <v>0</v>
      </c>
      <c r="J77" s="99">
        <v>9.5686564521208606E-2</v>
      </c>
    </row>
    <row r="78" spans="1:10" x14ac:dyDescent="0.25">
      <c r="A78" s="98">
        <v>44713</v>
      </c>
      <c r="B78" s="65">
        <v>15161.580000000002</v>
      </c>
      <c r="C78" s="65">
        <v>16612.33950291347</v>
      </c>
      <c r="D78" s="65">
        <v>0</v>
      </c>
      <c r="E78" s="65">
        <v>0</v>
      </c>
      <c r="F78" s="65">
        <v>0</v>
      </c>
      <c r="G78" s="65">
        <v>0</v>
      </c>
      <c r="H78" s="99">
        <v>9.5686564521208828E-2</v>
      </c>
      <c r="I78" s="99">
        <v>0</v>
      </c>
      <c r="J78" s="99">
        <v>9.5686564521208828E-2</v>
      </c>
    </row>
    <row r="79" spans="1:10" x14ac:dyDescent="0.25">
      <c r="A79" s="98">
        <v>44743</v>
      </c>
      <c r="B79" s="65">
        <v>15161.580000000002</v>
      </c>
      <c r="C79" s="65">
        <v>16612.33950291347</v>
      </c>
      <c r="D79" s="65">
        <v>0</v>
      </c>
      <c r="E79" s="65">
        <v>0</v>
      </c>
      <c r="F79" s="65">
        <v>0</v>
      </c>
      <c r="G79" s="65">
        <v>0</v>
      </c>
      <c r="H79" s="99">
        <v>9.5686564521208828E-2</v>
      </c>
      <c r="I79" s="99">
        <v>0</v>
      </c>
      <c r="J79" s="99">
        <v>9.5686564521208828E-2</v>
      </c>
    </row>
    <row r="80" spans="1:10" x14ac:dyDescent="0.25">
      <c r="A80" s="97" t="s">
        <v>33</v>
      </c>
      <c r="B80" s="65">
        <v>0</v>
      </c>
      <c r="C80" s="65">
        <v>0</v>
      </c>
      <c r="D80" s="65">
        <v>238637.25674999997</v>
      </c>
      <c r="E80" s="65">
        <v>264964.75774189754</v>
      </c>
      <c r="F80" s="65">
        <v>80098.217250000002</v>
      </c>
      <c r="G80" s="65">
        <v>58373.420852617135</v>
      </c>
      <c r="H80" s="99">
        <v>0.11032435316451306</v>
      </c>
      <c r="I80" s="99">
        <v>-0.27122696538396263</v>
      </c>
      <c r="J80" s="99">
        <v>1.444051563119908E-2</v>
      </c>
    </row>
    <row r="81" spans="1:10" x14ac:dyDescent="0.25">
      <c r="A81" s="98">
        <v>44409</v>
      </c>
      <c r="B81" s="65">
        <v>0</v>
      </c>
      <c r="C81" s="65">
        <v>0</v>
      </c>
      <c r="D81" s="65">
        <v>17474.537249999998</v>
      </c>
      <c r="E81" s="65">
        <v>19402.404268955434</v>
      </c>
      <c r="F81" s="65">
        <v>5865.3007499999994</v>
      </c>
      <c r="G81" s="65">
        <v>4274.4730265132202</v>
      </c>
      <c r="H81" s="99">
        <v>0.11032435316451283</v>
      </c>
      <c r="I81" s="99">
        <v>-0.27122696538396251</v>
      </c>
      <c r="J81" s="99">
        <v>1.4440515631199302E-2</v>
      </c>
    </row>
    <row r="82" spans="1:10" x14ac:dyDescent="0.25">
      <c r="A82" s="98">
        <v>44440</v>
      </c>
      <c r="B82" s="65">
        <v>0</v>
      </c>
      <c r="C82" s="65">
        <v>0</v>
      </c>
      <c r="D82" s="65">
        <v>17825.712599999999</v>
      </c>
      <c r="E82" s="65">
        <v>19792.322812291506</v>
      </c>
      <c r="F82" s="65">
        <v>5983.1722</v>
      </c>
      <c r="G82" s="65">
        <v>4360.3745608243125</v>
      </c>
      <c r="H82" s="99">
        <v>0.11032435316451283</v>
      </c>
      <c r="I82" s="99">
        <v>-0.27122696538396263</v>
      </c>
      <c r="J82" s="99">
        <v>1.444051563119908E-2</v>
      </c>
    </row>
    <row r="83" spans="1:10" x14ac:dyDescent="0.25">
      <c r="A83" s="98">
        <v>44470</v>
      </c>
      <c r="B83" s="65">
        <v>0</v>
      </c>
      <c r="C83" s="65">
        <v>0</v>
      </c>
      <c r="D83" s="65">
        <v>26304.459149999999</v>
      </c>
      <c r="E83" s="65">
        <v>29206.481591066098</v>
      </c>
      <c r="F83" s="65">
        <v>8829.0500499999998</v>
      </c>
      <c r="G83" s="65">
        <v>6434.3735977153765</v>
      </c>
      <c r="H83" s="99">
        <v>0.11032435316451283</v>
      </c>
      <c r="I83" s="99">
        <v>-0.27122696538396263</v>
      </c>
      <c r="J83" s="99">
        <v>1.444051563119908E-2</v>
      </c>
    </row>
    <row r="84" spans="1:10" x14ac:dyDescent="0.25">
      <c r="A84" s="98">
        <v>44501</v>
      </c>
      <c r="B84" s="65">
        <v>0</v>
      </c>
      <c r="C84" s="65">
        <v>0</v>
      </c>
      <c r="D84" s="65">
        <v>17960.481</v>
      </c>
      <c r="E84" s="65">
        <v>19941.95944884852</v>
      </c>
      <c r="F84" s="65">
        <v>6028.4069999999992</v>
      </c>
      <c r="G84" s="65">
        <v>4393.3404632905622</v>
      </c>
      <c r="H84" s="99">
        <v>0.11032435316451261</v>
      </c>
      <c r="I84" s="99">
        <v>-0.27122696538396251</v>
      </c>
      <c r="J84" s="99">
        <v>1.444051563119908E-2</v>
      </c>
    </row>
    <row r="85" spans="1:10" x14ac:dyDescent="0.25">
      <c r="A85" s="98">
        <v>44531</v>
      </c>
      <c r="B85" s="65">
        <v>0</v>
      </c>
      <c r="C85" s="65">
        <v>0</v>
      </c>
      <c r="D85" s="65">
        <v>23723.125949999998</v>
      </c>
      <c r="E85" s="65">
        <v>26340.364475474016</v>
      </c>
      <c r="F85" s="65">
        <v>7962.6296499999989</v>
      </c>
      <c r="G85" s="65">
        <v>5802.9497735541354</v>
      </c>
      <c r="H85" s="99">
        <v>0.11032435316451283</v>
      </c>
      <c r="I85" s="99">
        <v>-0.27122696538396251</v>
      </c>
      <c r="J85" s="99">
        <v>1.444051563119908E-2</v>
      </c>
    </row>
    <row r="86" spans="1:10" x14ac:dyDescent="0.25">
      <c r="A86" s="98">
        <v>44562</v>
      </c>
      <c r="B86" s="65">
        <v>0</v>
      </c>
      <c r="C86" s="65">
        <v>0</v>
      </c>
      <c r="D86" s="65">
        <v>21860.9895</v>
      </c>
      <c r="E86" s="65">
        <v>24272.789026123708</v>
      </c>
      <c r="F86" s="65">
        <v>7337.6064999999999</v>
      </c>
      <c r="G86" s="65">
        <v>5347.4497558233616</v>
      </c>
      <c r="H86" s="99">
        <v>0.11032435316451283</v>
      </c>
      <c r="I86" s="99">
        <v>-0.27122696538396251</v>
      </c>
      <c r="J86" s="99">
        <v>1.444051563119908E-2</v>
      </c>
    </row>
    <row r="87" spans="1:10" x14ac:dyDescent="0.25">
      <c r="A87" s="98">
        <v>44593</v>
      </c>
      <c r="B87" s="65">
        <v>0</v>
      </c>
      <c r="C87" s="65">
        <v>0</v>
      </c>
      <c r="D87" s="65">
        <v>21676.978800000001</v>
      </c>
      <c r="E87" s="65">
        <v>24068.477464670857</v>
      </c>
      <c r="F87" s="65">
        <v>7275.8436000000002</v>
      </c>
      <c r="G87" s="65">
        <v>5302.438619763675</v>
      </c>
      <c r="H87" s="99">
        <v>0.11032435316451283</v>
      </c>
      <c r="I87" s="99">
        <v>-0.27122696538396251</v>
      </c>
      <c r="J87" s="99">
        <v>1.444051563119908E-2</v>
      </c>
    </row>
    <row r="88" spans="1:10" x14ac:dyDescent="0.25">
      <c r="A88" s="98">
        <v>44621</v>
      </c>
      <c r="B88" s="65">
        <v>0</v>
      </c>
      <c r="C88" s="65">
        <v>0</v>
      </c>
      <c r="D88" s="65">
        <v>24943.816649999997</v>
      </c>
      <c r="E88" s="65">
        <v>27695.727087365452</v>
      </c>
      <c r="F88" s="65">
        <v>8372.3525499999996</v>
      </c>
      <c r="G88" s="65">
        <v>6101.5447747388189</v>
      </c>
      <c r="H88" s="99">
        <v>0.11032435316451283</v>
      </c>
      <c r="I88" s="99">
        <v>-0.27122696538396263</v>
      </c>
      <c r="J88" s="99">
        <v>1.444051563119908E-2</v>
      </c>
    </row>
    <row r="89" spans="1:10" x14ac:dyDescent="0.25">
      <c r="A89" s="98">
        <v>44652</v>
      </c>
      <c r="B89" s="65">
        <v>0</v>
      </c>
      <c r="C89" s="65">
        <v>0</v>
      </c>
      <c r="D89" s="65">
        <v>16279.76355</v>
      </c>
      <c r="E89" s="65">
        <v>18075.817933324965</v>
      </c>
      <c r="F89" s="65">
        <v>5464.2768500000002</v>
      </c>
      <c r="G89" s="65">
        <v>3982.2176219566618</v>
      </c>
      <c r="H89" s="99">
        <v>0.11032435316451283</v>
      </c>
      <c r="I89" s="99">
        <v>-0.27122696538396263</v>
      </c>
      <c r="J89" s="99">
        <v>1.4440515631199302E-2</v>
      </c>
    </row>
    <row r="90" spans="1:10" x14ac:dyDescent="0.25">
      <c r="A90" s="98">
        <v>44682</v>
      </c>
      <c r="B90" s="65">
        <v>0</v>
      </c>
      <c r="C90" s="65">
        <v>0</v>
      </c>
      <c r="D90" s="65">
        <v>17271.088799999998</v>
      </c>
      <c r="E90" s="65">
        <v>19176.51050030686</v>
      </c>
      <c r="F90" s="65">
        <v>5797.0135999999993</v>
      </c>
      <c r="G90" s="65">
        <v>4224.7071929824397</v>
      </c>
      <c r="H90" s="99">
        <v>0.11032435316451283</v>
      </c>
      <c r="I90" s="99">
        <v>-0.27122696538396251</v>
      </c>
      <c r="J90" s="99">
        <v>1.444051563119908E-2</v>
      </c>
    </row>
    <row r="91" spans="1:10" x14ac:dyDescent="0.25">
      <c r="A91" s="98">
        <v>44713</v>
      </c>
      <c r="B91" s="65">
        <v>0</v>
      </c>
      <c r="C91" s="65">
        <v>0</v>
      </c>
      <c r="D91" s="65">
        <v>16658.151750000001</v>
      </c>
      <c r="E91" s="65">
        <v>18495.951566735046</v>
      </c>
      <c r="F91" s="65">
        <v>5591.2822500000002</v>
      </c>
      <c r="G91" s="65">
        <v>4074.7757327272857</v>
      </c>
      <c r="H91" s="99">
        <v>0.11032435316451261</v>
      </c>
      <c r="I91" s="99">
        <v>-0.27122696538396263</v>
      </c>
      <c r="J91" s="99">
        <v>1.4440515631198858E-2</v>
      </c>
    </row>
    <row r="92" spans="1:10" x14ac:dyDescent="0.25">
      <c r="A92" s="98">
        <v>44743</v>
      </c>
      <c r="B92" s="65">
        <v>0</v>
      </c>
      <c r="C92" s="65">
        <v>0</v>
      </c>
      <c r="D92" s="65">
        <v>16658.151750000001</v>
      </c>
      <c r="E92" s="65">
        <v>18495.951566735046</v>
      </c>
      <c r="F92" s="65">
        <v>5591.2822500000002</v>
      </c>
      <c r="G92" s="65">
        <v>4074.7757327272857</v>
      </c>
      <c r="H92" s="99">
        <v>0.11032435316451261</v>
      </c>
      <c r="I92" s="99">
        <v>-0.27122696538396263</v>
      </c>
      <c r="J92" s="99">
        <v>1.4440515631198858E-2</v>
      </c>
    </row>
    <row r="93" spans="1:10" x14ac:dyDescent="0.25">
      <c r="A93" s="93" t="s">
        <v>37</v>
      </c>
      <c r="B93" s="65">
        <v>357242.58</v>
      </c>
      <c r="C93" s="65">
        <v>391425.89518089301</v>
      </c>
      <c r="D93" s="65">
        <v>347013.65601999999</v>
      </c>
      <c r="E93" s="65">
        <v>471539.53810290433</v>
      </c>
      <c r="F93" s="65">
        <v>947407.48227999976</v>
      </c>
      <c r="G93" s="65">
        <v>701842.21510726574</v>
      </c>
      <c r="H93" s="99">
        <v>0.22535717704215008</v>
      </c>
      <c r="I93" s="99">
        <v>-0.2591970949836333</v>
      </c>
      <c r="J93" s="99">
        <v>-5.2587018136073582E-2</v>
      </c>
    </row>
    <row r="94" spans="1:10" x14ac:dyDescent="0.25">
      <c r="A94" s="94" t="s">
        <v>25</v>
      </c>
      <c r="B94" s="65">
        <v>357242.58</v>
      </c>
      <c r="C94" s="65">
        <v>391425.89518089301</v>
      </c>
      <c r="D94" s="65">
        <v>347013.65601999999</v>
      </c>
      <c r="E94" s="65">
        <v>471539.53810290433</v>
      </c>
      <c r="F94" s="65">
        <v>947407.48227999976</v>
      </c>
      <c r="G94" s="65">
        <v>701842.21510726574</v>
      </c>
      <c r="H94" s="99">
        <v>0.22535717704215008</v>
      </c>
      <c r="I94" s="99">
        <v>-0.2591970949836333</v>
      </c>
      <c r="J94" s="99">
        <v>-5.2587018136073582E-2</v>
      </c>
    </row>
    <row r="95" spans="1:10" x14ac:dyDescent="0.25">
      <c r="A95" s="95" t="s">
        <v>25</v>
      </c>
      <c r="B95" s="65">
        <v>357242.58</v>
      </c>
      <c r="C95" s="65">
        <v>391425.89518089301</v>
      </c>
      <c r="D95" s="65">
        <v>347013.65601999999</v>
      </c>
      <c r="E95" s="65">
        <v>471539.53810290433</v>
      </c>
      <c r="F95" s="65">
        <v>947407.48227999976</v>
      </c>
      <c r="G95" s="65">
        <v>701842.21510726574</v>
      </c>
      <c r="H95" s="99">
        <v>0.22535717704215008</v>
      </c>
      <c r="I95" s="99">
        <v>-0.2591970949836333</v>
      </c>
      <c r="J95" s="99">
        <v>-5.2587018136073582E-2</v>
      </c>
    </row>
    <row r="96" spans="1:10" x14ac:dyDescent="0.25">
      <c r="A96" s="96" t="s">
        <v>25</v>
      </c>
      <c r="B96" s="65">
        <v>357242.58</v>
      </c>
      <c r="C96" s="65">
        <v>391425.89518089301</v>
      </c>
      <c r="D96" s="65">
        <v>347013.65601999999</v>
      </c>
      <c r="E96" s="65">
        <v>471539.53810290433</v>
      </c>
      <c r="F96" s="65">
        <v>947407.48227999976</v>
      </c>
      <c r="G96" s="65">
        <v>701842.21510726574</v>
      </c>
      <c r="H96" s="99">
        <v>0.22535717704215008</v>
      </c>
      <c r="I96" s="99">
        <v>-0.2591970949836333</v>
      </c>
      <c r="J96" s="99">
        <v>-5.2587018136073582E-2</v>
      </c>
    </row>
    <row r="97" spans="1:10" x14ac:dyDescent="0.25">
      <c r="A97" s="97" t="s">
        <v>34</v>
      </c>
      <c r="B97" s="65">
        <v>0</v>
      </c>
      <c r="C97" s="65">
        <v>0</v>
      </c>
      <c r="D97" s="65">
        <v>253426.07316999999</v>
      </c>
      <c r="E97" s="65">
        <v>367626.96571074775</v>
      </c>
      <c r="F97" s="65">
        <v>915994.95833000005</v>
      </c>
      <c r="G97" s="65">
        <v>678949.61470327526</v>
      </c>
      <c r="H97" s="99">
        <v>0.4506280317264002</v>
      </c>
      <c r="I97" s="99">
        <v>-0.25878455058191041</v>
      </c>
      <c r="J97" s="99">
        <v>-0.10504723942616812</v>
      </c>
    </row>
    <row r="98" spans="1:10" x14ac:dyDescent="0.25">
      <c r="A98" s="98">
        <v>44409</v>
      </c>
      <c r="B98" s="65">
        <v>0</v>
      </c>
      <c r="C98" s="65">
        <v>0</v>
      </c>
      <c r="D98" s="65">
        <v>22413.269760000003</v>
      </c>
      <c r="E98" s="65">
        <v>32513.317396501647</v>
      </c>
      <c r="F98" s="65">
        <v>81011.562239999999</v>
      </c>
      <c r="G98" s="65">
        <v>60047.021513783147</v>
      </c>
      <c r="H98" s="99">
        <v>0.45062803172639998</v>
      </c>
      <c r="I98" s="99">
        <v>-0.2587845505819103</v>
      </c>
      <c r="J98" s="99">
        <v>-0.10504723942616789</v>
      </c>
    </row>
    <row r="99" spans="1:10" x14ac:dyDescent="0.25">
      <c r="A99" s="98">
        <v>44440</v>
      </c>
      <c r="B99" s="65">
        <v>0</v>
      </c>
      <c r="C99" s="65">
        <v>0</v>
      </c>
      <c r="D99" s="65">
        <v>21361.024359999999</v>
      </c>
      <c r="E99" s="65">
        <v>30986.900723006485</v>
      </c>
      <c r="F99" s="65">
        <v>77208.277639999986</v>
      </c>
      <c r="G99" s="65">
        <v>57227.968209729239</v>
      </c>
      <c r="H99" s="99">
        <v>0.4506280317264002</v>
      </c>
      <c r="I99" s="99">
        <v>-0.2587845505819103</v>
      </c>
      <c r="J99" s="99">
        <v>-0.105047239426168</v>
      </c>
    </row>
    <row r="100" spans="1:10" x14ac:dyDescent="0.25">
      <c r="A100" s="98">
        <v>44470</v>
      </c>
      <c r="B100" s="65">
        <v>0</v>
      </c>
      <c r="C100" s="65">
        <v>0</v>
      </c>
      <c r="D100" s="65">
        <v>20135.741410000002</v>
      </c>
      <c r="E100" s="65">
        <v>29209.470928940071</v>
      </c>
      <c r="F100" s="65">
        <v>72779.558090000006</v>
      </c>
      <c r="G100" s="65">
        <v>53945.332858129317</v>
      </c>
      <c r="H100" s="99">
        <v>0.45062803172639998</v>
      </c>
      <c r="I100" s="99">
        <v>-0.2587845505819103</v>
      </c>
      <c r="J100" s="99">
        <v>-0.105047239426168</v>
      </c>
    </row>
    <row r="101" spans="1:10" x14ac:dyDescent="0.25">
      <c r="A101" s="98">
        <v>44501</v>
      </c>
      <c r="B101" s="65">
        <v>0</v>
      </c>
      <c r="C101" s="65">
        <v>0</v>
      </c>
      <c r="D101" s="65">
        <v>20767.383810000003</v>
      </c>
      <c r="E101" s="65">
        <v>30125.749100407011</v>
      </c>
      <c r="F101" s="65">
        <v>75062.595690000002</v>
      </c>
      <c r="G101" s="65">
        <v>55637.555598851715</v>
      </c>
      <c r="H101" s="99">
        <v>0.45062803172639998</v>
      </c>
      <c r="I101" s="99">
        <v>-0.2587845505819103</v>
      </c>
      <c r="J101" s="99">
        <v>-0.105047239426168</v>
      </c>
    </row>
    <row r="102" spans="1:10" x14ac:dyDescent="0.25">
      <c r="A102" s="98">
        <v>44531</v>
      </c>
      <c r="B102" s="65">
        <v>0</v>
      </c>
      <c r="C102" s="65">
        <v>0</v>
      </c>
      <c r="D102" s="65">
        <v>19728.199240000002</v>
      </c>
      <c r="E102" s="65">
        <v>28618.278833027463</v>
      </c>
      <c r="F102" s="65">
        <v>71306.518759999992</v>
      </c>
      <c r="G102" s="65">
        <v>52853.493349132841</v>
      </c>
      <c r="H102" s="99">
        <v>0.45062803172639998</v>
      </c>
      <c r="I102" s="99">
        <v>-0.2587845505819103</v>
      </c>
      <c r="J102" s="99">
        <v>-0.105047239426168</v>
      </c>
    </row>
    <row r="103" spans="1:10" x14ac:dyDescent="0.25">
      <c r="A103" s="98">
        <v>44562</v>
      </c>
      <c r="B103" s="65">
        <v>0</v>
      </c>
      <c r="C103" s="65">
        <v>0</v>
      </c>
      <c r="D103" s="65">
        <v>18001.660820000001</v>
      </c>
      <c r="E103" s="65">
        <v>26113.713803122853</v>
      </c>
      <c r="F103" s="65">
        <v>65066.038179999996</v>
      </c>
      <c r="G103" s="65">
        <v>48227.952731443285</v>
      </c>
      <c r="H103" s="99">
        <v>0.45062803172639998</v>
      </c>
      <c r="I103" s="99">
        <v>-0.25878455058191019</v>
      </c>
      <c r="J103" s="99">
        <v>-0.10504723942616789</v>
      </c>
    </row>
    <row r="104" spans="1:10" x14ac:dyDescent="0.25">
      <c r="A104" s="98">
        <v>44593</v>
      </c>
      <c r="B104" s="65">
        <v>0</v>
      </c>
      <c r="C104" s="65">
        <v>0</v>
      </c>
      <c r="D104" s="65">
        <v>20632.348109999999</v>
      </c>
      <c r="E104" s="65">
        <v>29929.862528703208</v>
      </c>
      <c r="F104" s="65">
        <v>74574.51638999999</v>
      </c>
      <c r="G104" s="65">
        <v>55275.78368115054</v>
      </c>
      <c r="H104" s="99">
        <v>0.45062803172639998</v>
      </c>
      <c r="I104" s="99">
        <v>-0.2587845505819103</v>
      </c>
      <c r="J104" s="99">
        <v>-0.10504723942616823</v>
      </c>
    </row>
    <row r="105" spans="1:10" x14ac:dyDescent="0.25">
      <c r="A105" s="98">
        <v>44621</v>
      </c>
      <c r="B105" s="65">
        <v>0</v>
      </c>
      <c r="C105" s="65">
        <v>0</v>
      </c>
      <c r="D105" s="65">
        <v>23059.006050000004</v>
      </c>
      <c r="E105" s="65">
        <v>33450.040559878653</v>
      </c>
      <c r="F105" s="65">
        <v>83345.54144999999</v>
      </c>
      <c r="G105" s="65">
        <v>61777.002962855775</v>
      </c>
      <c r="H105" s="99">
        <v>0.45062803172639998</v>
      </c>
      <c r="I105" s="99">
        <v>-0.25878455058191019</v>
      </c>
      <c r="J105" s="99">
        <v>-0.10504723942616789</v>
      </c>
    </row>
    <row r="106" spans="1:10" x14ac:dyDescent="0.25">
      <c r="A106" s="98">
        <v>44652</v>
      </c>
      <c r="B106" s="65">
        <v>0</v>
      </c>
      <c r="C106" s="65">
        <v>0</v>
      </c>
      <c r="D106" s="65">
        <v>20997.977560000003</v>
      </c>
      <c r="E106" s="65">
        <v>30460.25485809792</v>
      </c>
      <c r="F106" s="65">
        <v>75896.064440000002</v>
      </c>
      <c r="G106" s="65">
        <v>56255.335512958904</v>
      </c>
      <c r="H106" s="99">
        <v>0.45062803172639998</v>
      </c>
      <c r="I106" s="99">
        <v>-0.25878455058191019</v>
      </c>
      <c r="J106" s="99">
        <v>-0.105047239426168</v>
      </c>
    </row>
    <row r="107" spans="1:10" x14ac:dyDescent="0.25">
      <c r="A107" s="98">
        <v>44682</v>
      </c>
      <c r="B107" s="65">
        <v>0</v>
      </c>
      <c r="C107" s="65">
        <v>0</v>
      </c>
      <c r="D107" s="65">
        <v>23920.135350000004</v>
      </c>
      <c r="E107" s="65">
        <v>34699.21886139959</v>
      </c>
      <c r="F107" s="65">
        <v>86458.047149999999</v>
      </c>
      <c r="G107" s="65">
        <v>64084.040274097642</v>
      </c>
      <c r="H107" s="99">
        <v>0.45062803172639998</v>
      </c>
      <c r="I107" s="99">
        <v>-0.2587845505819103</v>
      </c>
      <c r="J107" s="99">
        <v>-0.10504723942616789</v>
      </c>
    </row>
    <row r="108" spans="1:10" x14ac:dyDescent="0.25">
      <c r="A108" s="98">
        <v>44713</v>
      </c>
      <c r="B108" s="65">
        <v>0</v>
      </c>
      <c r="C108" s="65">
        <v>0</v>
      </c>
      <c r="D108" s="65">
        <v>21204.663350000003</v>
      </c>
      <c r="E108" s="65">
        <v>30760.079058831434</v>
      </c>
      <c r="F108" s="65">
        <v>76643.119149999999</v>
      </c>
      <c r="G108" s="65">
        <v>56809.064005571447</v>
      </c>
      <c r="H108" s="99">
        <v>0.45062803172639998</v>
      </c>
      <c r="I108" s="99">
        <v>-0.2587845505819103</v>
      </c>
      <c r="J108" s="99">
        <v>-0.105047239426168</v>
      </c>
    </row>
    <row r="109" spans="1:10" x14ac:dyDescent="0.25">
      <c r="A109" s="98">
        <v>44743</v>
      </c>
      <c r="B109" s="65">
        <v>0</v>
      </c>
      <c r="C109" s="65">
        <v>0</v>
      </c>
      <c r="D109" s="65">
        <v>21204.663350000003</v>
      </c>
      <c r="E109" s="65">
        <v>30760.079058831434</v>
      </c>
      <c r="F109" s="65">
        <v>76643.119149999999</v>
      </c>
      <c r="G109" s="65">
        <v>56809.064005571447</v>
      </c>
      <c r="H109" s="99">
        <v>0.45062803172639998</v>
      </c>
      <c r="I109" s="99">
        <v>-0.2587845505819103</v>
      </c>
      <c r="J109" s="99">
        <v>-0.105047239426168</v>
      </c>
    </row>
    <row r="110" spans="1:10" x14ac:dyDescent="0.25">
      <c r="A110" s="97" t="s">
        <v>25</v>
      </c>
      <c r="B110" s="65">
        <v>357242.58</v>
      </c>
      <c r="C110" s="65">
        <v>391425.89518089301</v>
      </c>
      <c r="D110" s="65">
        <v>0</v>
      </c>
      <c r="E110" s="65">
        <v>0</v>
      </c>
      <c r="F110" s="65">
        <v>0</v>
      </c>
      <c r="G110" s="65">
        <v>0</v>
      </c>
      <c r="H110" s="99">
        <v>9.5686564521208606E-2</v>
      </c>
      <c r="I110" s="99">
        <v>0</v>
      </c>
      <c r="J110" s="99">
        <v>9.5686564521208606E-2</v>
      </c>
    </row>
    <row r="111" spans="1:10" x14ac:dyDescent="0.25">
      <c r="A111" s="98">
        <v>44409</v>
      </c>
      <c r="B111" s="65">
        <v>29824.65</v>
      </c>
      <c r="C111" s="65">
        <v>32678.468296547468</v>
      </c>
      <c r="D111" s="65">
        <v>0</v>
      </c>
      <c r="E111" s="65">
        <v>0</v>
      </c>
      <c r="F111" s="65">
        <v>0</v>
      </c>
      <c r="G111" s="65">
        <v>0</v>
      </c>
      <c r="H111" s="99">
        <v>9.5686564521208606E-2</v>
      </c>
      <c r="I111" s="99">
        <v>0</v>
      </c>
      <c r="J111" s="99">
        <v>9.5686564521208606E-2</v>
      </c>
    </row>
    <row r="112" spans="1:10" x14ac:dyDescent="0.25">
      <c r="A112" s="98">
        <v>44440</v>
      </c>
      <c r="B112" s="65">
        <v>29532.420000000002</v>
      </c>
      <c r="C112" s="65">
        <v>32358.275811797437</v>
      </c>
      <c r="D112" s="65">
        <v>0</v>
      </c>
      <c r="E112" s="65">
        <v>0</v>
      </c>
      <c r="F112" s="65">
        <v>0</v>
      </c>
      <c r="G112" s="65">
        <v>0</v>
      </c>
      <c r="H112" s="99">
        <v>9.5686564521208828E-2</v>
      </c>
      <c r="I112" s="99">
        <v>0</v>
      </c>
      <c r="J112" s="99">
        <v>9.5686564521208828E-2</v>
      </c>
    </row>
    <row r="113" spans="1:10" x14ac:dyDescent="0.25">
      <c r="A113" s="98">
        <v>44470</v>
      </c>
      <c r="B113" s="65">
        <v>29240.190000000002</v>
      </c>
      <c r="C113" s="65">
        <v>32038.083327047403</v>
      </c>
      <c r="D113" s="65">
        <v>0</v>
      </c>
      <c r="E113" s="65">
        <v>0</v>
      </c>
      <c r="F113" s="65">
        <v>0</v>
      </c>
      <c r="G113" s="65">
        <v>0</v>
      </c>
      <c r="H113" s="99">
        <v>9.5686564521208606E-2</v>
      </c>
      <c r="I113" s="99">
        <v>0</v>
      </c>
      <c r="J113" s="99">
        <v>9.5686564521208606E-2</v>
      </c>
    </row>
    <row r="114" spans="1:10" x14ac:dyDescent="0.25">
      <c r="A114" s="98">
        <v>44501</v>
      </c>
      <c r="B114" s="65">
        <v>29343.33</v>
      </c>
      <c r="C114" s="65">
        <v>32151.09243931212</v>
      </c>
      <c r="D114" s="65">
        <v>0</v>
      </c>
      <c r="E114" s="65">
        <v>0</v>
      </c>
      <c r="F114" s="65">
        <v>0</v>
      </c>
      <c r="G114" s="65">
        <v>0</v>
      </c>
      <c r="H114" s="99">
        <v>9.5686564521208606E-2</v>
      </c>
      <c r="I114" s="99">
        <v>0</v>
      </c>
      <c r="J114" s="99">
        <v>9.5686564521208606E-2</v>
      </c>
    </row>
    <row r="115" spans="1:10" x14ac:dyDescent="0.25">
      <c r="A115" s="98">
        <v>44531</v>
      </c>
      <c r="B115" s="65">
        <v>29773.08</v>
      </c>
      <c r="C115" s="65">
        <v>32621.963740415111</v>
      </c>
      <c r="D115" s="65">
        <v>0</v>
      </c>
      <c r="E115" s="65">
        <v>0</v>
      </c>
      <c r="F115" s="65">
        <v>0</v>
      </c>
      <c r="G115" s="65">
        <v>0</v>
      </c>
      <c r="H115" s="99">
        <v>9.5686564521208828E-2</v>
      </c>
      <c r="I115" s="99">
        <v>0</v>
      </c>
      <c r="J115" s="99">
        <v>9.5686564521208828E-2</v>
      </c>
    </row>
    <row r="116" spans="1:10" x14ac:dyDescent="0.25">
      <c r="A116" s="98">
        <v>44562</v>
      </c>
      <c r="B116" s="65">
        <v>29910.600000000002</v>
      </c>
      <c r="C116" s="65">
        <v>32772.642556768064</v>
      </c>
      <c r="D116" s="65">
        <v>0</v>
      </c>
      <c r="E116" s="65">
        <v>0</v>
      </c>
      <c r="F116" s="65">
        <v>0</v>
      </c>
      <c r="G116" s="65">
        <v>0</v>
      </c>
      <c r="H116" s="99">
        <v>9.5686564521208606E-2</v>
      </c>
      <c r="I116" s="99">
        <v>0</v>
      </c>
      <c r="J116" s="99">
        <v>9.5686564521208606E-2</v>
      </c>
    </row>
    <row r="117" spans="1:10" x14ac:dyDescent="0.25">
      <c r="A117" s="98">
        <v>44593</v>
      </c>
      <c r="B117" s="65">
        <v>30030.930000000004</v>
      </c>
      <c r="C117" s="65">
        <v>32904.486521076906</v>
      </c>
      <c r="D117" s="65">
        <v>0</v>
      </c>
      <c r="E117" s="65">
        <v>0</v>
      </c>
      <c r="F117" s="65">
        <v>0</v>
      </c>
      <c r="G117" s="65">
        <v>0</v>
      </c>
      <c r="H117" s="99">
        <v>9.5686564521208606E-2</v>
      </c>
      <c r="I117" s="99">
        <v>0</v>
      </c>
      <c r="J117" s="99">
        <v>9.5686564521208606E-2</v>
      </c>
    </row>
    <row r="118" spans="1:10" x14ac:dyDescent="0.25">
      <c r="A118" s="98">
        <v>44621</v>
      </c>
      <c r="B118" s="65">
        <v>30048.120000000003</v>
      </c>
      <c r="C118" s="65">
        <v>32923.321373121027</v>
      </c>
      <c r="D118" s="65">
        <v>0</v>
      </c>
      <c r="E118" s="65">
        <v>0</v>
      </c>
      <c r="F118" s="65">
        <v>0</v>
      </c>
      <c r="G118" s="65">
        <v>0</v>
      </c>
      <c r="H118" s="99">
        <v>9.5686564521208828E-2</v>
      </c>
      <c r="I118" s="99">
        <v>0</v>
      </c>
      <c r="J118" s="99">
        <v>9.5686564521208828E-2</v>
      </c>
    </row>
    <row r="119" spans="1:10" x14ac:dyDescent="0.25">
      <c r="A119" s="98">
        <v>44652</v>
      </c>
      <c r="B119" s="65">
        <v>29635.56</v>
      </c>
      <c r="C119" s="65">
        <v>32471.284924062154</v>
      </c>
      <c r="D119" s="65">
        <v>0</v>
      </c>
      <c r="E119" s="65">
        <v>0</v>
      </c>
      <c r="F119" s="65">
        <v>0</v>
      </c>
      <c r="G119" s="65">
        <v>0</v>
      </c>
      <c r="H119" s="99">
        <v>9.5686564521208828E-2</v>
      </c>
      <c r="I119" s="99">
        <v>0</v>
      </c>
      <c r="J119" s="99">
        <v>9.5686564521208828E-2</v>
      </c>
    </row>
    <row r="120" spans="1:10" x14ac:dyDescent="0.25">
      <c r="A120" s="98">
        <v>44682</v>
      </c>
      <c r="B120" s="65">
        <v>29807.460000000003</v>
      </c>
      <c r="C120" s="65">
        <v>32659.63344450335</v>
      </c>
      <c r="D120" s="65">
        <v>0</v>
      </c>
      <c r="E120" s="65">
        <v>0</v>
      </c>
      <c r="F120" s="65">
        <v>0</v>
      </c>
      <c r="G120" s="65">
        <v>0</v>
      </c>
      <c r="H120" s="99">
        <v>9.5686564521208606E-2</v>
      </c>
      <c r="I120" s="99">
        <v>0</v>
      </c>
      <c r="J120" s="99">
        <v>9.5686564521208606E-2</v>
      </c>
    </row>
    <row r="121" spans="1:10" x14ac:dyDescent="0.25">
      <c r="A121" s="98">
        <v>44713</v>
      </c>
      <c r="B121" s="65">
        <v>30048.120000000003</v>
      </c>
      <c r="C121" s="65">
        <v>32923.321373121027</v>
      </c>
      <c r="D121" s="65">
        <v>0</v>
      </c>
      <c r="E121" s="65">
        <v>0</v>
      </c>
      <c r="F121" s="65">
        <v>0</v>
      </c>
      <c r="G121" s="65">
        <v>0</v>
      </c>
      <c r="H121" s="99">
        <v>9.5686564521208828E-2</v>
      </c>
      <c r="I121" s="99">
        <v>0</v>
      </c>
      <c r="J121" s="99">
        <v>9.5686564521208828E-2</v>
      </c>
    </row>
    <row r="122" spans="1:10" x14ac:dyDescent="0.25">
      <c r="A122" s="98">
        <v>44743</v>
      </c>
      <c r="B122" s="65">
        <v>30048.120000000003</v>
      </c>
      <c r="C122" s="65">
        <v>32923.321373121027</v>
      </c>
      <c r="D122" s="65">
        <v>0</v>
      </c>
      <c r="E122" s="65">
        <v>0</v>
      </c>
      <c r="F122" s="65">
        <v>0</v>
      </c>
      <c r="G122" s="65">
        <v>0</v>
      </c>
      <c r="H122" s="99">
        <v>9.5686564521208828E-2</v>
      </c>
      <c r="I122" s="99">
        <v>0</v>
      </c>
      <c r="J122" s="99">
        <v>9.5686564521208828E-2</v>
      </c>
    </row>
    <row r="123" spans="1:10" x14ac:dyDescent="0.25">
      <c r="A123" s="97" t="s">
        <v>33</v>
      </c>
      <c r="B123" s="65">
        <v>0</v>
      </c>
      <c r="C123" s="65">
        <v>0</v>
      </c>
      <c r="D123" s="65">
        <v>93587.582849999992</v>
      </c>
      <c r="E123" s="65">
        <v>103912.57239215649</v>
      </c>
      <c r="F123" s="65">
        <v>31412.523950000003</v>
      </c>
      <c r="G123" s="65">
        <v>22892.600403990451</v>
      </c>
      <c r="H123" s="99">
        <v>0.11032435316451283</v>
      </c>
      <c r="I123" s="99">
        <v>-0.27122696538396274</v>
      </c>
      <c r="J123" s="99">
        <v>1.444051563119908E-2</v>
      </c>
    </row>
    <row r="124" spans="1:10" x14ac:dyDescent="0.25">
      <c r="A124" s="98">
        <v>44409</v>
      </c>
      <c r="B124" s="65">
        <v>0</v>
      </c>
      <c r="C124" s="65">
        <v>0</v>
      </c>
      <c r="D124" s="65">
        <v>9004.8616499999989</v>
      </c>
      <c r="E124" s="65">
        <v>9998.3171868721765</v>
      </c>
      <c r="F124" s="65">
        <v>3022.4675499999998</v>
      </c>
      <c r="G124" s="65">
        <v>2202.6928484419996</v>
      </c>
      <c r="H124" s="99">
        <v>0.11032435316451283</v>
      </c>
      <c r="I124" s="99">
        <v>-0.27122696538396263</v>
      </c>
      <c r="J124" s="99">
        <v>1.444051563119908E-2</v>
      </c>
    </row>
    <row r="125" spans="1:10" x14ac:dyDescent="0.25">
      <c r="A125" s="98">
        <v>44440</v>
      </c>
      <c r="B125" s="65">
        <v>0</v>
      </c>
      <c r="C125" s="65">
        <v>0</v>
      </c>
      <c r="D125" s="65">
        <v>7429.1080499999989</v>
      </c>
      <c r="E125" s="65">
        <v>8248.7195902055246</v>
      </c>
      <c r="F125" s="65">
        <v>2493.56835</v>
      </c>
      <c r="G125" s="65">
        <v>1817.2453734520052</v>
      </c>
      <c r="H125" s="99">
        <v>0.11032435316451283</v>
      </c>
      <c r="I125" s="99">
        <v>-0.27122696538396263</v>
      </c>
      <c r="J125" s="99">
        <v>1.4440515631199302E-2</v>
      </c>
    </row>
    <row r="126" spans="1:10" x14ac:dyDescent="0.25">
      <c r="A126" s="98">
        <v>44470</v>
      </c>
      <c r="B126" s="65">
        <v>0</v>
      </c>
      <c r="C126" s="65">
        <v>0</v>
      </c>
      <c r="D126" s="65">
        <v>7506.85905</v>
      </c>
      <c r="E126" s="65">
        <v>8335.0484189884191</v>
      </c>
      <c r="F126" s="65">
        <v>2519.6653500000002</v>
      </c>
      <c r="G126" s="65">
        <v>1836.2641633363801</v>
      </c>
      <c r="H126" s="99">
        <v>0.11032435316451283</v>
      </c>
      <c r="I126" s="99">
        <v>-0.27122696538396263</v>
      </c>
      <c r="J126" s="99">
        <v>1.444051563119908E-2</v>
      </c>
    </row>
    <row r="127" spans="1:10" x14ac:dyDescent="0.25">
      <c r="A127" s="98">
        <v>44501</v>
      </c>
      <c r="B127" s="65">
        <v>0</v>
      </c>
      <c r="C127" s="65">
        <v>0</v>
      </c>
      <c r="D127" s="65">
        <v>6755.2660499999993</v>
      </c>
      <c r="E127" s="65">
        <v>7500.5364074204435</v>
      </c>
      <c r="F127" s="65">
        <v>2267.39435</v>
      </c>
      <c r="G127" s="65">
        <v>1652.4158611207577</v>
      </c>
      <c r="H127" s="99">
        <v>0.11032435316451283</v>
      </c>
      <c r="I127" s="99">
        <v>-0.27122696538396263</v>
      </c>
      <c r="J127" s="99">
        <v>1.4440515631199302E-2</v>
      </c>
    </row>
    <row r="128" spans="1:10" x14ac:dyDescent="0.25">
      <c r="A128" s="98">
        <v>44531</v>
      </c>
      <c r="B128" s="65">
        <v>0</v>
      </c>
      <c r="C128" s="65">
        <v>0</v>
      </c>
      <c r="D128" s="65">
        <v>7966.8857999999991</v>
      </c>
      <c r="E128" s="65">
        <v>8845.827322620542</v>
      </c>
      <c r="F128" s="65">
        <v>2674.0726</v>
      </c>
      <c r="G128" s="65">
        <v>1948.792003485597</v>
      </c>
      <c r="H128" s="99">
        <v>0.11032435316451283</v>
      </c>
      <c r="I128" s="99">
        <v>-0.27122696538396263</v>
      </c>
      <c r="J128" s="99">
        <v>1.444051563119908E-2</v>
      </c>
    </row>
    <row r="129" spans="1:10" x14ac:dyDescent="0.25">
      <c r="A129" s="98">
        <v>44562</v>
      </c>
      <c r="B129" s="65">
        <v>0</v>
      </c>
      <c r="C129" s="65">
        <v>0</v>
      </c>
      <c r="D129" s="65">
        <v>7302.1147499999988</v>
      </c>
      <c r="E129" s="65">
        <v>8107.7158365267978</v>
      </c>
      <c r="F129" s="65">
        <v>2450.9432499999998</v>
      </c>
      <c r="G129" s="65">
        <v>1786.1813499741932</v>
      </c>
      <c r="H129" s="99">
        <v>0.11032435316451283</v>
      </c>
      <c r="I129" s="99">
        <v>-0.27122696538396251</v>
      </c>
      <c r="J129" s="99">
        <v>1.4440515631199302E-2</v>
      </c>
    </row>
    <row r="130" spans="1:10" x14ac:dyDescent="0.25">
      <c r="A130" s="98">
        <v>44593</v>
      </c>
      <c r="B130" s="65">
        <v>0</v>
      </c>
      <c r="C130" s="65">
        <v>0</v>
      </c>
      <c r="D130" s="65">
        <v>8159.9674499999992</v>
      </c>
      <c r="E130" s="65">
        <v>9060.2105807647276</v>
      </c>
      <c r="F130" s="65">
        <v>2738.88015</v>
      </c>
      <c r="G130" s="65">
        <v>1996.0219983651275</v>
      </c>
      <c r="H130" s="99">
        <v>0.11032435316451283</v>
      </c>
      <c r="I130" s="99">
        <v>-0.27122696538396263</v>
      </c>
      <c r="J130" s="99">
        <v>1.444051563119908E-2</v>
      </c>
    </row>
    <row r="131" spans="1:10" x14ac:dyDescent="0.25">
      <c r="A131" s="98">
        <v>44621</v>
      </c>
      <c r="B131" s="65">
        <v>0</v>
      </c>
      <c r="C131" s="65">
        <v>0</v>
      </c>
      <c r="D131" s="65">
        <v>7893.0223499999993</v>
      </c>
      <c r="E131" s="65">
        <v>8763.8149352767923</v>
      </c>
      <c r="F131" s="65">
        <v>2649.2804500000002</v>
      </c>
      <c r="G131" s="65">
        <v>1930.7241530954411</v>
      </c>
      <c r="H131" s="99">
        <v>0.11032435316451283</v>
      </c>
      <c r="I131" s="99">
        <v>-0.27122696538396263</v>
      </c>
      <c r="J131" s="99">
        <v>1.444051563119908E-2</v>
      </c>
    </row>
    <row r="132" spans="1:10" x14ac:dyDescent="0.25">
      <c r="A132" s="98">
        <v>44652</v>
      </c>
      <c r="B132" s="65">
        <v>0</v>
      </c>
      <c r="C132" s="65">
        <v>0</v>
      </c>
      <c r="D132" s="65">
        <v>6476.6583000000001</v>
      </c>
      <c r="E132" s="65">
        <v>7191.1914376150735</v>
      </c>
      <c r="F132" s="65">
        <v>2173.8800999999999</v>
      </c>
      <c r="G132" s="65">
        <v>1584.2651973684149</v>
      </c>
      <c r="H132" s="99">
        <v>0.11032435316451283</v>
      </c>
      <c r="I132" s="99">
        <v>-0.27122696538396251</v>
      </c>
      <c r="J132" s="99">
        <v>1.444051563119908E-2</v>
      </c>
    </row>
    <row r="133" spans="1:10" x14ac:dyDescent="0.25">
      <c r="A133" s="98">
        <v>44682</v>
      </c>
      <c r="B133" s="65">
        <v>0</v>
      </c>
      <c r="C133" s="65">
        <v>0</v>
      </c>
      <c r="D133" s="65">
        <v>7588.4975999999997</v>
      </c>
      <c r="E133" s="65">
        <v>8425.6936892104568</v>
      </c>
      <c r="F133" s="65">
        <v>2547.0672</v>
      </c>
      <c r="G133" s="65">
        <v>1856.2338927149733</v>
      </c>
      <c r="H133" s="99">
        <v>0.11032435316451261</v>
      </c>
      <c r="I133" s="99">
        <v>-0.27122696538396263</v>
      </c>
      <c r="J133" s="99">
        <v>1.444051563119908E-2</v>
      </c>
    </row>
    <row r="134" spans="1:10" x14ac:dyDescent="0.25">
      <c r="A134" s="98">
        <v>44713</v>
      </c>
      <c r="B134" s="65">
        <v>0</v>
      </c>
      <c r="C134" s="65">
        <v>0</v>
      </c>
      <c r="D134" s="65">
        <v>8752.1708999999992</v>
      </c>
      <c r="E134" s="65">
        <v>9717.7484933277719</v>
      </c>
      <c r="F134" s="65">
        <v>2937.6522999999997</v>
      </c>
      <c r="G134" s="65">
        <v>2140.8817813177816</v>
      </c>
      <c r="H134" s="99">
        <v>0.11032435316451283</v>
      </c>
      <c r="I134" s="99">
        <v>-0.27122696538396263</v>
      </c>
      <c r="J134" s="99">
        <v>1.444051563119908E-2</v>
      </c>
    </row>
    <row r="135" spans="1:10" x14ac:dyDescent="0.25">
      <c r="A135" s="98">
        <v>44743</v>
      </c>
      <c r="B135" s="65">
        <v>0</v>
      </c>
      <c r="C135" s="65">
        <v>0</v>
      </c>
      <c r="D135" s="65">
        <v>8752.1708999999992</v>
      </c>
      <c r="E135" s="65">
        <v>9717.7484933277719</v>
      </c>
      <c r="F135" s="65">
        <v>2937.6522999999997</v>
      </c>
      <c r="G135" s="65">
        <v>2140.8817813177816</v>
      </c>
      <c r="H135" s="99">
        <v>0.11032435316451283</v>
      </c>
      <c r="I135" s="99">
        <v>-0.27122696538396263</v>
      </c>
      <c r="J135" s="99">
        <v>1.444051563119908E-2</v>
      </c>
    </row>
    <row r="136" spans="1:10" x14ac:dyDescent="0.25">
      <c r="A136" s="93" t="s">
        <v>43</v>
      </c>
      <c r="B136" s="65">
        <v>14955.3</v>
      </c>
      <c r="C136" s="65">
        <v>16386.321278384032</v>
      </c>
      <c r="D136" s="65">
        <v>17574.57733</v>
      </c>
      <c r="E136" s="65">
        <v>21767.872210886952</v>
      </c>
      <c r="F136" s="65">
        <v>27619.751169999996</v>
      </c>
      <c r="G136" s="65">
        <v>20426.456326998974</v>
      </c>
      <c r="H136" s="99">
        <v>0.1728969372437219</v>
      </c>
      <c r="I136" s="99">
        <v>-0.26044024794887477</v>
      </c>
      <c r="J136" s="99">
        <v>-2.6084594749076984E-2</v>
      </c>
    </row>
    <row r="137" spans="1:10" x14ac:dyDescent="0.25">
      <c r="A137" s="94" t="s">
        <v>25</v>
      </c>
      <c r="B137" s="65">
        <v>14955.3</v>
      </c>
      <c r="C137" s="65">
        <v>16386.321278384032</v>
      </c>
      <c r="D137" s="65">
        <v>17574.57733</v>
      </c>
      <c r="E137" s="65">
        <v>21767.872210886952</v>
      </c>
      <c r="F137" s="65">
        <v>27619.751169999996</v>
      </c>
      <c r="G137" s="65">
        <v>20426.456326998974</v>
      </c>
      <c r="H137" s="99">
        <v>0.1728969372437219</v>
      </c>
      <c r="I137" s="99">
        <v>-0.26044024794887477</v>
      </c>
      <c r="J137" s="99">
        <v>-2.6084594749076984E-2</v>
      </c>
    </row>
    <row r="138" spans="1:10" x14ac:dyDescent="0.25">
      <c r="A138" s="95" t="s">
        <v>25</v>
      </c>
      <c r="B138" s="65">
        <v>14955.3</v>
      </c>
      <c r="C138" s="65">
        <v>16386.321278384032</v>
      </c>
      <c r="D138" s="65">
        <v>17574.57733</v>
      </c>
      <c r="E138" s="65">
        <v>21767.872210886952</v>
      </c>
      <c r="F138" s="65">
        <v>27619.751169999996</v>
      </c>
      <c r="G138" s="65">
        <v>20426.456326998974</v>
      </c>
      <c r="H138" s="99">
        <v>0.1728969372437219</v>
      </c>
      <c r="I138" s="99">
        <v>-0.26044024794887477</v>
      </c>
      <c r="J138" s="99">
        <v>-2.6084594749076984E-2</v>
      </c>
    </row>
    <row r="139" spans="1:10" x14ac:dyDescent="0.25">
      <c r="A139" s="96" t="s">
        <v>25</v>
      </c>
      <c r="B139" s="65">
        <v>14955.3</v>
      </c>
      <c r="C139" s="65">
        <v>16386.321278384032</v>
      </c>
      <c r="D139" s="65">
        <v>17574.57733</v>
      </c>
      <c r="E139" s="65">
        <v>21767.872210886952</v>
      </c>
      <c r="F139" s="65">
        <v>27619.751169999996</v>
      </c>
      <c r="G139" s="65">
        <v>20426.456326998974</v>
      </c>
      <c r="H139" s="99">
        <v>0.1728969372437219</v>
      </c>
      <c r="I139" s="99">
        <v>-0.26044024794887477</v>
      </c>
      <c r="J139" s="99">
        <v>-2.6084594749076984E-2</v>
      </c>
    </row>
    <row r="140" spans="1:10" x14ac:dyDescent="0.25">
      <c r="A140" s="97" t="s">
        <v>34</v>
      </c>
      <c r="B140" s="65">
        <v>0</v>
      </c>
      <c r="C140" s="65">
        <v>0</v>
      </c>
      <c r="D140" s="65">
        <v>6624.6448300000002</v>
      </c>
      <c r="E140" s="65">
        <v>9609.8954906293729</v>
      </c>
      <c r="F140" s="65">
        <v>23944.423669999993</v>
      </c>
      <c r="G140" s="65">
        <v>17747.976751616196</v>
      </c>
      <c r="H140" s="99">
        <v>0.4506280317264002</v>
      </c>
      <c r="I140" s="99">
        <v>-0.25878455058191008</v>
      </c>
      <c r="J140" s="99">
        <v>-0.10504723942616789</v>
      </c>
    </row>
    <row r="141" spans="1:10" x14ac:dyDescent="0.25">
      <c r="A141" s="98">
        <v>44409</v>
      </c>
      <c r="B141" s="65">
        <v>0</v>
      </c>
      <c r="C141" s="65">
        <v>0</v>
      </c>
      <c r="D141" s="65">
        <v>586.04018000000008</v>
      </c>
      <c r="E141" s="65">
        <v>850.12631282598522</v>
      </c>
      <c r="F141" s="65">
        <v>2118.2108199999998</v>
      </c>
      <c r="G141" s="65">
        <v>1570.0505849085603</v>
      </c>
      <c r="H141" s="99">
        <v>0.45062803172639998</v>
      </c>
      <c r="I141" s="99">
        <v>-0.25878455058191019</v>
      </c>
      <c r="J141" s="99">
        <v>-0.105047239426168</v>
      </c>
    </row>
    <row r="142" spans="1:10" x14ac:dyDescent="0.25">
      <c r="A142" s="98">
        <v>44440</v>
      </c>
      <c r="B142" s="65">
        <v>0</v>
      </c>
      <c r="C142" s="65">
        <v>0</v>
      </c>
      <c r="D142" s="65">
        <v>453.36576000000002</v>
      </c>
      <c r="E142" s="65">
        <v>657.66508008094354</v>
      </c>
      <c r="F142" s="65">
        <v>1638.66624</v>
      </c>
      <c r="G142" s="65">
        <v>1214.6047335278513</v>
      </c>
      <c r="H142" s="99">
        <v>0.4506280317264002</v>
      </c>
      <c r="I142" s="99">
        <v>-0.2587845505819103</v>
      </c>
      <c r="J142" s="99">
        <v>-0.10504723942616812</v>
      </c>
    </row>
    <row r="143" spans="1:10" x14ac:dyDescent="0.25">
      <c r="A143" s="98">
        <v>44470</v>
      </c>
      <c r="B143" s="65">
        <v>0</v>
      </c>
      <c r="C143" s="65">
        <v>0</v>
      </c>
      <c r="D143" s="65">
        <v>437.13196000000005</v>
      </c>
      <c r="E143" s="65">
        <v>634.11587473950351</v>
      </c>
      <c r="F143" s="65">
        <v>1579.9900399999999</v>
      </c>
      <c r="G143" s="65">
        <v>1171.1130275747055</v>
      </c>
      <c r="H143" s="99">
        <v>0.45062803172639998</v>
      </c>
      <c r="I143" s="99">
        <v>-0.2587845505819103</v>
      </c>
      <c r="J143" s="99">
        <v>-0.10504723942616812</v>
      </c>
    </row>
    <row r="144" spans="1:10" x14ac:dyDescent="0.25">
      <c r="A144" s="98">
        <v>44501</v>
      </c>
      <c r="B144" s="65">
        <v>0</v>
      </c>
      <c r="C144" s="65">
        <v>0</v>
      </c>
      <c r="D144" s="65">
        <v>645.81008000000008</v>
      </c>
      <c r="E144" s="65">
        <v>936.83020521946912</v>
      </c>
      <c r="F144" s="65">
        <v>2334.2459199999998</v>
      </c>
      <c r="G144" s="65">
        <v>1730.1791386451423</v>
      </c>
      <c r="H144" s="99">
        <v>0.4506280317264002</v>
      </c>
      <c r="I144" s="99">
        <v>-0.25878455058191019</v>
      </c>
      <c r="J144" s="99">
        <v>-0.10504723942616812</v>
      </c>
    </row>
    <row r="145" spans="1:10" x14ac:dyDescent="0.25">
      <c r="A145" s="98">
        <v>44531</v>
      </c>
      <c r="B145" s="65">
        <v>0</v>
      </c>
      <c r="C145" s="65">
        <v>0</v>
      </c>
      <c r="D145" s="65">
        <v>612.82595000000003</v>
      </c>
      <c r="E145" s="65">
        <v>888.98250163936132</v>
      </c>
      <c r="F145" s="65">
        <v>2215.0265499999996</v>
      </c>
      <c r="G145" s="65">
        <v>1641.8118997312506</v>
      </c>
      <c r="H145" s="99">
        <v>0.45062803172639998</v>
      </c>
      <c r="I145" s="99">
        <v>-0.25878455058191019</v>
      </c>
      <c r="J145" s="99">
        <v>-0.105047239426168</v>
      </c>
    </row>
    <row r="146" spans="1:10" x14ac:dyDescent="0.25">
      <c r="A146" s="98">
        <v>44562</v>
      </c>
      <c r="B146" s="65">
        <v>0</v>
      </c>
      <c r="C146" s="65">
        <v>0</v>
      </c>
      <c r="D146" s="65">
        <v>591.79579999999999</v>
      </c>
      <c r="E146" s="65">
        <v>858.47557653795025</v>
      </c>
      <c r="F146" s="65">
        <v>2139.0141999999996</v>
      </c>
      <c r="G146" s="65">
        <v>1585.4703715646756</v>
      </c>
      <c r="H146" s="99">
        <v>0.45062803172639998</v>
      </c>
      <c r="I146" s="99">
        <v>-0.25878455058191019</v>
      </c>
      <c r="J146" s="99">
        <v>-0.10504723942616789</v>
      </c>
    </row>
    <row r="147" spans="1:10" x14ac:dyDescent="0.25">
      <c r="A147" s="98">
        <v>44593</v>
      </c>
      <c r="B147" s="65">
        <v>0</v>
      </c>
      <c r="C147" s="65">
        <v>0</v>
      </c>
      <c r="D147" s="65">
        <v>676.94946000000004</v>
      </c>
      <c r="E147" s="65">
        <v>982.00186273804934</v>
      </c>
      <c r="F147" s="65">
        <v>2446.7975399999996</v>
      </c>
      <c r="G147" s="65">
        <v>1813.6041382461763</v>
      </c>
      <c r="H147" s="99">
        <v>0.45062803172639998</v>
      </c>
      <c r="I147" s="99">
        <v>-0.25878455058191019</v>
      </c>
      <c r="J147" s="99">
        <v>-0.10504723942616789</v>
      </c>
    </row>
    <row r="148" spans="1:10" x14ac:dyDescent="0.25">
      <c r="A148" s="98">
        <v>44621</v>
      </c>
      <c r="B148" s="65">
        <v>0</v>
      </c>
      <c r="C148" s="65">
        <v>0</v>
      </c>
      <c r="D148" s="65">
        <v>557.33587</v>
      </c>
      <c r="E148" s="65">
        <v>808.48703610862083</v>
      </c>
      <c r="F148" s="65">
        <v>2014.4606299999998</v>
      </c>
      <c r="G148" s="65">
        <v>1493.1493412004982</v>
      </c>
      <c r="H148" s="99">
        <v>0.4506280317264002</v>
      </c>
      <c r="I148" s="99">
        <v>-0.25878455058191019</v>
      </c>
      <c r="J148" s="99">
        <v>-0.10504723942616812</v>
      </c>
    </row>
    <row r="149" spans="1:10" x14ac:dyDescent="0.25">
      <c r="A149" s="98">
        <v>44652</v>
      </c>
      <c r="B149" s="65">
        <v>0</v>
      </c>
      <c r="C149" s="65">
        <v>0</v>
      </c>
      <c r="D149" s="65">
        <v>393.44828000000001</v>
      </c>
      <c r="E149" s="65">
        <v>570.74710400253753</v>
      </c>
      <c r="F149" s="65">
        <v>1422.0977199999998</v>
      </c>
      <c r="G149" s="65">
        <v>1054.0808006462407</v>
      </c>
      <c r="H149" s="99">
        <v>0.45062803172639998</v>
      </c>
      <c r="I149" s="99">
        <v>-0.25878455058191019</v>
      </c>
      <c r="J149" s="99">
        <v>-0.105047239426168</v>
      </c>
    </row>
    <row r="150" spans="1:10" x14ac:dyDescent="0.25">
      <c r="A150" s="98">
        <v>44682</v>
      </c>
      <c r="B150" s="65">
        <v>0</v>
      </c>
      <c r="C150" s="65">
        <v>0</v>
      </c>
      <c r="D150" s="65">
        <v>552.61331000000007</v>
      </c>
      <c r="E150" s="65">
        <v>801.63635819111096</v>
      </c>
      <c r="F150" s="65">
        <v>1997.3911899999998</v>
      </c>
      <c r="G150" s="65">
        <v>1480.497208559583</v>
      </c>
      <c r="H150" s="99">
        <v>0.45062803172639998</v>
      </c>
      <c r="I150" s="99">
        <v>-0.25878455058191019</v>
      </c>
      <c r="J150" s="99">
        <v>-0.10504723942616823</v>
      </c>
    </row>
    <row r="151" spans="1:10" x14ac:dyDescent="0.25">
      <c r="A151" s="98">
        <v>44713</v>
      </c>
      <c r="B151" s="65">
        <v>0</v>
      </c>
      <c r="C151" s="65">
        <v>0</v>
      </c>
      <c r="D151" s="65">
        <v>558.66408999999999</v>
      </c>
      <c r="E151" s="65">
        <v>810.41378927292044</v>
      </c>
      <c r="F151" s="65">
        <v>2019.2614099999998</v>
      </c>
      <c r="G151" s="65">
        <v>1496.7077535057554</v>
      </c>
      <c r="H151" s="99">
        <v>0.4506280317264002</v>
      </c>
      <c r="I151" s="99">
        <v>-0.2587845505819103</v>
      </c>
      <c r="J151" s="99">
        <v>-0.10504723942616812</v>
      </c>
    </row>
    <row r="152" spans="1:10" x14ac:dyDescent="0.25">
      <c r="A152" s="98">
        <v>44743</v>
      </c>
      <c r="B152" s="65">
        <v>0</v>
      </c>
      <c r="C152" s="65">
        <v>0</v>
      </c>
      <c r="D152" s="65">
        <v>558.66408999999999</v>
      </c>
      <c r="E152" s="65">
        <v>810.41378927292044</v>
      </c>
      <c r="F152" s="65">
        <v>2019.2614099999998</v>
      </c>
      <c r="G152" s="65">
        <v>1496.7077535057554</v>
      </c>
      <c r="H152" s="99">
        <v>0.4506280317264002</v>
      </c>
      <c r="I152" s="99">
        <v>-0.2587845505819103</v>
      </c>
      <c r="J152" s="99">
        <v>-0.10504723942616812</v>
      </c>
    </row>
    <row r="153" spans="1:10" x14ac:dyDescent="0.25">
      <c r="A153" s="97" t="s">
        <v>25</v>
      </c>
      <c r="B153" s="65">
        <v>14955.3</v>
      </c>
      <c r="C153" s="65">
        <v>16386.321278384032</v>
      </c>
      <c r="D153" s="65">
        <v>0</v>
      </c>
      <c r="E153" s="65">
        <v>0</v>
      </c>
      <c r="F153" s="65">
        <v>0</v>
      </c>
      <c r="G153" s="65">
        <v>0</v>
      </c>
      <c r="H153" s="99">
        <v>9.5686564521208606E-2</v>
      </c>
      <c r="I153" s="99">
        <v>0</v>
      </c>
      <c r="J153" s="99">
        <v>9.5686564521208606E-2</v>
      </c>
    </row>
    <row r="154" spans="1:10" x14ac:dyDescent="0.25">
      <c r="A154" s="98">
        <v>44409</v>
      </c>
      <c r="B154" s="65">
        <v>1203.3000000000002</v>
      </c>
      <c r="C154" s="65">
        <v>1318.4396430883705</v>
      </c>
      <c r="D154" s="65">
        <v>0</v>
      </c>
      <c r="E154" s="65">
        <v>0</v>
      </c>
      <c r="F154" s="65">
        <v>0</v>
      </c>
      <c r="G154" s="65">
        <v>0</v>
      </c>
      <c r="H154" s="99">
        <v>9.5686564521208606E-2</v>
      </c>
      <c r="I154" s="99">
        <v>0</v>
      </c>
      <c r="J154" s="99">
        <v>9.5686564521208606E-2</v>
      </c>
    </row>
    <row r="155" spans="1:10" x14ac:dyDescent="0.25">
      <c r="A155" s="98">
        <v>44440</v>
      </c>
      <c r="B155" s="65">
        <v>1203.3000000000002</v>
      </c>
      <c r="C155" s="65">
        <v>1318.4396430883705</v>
      </c>
      <c r="D155" s="65">
        <v>0</v>
      </c>
      <c r="E155" s="65">
        <v>0</v>
      </c>
      <c r="F155" s="65">
        <v>0</v>
      </c>
      <c r="G155" s="65">
        <v>0</v>
      </c>
      <c r="H155" s="99">
        <v>9.5686564521208606E-2</v>
      </c>
      <c r="I155" s="99">
        <v>0</v>
      </c>
      <c r="J155" s="99">
        <v>9.5686564521208606E-2</v>
      </c>
    </row>
    <row r="156" spans="1:10" x14ac:dyDescent="0.25">
      <c r="A156" s="98">
        <v>44470</v>
      </c>
      <c r="B156" s="65">
        <v>1203.3000000000002</v>
      </c>
      <c r="C156" s="65">
        <v>1318.4396430883705</v>
      </c>
      <c r="D156" s="65">
        <v>0</v>
      </c>
      <c r="E156" s="65">
        <v>0</v>
      </c>
      <c r="F156" s="65">
        <v>0</v>
      </c>
      <c r="G156" s="65">
        <v>0</v>
      </c>
      <c r="H156" s="99">
        <v>9.5686564521208606E-2</v>
      </c>
      <c r="I156" s="99">
        <v>0</v>
      </c>
      <c r="J156" s="99">
        <v>9.5686564521208606E-2</v>
      </c>
    </row>
    <row r="157" spans="1:10" x14ac:dyDescent="0.25">
      <c r="A157" s="98">
        <v>44501</v>
      </c>
      <c r="B157" s="65">
        <v>1203.3000000000002</v>
      </c>
      <c r="C157" s="65">
        <v>1318.4396430883705</v>
      </c>
      <c r="D157" s="65">
        <v>0</v>
      </c>
      <c r="E157" s="65">
        <v>0</v>
      </c>
      <c r="F157" s="65">
        <v>0</v>
      </c>
      <c r="G157" s="65">
        <v>0</v>
      </c>
      <c r="H157" s="99">
        <v>9.5686564521208606E-2</v>
      </c>
      <c r="I157" s="99">
        <v>0</v>
      </c>
      <c r="J157" s="99">
        <v>9.5686564521208606E-2</v>
      </c>
    </row>
    <row r="158" spans="1:10" x14ac:dyDescent="0.25">
      <c r="A158" s="98">
        <v>44531</v>
      </c>
      <c r="B158" s="65">
        <v>1203.3000000000002</v>
      </c>
      <c r="C158" s="65">
        <v>1318.4396430883705</v>
      </c>
      <c r="D158" s="65">
        <v>0</v>
      </c>
      <c r="E158" s="65">
        <v>0</v>
      </c>
      <c r="F158" s="65">
        <v>0</v>
      </c>
      <c r="G158" s="65">
        <v>0</v>
      </c>
      <c r="H158" s="99">
        <v>9.5686564521208606E-2</v>
      </c>
      <c r="I158" s="99">
        <v>0</v>
      </c>
      <c r="J158" s="99">
        <v>9.5686564521208606E-2</v>
      </c>
    </row>
    <row r="159" spans="1:10" x14ac:dyDescent="0.25">
      <c r="A159" s="98">
        <v>44562</v>
      </c>
      <c r="B159" s="65">
        <v>1203.3000000000002</v>
      </c>
      <c r="C159" s="65">
        <v>1318.4396430883705</v>
      </c>
      <c r="D159" s="65">
        <v>0</v>
      </c>
      <c r="E159" s="65">
        <v>0</v>
      </c>
      <c r="F159" s="65">
        <v>0</v>
      </c>
      <c r="G159" s="65">
        <v>0</v>
      </c>
      <c r="H159" s="99">
        <v>9.5686564521208606E-2</v>
      </c>
      <c r="I159" s="99">
        <v>0</v>
      </c>
      <c r="J159" s="99">
        <v>9.5686564521208606E-2</v>
      </c>
    </row>
    <row r="160" spans="1:10" x14ac:dyDescent="0.25">
      <c r="A160" s="98">
        <v>44593</v>
      </c>
      <c r="B160" s="65">
        <v>1719.0000000000002</v>
      </c>
      <c r="C160" s="65">
        <v>1883.485204411958</v>
      </c>
      <c r="D160" s="65">
        <v>0</v>
      </c>
      <c r="E160" s="65">
        <v>0</v>
      </c>
      <c r="F160" s="65">
        <v>0</v>
      </c>
      <c r="G160" s="65">
        <v>0</v>
      </c>
      <c r="H160" s="99">
        <v>9.5686564521208606E-2</v>
      </c>
      <c r="I160" s="99">
        <v>0</v>
      </c>
      <c r="J160" s="99">
        <v>9.5686564521208606E-2</v>
      </c>
    </row>
    <row r="161" spans="1:10" x14ac:dyDescent="0.25">
      <c r="A161" s="98">
        <v>44621</v>
      </c>
      <c r="B161" s="65">
        <v>1203.3000000000002</v>
      </c>
      <c r="C161" s="65">
        <v>1318.4396430883705</v>
      </c>
      <c r="D161" s="65">
        <v>0</v>
      </c>
      <c r="E161" s="65">
        <v>0</v>
      </c>
      <c r="F161" s="65">
        <v>0</v>
      </c>
      <c r="G161" s="65">
        <v>0</v>
      </c>
      <c r="H161" s="99">
        <v>9.5686564521208606E-2</v>
      </c>
      <c r="I161" s="99">
        <v>0</v>
      </c>
      <c r="J161" s="99">
        <v>9.5686564521208606E-2</v>
      </c>
    </row>
    <row r="162" spans="1:10" x14ac:dyDescent="0.25">
      <c r="A162" s="98">
        <v>44652</v>
      </c>
      <c r="B162" s="65">
        <v>1203.3000000000002</v>
      </c>
      <c r="C162" s="65">
        <v>1318.4396430883705</v>
      </c>
      <c r="D162" s="65">
        <v>0</v>
      </c>
      <c r="E162" s="65">
        <v>0</v>
      </c>
      <c r="F162" s="65">
        <v>0</v>
      </c>
      <c r="G162" s="65">
        <v>0</v>
      </c>
      <c r="H162" s="99">
        <v>9.5686564521208606E-2</v>
      </c>
      <c r="I162" s="99">
        <v>0</v>
      </c>
      <c r="J162" s="99">
        <v>9.5686564521208606E-2</v>
      </c>
    </row>
    <row r="163" spans="1:10" x14ac:dyDescent="0.25">
      <c r="A163" s="98">
        <v>44682</v>
      </c>
      <c r="B163" s="65">
        <v>1203.3000000000002</v>
      </c>
      <c r="C163" s="65">
        <v>1318.4396430883705</v>
      </c>
      <c r="D163" s="65">
        <v>0</v>
      </c>
      <c r="E163" s="65">
        <v>0</v>
      </c>
      <c r="F163" s="65">
        <v>0</v>
      </c>
      <c r="G163" s="65">
        <v>0</v>
      </c>
      <c r="H163" s="99">
        <v>9.5686564521208606E-2</v>
      </c>
      <c r="I163" s="99">
        <v>0</v>
      </c>
      <c r="J163" s="99">
        <v>9.5686564521208606E-2</v>
      </c>
    </row>
    <row r="164" spans="1:10" x14ac:dyDescent="0.25">
      <c r="A164" s="98">
        <v>44713</v>
      </c>
      <c r="B164" s="65">
        <v>1203.3000000000002</v>
      </c>
      <c r="C164" s="65">
        <v>1318.4396430883705</v>
      </c>
      <c r="D164" s="65">
        <v>0</v>
      </c>
      <c r="E164" s="65">
        <v>0</v>
      </c>
      <c r="F164" s="65">
        <v>0</v>
      </c>
      <c r="G164" s="65">
        <v>0</v>
      </c>
      <c r="H164" s="99">
        <v>9.5686564521208606E-2</v>
      </c>
      <c r="I164" s="99">
        <v>0</v>
      </c>
      <c r="J164" s="99">
        <v>9.5686564521208606E-2</v>
      </c>
    </row>
    <row r="165" spans="1:10" x14ac:dyDescent="0.25">
      <c r="A165" s="98">
        <v>44743</v>
      </c>
      <c r="B165" s="65">
        <v>1203.3000000000002</v>
      </c>
      <c r="C165" s="65">
        <v>1318.4396430883705</v>
      </c>
      <c r="D165" s="65">
        <v>0</v>
      </c>
      <c r="E165" s="65">
        <v>0</v>
      </c>
      <c r="F165" s="65">
        <v>0</v>
      </c>
      <c r="G165" s="65">
        <v>0</v>
      </c>
      <c r="H165" s="99">
        <v>9.5686564521208606E-2</v>
      </c>
      <c r="I165" s="99">
        <v>0</v>
      </c>
      <c r="J165" s="99">
        <v>9.5686564521208606E-2</v>
      </c>
    </row>
    <row r="166" spans="1:10" x14ac:dyDescent="0.25">
      <c r="A166" s="97" t="s">
        <v>33</v>
      </c>
      <c r="B166" s="65">
        <v>0</v>
      </c>
      <c r="C166" s="65">
        <v>0</v>
      </c>
      <c r="D166" s="65">
        <v>10949.932499999997</v>
      </c>
      <c r="E166" s="65">
        <v>12157.976720257577</v>
      </c>
      <c r="F166" s="65">
        <v>3675.3274999999994</v>
      </c>
      <c r="G166" s="65">
        <v>2678.4795753827743</v>
      </c>
      <c r="H166" s="99">
        <v>0.11032435316451306</v>
      </c>
      <c r="I166" s="99">
        <v>-0.2712269653839624</v>
      </c>
      <c r="J166" s="99">
        <v>1.4440515631199302E-2</v>
      </c>
    </row>
    <row r="167" spans="1:10" x14ac:dyDescent="0.25">
      <c r="A167" s="98">
        <v>44409</v>
      </c>
      <c r="B167" s="65">
        <v>0</v>
      </c>
      <c r="C167" s="65">
        <v>0</v>
      </c>
      <c r="D167" s="65">
        <v>1039.2717</v>
      </c>
      <c r="E167" s="65">
        <v>1153.9286780646837</v>
      </c>
      <c r="F167" s="65">
        <v>348.82990000000001</v>
      </c>
      <c r="G167" s="65">
        <v>254.21782478780887</v>
      </c>
      <c r="H167" s="99">
        <v>0.11032435316451283</v>
      </c>
      <c r="I167" s="99">
        <v>-0.27122696538396263</v>
      </c>
      <c r="J167" s="99">
        <v>1.4440515631199302E-2</v>
      </c>
    </row>
    <row r="168" spans="1:10" x14ac:dyDescent="0.25">
      <c r="A168" s="98">
        <v>44440</v>
      </c>
      <c r="B168" s="65">
        <v>0</v>
      </c>
      <c r="C168" s="65">
        <v>0</v>
      </c>
      <c r="D168" s="65">
        <v>791.76434999999992</v>
      </c>
      <c r="E168" s="65">
        <v>879.11523977247089</v>
      </c>
      <c r="F168" s="65">
        <v>265.75444999999996</v>
      </c>
      <c r="G168" s="65">
        <v>193.67467698921598</v>
      </c>
      <c r="H168" s="99">
        <v>0.11032435316451283</v>
      </c>
      <c r="I168" s="99">
        <v>-0.27122696538396251</v>
      </c>
      <c r="J168" s="99">
        <v>1.4440515631199302E-2</v>
      </c>
    </row>
    <row r="169" spans="1:10" x14ac:dyDescent="0.25">
      <c r="A169" s="98">
        <v>44470</v>
      </c>
      <c r="B169" s="65">
        <v>0</v>
      </c>
      <c r="C169" s="65">
        <v>0</v>
      </c>
      <c r="D169" s="65">
        <v>769.73489999999993</v>
      </c>
      <c r="E169" s="65">
        <v>854.6554049506509</v>
      </c>
      <c r="F169" s="65">
        <v>258.3603</v>
      </c>
      <c r="G169" s="65">
        <v>188.2860198553098</v>
      </c>
      <c r="H169" s="99">
        <v>0.11032435316451283</v>
      </c>
      <c r="I169" s="99">
        <v>-0.27122696538396263</v>
      </c>
      <c r="J169" s="99">
        <v>1.444051563119908E-2</v>
      </c>
    </row>
    <row r="170" spans="1:10" x14ac:dyDescent="0.25">
      <c r="A170" s="98">
        <v>44501</v>
      </c>
      <c r="B170" s="65">
        <v>0</v>
      </c>
      <c r="C170" s="65">
        <v>0</v>
      </c>
      <c r="D170" s="65">
        <v>933.01199999999994</v>
      </c>
      <c r="E170" s="65">
        <v>1035.9459453947284</v>
      </c>
      <c r="F170" s="65">
        <v>313.16399999999999</v>
      </c>
      <c r="G170" s="65">
        <v>228.22547861249672</v>
      </c>
      <c r="H170" s="99">
        <v>0.11032435316451283</v>
      </c>
      <c r="I170" s="99">
        <v>-0.27122696538396263</v>
      </c>
      <c r="J170" s="99">
        <v>1.444051563119908E-2</v>
      </c>
    </row>
    <row r="171" spans="1:10" x14ac:dyDescent="0.25">
      <c r="A171" s="98">
        <v>44531</v>
      </c>
      <c r="B171" s="65">
        <v>0</v>
      </c>
      <c r="C171" s="65">
        <v>0</v>
      </c>
      <c r="D171" s="65">
        <v>1001.69205</v>
      </c>
      <c r="E171" s="65">
        <v>1112.2030774862849</v>
      </c>
      <c r="F171" s="65">
        <v>336.21634999999998</v>
      </c>
      <c r="G171" s="65">
        <v>245.02540967702774</v>
      </c>
      <c r="H171" s="99">
        <v>0.11032435316451283</v>
      </c>
      <c r="I171" s="99">
        <v>-0.27122696538396263</v>
      </c>
      <c r="J171" s="99">
        <v>1.444051563119908E-2</v>
      </c>
    </row>
    <row r="172" spans="1:10" x14ac:dyDescent="0.25">
      <c r="A172" s="98">
        <v>44562</v>
      </c>
      <c r="B172" s="65">
        <v>0</v>
      </c>
      <c r="C172" s="65">
        <v>0</v>
      </c>
      <c r="D172" s="65">
        <v>960.22484999999995</v>
      </c>
      <c r="E172" s="65">
        <v>1066.1610354687414</v>
      </c>
      <c r="F172" s="65">
        <v>322.29795000000001</v>
      </c>
      <c r="G172" s="65">
        <v>234.8820550720279</v>
      </c>
      <c r="H172" s="99">
        <v>0.11032435316451283</v>
      </c>
      <c r="I172" s="99">
        <v>-0.27122696538396263</v>
      </c>
      <c r="J172" s="99">
        <v>1.444051563119908E-2</v>
      </c>
    </row>
    <row r="173" spans="1:10" x14ac:dyDescent="0.25">
      <c r="A173" s="98">
        <v>44593</v>
      </c>
      <c r="B173" s="65">
        <v>0</v>
      </c>
      <c r="C173" s="65">
        <v>0</v>
      </c>
      <c r="D173" s="65">
        <v>1153.3064999999999</v>
      </c>
      <c r="E173" s="65">
        <v>1280.5442936129282</v>
      </c>
      <c r="F173" s="65">
        <v>387.10550000000001</v>
      </c>
      <c r="G173" s="65">
        <v>282.11204995155845</v>
      </c>
      <c r="H173" s="99">
        <v>0.11032435316451283</v>
      </c>
      <c r="I173" s="99">
        <v>-0.27122696538396263</v>
      </c>
      <c r="J173" s="99">
        <v>1.4440515631199302E-2</v>
      </c>
    </row>
    <row r="174" spans="1:10" x14ac:dyDescent="0.25">
      <c r="A174" s="98">
        <v>44621</v>
      </c>
      <c r="B174" s="65">
        <v>0</v>
      </c>
      <c r="C174" s="65">
        <v>0</v>
      </c>
      <c r="D174" s="65">
        <v>918.7576499999999</v>
      </c>
      <c r="E174" s="65">
        <v>1020.1189934511978</v>
      </c>
      <c r="F174" s="65">
        <v>308.37954999999999</v>
      </c>
      <c r="G174" s="65">
        <v>224.73870046702802</v>
      </c>
      <c r="H174" s="99">
        <v>0.11032435316451283</v>
      </c>
      <c r="I174" s="99">
        <v>-0.27122696538396263</v>
      </c>
      <c r="J174" s="99">
        <v>1.444051563119908E-2</v>
      </c>
    </row>
    <row r="175" spans="1:10" x14ac:dyDescent="0.25">
      <c r="A175" s="98">
        <v>44652</v>
      </c>
      <c r="B175" s="65">
        <v>0</v>
      </c>
      <c r="C175" s="65">
        <v>0</v>
      </c>
      <c r="D175" s="65">
        <v>636.26234999999997</v>
      </c>
      <c r="E175" s="65">
        <v>706.45758220668279</v>
      </c>
      <c r="F175" s="65">
        <v>213.56045</v>
      </c>
      <c r="G175" s="65">
        <v>155.63709722046653</v>
      </c>
      <c r="H175" s="99">
        <v>0.11032435316451283</v>
      </c>
      <c r="I175" s="99">
        <v>-0.27122696538396263</v>
      </c>
      <c r="J175" s="99">
        <v>1.444051563119908E-2</v>
      </c>
    </row>
    <row r="176" spans="1:10" x14ac:dyDescent="0.25">
      <c r="A176" s="98">
        <v>44682</v>
      </c>
      <c r="B176" s="65">
        <v>0</v>
      </c>
      <c r="C176" s="65">
        <v>0</v>
      </c>
      <c r="D176" s="65">
        <v>955.04144999999994</v>
      </c>
      <c r="E176" s="65">
        <v>1060.4057802165485</v>
      </c>
      <c r="F176" s="65">
        <v>320.55815000000001</v>
      </c>
      <c r="G176" s="65">
        <v>233.61413574640289</v>
      </c>
      <c r="H176" s="99">
        <v>0.11032435316451283</v>
      </c>
      <c r="I176" s="99">
        <v>-0.27122696538396263</v>
      </c>
      <c r="J176" s="99">
        <v>1.4440515631199302E-2</v>
      </c>
    </row>
    <row r="177" spans="1:10" x14ac:dyDescent="0.25">
      <c r="A177" s="98">
        <v>44713</v>
      </c>
      <c r="B177" s="65">
        <v>0</v>
      </c>
      <c r="C177" s="65">
        <v>0</v>
      </c>
      <c r="D177" s="65">
        <v>895.43234999999981</v>
      </c>
      <c r="E177" s="65">
        <v>994.22034481632954</v>
      </c>
      <c r="F177" s="65">
        <v>300.55044999999996</v>
      </c>
      <c r="G177" s="65">
        <v>219.03306350171559</v>
      </c>
      <c r="H177" s="99">
        <v>0.11032435316451283</v>
      </c>
      <c r="I177" s="99">
        <v>-0.27122696538396263</v>
      </c>
      <c r="J177" s="99">
        <v>1.444051563119908E-2</v>
      </c>
    </row>
    <row r="178" spans="1:10" x14ac:dyDescent="0.25">
      <c r="A178" s="98">
        <v>44743</v>
      </c>
      <c r="B178" s="65">
        <v>0</v>
      </c>
      <c r="C178" s="65">
        <v>0</v>
      </c>
      <c r="D178" s="65">
        <v>895.43234999999981</v>
      </c>
      <c r="E178" s="65">
        <v>994.22034481632954</v>
      </c>
      <c r="F178" s="65">
        <v>300.55044999999996</v>
      </c>
      <c r="G178" s="65">
        <v>219.03306350171559</v>
      </c>
      <c r="H178" s="99">
        <v>0.11032435316451283</v>
      </c>
      <c r="I178" s="99">
        <v>-0.27122696538396263</v>
      </c>
      <c r="J178" s="99">
        <v>1.444051563119908E-2</v>
      </c>
    </row>
    <row r="179" spans="1:10" x14ac:dyDescent="0.25">
      <c r="A179" s="93" t="s">
        <v>47</v>
      </c>
      <c r="B179" s="65">
        <v>48104.152199999997</v>
      </c>
      <c r="C179" s="65">
        <v>47660.651355042384</v>
      </c>
      <c r="D179" s="65">
        <v>107468.29111380002</v>
      </c>
      <c r="E179" s="65">
        <v>149397.61507228843</v>
      </c>
      <c r="F179" s="65">
        <v>325822.00535219983</v>
      </c>
      <c r="G179" s="65">
        <v>249129.58705667307</v>
      </c>
      <c r="H179" s="99">
        <v>0.26666562682859651</v>
      </c>
      <c r="I179" s="99">
        <v>-0.23538133408952999</v>
      </c>
      <c r="J179" s="99">
        <v>-7.3134609839306419E-2</v>
      </c>
    </row>
    <row r="180" spans="1:10" x14ac:dyDescent="0.25">
      <c r="A180" s="94" t="s">
        <v>48</v>
      </c>
      <c r="B180" s="65">
        <v>48104.152199999997</v>
      </c>
      <c r="C180" s="65">
        <v>47660.651355042384</v>
      </c>
      <c r="D180" s="65">
        <v>107468.29111380002</v>
      </c>
      <c r="E180" s="65">
        <v>149397.61507228843</v>
      </c>
      <c r="F180" s="65">
        <v>325822.00535219983</v>
      </c>
      <c r="G180" s="65">
        <v>249129.58705667307</v>
      </c>
      <c r="H180" s="99">
        <v>0.26666562682859651</v>
      </c>
      <c r="I180" s="99">
        <v>-0.23538133408952999</v>
      </c>
      <c r="J180" s="99">
        <v>-7.3134609839306419E-2</v>
      </c>
    </row>
    <row r="181" spans="1:10" x14ac:dyDescent="0.25">
      <c r="A181" s="95" t="s">
        <v>25</v>
      </c>
      <c r="B181" s="65">
        <v>48104.152199999997</v>
      </c>
      <c r="C181" s="65">
        <v>47660.651355042384</v>
      </c>
      <c r="D181" s="65">
        <v>107468.29111380002</v>
      </c>
      <c r="E181" s="65">
        <v>149397.61507228843</v>
      </c>
      <c r="F181" s="65">
        <v>325822.00535219983</v>
      </c>
      <c r="G181" s="65">
        <v>249129.58705667307</v>
      </c>
      <c r="H181" s="99">
        <v>0.26666562682859651</v>
      </c>
      <c r="I181" s="99">
        <v>-0.23538133408952999</v>
      </c>
      <c r="J181" s="99">
        <v>-7.3134609839306419E-2</v>
      </c>
    </row>
    <row r="182" spans="1:10" x14ac:dyDescent="0.25">
      <c r="A182" s="96" t="s">
        <v>25</v>
      </c>
      <c r="B182" s="65">
        <v>48104.152199999997</v>
      </c>
      <c r="C182" s="65">
        <v>47660.651355042384</v>
      </c>
      <c r="D182" s="65">
        <v>107468.29111380002</v>
      </c>
      <c r="E182" s="65">
        <v>149397.61507228843</v>
      </c>
      <c r="F182" s="65">
        <v>325822.00535219983</v>
      </c>
      <c r="G182" s="65">
        <v>249129.58705667307</v>
      </c>
      <c r="H182" s="99">
        <v>0.26666562682859651</v>
      </c>
      <c r="I182" s="99">
        <v>-0.23538133408952999</v>
      </c>
      <c r="J182" s="99">
        <v>-7.3134609839306419E-2</v>
      </c>
    </row>
    <row r="183" spans="1:10" x14ac:dyDescent="0.25">
      <c r="A183" s="97" t="s">
        <v>34</v>
      </c>
      <c r="B183" s="65">
        <v>0</v>
      </c>
      <c r="C183" s="65">
        <v>0</v>
      </c>
      <c r="D183" s="65">
        <v>88370.934991799993</v>
      </c>
      <c r="E183" s="65">
        <v>128193.35548897649</v>
      </c>
      <c r="F183" s="65">
        <v>319412.00801819994</v>
      </c>
      <c r="G183" s="65">
        <v>244309.06555378961</v>
      </c>
      <c r="H183" s="99">
        <v>0.4506280317264002</v>
      </c>
      <c r="I183" s="99">
        <v>-0.23512873836643922</v>
      </c>
      <c r="J183" s="99">
        <v>-8.651789529698084E-2</v>
      </c>
    </row>
    <row r="184" spans="1:10" x14ac:dyDescent="0.25">
      <c r="A184" s="98">
        <v>44409</v>
      </c>
      <c r="B184" s="65">
        <v>0</v>
      </c>
      <c r="C184" s="65">
        <v>0</v>
      </c>
      <c r="D184" s="65">
        <v>6373.6599514</v>
      </c>
      <c r="E184" s="65">
        <v>9245.8097901927649</v>
      </c>
      <c r="F184" s="65">
        <v>23037.252278599997</v>
      </c>
      <c r="G184" s="65">
        <v>17620.5322149034</v>
      </c>
      <c r="H184" s="99">
        <v>0.4506280317264002</v>
      </c>
      <c r="I184" s="99">
        <v>-0.23512873836643933</v>
      </c>
      <c r="J184" s="99">
        <v>-8.651789529698084E-2</v>
      </c>
    </row>
    <row r="185" spans="1:10" x14ac:dyDescent="0.25">
      <c r="A185" s="98">
        <v>44440</v>
      </c>
      <c r="B185" s="65">
        <v>0</v>
      </c>
      <c r="C185" s="65">
        <v>0</v>
      </c>
      <c r="D185" s="65">
        <v>7307.0724596</v>
      </c>
      <c r="E185" s="65">
        <v>10599.844139751733</v>
      </c>
      <c r="F185" s="65">
        <v>26411.021760399999</v>
      </c>
      <c r="G185" s="65">
        <v>20201.031534908572</v>
      </c>
      <c r="H185" s="99">
        <v>0.45062803172639998</v>
      </c>
      <c r="I185" s="99">
        <v>-0.23512873836643933</v>
      </c>
      <c r="J185" s="99">
        <v>-8.651789529698084E-2</v>
      </c>
    </row>
    <row r="186" spans="1:10" x14ac:dyDescent="0.25">
      <c r="A186" s="98">
        <v>44470</v>
      </c>
      <c r="B186" s="65">
        <v>0</v>
      </c>
      <c r="C186" s="65">
        <v>0</v>
      </c>
      <c r="D186" s="65">
        <v>6336.3428726000002</v>
      </c>
      <c r="E186" s="65">
        <v>9191.6765896233428</v>
      </c>
      <c r="F186" s="65">
        <v>22902.371697399998</v>
      </c>
      <c r="G186" s="65">
        <v>17517.365934591089</v>
      </c>
      <c r="H186" s="99">
        <v>0.4506280317264002</v>
      </c>
      <c r="I186" s="99">
        <v>-0.23512873836643933</v>
      </c>
      <c r="J186" s="99">
        <v>-8.6517895296980618E-2</v>
      </c>
    </row>
    <row r="187" spans="1:10" x14ac:dyDescent="0.25">
      <c r="A187" s="98">
        <v>44501</v>
      </c>
      <c r="B187" s="65">
        <v>0</v>
      </c>
      <c r="C187" s="65">
        <v>0</v>
      </c>
      <c r="D187" s="65">
        <v>7262.7497581999996</v>
      </c>
      <c r="E187" s="65">
        <v>10535.548386659055</v>
      </c>
      <c r="F187" s="65">
        <v>26250.819731799995</v>
      </c>
      <c r="G187" s="65">
        <v>20078.497607177032</v>
      </c>
      <c r="H187" s="99">
        <v>0.4506280317264002</v>
      </c>
      <c r="I187" s="99">
        <v>-0.23512873836643922</v>
      </c>
      <c r="J187" s="99">
        <v>-8.6517895296980729E-2</v>
      </c>
    </row>
    <row r="188" spans="1:10" x14ac:dyDescent="0.25">
      <c r="A188" s="98">
        <v>44531</v>
      </c>
      <c r="B188" s="65">
        <v>0</v>
      </c>
      <c r="C188" s="65">
        <v>0</v>
      </c>
      <c r="D188" s="65">
        <v>8364.9908348000008</v>
      </c>
      <c r="E188" s="65">
        <v>12134.490190095301</v>
      </c>
      <c r="F188" s="65">
        <v>30234.811025199997</v>
      </c>
      <c r="G188" s="65">
        <v>23125.738054097012</v>
      </c>
      <c r="H188" s="99">
        <v>0.45062803172639998</v>
      </c>
      <c r="I188" s="99">
        <v>-0.23512873836643933</v>
      </c>
      <c r="J188" s="99">
        <v>-8.6517895296980729E-2</v>
      </c>
    </row>
    <row r="189" spans="1:10" x14ac:dyDescent="0.25">
      <c r="A189" s="98">
        <v>44562</v>
      </c>
      <c r="B189" s="65">
        <v>0</v>
      </c>
      <c r="C189" s="65">
        <v>0</v>
      </c>
      <c r="D189" s="65">
        <v>7762.5072912000005</v>
      </c>
      <c r="E189" s="65">
        <v>11260.510673095287</v>
      </c>
      <c r="F189" s="65">
        <v>28057.1665488</v>
      </c>
      <c r="G189" s="65">
        <v>21460.120376043589</v>
      </c>
      <c r="H189" s="99">
        <v>0.4506280317264002</v>
      </c>
      <c r="I189" s="99">
        <v>-0.23512873836643944</v>
      </c>
      <c r="J189" s="99">
        <v>-8.6517895296980951E-2</v>
      </c>
    </row>
    <row r="190" spans="1:10" x14ac:dyDescent="0.25">
      <c r="A190" s="98">
        <v>44593</v>
      </c>
      <c r="B190" s="65">
        <v>0</v>
      </c>
      <c r="C190" s="65">
        <v>0</v>
      </c>
      <c r="D190" s="65">
        <v>7044.4656560000003</v>
      </c>
      <c r="E190" s="65">
        <v>10218.899349127503</v>
      </c>
      <c r="F190" s="65">
        <v>25461.843543999999</v>
      </c>
      <c r="G190" s="65">
        <v>19475.032395015609</v>
      </c>
      <c r="H190" s="99">
        <v>0.45062803172639998</v>
      </c>
      <c r="I190" s="99">
        <v>-0.23512873836643944</v>
      </c>
      <c r="J190" s="99">
        <v>-8.6517895296980951E-2</v>
      </c>
    </row>
    <row r="191" spans="1:10" x14ac:dyDescent="0.25">
      <c r="A191" s="98">
        <v>44621</v>
      </c>
      <c r="B191" s="65">
        <v>0</v>
      </c>
      <c r="C191" s="65">
        <v>0</v>
      </c>
      <c r="D191" s="65">
        <v>8105.0198099999998</v>
      </c>
      <c r="E191" s="65">
        <v>11757.368934083781</v>
      </c>
      <c r="F191" s="65">
        <v>29295.159689999997</v>
      </c>
      <c r="G191" s="65">
        <v>22407.025751846926</v>
      </c>
      <c r="H191" s="99">
        <v>0.45062803172639998</v>
      </c>
      <c r="I191" s="99">
        <v>-0.23512873836643933</v>
      </c>
      <c r="J191" s="99">
        <v>-8.6517895296980951E-2</v>
      </c>
    </row>
    <row r="192" spans="1:10" x14ac:dyDescent="0.25">
      <c r="A192" s="98">
        <v>44652</v>
      </c>
      <c r="B192" s="65">
        <v>0</v>
      </c>
      <c r="C192" s="65">
        <v>0</v>
      </c>
      <c r="D192" s="65">
        <v>7341.2682213999997</v>
      </c>
      <c r="E192" s="65">
        <v>10649.449470385052</v>
      </c>
      <c r="F192" s="65">
        <v>26534.620508599997</v>
      </c>
      <c r="G192" s="65">
        <v>20295.568665380633</v>
      </c>
      <c r="H192" s="99">
        <v>0.4506280317264002</v>
      </c>
      <c r="I192" s="99">
        <v>-0.23512873836643933</v>
      </c>
      <c r="J192" s="99">
        <v>-8.651789529698084E-2</v>
      </c>
    </row>
    <row r="193" spans="1:10" x14ac:dyDescent="0.25">
      <c r="A193" s="98">
        <v>44682</v>
      </c>
      <c r="B193" s="65">
        <v>0</v>
      </c>
      <c r="C193" s="65">
        <v>0</v>
      </c>
      <c r="D193" s="65">
        <v>7695.8498325999999</v>
      </c>
      <c r="E193" s="65">
        <v>11163.815495126484</v>
      </c>
      <c r="F193" s="65">
        <v>27816.236737399995</v>
      </c>
      <c r="G193" s="65">
        <v>21275.840087232933</v>
      </c>
      <c r="H193" s="99">
        <v>0.4506280317264002</v>
      </c>
      <c r="I193" s="99">
        <v>-0.23512873836643933</v>
      </c>
      <c r="J193" s="99">
        <v>-8.6517895296980729E-2</v>
      </c>
    </row>
    <row r="194" spans="1:10" x14ac:dyDescent="0.25">
      <c r="A194" s="98">
        <v>44713</v>
      </c>
      <c r="B194" s="65">
        <v>0</v>
      </c>
      <c r="C194" s="65">
        <v>0</v>
      </c>
      <c r="D194" s="65">
        <v>7388.5041519999995</v>
      </c>
      <c r="E194" s="65">
        <v>10717.971235418096</v>
      </c>
      <c r="F194" s="65">
        <v>26705.352247999996</v>
      </c>
      <c r="G194" s="65">
        <v>20426.156466296405</v>
      </c>
      <c r="H194" s="99">
        <v>0.4506280317264002</v>
      </c>
      <c r="I194" s="99">
        <v>-0.23512873836643922</v>
      </c>
      <c r="J194" s="99">
        <v>-8.6517895296980729E-2</v>
      </c>
    </row>
    <row r="195" spans="1:10" x14ac:dyDescent="0.25">
      <c r="A195" s="98">
        <v>44743</v>
      </c>
      <c r="B195" s="65">
        <v>0</v>
      </c>
      <c r="C195" s="65">
        <v>0</v>
      </c>
      <c r="D195" s="65">
        <v>7388.5041519999995</v>
      </c>
      <c r="E195" s="65">
        <v>10717.971235418096</v>
      </c>
      <c r="F195" s="65">
        <v>26705.352247999996</v>
      </c>
      <c r="G195" s="65">
        <v>20426.156466296405</v>
      </c>
      <c r="H195" s="99">
        <v>0.4506280317264002</v>
      </c>
      <c r="I195" s="99">
        <v>-0.23512873836643922</v>
      </c>
      <c r="J195" s="99">
        <v>-8.6517895296980729E-2</v>
      </c>
    </row>
    <row r="196" spans="1:10" x14ac:dyDescent="0.25">
      <c r="A196" s="97" t="s">
        <v>25</v>
      </c>
      <c r="B196" s="65">
        <v>48104.152199999997</v>
      </c>
      <c r="C196" s="65">
        <v>47660.651355042384</v>
      </c>
      <c r="D196" s="65">
        <v>0</v>
      </c>
      <c r="E196" s="65">
        <v>0</v>
      </c>
      <c r="F196" s="65">
        <v>0</v>
      </c>
      <c r="G196" s="65">
        <v>0</v>
      </c>
      <c r="H196" s="99">
        <v>-9.2195959116729842E-3</v>
      </c>
      <c r="I196" s="99">
        <v>0</v>
      </c>
      <c r="J196" s="99">
        <v>-9.2195959116729842E-3</v>
      </c>
    </row>
    <row r="197" spans="1:10" x14ac:dyDescent="0.25">
      <c r="A197" s="98">
        <v>44409</v>
      </c>
      <c r="B197" s="65">
        <v>3942.6983999999998</v>
      </c>
      <c r="C197" s="65">
        <v>3906.3483139504006</v>
      </c>
      <c r="D197" s="65">
        <v>0</v>
      </c>
      <c r="E197" s="65">
        <v>0</v>
      </c>
      <c r="F197" s="65">
        <v>0</v>
      </c>
      <c r="G197" s="65">
        <v>0</v>
      </c>
      <c r="H197" s="99">
        <v>-9.2195959116728732E-3</v>
      </c>
      <c r="I197" s="99">
        <v>0</v>
      </c>
      <c r="J197" s="99">
        <v>-9.2195959116728732E-3</v>
      </c>
    </row>
    <row r="198" spans="1:10" x14ac:dyDescent="0.25">
      <c r="A198" s="98">
        <v>44440</v>
      </c>
      <c r="B198" s="65">
        <v>3942.6983999999998</v>
      </c>
      <c r="C198" s="65">
        <v>3906.3483139504006</v>
      </c>
      <c r="D198" s="65">
        <v>0</v>
      </c>
      <c r="E198" s="65">
        <v>0</v>
      </c>
      <c r="F198" s="65">
        <v>0</v>
      </c>
      <c r="G198" s="65">
        <v>0</v>
      </c>
      <c r="H198" s="99">
        <v>-9.2195959116728732E-3</v>
      </c>
      <c r="I198" s="99">
        <v>0</v>
      </c>
      <c r="J198" s="99">
        <v>-9.2195959116728732E-3</v>
      </c>
    </row>
    <row r="199" spans="1:10" x14ac:dyDescent="0.25">
      <c r="A199" s="98">
        <v>44470</v>
      </c>
      <c r="B199" s="65">
        <v>3958.857</v>
      </c>
      <c r="C199" s="65">
        <v>3922.3579381879022</v>
      </c>
      <c r="D199" s="65">
        <v>0</v>
      </c>
      <c r="E199" s="65">
        <v>0</v>
      </c>
      <c r="F199" s="65">
        <v>0</v>
      </c>
      <c r="G199" s="65">
        <v>0</v>
      </c>
      <c r="H199" s="99">
        <v>-9.2195959116729842E-3</v>
      </c>
      <c r="I199" s="99">
        <v>0</v>
      </c>
      <c r="J199" s="99">
        <v>-9.2195959116729842E-3</v>
      </c>
    </row>
    <row r="200" spans="1:10" x14ac:dyDescent="0.25">
      <c r="A200" s="98">
        <v>44501</v>
      </c>
      <c r="B200" s="65">
        <v>3958.857</v>
      </c>
      <c r="C200" s="65">
        <v>3922.3579381879022</v>
      </c>
      <c r="D200" s="65">
        <v>0</v>
      </c>
      <c r="E200" s="65">
        <v>0</v>
      </c>
      <c r="F200" s="65">
        <v>0</v>
      </c>
      <c r="G200" s="65">
        <v>0</v>
      </c>
      <c r="H200" s="99">
        <v>-9.2195959116729842E-3</v>
      </c>
      <c r="I200" s="99">
        <v>0</v>
      </c>
      <c r="J200" s="99">
        <v>-9.2195959116729842E-3</v>
      </c>
    </row>
    <row r="201" spans="1:10" x14ac:dyDescent="0.25">
      <c r="A201" s="98">
        <v>44531</v>
      </c>
      <c r="B201" s="65">
        <v>4104.2843999999996</v>
      </c>
      <c r="C201" s="65">
        <v>4066.4445563254171</v>
      </c>
      <c r="D201" s="65">
        <v>0</v>
      </c>
      <c r="E201" s="65">
        <v>0</v>
      </c>
      <c r="F201" s="65">
        <v>0</v>
      </c>
      <c r="G201" s="65">
        <v>0</v>
      </c>
      <c r="H201" s="99">
        <v>-9.2195959116727622E-3</v>
      </c>
      <c r="I201" s="99">
        <v>0</v>
      </c>
      <c r="J201" s="99">
        <v>-9.2195959116727622E-3</v>
      </c>
    </row>
    <row r="202" spans="1:10" x14ac:dyDescent="0.25">
      <c r="A202" s="98">
        <v>44562</v>
      </c>
      <c r="B202" s="65">
        <v>4282.0289999999995</v>
      </c>
      <c r="C202" s="65">
        <v>4242.5504229379349</v>
      </c>
      <c r="D202" s="65">
        <v>0</v>
      </c>
      <c r="E202" s="65">
        <v>0</v>
      </c>
      <c r="F202" s="65">
        <v>0</v>
      </c>
      <c r="G202" s="65">
        <v>0</v>
      </c>
      <c r="H202" s="99">
        <v>-9.2195959116728732E-3</v>
      </c>
      <c r="I202" s="99">
        <v>0</v>
      </c>
      <c r="J202" s="99">
        <v>-9.2195959116728732E-3</v>
      </c>
    </row>
    <row r="203" spans="1:10" x14ac:dyDescent="0.25">
      <c r="A203" s="98">
        <v>44593</v>
      </c>
      <c r="B203" s="65">
        <v>4136.6016</v>
      </c>
      <c r="C203" s="65">
        <v>4098.4638048004199</v>
      </c>
      <c r="D203" s="65">
        <v>0</v>
      </c>
      <c r="E203" s="65">
        <v>0</v>
      </c>
      <c r="F203" s="65">
        <v>0</v>
      </c>
      <c r="G203" s="65">
        <v>0</v>
      </c>
      <c r="H203" s="99">
        <v>-9.2195959116729842E-3</v>
      </c>
      <c r="I203" s="99">
        <v>0</v>
      </c>
      <c r="J203" s="99">
        <v>-9.2195959116729842E-3</v>
      </c>
    </row>
    <row r="204" spans="1:10" x14ac:dyDescent="0.25">
      <c r="A204" s="98">
        <v>44621</v>
      </c>
      <c r="B204" s="65">
        <v>3975.0156000000002</v>
      </c>
      <c r="C204" s="65">
        <v>3938.3675624254038</v>
      </c>
      <c r="D204" s="65">
        <v>0</v>
      </c>
      <c r="E204" s="65">
        <v>0</v>
      </c>
      <c r="F204" s="65">
        <v>0</v>
      </c>
      <c r="G204" s="65">
        <v>0</v>
      </c>
      <c r="H204" s="99">
        <v>-9.2195959116729842E-3</v>
      </c>
      <c r="I204" s="99">
        <v>0</v>
      </c>
      <c r="J204" s="99">
        <v>-9.2195959116729842E-3</v>
      </c>
    </row>
    <row r="205" spans="1:10" x14ac:dyDescent="0.25">
      <c r="A205" s="98">
        <v>44652</v>
      </c>
      <c r="B205" s="65">
        <v>3991.1741999999999</v>
      </c>
      <c r="C205" s="65">
        <v>3954.3771866629054</v>
      </c>
      <c r="D205" s="65">
        <v>0</v>
      </c>
      <c r="E205" s="65">
        <v>0</v>
      </c>
      <c r="F205" s="65">
        <v>0</v>
      </c>
      <c r="G205" s="65">
        <v>0</v>
      </c>
      <c r="H205" s="99">
        <v>-9.2195959116729842E-3</v>
      </c>
      <c r="I205" s="99">
        <v>0</v>
      </c>
      <c r="J205" s="99">
        <v>-9.2195959116729842E-3</v>
      </c>
    </row>
    <row r="206" spans="1:10" x14ac:dyDescent="0.25">
      <c r="A206" s="98">
        <v>44682</v>
      </c>
      <c r="B206" s="65">
        <v>3926.5398</v>
      </c>
      <c r="C206" s="65">
        <v>3890.3386897128985</v>
      </c>
      <c r="D206" s="65">
        <v>0</v>
      </c>
      <c r="E206" s="65">
        <v>0</v>
      </c>
      <c r="F206" s="65">
        <v>0</v>
      </c>
      <c r="G206" s="65">
        <v>0</v>
      </c>
      <c r="H206" s="99">
        <v>-9.2195959116730952E-3</v>
      </c>
      <c r="I206" s="99">
        <v>0</v>
      </c>
      <c r="J206" s="99">
        <v>-9.2195959116730952E-3</v>
      </c>
    </row>
    <row r="207" spans="1:10" x14ac:dyDescent="0.25">
      <c r="A207" s="98">
        <v>44713</v>
      </c>
      <c r="B207" s="65">
        <v>3942.6983999999998</v>
      </c>
      <c r="C207" s="65">
        <v>3906.3483139504006</v>
      </c>
      <c r="D207" s="65">
        <v>0</v>
      </c>
      <c r="E207" s="65">
        <v>0</v>
      </c>
      <c r="F207" s="65">
        <v>0</v>
      </c>
      <c r="G207" s="65">
        <v>0</v>
      </c>
      <c r="H207" s="99">
        <v>-9.2195959116728732E-3</v>
      </c>
      <c r="I207" s="99">
        <v>0</v>
      </c>
      <c r="J207" s="99">
        <v>-9.2195959116728732E-3</v>
      </c>
    </row>
    <row r="208" spans="1:10" x14ac:dyDescent="0.25">
      <c r="A208" s="98">
        <v>44743</v>
      </c>
      <c r="B208" s="65">
        <v>3942.6983999999998</v>
      </c>
      <c r="C208" s="65">
        <v>3906.3483139504006</v>
      </c>
      <c r="D208" s="65">
        <v>0</v>
      </c>
      <c r="E208" s="65">
        <v>0</v>
      </c>
      <c r="F208" s="65">
        <v>0</v>
      </c>
      <c r="G208" s="65">
        <v>0</v>
      </c>
      <c r="H208" s="99">
        <v>-9.2195959116728732E-3</v>
      </c>
      <c r="I208" s="99">
        <v>0</v>
      </c>
      <c r="J208" s="99">
        <v>-9.2195959116728732E-3</v>
      </c>
    </row>
    <row r="209" spans="1:10" x14ac:dyDescent="0.25">
      <c r="A209" s="97" t="s">
        <v>33</v>
      </c>
      <c r="B209" s="65">
        <v>0</v>
      </c>
      <c r="C209" s="65">
        <v>0</v>
      </c>
      <c r="D209" s="65">
        <v>19097.356121999997</v>
      </c>
      <c r="E209" s="65">
        <v>21204.259583311999</v>
      </c>
      <c r="F209" s="65">
        <v>6409.9973340000006</v>
      </c>
      <c r="G209" s="65">
        <v>4820.5215028835028</v>
      </c>
      <c r="H209" s="99">
        <v>0.11032435316451306</v>
      </c>
      <c r="I209" s="99">
        <v>-0.24796825151323809</v>
      </c>
      <c r="J209" s="99">
        <v>2.0285429889387085E-2</v>
      </c>
    </row>
    <row r="210" spans="1:10" x14ac:dyDescent="0.25">
      <c r="A210" s="98">
        <v>44409</v>
      </c>
      <c r="B210" s="65">
        <v>0</v>
      </c>
      <c r="C210" s="65">
        <v>0</v>
      </c>
      <c r="D210" s="65">
        <v>504.29298599999993</v>
      </c>
      <c r="E210" s="65">
        <v>559.92878348585066</v>
      </c>
      <c r="F210" s="65">
        <v>169.26514199999997</v>
      </c>
      <c r="G210" s="65">
        <v>127.29276069612004</v>
      </c>
      <c r="H210" s="99">
        <v>0.11032435316451283</v>
      </c>
      <c r="I210" s="99">
        <v>-0.24796825151323798</v>
      </c>
      <c r="J210" s="99">
        <v>2.0285429889387085E-2</v>
      </c>
    </row>
    <row r="211" spans="1:10" x14ac:dyDescent="0.25">
      <c r="A211" s="98">
        <v>44440</v>
      </c>
      <c r="B211" s="65">
        <v>0</v>
      </c>
      <c r="C211" s="65">
        <v>0</v>
      </c>
      <c r="D211" s="65">
        <v>2050.0606170000001</v>
      </c>
      <c r="E211" s="65">
        <v>2276.2322285185669</v>
      </c>
      <c r="F211" s="65">
        <v>688.0995989999999</v>
      </c>
      <c r="G211" s="65">
        <v>517.47274456900982</v>
      </c>
      <c r="H211" s="99">
        <v>0.11032435316451261</v>
      </c>
      <c r="I211" s="99">
        <v>-0.24796825151323787</v>
      </c>
      <c r="J211" s="99">
        <v>2.0285429889387085E-2</v>
      </c>
    </row>
    <row r="212" spans="1:10" x14ac:dyDescent="0.25">
      <c r="A212" s="98">
        <v>44470</v>
      </c>
      <c r="B212" s="65">
        <v>0</v>
      </c>
      <c r="C212" s="65">
        <v>0</v>
      </c>
      <c r="D212" s="65">
        <v>1699.2481049999999</v>
      </c>
      <c r="E212" s="65">
        <v>1886.7165530501491</v>
      </c>
      <c r="F212" s="65">
        <v>570.34993499999996</v>
      </c>
      <c r="G212" s="65">
        <v>428.92125886736102</v>
      </c>
      <c r="H212" s="99">
        <v>0.11032435316451283</v>
      </c>
      <c r="I212" s="99">
        <v>-0.24796825151323798</v>
      </c>
      <c r="J212" s="99">
        <v>2.0285429889387085E-2</v>
      </c>
    </row>
    <row r="213" spans="1:10" x14ac:dyDescent="0.25">
      <c r="A213" s="98">
        <v>44501</v>
      </c>
      <c r="B213" s="65">
        <v>0</v>
      </c>
      <c r="C213" s="65">
        <v>0</v>
      </c>
      <c r="D213" s="65">
        <v>1713.8652929999998</v>
      </c>
      <c r="E213" s="65">
        <v>1902.9463728613332</v>
      </c>
      <c r="F213" s="65">
        <v>575.25617099999999</v>
      </c>
      <c r="G213" s="65">
        <v>432.61090410492972</v>
      </c>
      <c r="H213" s="99">
        <v>0.11032435316451283</v>
      </c>
      <c r="I213" s="99">
        <v>-0.24796825151323809</v>
      </c>
      <c r="J213" s="99">
        <v>2.0285429889387085E-2</v>
      </c>
    </row>
    <row r="214" spans="1:10" x14ac:dyDescent="0.25">
      <c r="A214" s="98">
        <v>44531</v>
      </c>
      <c r="B214" s="65">
        <v>0</v>
      </c>
      <c r="C214" s="65">
        <v>0</v>
      </c>
      <c r="D214" s="65">
        <v>2134.1094479999997</v>
      </c>
      <c r="E214" s="65">
        <v>2369.5536924328753</v>
      </c>
      <c r="F214" s="65">
        <v>716.31045599999993</v>
      </c>
      <c r="G214" s="65">
        <v>538.68820468502975</v>
      </c>
      <c r="H214" s="99">
        <v>0.11032435316451283</v>
      </c>
      <c r="I214" s="99">
        <v>-0.24796825151323798</v>
      </c>
      <c r="J214" s="99">
        <v>2.0285429889387085E-2</v>
      </c>
    </row>
    <row r="215" spans="1:10" x14ac:dyDescent="0.25">
      <c r="A215" s="98">
        <v>44562</v>
      </c>
      <c r="B215" s="65">
        <v>0</v>
      </c>
      <c r="C215" s="65">
        <v>0</v>
      </c>
      <c r="D215" s="65">
        <v>504.29298599999993</v>
      </c>
      <c r="E215" s="65">
        <v>559.92878348585066</v>
      </c>
      <c r="F215" s="65">
        <v>169.26514199999997</v>
      </c>
      <c r="G215" s="65">
        <v>127.29276069612004</v>
      </c>
      <c r="H215" s="99">
        <v>0.11032435316451283</v>
      </c>
      <c r="I215" s="99">
        <v>-0.24796825151323798</v>
      </c>
      <c r="J215" s="99">
        <v>2.0285429889387085E-2</v>
      </c>
    </row>
    <row r="216" spans="1:10" x14ac:dyDescent="0.25">
      <c r="A216" s="98">
        <v>44593</v>
      </c>
      <c r="B216" s="65">
        <v>0</v>
      </c>
      <c r="C216" s="65">
        <v>0</v>
      </c>
      <c r="D216" s="65">
        <v>526.21876799999995</v>
      </c>
      <c r="E216" s="65">
        <v>584.27351320262676</v>
      </c>
      <c r="F216" s="65">
        <v>176.62449599999997</v>
      </c>
      <c r="G216" s="65">
        <v>132.82722855247309</v>
      </c>
      <c r="H216" s="99">
        <v>0.11032435316451283</v>
      </c>
      <c r="I216" s="99">
        <v>-0.24796825151323798</v>
      </c>
      <c r="J216" s="99">
        <v>2.0285429889387085E-2</v>
      </c>
    </row>
    <row r="217" spans="1:10" x14ac:dyDescent="0.25">
      <c r="A217" s="98">
        <v>44621</v>
      </c>
      <c r="B217" s="65">
        <v>0</v>
      </c>
      <c r="C217" s="65">
        <v>0</v>
      </c>
      <c r="D217" s="65">
        <v>2033.007231</v>
      </c>
      <c r="E217" s="65">
        <v>2257.2974387388522</v>
      </c>
      <c r="F217" s="65">
        <v>682.37565699999993</v>
      </c>
      <c r="G217" s="65">
        <v>513.16815845851295</v>
      </c>
      <c r="H217" s="99">
        <v>0.11032435316451283</v>
      </c>
      <c r="I217" s="99">
        <v>-0.24796825151323798</v>
      </c>
      <c r="J217" s="99">
        <v>2.0285429889387085E-2</v>
      </c>
    </row>
    <row r="218" spans="1:10" x14ac:dyDescent="0.25">
      <c r="A218" s="98">
        <v>44652</v>
      </c>
      <c r="B218" s="65">
        <v>0</v>
      </c>
      <c r="C218" s="65">
        <v>0</v>
      </c>
      <c r="D218" s="65">
        <v>1963.5755879999999</v>
      </c>
      <c r="E218" s="65">
        <v>2180.2057946357277</v>
      </c>
      <c r="F218" s="65">
        <v>659.07103599999994</v>
      </c>
      <c r="G218" s="65">
        <v>495.64234358006166</v>
      </c>
      <c r="H218" s="99">
        <v>0.11032435316451283</v>
      </c>
      <c r="I218" s="99">
        <v>-0.24796825151323798</v>
      </c>
      <c r="J218" s="99">
        <v>2.0285429889386863E-2</v>
      </c>
    </row>
    <row r="219" spans="1:10" x14ac:dyDescent="0.25">
      <c r="A219" s="98">
        <v>44682</v>
      </c>
      <c r="B219" s="65">
        <v>0</v>
      </c>
      <c r="C219" s="65">
        <v>0</v>
      </c>
      <c r="D219" s="65">
        <v>1459.2826019999998</v>
      </c>
      <c r="E219" s="65">
        <v>1620.2770111498771</v>
      </c>
      <c r="F219" s="65">
        <v>489.80589399999991</v>
      </c>
      <c r="G219" s="65">
        <v>368.34958288394159</v>
      </c>
      <c r="H219" s="99">
        <v>0.11032435316451283</v>
      </c>
      <c r="I219" s="99">
        <v>-0.24796825151323787</v>
      </c>
      <c r="J219" s="99">
        <v>2.0285429889387085E-2</v>
      </c>
    </row>
    <row r="220" spans="1:10" x14ac:dyDescent="0.25">
      <c r="A220" s="98">
        <v>44713</v>
      </c>
      <c r="B220" s="65">
        <v>0</v>
      </c>
      <c r="C220" s="65">
        <v>0</v>
      </c>
      <c r="D220" s="65">
        <v>2254.7012489999997</v>
      </c>
      <c r="E220" s="65">
        <v>2503.449705875144</v>
      </c>
      <c r="F220" s="65">
        <v>756.78690299999994</v>
      </c>
      <c r="G220" s="65">
        <v>569.12777789497147</v>
      </c>
      <c r="H220" s="99">
        <v>0.11032435316451283</v>
      </c>
      <c r="I220" s="99">
        <v>-0.24796825151323809</v>
      </c>
      <c r="J220" s="99">
        <v>2.0285429889387085E-2</v>
      </c>
    </row>
    <row r="221" spans="1:10" x14ac:dyDescent="0.25">
      <c r="A221" s="98">
        <v>44743</v>
      </c>
      <c r="B221" s="65">
        <v>0</v>
      </c>
      <c r="C221" s="65">
        <v>0</v>
      </c>
      <c r="D221" s="65">
        <v>2254.7012489999997</v>
      </c>
      <c r="E221" s="65">
        <v>2503.449705875144</v>
      </c>
      <c r="F221" s="65">
        <v>756.78690299999994</v>
      </c>
      <c r="G221" s="65">
        <v>569.12777789497147</v>
      </c>
      <c r="H221" s="99">
        <v>0.11032435316451283</v>
      </c>
      <c r="I221" s="99">
        <v>-0.24796825151323809</v>
      </c>
      <c r="J221" s="99">
        <v>2.0285429889387085E-2</v>
      </c>
    </row>
    <row r="222" spans="1:10" x14ac:dyDescent="0.25">
      <c r="A222" s="90" t="s">
        <v>22</v>
      </c>
      <c r="B222" s="65">
        <v>0</v>
      </c>
      <c r="C222" s="65">
        <v>0</v>
      </c>
      <c r="D222" s="65">
        <v>4463087.4531400008</v>
      </c>
      <c r="E222" s="65">
        <v>5148248.5734992428</v>
      </c>
      <c r="F222" s="65">
        <v>3100025.6439200006</v>
      </c>
      <c r="G222" s="65">
        <v>2292805.4864499168</v>
      </c>
      <c r="H222" s="99">
        <v>0.15351729661429725</v>
      </c>
      <c r="I222" s="99">
        <v>-0.26039144516538548</v>
      </c>
      <c r="J222" s="99">
        <v>-1.6138729587197309E-2</v>
      </c>
    </row>
    <row r="223" spans="1:10" x14ac:dyDescent="0.25">
      <c r="A223" s="91" t="s">
        <v>32</v>
      </c>
      <c r="B223" s="65">
        <v>0</v>
      </c>
      <c r="C223" s="65">
        <v>0</v>
      </c>
      <c r="D223" s="65">
        <v>916.82951999999977</v>
      </c>
      <c r="E223" s="65">
        <v>1074.1058785757753</v>
      </c>
      <c r="F223" s="65">
        <v>763.12014000000033</v>
      </c>
      <c r="G223" s="65">
        <v>564.71642671600944</v>
      </c>
      <c r="H223" s="99">
        <v>0.17154373320764749</v>
      </c>
      <c r="I223" s="99">
        <v>-0.25999014163613976</v>
      </c>
      <c r="J223" s="99">
        <v>-2.4481301843422787E-2</v>
      </c>
    </row>
    <row r="224" spans="1:10" x14ac:dyDescent="0.25">
      <c r="A224" s="92" t="s">
        <v>26</v>
      </c>
      <c r="B224" s="65">
        <v>0</v>
      </c>
      <c r="C224" s="65">
        <v>0</v>
      </c>
      <c r="D224" s="65">
        <v>916.82951999999977</v>
      </c>
      <c r="E224" s="65">
        <v>1074.1058785757753</v>
      </c>
      <c r="F224" s="65">
        <v>763.12014000000033</v>
      </c>
      <c r="G224" s="65">
        <v>564.71642671600944</v>
      </c>
      <c r="H224" s="99">
        <v>0.17154373320764749</v>
      </c>
      <c r="I224" s="99">
        <v>-0.25999014163613976</v>
      </c>
      <c r="J224" s="99">
        <v>-2.4481301843422787E-2</v>
      </c>
    </row>
    <row r="225" spans="1:10" x14ac:dyDescent="0.25">
      <c r="A225" s="93" t="s">
        <v>24</v>
      </c>
      <c r="B225" s="65">
        <v>0</v>
      </c>
      <c r="C225" s="65">
        <v>0</v>
      </c>
      <c r="D225" s="65">
        <v>916.82951999999977</v>
      </c>
      <c r="E225" s="65">
        <v>1074.1058785757753</v>
      </c>
      <c r="F225" s="65">
        <v>763.12014000000033</v>
      </c>
      <c r="G225" s="65">
        <v>564.71642671600944</v>
      </c>
      <c r="H225" s="99">
        <v>0.17154373320764749</v>
      </c>
      <c r="I225" s="99">
        <v>-0.25999014163613976</v>
      </c>
      <c r="J225" s="99">
        <v>-2.4481301843422787E-2</v>
      </c>
    </row>
    <row r="226" spans="1:10" x14ac:dyDescent="0.25">
      <c r="A226" s="94" t="s">
        <v>24</v>
      </c>
      <c r="B226" s="65">
        <v>0</v>
      </c>
      <c r="C226" s="65">
        <v>0</v>
      </c>
      <c r="D226" s="65">
        <v>916.82951999999977</v>
      </c>
      <c r="E226" s="65">
        <v>1074.1058785757753</v>
      </c>
      <c r="F226" s="65">
        <v>763.12014000000033</v>
      </c>
      <c r="G226" s="65">
        <v>564.71642671600944</v>
      </c>
      <c r="H226" s="99">
        <v>0.17154373320764749</v>
      </c>
      <c r="I226" s="99">
        <v>-0.25999014163613976</v>
      </c>
      <c r="J226" s="99">
        <v>-2.4481301843422787E-2</v>
      </c>
    </row>
    <row r="227" spans="1:10" x14ac:dyDescent="0.25">
      <c r="A227" s="95" t="s">
        <v>25</v>
      </c>
      <c r="B227" s="65">
        <v>0</v>
      </c>
      <c r="C227" s="65">
        <v>0</v>
      </c>
      <c r="D227" s="65">
        <v>916.82951999999977</v>
      </c>
      <c r="E227" s="65">
        <v>1074.1058785757753</v>
      </c>
      <c r="F227" s="65">
        <v>763.12014000000033</v>
      </c>
      <c r="G227" s="65">
        <v>564.71642671600944</v>
      </c>
      <c r="H227" s="99">
        <v>0.17154373320764749</v>
      </c>
      <c r="I227" s="99">
        <v>-0.25999014163613976</v>
      </c>
      <c r="J227" s="99">
        <v>-2.4481301843422787E-2</v>
      </c>
    </row>
    <row r="228" spans="1:10" x14ac:dyDescent="0.25">
      <c r="A228" s="96" t="s">
        <v>25</v>
      </c>
      <c r="B228" s="65">
        <v>0</v>
      </c>
      <c r="C228" s="65">
        <v>0</v>
      </c>
      <c r="D228" s="65">
        <v>916.82951999999977</v>
      </c>
      <c r="E228" s="65">
        <v>1074.1058785757753</v>
      </c>
      <c r="F228" s="65">
        <v>763.12014000000033</v>
      </c>
      <c r="G228" s="65">
        <v>564.71642671600944</v>
      </c>
      <c r="H228" s="99">
        <v>0.17154373320764749</v>
      </c>
      <c r="I228" s="99">
        <v>-0.25999014163613976</v>
      </c>
      <c r="J228" s="99">
        <v>-2.4481301843422787E-2</v>
      </c>
    </row>
    <row r="229" spans="1:10" x14ac:dyDescent="0.25">
      <c r="A229" s="97" t="s">
        <v>34</v>
      </c>
      <c r="B229" s="65">
        <v>0</v>
      </c>
      <c r="C229" s="65">
        <v>0</v>
      </c>
      <c r="D229" s="65">
        <v>676.51871999999992</v>
      </c>
      <c r="E229" s="65">
        <v>803.90697701915974</v>
      </c>
      <c r="F229" s="65">
        <v>654.50634000000002</v>
      </c>
      <c r="G229" s="65">
        <v>485.13021095008901</v>
      </c>
      <c r="H229" s="99">
        <v>0.18829967782585499</v>
      </c>
      <c r="I229" s="99">
        <v>-0.2587845505819103</v>
      </c>
      <c r="J229" s="99">
        <v>-3.1545515777705257E-2</v>
      </c>
    </row>
    <row r="230" spans="1:10" x14ac:dyDescent="0.25">
      <c r="A230" s="98">
        <v>44409</v>
      </c>
      <c r="B230" s="65">
        <v>0</v>
      </c>
      <c r="C230" s="65">
        <v>0</v>
      </c>
      <c r="D230" s="65">
        <v>57.61712</v>
      </c>
      <c r="E230" s="65">
        <v>68.466405133253602</v>
      </c>
      <c r="F230" s="65">
        <v>55.742389999999993</v>
      </c>
      <c r="G230" s="65">
        <v>41.317120655488431</v>
      </c>
      <c r="H230" s="99">
        <v>0.18829967782585455</v>
      </c>
      <c r="I230" s="99">
        <v>-0.25878455058191019</v>
      </c>
      <c r="J230" s="99">
        <v>-3.1545515777705591E-2</v>
      </c>
    </row>
    <row r="231" spans="1:10" x14ac:dyDescent="0.25">
      <c r="A231" s="98">
        <v>44440</v>
      </c>
      <c r="B231" s="65">
        <v>0</v>
      </c>
      <c r="C231" s="65">
        <v>0</v>
      </c>
      <c r="D231" s="65">
        <v>44.660160000000005</v>
      </c>
      <c r="E231" s="65">
        <v>53.069653739651123</v>
      </c>
      <c r="F231" s="65">
        <v>43.20702</v>
      </c>
      <c r="G231" s="65">
        <v>32.025710747316388</v>
      </c>
      <c r="H231" s="99">
        <v>0.18829967782585455</v>
      </c>
      <c r="I231" s="99">
        <v>-0.2587845505819103</v>
      </c>
      <c r="J231" s="99">
        <v>-3.1545515777705591E-2</v>
      </c>
    </row>
    <row r="232" spans="1:10" x14ac:dyDescent="0.25">
      <c r="A232" s="98">
        <v>44470</v>
      </c>
      <c r="B232" s="65">
        <v>0</v>
      </c>
      <c r="C232" s="65">
        <v>0</v>
      </c>
      <c r="D232" s="65">
        <v>55.687360000000005</v>
      </c>
      <c r="E232" s="65">
        <v>66.173271946972392</v>
      </c>
      <c r="F232" s="65">
        <v>53.875419999999998</v>
      </c>
      <c r="G232" s="65">
        <v>39.933293647888341</v>
      </c>
      <c r="H232" s="99">
        <v>0.18829967782585455</v>
      </c>
      <c r="I232" s="99">
        <v>-0.25878455058191019</v>
      </c>
      <c r="J232" s="99">
        <v>-3.1545515777705369E-2</v>
      </c>
    </row>
    <row r="233" spans="1:10" x14ac:dyDescent="0.25">
      <c r="A233" s="98">
        <v>44501</v>
      </c>
      <c r="B233" s="65">
        <v>0</v>
      </c>
      <c r="C233" s="65">
        <v>0</v>
      </c>
      <c r="D233" s="65">
        <v>50.173760000000001</v>
      </c>
      <c r="E233" s="65">
        <v>59.621462843311754</v>
      </c>
      <c r="F233" s="65">
        <v>48.541219999999996</v>
      </c>
      <c r="G233" s="65">
        <v>35.979502197602365</v>
      </c>
      <c r="H233" s="99">
        <v>0.18829967782585455</v>
      </c>
      <c r="I233" s="99">
        <v>-0.25878455058191019</v>
      </c>
      <c r="J233" s="99">
        <v>-3.154551577770548E-2</v>
      </c>
    </row>
    <row r="234" spans="1:10" x14ac:dyDescent="0.25">
      <c r="A234" s="98">
        <v>44531</v>
      </c>
      <c r="B234" s="65">
        <v>0</v>
      </c>
      <c r="C234" s="65">
        <v>0</v>
      </c>
      <c r="D234" s="65">
        <v>78.84447999999999</v>
      </c>
      <c r="E234" s="65">
        <v>93.690870182347041</v>
      </c>
      <c r="F234" s="65">
        <v>76.279059999999987</v>
      </c>
      <c r="G234" s="65">
        <v>56.539217739089423</v>
      </c>
      <c r="H234" s="99">
        <v>0.18829967782585477</v>
      </c>
      <c r="I234" s="99">
        <v>-0.2587845505819103</v>
      </c>
      <c r="J234" s="99">
        <v>-3.1545515777705591E-2</v>
      </c>
    </row>
    <row r="235" spans="1:10" x14ac:dyDescent="0.25">
      <c r="A235" s="98">
        <v>44562</v>
      </c>
      <c r="B235" s="65">
        <v>0</v>
      </c>
      <c r="C235" s="65">
        <v>0</v>
      </c>
      <c r="D235" s="65">
        <v>129.84528</v>
      </c>
      <c r="E235" s="65">
        <v>154.29510439120787</v>
      </c>
      <c r="F235" s="65">
        <v>125.62040999999998</v>
      </c>
      <c r="G235" s="65">
        <v>93.111788654234687</v>
      </c>
      <c r="H235" s="99">
        <v>0.18829967782585455</v>
      </c>
      <c r="I235" s="99">
        <v>-0.25878455058191019</v>
      </c>
      <c r="J235" s="99">
        <v>-3.1545515777705591E-2</v>
      </c>
    </row>
    <row r="236" spans="1:10" x14ac:dyDescent="0.25">
      <c r="A236" s="98">
        <v>44593</v>
      </c>
      <c r="B236" s="65">
        <v>0</v>
      </c>
      <c r="C236" s="65">
        <v>0</v>
      </c>
      <c r="D236" s="65">
        <v>57.341439999999999</v>
      </c>
      <c r="E236" s="65">
        <v>68.138814678070574</v>
      </c>
      <c r="F236" s="65">
        <v>55.47567999999999</v>
      </c>
      <c r="G236" s="65">
        <v>41.119431082974131</v>
      </c>
      <c r="H236" s="99">
        <v>0.18829967782585477</v>
      </c>
      <c r="I236" s="99">
        <v>-0.25878455058191019</v>
      </c>
      <c r="J236" s="99">
        <v>-3.1545515777705369E-2</v>
      </c>
    </row>
    <row r="237" spans="1:10" x14ac:dyDescent="0.25">
      <c r="A237" s="98">
        <v>44621</v>
      </c>
      <c r="B237" s="65">
        <v>0</v>
      </c>
      <c r="C237" s="65">
        <v>0</v>
      </c>
      <c r="D237" s="65">
        <v>99.520479999999992</v>
      </c>
      <c r="E237" s="65">
        <v>118.26015432107441</v>
      </c>
      <c r="F237" s="65">
        <v>96.282309999999995</v>
      </c>
      <c r="G237" s="65">
        <v>71.365935677661824</v>
      </c>
      <c r="H237" s="99">
        <v>0.18829967782585477</v>
      </c>
      <c r="I237" s="99">
        <v>-0.2587845505819103</v>
      </c>
      <c r="J237" s="99">
        <v>-3.154551577770548E-2</v>
      </c>
    </row>
    <row r="238" spans="1:10" x14ac:dyDescent="0.25">
      <c r="A238" s="98">
        <v>44652</v>
      </c>
      <c r="B238" s="65">
        <v>0</v>
      </c>
      <c r="C238" s="65">
        <v>0</v>
      </c>
      <c r="D238" s="65">
        <v>33.081600000000002</v>
      </c>
      <c r="E238" s="65">
        <v>39.310854621963792</v>
      </c>
      <c r="F238" s="65">
        <v>32.005199999999995</v>
      </c>
      <c r="G238" s="65">
        <v>23.722748701715844</v>
      </c>
      <c r="H238" s="99">
        <v>0.18829967782585455</v>
      </c>
      <c r="I238" s="99">
        <v>-0.25878455058191019</v>
      </c>
      <c r="J238" s="99">
        <v>-3.154551577770548E-2</v>
      </c>
    </row>
    <row r="239" spans="1:10" x14ac:dyDescent="0.25">
      <c r="A239" s="98">
        <v>44682</v>
      </c>
      <c r="B239" s="65">
        <v>0</v>
      </c>
      <c r="C239" s="65">
        <v>0</v>
      </c>
      <c r="D239" s="65">
        <v>20.124639999999999</v>
      </c>
      <c r="E239" s="65">
        <v>23.914103228361306</v>
      </c>
      <c r="F239" s="65">
        <v>19.469829999999998</v>
      </c>
      <c r="G239" s="65">
        <v>14.431338793543805</v>
      </c>
      <c r="H239" s="99">
        <v>0.18829967782585455</v>
      </c>
      <c r="I239" s="99">
        <v>-0.2587845505819103</v>
      </c>
      <c r="J239" s="99">
        <v>-3.154551577770548E-2</v>
      </c>
    </row>
    <row r="240" spans="1:10" x14ac:dyDescent="0.25">
      <c r="A240" s="98">
        <v>44713</v>
      </c>
      <c r="B240" s="65">
        <v>0</v>
      </c>
      <c r="C240" s="65">
        <v>0</v>
      </c>
      <c r="D240" s="65">
        <v>24.811199999999999</v>
      </c>
      <c r="E240" s="65">
        <v>29.483140966472845</v>
      </c>
      <c r="F240" s="65">
        <v>24.003899999999998</v>
      </c>
      <c r="G240" s="65">
        <v>17.792061526286883</v>
      </c>
      <c r="H240" s="99">
        <v>0.18829967782585477</v>
      </c>
      <c r="I240" s="99">
        <v>-0.2587845505819103</v>
      </c>
      <c r="J240" s="99">
        <v>-3.154551577770548E-2</v>
      </c>
    </row>
    <row r="241" spans="1:10" x14ac:dyDescent="0.25">
      <c r="A241" s="98">
        <v>44743</v>
      </c>
      <c r="B241" s="65">
        <v>0</v>
      </c>
      <c r="C241" s="65">
        <v>0</v>
      </c>
      <c r="D241" s="65">
        <v>24.811199999999999</v>
      </c>
      <c r="E241" s="65">
        <v>29.483140966472845</v>
      </c>
      <c r="F241" s="65">
        <v>24.003899999999998</v>
      </c>
      <c r="G241" s="65">
        <v>17.792061526286883</v>
      </c>
      <c r="H241" s="99">
        <v>0.18829967782585477</v>
      </c>
      <c r="I241" s="99">
        <v>-0.2587845505819103</v>
      </c>
      <c r="J241" s="99">
        <v>-3.154551577770548E-2</v>
      </c>
    </row>
    <row r="242" spans="1:10" x14ac:dyDescent="0.25">
      <c r="A242" s="97" t="s">
        <v>35</v>
      </c>
      <c r="B242" s="65">
        <v>0</v>
      </c>
      <c r="C242" s="65">
        <v>0</v>
      </c>
      <c r="D242" s="65">
        <v>79.431299999999993</v>
      </c>
      <c r="E242" s="65">
        <v>90.139581914384863</v>
      </c>
      <c r="F242" s="65">
        <v>34.672299999999993</v>
      </c>
      <c r="G242" s="65">
        <v>25.699644426858828</v>
      </c>
      <c r="H242" s="99">
        <v>0.13481186779499854</v>
      </c>
      <c r="I242" s="99">
        <v>-0.25878455058191019</v>
      </c>
      <c r="J242" s="99">
        <v>1.5210969165247112E-2</v>
      </c>
    </row>
    <row r="243" spans="1:10" x14ac:dyDescent="0.25">
      <c r="A243" s="98">
        <v>44409</v>
      </c>
      <c r="B243" s="65">
        <v>0</v>
      </c>
      <c r="C243" s="65">
        <v>0</v>
      </c>
      <c r="D243" s="65">
        <v>6.7211099999999995</v>
      </c>
      <c r="E243" s="65">
        <v>7.6271953927556408</v>
      </c>
      <c r="F243" s="65">
        <v>2.9338099999999998</v>
      </c>
      <c r="G243" s="65">
        <v>2.1745852976572855</v>
      </c>
      <c r="H243" s="99">
        <v>0.13481186779499832</v>
      </c>
      <c r="I243" s="99">
        <v>-0.2587845505819103</v>
      </c>
      <c r="J243" s="99">
        <v>1.5210969165247112E-2</v>
      </c>
    </row>
    <row r="244" spans="1:10" x14ac:dyDescent="0.25">
      <c r="A244" s="98">
        <v>44440</v>
      </c>
      <c r="B244" s="65">
        <v>0</v>
      </c>
      <c r="C244" s="65">
        <v>0</v>
      </c>
      <c r="D244" s="65">
        <v>5.4990899999999998</v>
      </c>
      <c r="E244" s="65">
        <v>6.2404325940727965</v>
      </c>
      <c r="F244" s="65">
        <v>2.4003899999999998</v>
      </c>
      <c r="G244" s="65">
        <v>1.7792061526286882</v>
      </c>
      <c r="H244" s="99">
        <v>0.13481186779499832</v>
      </c>
      <c r="I244" s="99">
        <v>-0.2587845505819103</v>
      </c>
      <c r="J244" s="99">
        <v>1.5210969165247112E-2</v>
      </c>
    </row>
    <row r="245" spans="1:10" x14ac:dyDescent="0.25">
      <c r="A245" s="98">
        <v>44470</v>
      </c>
      <c r="B245" s="65">
        <v>0</v>
      </c>
      <c r="C245" s="65">
        <v>0</v>
      </c>
      <c r="D245" s="65">
        <v>9.7761600000000008</v>
      </c>
      <c r="E245" s="65">
        <v>11.094102389462751</v>
      </c>
      <c r="F245" s="65">
        <v>4.26736</v>
      </c>
      <c r="G245" s="65">
        <v>3.1630331602287791</v>
      </c>
      <c r="H245" s="99">
        <v>0.13481186779499832</v>
      </c>
      <c r="I245" s="99">
        <v>-0.2587845505819103</v>
      </c>
      <c r="J245" s="99">
        <v>1.521096916524689E-2</v>
      </c>
    </row>
    <row r="246" spans="1:10" x14ac:dyDescent="0.25">
      <c r="A246" s="98">
        <v>44501</v>
      </c>
      <c r="B246" s="65">
        <v>0</v>
      </c>
      <c r="C246" s="65">
        <v>0</v>
      </c>
      <c r="D246" s="65">
        <v>5.4990899999999998</v>
      </c>
      <c r="E246" s="65">
        <v>6.2404325940727965</v>
      </c>
      <c r="F246" s="65">
        <v>2.4003899999999998</v>
      </c>
      <c r="G246" s="65">
        <v>1.7792061526286882</v>
      </c>
      <c r="H246" s="99">
        <v>0.13481186779499832</v>
      </c>
      <c r="I246" s="99">
        <v>-0.2587845505819103</v>
      </c>
      <c r="J246" s="99">
        <v>1.5210969165247112E-2</v>
      </c>
    </row>
    <row r="247" spans="1:10" x14ac:dyDescent="0.25">
      <c r="A247" s="98">
        <v>44531</v>
      </c>
      <c r="B247" s="65">
        <v>0</v>
      </c>
      <c r="C247" s="65">
        <v>0</v>
      </c>
      <c r="D247" s="65">
        <v>9.7761600000000008</v>
      </c>
      <c r="E247" s="65">
        <v>11.094102389462751</v>
      </c>
      <c r="F247" s="65">
        <v>4.26736</v>
      </c>
      <c r="G247" s="65">
        <v>3.1630331602287791</v>
      </c>
      <c r="H247" s="99">
        <v>0.13481186779499832</v>
      </c>
      <c r="I247" s="99">
        <v>-0.2587845505819103</v>
      </c>
      <c r="J247" s="99">
        <v>1.521096916524689E-2</v>
      </c>
    </row>
    <row r="248" spans="1:10" x14ac:dyDescent="0.25">
      <c r="A248" s="98">
        <v>44562</v>
      </c>
      <c r="B248" s="65">
        <v>0</v>
      </c>
      <c r="C248" s="65">
        <v>0</v>
      </c>
      <c r="D248" s="65">
        <v>12.2202</v>
      </c>
      <c r="E248" s="65">
        <v>13.867627986828438</v>
      </c>
      <c r="F248" s="65">
        <v>5.3342000000000001</v>
      </c>
      <c r="G248" s="65">
        <v>3.9537914502859741</v>
      </c>
      <c r="H248" s="99">
        <v>0.13481186779499832</v>
      </c>
      <c r="I248" s="99">
        <v>-0.2587845505819103</v>
      </c>
      <c r="J248" s="99">
        <v>1.521096916524689E-2</v>
      </c>
    </row>
    <row r="249" spans="1:10" x14ac:dyDescent="0.25">
      <c r="A249" s="98">
        <v>44593</v>
      </c>
      <c r="B249" s="65">
        <v>0</v>
      </c>
      <c r="C249" s="65">
        <v>0</v>
      </c>
      <c r="D249" s="65">
        <v>4.2770700000000001</v>
      </c>
      <c r="E249" s="65">
        <v>4.8536697953899539</v>
      </c>
      <c r="F249" s="65">
        <v>1.8669699999999998</v>
      </c>
      <c r="G249" s="65">
        <v>1.3838270076000909</v>
      </c>
      <c r="H249" s="99">
        <v>0.13481186779499832</v>
      </c>
      <c r="I249" s="99">
        <v>-0.25878455058191019</v>
      </c>
      <c r="J249" s="99">
        <v>1.521096916524689E-2</v>
      </c>
    </row>
    <row r="250" spans="1:10" x14ac:dyDescent="0.25">
      <c r="A250" s="98">
        <v>44621</v>
      </c>
      <c r="B250" s="65">
        <v>0</v>
      </c>
      <c r="C250" s="65">
        <v>0</v>
      </c>
      <c r="D250" s="65">
        <v>7.9431299999999991</v>
      </c>
      <c r="E250" s="65">
        <v>9.0139581914384852</v>
      </c>
      <c r="F250" s="65">
        <v>3.4672299999999994</v>
      </c>
      <c r="G250" s="65">
        <v>2.5699644426858832</v>
      </c>
      <c r="H250" s="99">
        <v>0.13481186779499854</v>
      </c>
      <c r="I250" s="99">
        <v>-0.25878455058191019</v>
      </c>
      <c r="J250" s="99">
        <v>1.5210969165247112E-2</v>
      </c>
    </row>
    <row r="251" spans="1:10" x14ac:dyDescent="0.25">
      <c r="A251" s="98">
        <v>44652</v>
      </c>
      <c r="B251" s="65">
        <v>0</v>
      </c>
      <c r="C251" s="65">
        <v>0</v>
      </c>
      <c r="D251" s="65">
        <v>4.8880800000000004</v>
      </c>
      <c r="E251" s="65">
        <v>5.5470511947313756</v>
      </c>
      <c r="F251" s="65">
        <v>2.13368</v>
      </c>
      <c r="G251" s="65">
        <v>1.5815165801143896</v>
      </c>
      <c r="H251" s="99">
        <v>0.13481186779499832</v>
      </c>
      <c r="I251" s="99">
        <v>-0.2587845505819103</v>
      </c>
      <c r="J251" s="99">
        <v>1.521096916524689E-2</v>
      </c>
    </row>
    <row r="252" spans="1:10" x14ac:dyDescent="0.25">
      <c r="A252" s="98">
        <v>44682</v>
      </c>
      <c r="B252" s="65">
        <v>0</v>
      </c>
      <c r="C252" s="65">
        <v>0</v>
      </c>
      <c r="D252" s="65">
        <v>3.05505</v>
      </c>
      <c r="E252" s="65">
        <v>3.4669069967071096</v>
      </c>
      <c r="F252" s="65">
        <v>1.33355</v>
      </c>
      <c r="G252" s="65">
        <v>0.98844786257149353</v>
      </c>
      <c r="H252" s="99">
        <v>0.13481186779499832</v>
      </c>
      <c r="I252" s="99">
        <v>-0.2587845505819103</v>
      </c>
      <c r="J252" s="99">
        <v>1.521096916524689E-2</v>
      </c>
    </row>
    <row r="253" spans="1:10" x14ac:dyDescent="0.25">
      <c r="A253" s="98">
        <v>44713</v>
      </c>
      <c r="B253" s="65">
        <v>0</v>
      </c>
      <c r="C253" s="65">
        <v>0</v>
      </c>
      <c r="D253" s="65">
        <v>4.8880800000000004</v>
      </c>
      <c r="E253" s="65">
        <v>5.5470511947313756</v>
      </c>
      <c r="F253" s="65">
        <v>2.13368</v>
      </c>
      <c r="G253" s="65">
        <v>1.5815165801143896</v>
      </c>
      <c r="H253" s="99">
        <v>0.13481186779499832</v>
      </c>
      <c r="I253" s="99">
        <v>-0.2587845505819103</v>
      </c>
      <c r="J253" s="99">
        <v>1.521096916524689E-2</v>
      </c>
    </row>
    <row r="254" spans="1:10" x14ac:dyDescent="0.25">
      <c r="A254" s="98">
        <v>44743</v>
      </c>
      <c r="B254" s="65">
        <v>0</v>
      </c>
      <c r="C254" s="65">
        <v>0</v>
      </c>
      <c r="D254" s="65">
        <v>4.8880800000000004</v>
      </c>
      <c r="E254" s="65">
        <v>5.5470511947313756</v>
      </c>
      <c r="F254" s="65">
        <v>2.13368</v>
      </c>
      <c r="G254" s="65">
        <v>1.5815165801143896</v>
      </c>
      <c r="H254" s="99">
        <v>0.13481186779499832</v>
      </c>
      <c r="I254" s="99">
        <v>-0.2587845505819103</v>
      </c>
      <c r="J254" s="99">
        <v>1.521096916524689E-2</v>
      </c>
    </row>
    <row r="255" spans="1:10" x14ac:dyDescent="0.25">
      <c r="A255" s="97" t="s">
        <v>33</v>
      </c>
      <c r="B255" s="65">
        <v>0</v>
      </c>
      <c r="C255" s="65">
        <v>0</v>
      </c>
      <c r="D255" s="65">
        <v>160.87950000000001</v>
      </c>
      <c r="E255" s="65">
        <v>180.05931964223078</v>
      </c>
      <c r="F255" s="65">
        <v>73.941499999999991</v>
      </c>
      <c r="G255" s="65">
        <v>53.886571339061724</v>
      </c>
      <c r="H255" s="99">
        <v>0.11921854333355575</v>
      </c>
      <c r="I255" s="99">
        <v>-0.27122696538396263</v>
      </c>
      <c r="J255" s="99">
        <v>-3.7267068052154739E-3</v>
      </c>
    </row>
    <row r="256" spans="1:10" x14ac:dyDescent="0.25">
      <c r="A256" s="98">
        <v>44409</v>
      </c>
      <c r="B256" s="65">
        <v>0</v>
      </c>
      <c r="C256" s="65">
        <v>0</v>
      </c>
      <c r="D256" s="65">
        <v>17.034299999999998</v>
      </c>
      <c r="E256" s="65">
        <v>19.065104432706786</v>
      </c>
      <c r="F256" s="65">
        <v>7.8290999999999995</v>
      </c>
      <c r="G256" s="65">
        <v>5.7056369653124177</v>
      </c>
      <c r="H256" s="99">
        <v>0.11921854333355575</v>
      </c>
      <c r="I256" s="99">
        <v>-0.27122696538396263</v>
      </c>
      <c r="J256" s="99">
        <v>-3.7267068052154739E-3</v>
      </c>
    </row>
    <row r="257" spans="1:10" x14ac:dyDescent="0.25">
      <c r="A257" s="98">
        <v>44440</v>
      </c>
      <c r="B257" s="65">
        <v>0</v>
      </c>
      <c r="C257" s="65">
        <v>0</v>
      </c>
      <c r="D257" s="65">
        <v>15.1416</v>
      </c>
      <c r="E257" s="65">
        <v>16.946759495739368</v>
      </c>
      <c r="F257" s="65">
        <v>6.9592000000000001</v>
      </c>
      <c r="G257" s="65">
        <v>5.0716773024999275</v>
      </c>
      <c r="H257" s="99">
        <v>0.11921854333355575</v>
      </c>
      <c r="I257" s="99">
        <v>-0.27122696538396263</v>
      </c>
      <c r="J257" s="99">
        <v>-3.7267068052153629E-3</v>
      </c>
    </row>
    <row r="258" spans="1:10" x14ac:dyDescent="0.25">
      <c r="A258" s="98">
        <v>44470</v>
      </c>
      <c r="B258" s="65">
        <v>0</v>
      </c>
      <c r="C258" s="65">
        <v>0</v>
      </c>
      <c r="D258" s="65">
        <v>17.034299999999998</v>
      </c>
      <c r="E258" s="65">
        <v>19.065104432706786</v>
      </c>
      <c r="F258" s="65">
        <v>7.8290999999999995</v>
      </c>
      <c r="G258" s="65">
        <v>5.7056369653124177</v>
      </c>
      <c r="H258" s="99">
        <v>0.11921854333355575</v>
      </c>
      <c r="I258" s="99">
        <v>-0.27122696538396263</v>
      </c>
      <c r="J258" s="99">
        <v>-3.7267068052154739E-3</v>
      </c>
    </row>
    <row r="259" spans="1:10" x14ac:dyDescent="0.25">
      <c r="A259" s="98">
        <v>44501</v>
      </c>
      <c r="B259" s="65">
        <v>0</v>
      </c>
      <c r="C259" s="65">
        <v>0</v>
      </c>
      <c r="D259" s="65">
        <v>13.248900000000001</v>
      </c>
      <c r="E259" s="65">
        <v>14.828414558771946</v>
      </c>
      <c r="F259" s="65">
        <v>6.0892999999999997</v>
      </c>
      <c r="G259" s="65">
        <v>4.4377176396874365</v>
      </c>
      <c r="H259" s="99">
        <v>0.11921854333355575</v>
      </c>
      <c r="I259" s="99">
        <v>-0.27122696538396263</v>
      </c>
      <c r="J259" s="99">
        <v>-3.726706805215585E-3</v>
      </c>
    </row>
    <row r="260" spans="1:10" x14ac:dyDescent="0.25">
      <c r="A260" s="98">
        <v>44531</v>
      </c>
      <c r="B260" s="65">
        <v>0</v>
      </c>
      <c r="C260" s="65">
        <v>0</v>
      </c>
      <c r="D260" s="65">
        <v>16.087950000000003</v>
      </c>
      <c r="E260" s="65">
        <v>18.005931964223077</v>
      </c>
      <c r="F260" s="65">
        <v>7.3941500000000007</v>
      </c>
      <c r="G260" s="65">
        <v>5.3886571339061735</v>
      </c>
      <c r="H260" s="99">
        <v>0.11921854333355553</v>
      </c>
      <c r="I260" s="99">
        <v>-0.27122696538396263</v>
      </c>
      <c r="J260" s="99">
        <v>-3.7267068052154739E-3</v>
      </c>
    </row>
    <row r="261" spans="1:10" x14ac:dyDescent="0.25">
      <c r="A261" s="98">
        <v>44562</v>
      </c>
      <c r="B261" s="65">
        <v>0</v>
      </c>
      <c r="C261" s="65">
        <v>0</v>
      </c>
      <c r="D261" s="65">
        <v>24.6051</v>
      </c>
      <c r="E261" s="65">
        <v>27.538484180576468</v>
      </c>
      <c r="F261" s="65">
        <v>11.3087</v>
      </c>
      <c r="G261" s="65">
        <v>8.241475616562381</v>
      </c>
      <c r="H261" s="99">
        <v>0.11921854333355553</v>
      </c>
      <c r="I261" s="99">
        <v>-0.27122696538396274</v>
      </c>
      <c r="J261" s="99">
        <v>-3.726706805215585E-3</v>
      </c>
    </row>
    <row r="262" spans="1:10" x14ac:dyDescent="0.25">
      <c r="A262" s="98">
        <v>44593</v>
      </c>
      <c r="B262" s="65">
        <v>0</v>
      </c>
      <c r="C262" s="65">
        <v>0</v>
      </c>
      <c r="D262" s="65">
        <v>9.4634999999999998</v>
      </c>
      <c r="E262" s="65">
        <v>10.591724684837104</v>
      </c>
      <c r="F262" s="65">
        <v>4.3494999999999999</v>
      </c>
      <c r="G262" s="65">
        <v>3.1697983140624548</v>
      </c>
      <c r="H262" s="99">
        <v>0.11921854333355575</v>
      </c>
      <c r="I262" s="99">
        <v>-0.27122696538396251</v>
      </c>
      <c r="J262" s="99">
        <v>-3.7267068052154739E-3</v>
      </c>
    </row>
    <row r="263" spans="1:10" x14ac:dyDescent="0.25">
      <c r="A263" s="98">
        <v>44621</v>
      </c>
      <c r="B263" s="65">
        <v>0</v>
      </c>
      <c r="C263" s="65">
        <v>0</v>
      </c>
      <c r="D263" s="65">
        <v>9.4634999999999998</v>
      </c>
      <c r="E263" s="65">
        <v>10.591724684837104</v>
      </c>
      <c r="F263" s="65">
        <v>4.3494999999999999</v>
      </c>
      <c r="G263" s="65">
        <v>3.1697983140624548</v>
      </c>
      <c r="H263" s="99">
        <v>0.11921854333355575</v>
      </c>
      <c r="I263" s="99">
        <v>-0.27122696538396251</v>
      </c>
      <c r="J263" s="99">
        <v>-3.7267068052154739E-3</v>
      </c>
    </row>
    <row r="264" spans="1:10" x14ac:dyDescent="0.25">
      <c r="A264" s="98">
        <v>44652</v>
      </c>
      <c r="B264" s="65">
        <v>0</v>
      </c>
      <c r="C264" s="65">
        <v>0</v>
      </c>
      <c r="D264" s="65">
        <v>9.4634999999999998</v>
      </c>
      <c r="E264" s="65">
        <v>10.591724684837104</v>
      </c>
      <c r="F264" s="65">
        <v>4.3494999999999999</v>
      </c>
      <c r="G264" s="65">
        <v>3.1697983140624548</v>
      </c>
      <c r="H264" s="99">
        <v>0.11921854333355575</v>
      </c>
      <c r="I264" s="99">
        <v>-0.27122696538396251</v>
      </c>
      <c r="J264" s="99">
        <v>-3.7267068052154739E-3</v>
      </c>
    </row>
    <row r="265" spans="1:10" x14ac:dyDescent="0.25">
      <c r="A265" s="98">
        <v>44682</v>
      </c>
      <c r="B265" s="65">
        <v>0</v>
      </c>
      <c r="C265" s="65">
        <v>0</v>
      </c>
      <c r="D265" s="65">
        <v>8.5171499999999991</v>
      </c>
      <c r="E265" s="65">
        <v>9.5325522163533929</v>
      </c>
      <c r="F265" s="65">
        <v>3.9145499999999998</v>
      </c>
      <c r="G265" s="65">
        <v>2.8528184826562089</v>
      </c>
      <c r="H265" s="99">
        <v>0.11921854333355575</v>
      </c>
      <c r="I265" s="99">
        <v>-0.27122696538396263</v>
      </c>
      <c r="J265" s="99">
        <v>-3.7267068052154739E-3</v>
      </c>
    </row>
    <row r="266" spans="1:10" x14ac:dyDescent="0.25">
      <c r="A266" s="98">
        <v>44713</v>
      </c>
      <c r="B266" s="65">
        <v>0</v>
      </c>
      <c r="C266" s="65">
        <v>0</v>
      </c>
      <c r="D266" s="65">
        <v>10.40985</v>
      </c>
      <c r="E266" s="65">
        <v>11.650897153320814</v>
      </c>
      <c r="F266" s="65">
        <v>4.7844499999999996</v>
      </c>
      <c r="G266" s="65">
        <v>3.4867781454686999</v>
      </c>
      <c r="H266" s="99">
        <v>0.11921854333355553</v>
      </c>
      <c r="I266" s="99">
        <v>-0.27122696538396263</v>
      </c>
      <c r="J266" s="99">
        <v>-3.726706805215585E-3</v>
      </c>
    </row>
    <row r="267" spans="1:10" x14ac:dyDescent="0.25">
      <c r="A267" s="98">
        <v>44743</v>
      </c>
      <c r="B267" s="65">
        <v>0</v>
      </c>
      <c r="C267" s="65">
        <v>0</v>
      </c>
      <c r="D267" s="65">
        <v>10.40985</v>
      </c>
      <c r="E267" s="65">
        <v>11.650897153320814</v>
      </c>
      <c r="F267" s="65">
        <v>4.7844499999999996</v>
      </c>
      <c r="G267" s="65">
        <v>3.4867781454686999</v>
      </c>
      <c r="H267" s="99">
        <v>0.11921854333355553</v>
      </c>
      <c r="I267" s="99">
        <v>-0.27122696538396263</v>
      </c>
      <c r="J267" s="99">
        <v>-3.726706805215585E-3</v>
      </c>
    </row>
    <row r="268" spans="1:10" x14ac:dyDescent="0.25">
      <c r="A268" s="91" t="s">
        <v>23</v>
      </c>
      <c r="B268" s="65">
        <v>0</v>
      </c>
      <c r="C268" s="65">
        <v>0</v>
      </c>
      <c r="D268" s="65">
        <v>4462170.6236200007</v>
      </c>
      <c r="E268" s="65">
        <v>5147174.4676206671</v>
      </c>
      <c r="F268" s="65">
        <v>3099262.5237800004</v>
      </c>
      <c r="G268" s="65">
        <v>2292240.7700232011</v>
      </c>
      <c r="H268" s="99">
        <v>0.15351359277358756</v>
      </c>
      <c r="I268" s="99">
        <v>-0.26039154397689424</v>
      </c>
      <c r="J268" s="99">
        <v>-1.6136876089169583E-2</v>
      </c>
    </row>
    <row r="269" spans="1:10" x14ac:dyDescent="0.25">
      <c r="A269" s="92" t="s">
        <v>26</v>
      </c>
      <c r="B269" s="65">
        <v>0</v>
      </c>
      <c r="C269" s="65">
        <v>0</v>
      </c>
      <c r="D269" s="65">
        <v>4462170.6236200007</v>
      </c>
      <c r="E269" s="65">
        <v>5147174.4676206671</v>
      </c>
      <c r="F269" s="65">
        <v>3099262.5237800004</v>
      </c>
      <c r="G269" s="65">
        <v>2292240.7700232011</v>
      </c>
      <c r="H269" s="99">
        <v>0.15351359277358756</v>
      </c>
      <c r="I269" s="99">
        <v>-0.26039154397689424</v>
      </c>
      <c r="J269" s="99">
        <v>-1.6136876089169583E-2</v>
      </c>
    </row>
    <row r="270" spans="1:10" x14ac:dyDescent="0.25">
      <c r="A270" s="93" t="s">
        <v>24</v>
      </c>
      <c r="B270" s="65">
        <v>0</v>
      </c>
      <c r="C270" s="65">
        <v>0</v>
      </c>
      <c r="D270" s="65">
        <v>4462170.6236200007</v>
      </c>
      <c r="E270" s="65">
        <v>5147174.4676206671</v>
      </c>
      <c r="F270" s="65">
        <v>3099262.5237800004</v>
      </c>
      <c r="G270" s="65">
        <v>2292240.7700232011</v>
      </c>
      <c r="H270" s="99">
        <v>0.15351359277358756</v>
      </c>
      <c r="I270" s="99">
        <v>-0.26039154397689424</v>
      </c>
      <c r="J270" s="99">
        <v>-1.6136876089169583E-2</v>
      </c>
    </row>
    <row r="271" spans="1:10" x14ac:dyDescent="0.25">
      <c r="A271" s="94" t="s">
        <v>24</v>
      </c>
      <c r="B271" s="65">
        <v>0</v>
      </c>
      <c r="C271" s="65">
        <v>0</v>
      </c>
      <c r="D271" s="65">
        <v>4308458.7590200007</v>
      </c>
      <c r="E271" s="65">
        <v>4983926.0551868519</v>
      </c>
      <c r="F271" s="65">
        <v>2968714.4161300003</v>
      </c>
      <c r="G271" s="65">
        <v>2195687.825009116</v>
      </c>
      <c r="H271" s="99">
        <v>0.15677701330034144</v>
      </c>
      <c r="I271" s="99">
        <v>-0.26039102546232729</v>
      </c>
      <c r="J271" s="99">
        <v>-1.3406207686135319E-2</v>
      </c>
    </row>
    <row r="272" spans="1:10" x14ac:dyDescent="0.25">
      <c r="A272" s="95" t="s">
        <v>25</v>
      </c>
      <c r="B272" s="65">
        <v>0</v>
      </c>
      <c r="C272" s="65">
        <v>0</v>
      </c>
      <c r="D272" s="65">
        <v>4308458.7590200007</v>
      </c>
      <c r="E272" s="65">
        <v>4983926.0551868519</v>
      </c>
      <c r="F272" s="65">
        <v>2968714.4161300003</v>
      </c>
      <c r="G272" s="65">
        <v>2195687.825009116</v>
      </c>
      <c r="H272" s="99">
        <v>0.15677701330034144</v>
      </c>
      <c r="I272" s="99">
        <v>-0.26039102546232729</v>
      </c>
      <c r="J272" s="99">
        <v>-1.3406207686135319E-2</v>
      </c>
    </row>
    <row r="273" spans="1:10" x14ac:dyDescent="0.25">
      <c r="A273" s="96" t="s">
        <v>25</v>
      </c>
      <c r="B273" s="65">
        <v>0</v>
      </c>
      <c r="C273" s="65">
        <v>0</v>
      </c>
      <c r="D273" s="65">
        <v>4308458.7590200007</v>
      </c>
      <c r="E273" s="65">
        <v>4983926.0551868519</v>
      </c>
      <c r="F273" s="65">
        <v>2968714.4161300003</v>
      </c>
      <c r="G273" s="65">
        <v>2195687.825009116</v>
      </c>
      <c r="H273" s="99">
        <v>0.15677701330034144</v>
      </c>
      <c r="I273" s="99">
        <v>-0.26039102546232729</v>
      </c>
      <c r="J273" s="99">
        <v>-1.3406207686135319E-2</v>
      </c>
    </row>
    <row r="274" spans="1:10" x14ac:dyDescent="0.25">
      <c r="A274" s="97" t="s">
        <v>25</v>
      </c>
      <c r="B274" s="65">
        <v>0</v>
      </c>
      <c r="C274" s="65">
        <v>0</v>
      </c>
      <c r="D274" s="65">
        <v>4308458.7590200007</v>
      </c>
      <c r="E274" s="65">
        <v>4983926.0551868519</v>
      </c>
      <c r="F274" s="65">
        <v>2968714.4161300003</v>
      </c>
      <c r="G274" s="65">
        <v>2195687.825009116</v>
      </c>
      <c r="H274" s="99">
        <v>0.15677701330034144</v>
      </c>
      <c r="I274" s="99">
        <v>-0.26039102546232729</v>
      </c>
      <c r="J274" s="99">
        <v>-1.3406207686135319E-2</v>
      </c>
    </row>
    <row r="275" spans="1:10" x14ac:dyDescent="0.25">
      <c r="A275" s="98">
        <v>44409</v>
      </c>
      <c r="B275" s="65">
        <v>0</v>
      </c>
      <c r="C275" s="65">
        <v>0</v>
      </c>
      <c r="D275" s="65">
        <v>351840.98586000002</v>
      </c>
      <c r="E275" s="65">
        <v>407001.56477977848</v>
      </c>
      <c r="F275" s="65">
        <v>242433.65559000001</v>
      </c>
      <c r="G275" s="65">
        <v>179306.10740433927</v>
      </c>
      <c r="H275" s="99">
        <v>0.15677701330034144</v>
      </c>
      <c r="I275" s="99">
        <v>-0.26039102546232717</v>
      </c>
      <c r="J275" s="99">
        <v>-1.3406207686135319E-2</v>
      </c>
    </row>
    <row r="276" spans="1:10" x14ac:dyDescent="0.25">
      <c r="A276" s="98">
        <v>44440</v>
      </c>
      <c r="B276" s="65">
        <v>0</v>
      </c>
      <c r="C276" s="65">
        <v>0</v>
      </c>
      <c r="D276" s="65">
        <v>371877.49404000008</v>
      </c>
      <c r="E276" s="65">
        <v>430179.33686920686</v>
      </c>
      <c r="F276" s="65">
        <v>256239.67626000004</v>
      </c>
      <c r="G276" s="65">
        <v>189517.16419452391</v>
      </c>
      <c r="H276" s="99">
        <v>0.15677701330034166</v>
      </c>
      <c r="I276" s="99">
        <v>-0.26039102546232706</v>
      </c>
      <c r="J276" s="99">
        <v>-1.3406207686135097E-2</v>
      </c>
    </row>
    <row r="277" spans="1:10" x14ac:dyDescent="0.25">
      <c r="A277" s="98">
        <v>44470</v>
      </c>
      <c r="B277" s="65">
        <v>0</v>
      </c>
      <c r="C277" s="65">
        <v>0</v>
      </c>
      <c r="D277" s="65">
        <v>331642.73194000003</v>
      </c>
      <c r="E277" s="65">
        <v>383636.68893631903</v>
      </c>
      <c r="F277" s="65">
        <v>228516.18511000002</v>
      </c>
      <c r="G277" s="65">
        <v>169012.62133446813</v>
      </c>
      <c r="H277" s="99">
        <v>0.15677701330034166</v>
      </c>
      <c r="I277" s="99">
        <v>-0.26039102546232717</v>
      </c>
      <c r="J277" s="99">
        <v>-1.3406207686135097E-2</v>
      </c>
    </row>
    <row r="278" spans="1:10" x14ac:dyDescent="0.25">
      <c r="A278" s="98">
        <v>44501</v>
      </c>
      <c r="B278" s="65">
        <v>0</v>
      </c>
      <c r="C278" s="65">
        <v>0</v>
      </c>
      <c r="D278" s="65">
        <v>361407.20746000006</v>
      </c>
      <c r="E278" s="65">
        <v>418067.55003079574</v>
      </c>
      <c r="F278" s="65">
        <v>249025.19599000001</v>
      </c>
      <c r="G278" s="65">
        <v>184181.26984020692</v>
      </c>
      <c r="H278" s="99">
        <v>0.15677701330034144</v>
      </c>
      <c r="I278" s="99">
        <v>-0.26039102546232706</v>
      </c>
      <c r="J278" s="99">
        <v>-1.3406207686135208E-2</v>
      </c>
    </row>
    <row r="279" spans="1:10" x14ac:dyDescent="0.25">
      <c r="A279" s="98">
        <v>44531</v>
      </c>
      <c r="B279" s="65">
        <v>0</v>
      </c>
      <c r="C279" s="65">
        <v>0</v>
      </c>
      <c r="D279" s="65">
        <v>407441.18583999999</v>
      </c>
      <c r="E279" s="65">
        <v>471318.59805154463</v>
      </c>
      <c r="F279" s="65">
        <v>280744.59795999998</v>
      </c>
      <c r="G279" s="65">
        <v>207641.22420418684</v>
      </c>
      <c r="H279" s="99">
        <v>0.15677701330034166</v>
      </c>
      <c r="I279" s="99">
        <v>-0.26039102546232706</v>
      </c>
      <c r="J279" s="99">
        <v>-1.3406207686135208E-2</v>
      </c>
    </row>
    <row r="280" spans="1:10" x14ac:dyDescent="0.25">
      <c r="A280" s="98">
        <v>44562</v>
      </c>
      <c r="B280" s="65">
        <v>0</v>
      </c>
      <c r="C280" s="65">
        <v>0</v>
      </c>
      <c r="D280" s="65">
        <v>396230.61712000001</v>
      </c>
      <c r="E280" s="65">
        <v>458350.46985022479</v>
      </c>
      <c r="F280" s="65">
        <v>273020.03128000005</v>
      </c>
      <c r="G280" s="65">
        <v>201928.06536324418</v>
      </c>
      <c r="H280" s="99">
        <v>0.15677701330034166</v>
      </c>
      <c r="I280" s="99">
        <v>-0.26039102546232729</v>
      </c>
      <c r="J280" s="99">
        <v>-1.3406207686135319E-2</v>
      </c>
    </row>
    <row r="281" spans="1:10" x14ac:dyDescent="0.25">
      <c r="A281" s="98">
        <v>44593</v>
      </c>
      <c r="B281" s="65">
        <v>0</v>
      </c>
      <c r="C281" s="65">
        <v>0</v>
      </c>
      <c r="D281" s="65">
        <v>350692.06146</v>
      </c>
      <c r="E281" s="65">
        <v>405672.51544383867</v>
      </c>
      <c r="F281" s="65">
        <v>241641.99699000004</v>
      </c>
      <c r="G281" s="65">
        <v>178720.58959900934</v>
      </c>
      <c r="H281" s="99">
        <v>0.15677701330034166</v>
      </c>
      <c r="I281" s="99">
        <v>-0.26039102546232729</v>
      </c>
      <c r="J281" s="99">
        <v>-1.3406207686135097E-2</v>
      </c>
    </row>
    <row r="282" spans="1:10" x14ac:dyDescent="0.25">
      <c r="A282" s="98">
        <v>44621</v>
      </c>
      <c r="B282" s="65">
        <v>0</v>
      </c>
      <c r="C282" s="65">
        <v>0</v>
      </c>
      <c r="D282" s="65">
        <v>383650.30236000003</v>
      </c>
      <c r="E282" s="65">
        <v>443797.85091577377</v>
      </c>
      <c r="F282" s="65">
        <v>264351.65034000005</v>
      </c>
      <c r="G282" s="65">
        <v>195516.85302530887</v>
      </c>
      <c r="H282" s="99">
        <v>0.15677701330034144</v>
      </c>
      <c r="I282" s="99">
        <v>-0.26039102546232729</v>
      </c>
      <c r="J282" s="99">
        <v>-1.3406207686135319E-2</v>
      </c>
    </row>
    <row r="283" spans="1:10" x14ac:dyDescent="0.25">
      <c r="A283" s="98">
        <v>44652</v>
      </c>
      <c r="B283" s="65">
        <v>0</v>
      </c>
      <c r="C283" s="65">
        <v>0</v>
      </c>
      <c r="D283" s="65">
        <v>337958.55677999998</v>
      </c>
      <c r="E283" s="65">
        <v>390942.68993126234</v>
      </c>
      <c r="F283" s="65">
        <v>232868.06157000002</v>
      </c>
      <c r="G283" s="65">
        <v>172231.30822036337</v>
      </c>
      <c r="H283" s="99">
        <v>0.15677701330034166</v>
      </c>
      <c r="I283" s="99">
        <v>-0.26039102546232717</v>
      </c>
      <c r="J283" s="99">
        <v>-1.3406207686135097E-2</v>
      </c>
    </row>
    <row r="284" spans="1:10" x14ac:dyDescent="0.25">
      <c r="A284" s="98">
        <v>44682</v>
      </c>
      <c r="B284" s="65">
        <v>0</v>
      </c>
      <c r="C284" s="65">
        <v>0</v>
      </c>
      <c r="D284" s="65">
        <v>327692.79504</v>
      </c>
      <c r="E284" s="65">
        <v>379067.49272641225</v>
      </c>
      <c r="F284" s="65">
        <v>225794.50776000004</v>
      </c>
      <c r="G284" s="65">
        <v>166999.64434061223</v>
      </c>
      <c r="H284" s="99">
        <v>0.15677701330034188</v>
      </c>
      <c r="I284" s="99">
        <v>-0.26039102546232717</v>
      </c>
      <c r="J284" s="99">
        <v>-1.3406207686135208E-2</v>
      </c>
    </row>
    <row r="285" spans="1:10" x14ac:dyDescent="0.25">
      <c r="A285" s="98">
        <v>44713</v>
      </c>
      <c r="B285" s="65">
        <v>0</v>
      </c>
      <c r="C285" s="65">
        <v>0</v>
      </c>
      <c r="D285" s="65">
        <v>344012.41056000005</v>
      </c>
      <c r="E285" s="65">
        <v>397945.64882584766</v>
      </c>
      <c r="F285" s="65">
        <v>237039.42864</v>
      </c>
      <c r="G285" s="65">
        <v>175316.48874142629</v>
      </c>
      <c r="H285" s="99">
        <v>0.15677701330034144</v>
      </c>
      <c r="I285" s="99">
        <v>-0.26039102546232706</v>
      </c>
      <c r="J285" s="99">
        <v>-1.3406207686135319E-2</v>
      </c>
    </row>
    <row r="286" spans="1:10" x14ac:dyDescent="0.25">
      <c r="A286" s="98">
        <v>44743</v>
      </c>
      <c r="B286" s="65">
        <v>0</v>
      </c>
      <c r="C286" s="65">
        <v>0</v>
      </c>
      <c r="D286" s="65">
        <v>344012.41056000005</v>
      </c>
      <c r="E286" s="65">
        <v>397945.64882584766</v>
      </c>
      <c r="F286" s="65">
        <v>237039.42864</v>
      </c>
      <c r="G286" s="65">
        <v>175316.48874142629</v>
      </c>
      <c r="H286" s="99">
        <v>0.15677701330034144</v>
      </c>
      <c r="I286" s="99">
        <v>-0.26039102546232706</v>
      </c>
      <c r="J286" s="99">
        <v>-1.3406207686135319E-2</v>
      </c>
    </row>
    <row r="287" spans="1:10" x14ac:dyDescent="0.25">
      <c r="A287" s="94" t="s">
        <v>28</v>
      </c>
      <c r="B287" s="65">
        <v>0</v>
      </c>
      <c r="C287" s="65">
        <v>0</v>
      </c>
      <c r="D287" s="65">
        <v>23672.487799999995</v>
      </c>
      <c r="E287" s="65">
        <v>25141.464054737444</v>
      </c>
      <c r="F287" s="65">
        <v>20105.961200000005</v>
      </c>
      <c r="G287" s="65">
        <v>14869.868320678575</v>
      </c>
      <c r="H287" s="99">
        <v>6.2054156164247809E-2</v>
      </c>
      <c r="I287" s="99">
        <v>-0.26042489723502638</v>
      </c>
      <c r="J287" s="99">
        <v>-8.6049568009683886E-2</v>
      </c>
    </row>
    <row r="288" spans="1:10" x14ac:dyDescent="0.25">
      <c r="A288" s="95" t="s">
        <v>25</v>
      </c>
      <c r="B288" s="65">
        <v>0</v>
      </c>
      <c r="C288" s="65">
        <v>0</v>
      </c>
      <c r="D288" s="65">
        <v>23672.487799999995</v>
      </c>
      <c r="E288" s="65">
        <v>25141.464054737444</v>
      </c>
      <c r="F288" s="65">
        <v>20105.961200000005</v>
      </c>
      <c r="G288" s="65">
        <v>14869.868320678575</v>
      </c>
      <c r="H288" s="99">
        <v>6.2054156164247809E-2</v>
      </c>
      <c r="I288" s="99">
        <v>-0.26042489723502638</v>
      </c>
      <c r="J288" s="99">
        <v>-8.6049568009683886E-2</v>
      </c>
    </row>
    <row r="289" spans="1:10" x14ac:dyDescent="0.25">
      <c r="A289" s="96" t="s">
        <v>25</v>
      </c>
      <c r="B289" s="65">
        <v>0</v>
      </c>
      <c r="C289" s="65">
        <v>0</v>
      </c>
      <c r="D289" s="65">
        <v>23672.487799999995</v>
      </c>
      <c r="E289" s="65">
        <v>25141.464054737444</v>
      </c>
      <c r="F289" s="65">
        <v>20105.961200000005</v>
      </c>
      <c r="G289" s="65">
        <v>14869.868320678575</v>
      </c>
      <c r="H289" s="99">
        <v>6.2054156164247809E-2</v>
      </c>
      <c r="I289" s="99">
        <v>-0.26042489723502638</v>
      </c>
      <c r="J289" s="99">
        <v>-8.6049568009683886E-2</v>
      </c>
    </row>
    <row r="290" spans="1:10" x14ac:dyDescent="0.25">
      <c r="A290" s="97" t="s">
        <v>25</v>
      </c>
      <c r="B290" s="65">
        <v>0</v>
      </c>
      <c r="C290" s="65">
        <v>0</v>
      </c>
      <c r="D290" s="65">
        <v>23672.487799999995</v>
      </c>
      <c r="E290" s="65">
        <v>25141.464054737444</v>
      </c>
      <c r="F290" s="65">
        <v>20105.961200000005</v>
      </c>
      <c r="G290" s="65">
        <v>14869.868320678575</v>
      </c>
      <c r="H290" s="99">
        <v>6.2054156164247809E-2</v>
      </c>
      <c r="I290" s="99">
        <v>-0.26042489723502638</v>
      </c>
      <c r="J290" s="99">
        <v>-8.6049568009683886E-2</v>
      </c>
    </row>
    <row r="291" spans="1:10" x14ac:dyDescent="0.25">
      <c r="A291" s="98">
        <v>44409</v>
      </c>
      <c r="B291" s="65">
        <v>0</v>
      </c>
      <c r="C291" s="65">
        <v>0</v>
      </c>
      <c r="D291" s="65">
        <v>2002.5938999999998</v>
      </c>
      <c r="E291" s="65">
        <v>2126.8631746041692</v>
      </c>
      <c r="F291" s="65">
        <v>1700.8806</v>
      </c>
      <c r="G291" s="65">
        <v>1257.9289445359502</v>
      </c>
      <c r="H291" s="99">
        <v>6.2054156164247365E-2</v>
      </c>
      <c r="I291" s="99">
        <v>-0.26042489723502626</v>
      </c>
      <c r="J291" s="99">
        <v>-8.6049568009683997E-2</v>
      </c>
    </row>
    <row r="292" spans="1:10" x14ac:dyDescent="0.25">
      <c r="A292" s="98">
        <v>44440</v>
      </c>
      <c r="B292" s="65">
        <v>0</v>
      </c>
      <c r="C292" s="65">
        <v>0</v>
      </c>
      <c r="D292" s="65">
        <v>1874.1779999999999</v>
      </c>
      <c r="E292" s="65">
        <v>1990.478534291597</v>
      </c>
      <c r="F292" s="65">
        <v>1591.8120000000001</v>
      </c>
      <c r="G292" s="65">
        <v>1177.2645234825184</v>
      </c>
      <c r="H292" s="99">
        <v>6.2054156164247587E-2</v>
      </c>
      <c r="I292" s="99">
        <v>-0.26042489723502638</v>
      </c>
      <c r="J292" s="99">
        <v>-8.6049568009683997E-2</v>
      </c>
    </row>
    <row r="293" spans="1:10" x14ac:dyDescent="0.25">
      <c r="A293" s="98">
        <v>44470</v>
      </c>
      <c r="B293" s="65">
        <v>0</v>
      </c>
      <c r="C293" s="65">
        <v>0</v>
      </c>
      <c r="D293" s="65">
        <v>1842.9416999999999</v>
      </c>
      <c r="E293" s="65">
        <v>1957.3038920534038</v>
      </c>
      <c r="F293" s="65">
        <v>1565.2818</v>
      </c>
      <c r="G293" s="65">
        <v>1157.643448091143</v>
      </c>
      <c r="H293" s="99">
        <v>6.2054156164247587E-2</v>
      </c>
      <c r="I293" s="99">
        <v>-0.26042489723502626</v>
      </c>
      <c r="J293" s="99">
        <v>-8.6049568009684108E-2</v>
      </c>
    </row>
    <row r="294" spans="1:10" x14ac:dyDescent="0.25">
      <c r="A294" s="98">
        <v>44501</v>
      </c>
      <c r="B294" s="65">
        <v>0</v>
      </c>
      <c r="C294" s="65">
        <v>0</v>
      </c>
      <c r="D294" s="65">
        <v>1881.1194</v>
      </c>
      <c r="E294" s="65">
        <v>1997.8506770111958</v>
      </c>
      <c r="F294" s="65">
        <v>1597.7076000000002</v>
      </c>
      <c r="G294" s="65">
        <v>1181.6247624583798</v>
      </c>
      <c r="H294" s="99">
        <v>6.2054156164247587E-2</v>
      </c>
      <c r="I294" s="99">
        <v>-0.26042489723502615</v>
      </c>
      <c r="J294" s="99">
        <v>-8.6049568009683886E-2</v>
      </c>
    </row>
    <row r="295" spans="1:10" x14ac:dyDescent="0.25">
      <c r="A295" s="98">
        <v>44531</v>
      </c>
      <c r="B295" s="65">
        <v>0</v>
      </c>
      <c r="C295" s="65">
        <v>0</v>
      </c>
      <c r="D295" s="65">
        <v>1922.7678000000001</v>
      </c>
      <c r="E295" s="65">
        <v>2042.0835333287869</v>
      </c>
      <c r="F295" s="65">
        <v>1633.0812000000001</v>
      </c>
      <c r="G295" s="65">
        <v>1207.7861963135467</v>
      </c>
      <c r="H295" s="99">
        <v>6.2054156164247587E-2</v>
      </c>
      <c r="I295" s="99">
        <v>-0.26042489723502626</v>
      </c>
      <c r="J295" s="99">
        <v>-8.6049568009683997E-2</v>
      </c>
    </row>
    <row r="296" spans="1:10" x14ac:dyDescent="0.25">
      <c r="A296" s="98">
        <v>44562</v>
      </c>
      <c r="B296" s="65">
        <v>0</v>
      </c>
      <c r="C296" s="65">
        <v>0</v>
      </c>
      <c r="D296" s="65">
        <v>1936.6505999999997</v>
      </c>
      <c r="E296" s="65">
        <v>2056.8278187679834</v>
      </c>
      <c r="F296" s="65">
        <v>1644.8724</v>
      </c>
      <c r="G296" s="65">
        <v>1216.5066742652689</v>
      </c>
      <c r="H296" s="99">
        <v>6.2054156164247587E-2</v>
      </c>
      <c r="I296" s="99">
        <v>-0.26042489723502626</v>
      </c>
      <c r="J296" s="99">
        <v>-8.6049568009683997E-2</v>
      </c>
    </row>
    <row r="297" spans="1:10" x14ac:dyDescent="0.25">
      <c r="A297" s="98">
        <v>44593</v>
      </c>
      <c r="B297" s="65">
        <v>0</v>
      </c>
      <c r="C297" s="65">
        <v>0</v>
      </c>
      <c r="D297" s="65">
        <v>1959.7886000000001</v>
      </c>
      <c r="E297" s="65">
        <v>2081.401627833312</v>
      </c>
      <c r="F297" s="65">
        <v>1664.5244000000002</v>
      </c>
      <c r="G297" s="65">
        <v>1231.0408041848063</v>
      </c>
      <c r="H297" s="99">
        <v>6.2054156164247365E-2</v>
      </c>
      <c r="I297" s="99">
        <v>-0.26042489723502626</v>
      </c>
      <c r="J297" s="99">
        <v>-8.6049568009683997E-2</v>
      </c>
    </row>
    <row r="298" spans="1:10" x14ac:dyDescent="0.25">
      <c r="A298" s="98">
        <v>44621</v>
      </c>
      <c r="B298" s="65">
        <v>0</v>
      </c>
      <c r="C298" s="65">
        <v>0</v>
      </c>
      <c r="D298" s="65">
        <v>1992.1817999999998</v>
      </c>
      <c r="E298" s="65">
        <v>2115.8049605247716</v>
      </c>
      <c r="F298" s="65">
        <v>1692.0372</v>
      </c>
      <c r="G298" s="65">
        <v>1251.3885860721584</v>
      </c>
      <c r="H298" s="99">
        <v>6.2054156164247587E-2</v>
      </c>
      <c r="I298" s="99">
        <v>-0.26042489723502626</v>
      </c>
      <c r="J298" s="99">
        <v>-8.6049568009683997E-2</v>
      </c>
    </row>
    <row r="299" spans="1:10" x14ac:dyDescent="0.25">
      <c r="A299" s="98">
        <v>44652</v>
      </c>
      <c r="B299" s="65">
        <v>0</v>
      </c>
      <c r="C299" s="65">
        <v>0</v>
      </c>
      <c r="D299" s="65">
        <v>2013.0059999999999</v>
      </c>
      <c r="E299" s="65">
        <v>2137.9213886835669</v>
      </c>
      <c r="F299" s="65">
        <v>1709.7239999999999</v>
      </c>
      <c r="G299" s="65">
        <v>1264.4693029997418</v>
      </c>
      <c r="H299" s="99">
        <v>6.2054156164247365E-2</v>
      </c>
      <c r="I299" s="99">
        <v>-0.26042489723502638</v>
      </c>
      <c r="J299" s="99">
        <v>-8.6049568009684108E-2</v>
      </c>
    </row>
    <row r="300" spans="1:10" x14ac:dyDescent="0.25">
      <c r="A300" s="98">
        <v>44682</v>
      </c>
      <c r="B300" s="65">
        <v>0</v>
      </c>
      <c r="C300" s="65">
        <v>0</v>
      </c>
      <c r="D300" s="65">
        <v>2047.713</v>
      </c>
      <c r="E300" s="65">
        <v>2174.7821022815597</v>
      </c>
      <c r="F300" s="65">
        <v>1739.202</v>
      </c>
      <c r="G300" s="65">
        <v>1286.2704978790478</v>
      </c>
      <c r="H300" s="99">
        <v>6.2054156164247587E-2</v>
      </c>
      <c r="I300" s="99">
        <v>-0.26042489723502626</v>
      </c>
      <c r="J300" s="99">
        <v>-8.6049568009683997E-2</v>
      </c>
    </row>
    <row r="301" spans="1:10" x14ac:dyDescent="0.25">
      <c r="A301" s="98">
        <v>44713</v>
      </c>
      <c r="B301" s="65">
        <v>0</v>
      </c>
      <c r="C301" s="65">
        <v>0</v>
      </c>
      <c r="D301" s="65">
        <v>2099.7734999999998</v>
      </c>
      <c r="E301" s="65">
        <v>2230.0731726785484</v>
      </c>
      <c r="F301" s="65">
        <v>1783.4189999999999</v>
      </c>
      <c r="G301" s="65">
        <v>1318.9722901980067</v>
      </c>
      <c r="H301" s="99">
        <v>6.2054156164247587E-2</v>
      </c>
      <c r="I301" s="99">
        <v>-0.26042489723502615</v>
      </c>
      <c r="J301" s="99">
        <v>-8.6049568009683886E-2</v>
      </c>
    </row>
    <row r="302" spans="1:10" x14ac:dyDescent="0.25">
      <c r="A302" s="98">
        <v>44743</v>
      </c>
      <c r="B302" s="65">
        <v>0</v>
      </c>
      <c r="C302" s="65">
        <v>0</v>
      </c>
      <c r="D302" s="65">
        <v>2099.7734999999998</v>
      </c>
      <c r="E302" s="65">
        <v>2230.0731726785484</v>
      </c>
      <c r="F302" s="65">
        <v>1783.4189999999999</v>
      </c>
      <c r="G302" s="65">
        <v>1318.9722901980067</v>
      </c>
      <c r="H302" s="99">
        <v>6.2054156164247587E-2</v>
      </c>
      <c r="I302" s="99">
        <v>-0.26042489723502615</v>
      </c>
      <c r="J302" s="99">
        <v>-8.6049568009683886E-2</v>
      </c>
    </row>
    <row r="303" spans="1:10" x14ac:dyDescent="0.25">
      <c r="A303" s="94" t="s">
        <v>29</v>
      </c>
      <c r="B303" s="65">
        <v>0</v>
      </c>
      <c r="C303" s="65">
        <v>0</v>
      </c>
      <c r="D303" s="65">
        <v>74681.75649</v>
      </c>
      <c r="E303" s="65">
        <v>79314.355928370773</v>
      </c>
      <c r="F303" s="65">
        <v>63426.587320000006</v>
      </c>
      <c r="G303" s="65">
        <v>46910.316202212991</v>
      </c>
      <c r="H303" s="99">
        <v>6.2031206228941427E-2</v>
      </c>
      <c r="I303" s="99">
        <v>-0.26039980733093959</v>
      </c>
      <c r="J303" s="99">
        <v>-8.6046008167073307E-2</v>
      </c>
    </row>
    <row r="304" spans="1:10" x14ac:dyDescent="0.25">
      <c r="A304" s="95" t="s">
        <v>25</v>
      </c>
      <c r="B304" s="65">
        <v>0</v>
      </c>
      <c r="C304" s="65">
        <v>0</v>
      </c>
      <c r="D304" s="65">
        <v>74681.75649</v>
      </c>
      <c r="E304" s="65">
        <v>79314.355928370773</v>
      </c>
      <c r="F304" s="65">
        <v>63426.587320000006</v>
      </c>
      <c r="G304" s="65">
        <v>46910.316202212991</v>
      </c>
      <c r="H304" s="99">
        <v>6.2031206228941427E-2</v>
      </c>
      <c r="I304" s="99">
        <v>-0.26039980733093959</v>
      </c>
      <c r="J304" s="99">
        <v>-8.6046008167073307E-2</v>
      </c>
    </row>
    <row r="305" spans="1:10" x14ac:dyDescent="0.25">
      <c r="A305" s="96" t="s">
        <v>25</v>
      </c>
      <c r="B305" s="65">
        <v>0</v>
      </c>
      <c r="C305" s="65">
        <v>0</v>
      </c>
      <c r="D305" s="65">
        <v>74681.75649</v>
      </c>
      <c r="E305" s="65">
        <v>79314.355928370773</v>
      </c>
      <c r="F305" s="65">
        <v>63426.587320000006</v>
      </c>
      <c r="G305" s="65">
        <v>46910.316202212991</v>
      </c>
      <c r="H305" s="99">
        <v>6.2031206228941427E-2</v>
      </c>
      <c r="I305" s="99">
        <v>-0.26039980733093959</v>
      </c>
      <c r="J305" s="99">
        <v>-8.6046008167073307E-2</v>
      </c>
    </row>
    <row r="306" spans="1:10" x14ac:dyDescent="0.25">
      <c r="A306" s="97" t="s">
        <v>25</v>
      </c>
      <c r="B306" s="65">
        <v>0</v>
      </c>
      <c r="C306" s="65">
        <v>0</v>
      </c>
      <c r="D306" s="65">
        <v>74681.75649</v>
      </c>
      <c r="E306" s="65">
        <v>79314.355928370773</v>
      </c>
      <c r="F306" s="65">
        <v>63426.587320000006</v>
      </c>
      <c r="G306" s="65">
        <v>46910.316202212991</v>
      </c>
      <c r="H306" s="99">
        <v>6.2031206228941427E-2</v>
      </c>
      <c r="I306" s="99">
        <v>-0.26039980733093959</v>
      </c>
      <c r="J306" s="99">
        <v>-8.6046008167073307E-2</v>
      </c>
    </row>
    <row r="307" spans="1:10" x14ac:dyDescent="0.25">
      <c r="A307" s="98">
        <v>44409</v>
      </c>
      <c r="B307" s="65">
        <v>0</v>
      </c>
      <c r="C307" s="65">
        <v>0</v>
      </c>
      <c r="D307" s="65">
        <v>6065.52639</v>
      </c>
      <c r="E307" s="65">
        <v>6441.7783083851764</v>
      </c>
      <c r="F307" s="65">
        <v>5151.4005199999992</v>
      </c>
      <c r="G307" s="65">
        <v>3809.9768171074984</v>
      </c>
      <c r="H307" s="99">
        <v>6.2031206228941427E-2</v>
      </c>
      <c r="I307" s="99">
        <v>-0.26039980733093937</v>
      </c>
      <c r="J307" s="99">
        <v>-8.6046008167073196E-2</v>
      </c>
    </row>
    <row r="308" spans="1:10" x14ac:dyDescent="0.25">
      <c r="A308" s="98">
        <v>44440</v>
      </c>
      <c r="B308" s="65">
        <v>0</v>
      </c>
      <c r="C308" s="65">
        <v>0</v>
      </c>
      <c r="D308" s="65">
        <v>6134.9418900000001</v>
      </c>
      <c r="E308" s="65">
        <v>6515.499735581162</v>
      </c>
      <c r="F308" s="65">
        <v>5210.3545199999999</v>
      </c>
      <c r="G308" s="65">
        <v>3853.5792068661103</v>
      </c>
      <c r="H308" s="99">
        <v>6.2031206228941427E-2</v>
      </c>
      <c r="I308" s="99">
        <v>-0.26039980733093948</v>
      </c>
      <c r="J308" s="99">
        <v>-8.6046008167073307E-2</v>
      </c>
    </row>
    <row r="309" spans="1:10" x14ac:dyDescent="0.25">
      <c r="A309" s="98">
        <v>44470</v>
      </c>
      <c r="B309" s="65">
        <v>0</v>
      </c>
      <c r="C309" s="65">
        <v>0</v>
      </c>
      <c r="D309" s="65">
        <v>5608.5740700000006</v>
      </c>
      <c r="E309" s="65">
        <v>5956.4806847864638</v>
      </c>
      <c r="F309" s="65">
        <v>4763.3147600000002</v>
      </c>
      <c r="G309" s="65">
        <v>3522.9485142393796</v>
      </c>
      <c r="H309" s="99">
        <v>6.2031206228941427E-2</v>
      </c>
      <c r="I309" s="99">
        <v>-0.26039980733093959</v>
      </c>
      <c r="J309" s="99">
        <v>-8.6046008167073418E-2</v>
      </c>
    </row>
    <row r="310" spans="1:10" x14ac:dyDescent="0.25">
      <c r="A310" s="98">
        <v>44501</v>
      </c>
      <c r="B310" s="65">
        <v>0</v>
      </c>
      <c r="C310" s="65">
        <v>0</v>
      </c>
      <c r="D310" s="65">
        <v>6198.6058200000007</v>
      </c>
      <c r="E310" s="65">
        <v>6583.1128159523369</v>
      </c>
      <c r="F310" s="65">
        <v>5264.4237600000006</v>
      </c>
      <c r="G310" s="65">
        <v>3893.5688271875802</v>
      </c>
      <c r="H310" s="99">
        <v>6.2031206228941427E-2</v>
      </c>
      <c r="I310" s="99">
        <v>-0.26039980733093948</v>
      </c>
      <c r="J310" s="99">
        <v>-8.6046008167073529E-2</v>
      </c>
    </row>
    <row r="311" spans="1:10" x14ac:dyDescent="0.25">
      <c r="A311" s="98">
        <v>44531</v>
      </c>
      <c r="B311" s="65">
        <v>0</v>
      </c>
      <c r="C311" s="65">
        <v>0</v>
      </c>
      <c r="D311" s="65">
        <v>6518.7104400000007</v>
      </c>
      <c r="E311" s="65">
        <v>6923.0739116503946</v>
      </c>
      <c r="F311" s="65">
        <v>5536.2859200000003</v>
      </c>
      <c r="G311" s="65">
        <v>4094.638133103007</v>
      </c>
      <c r="H311" s="99">
        <v>6.2031206228941427E-2</v>
      </c>
      <c r="I311" s="99">
        <v>-0.26039980733093948</v>
      </c>
      <c r="J311" s="99">
        <v>-8.6046008167073307E-2</v>
      </c>
    </row>
    <row r="312" spans="1:10" x14ac:dyDescent="0.25">
      <c r="A312" s="98">
        <v>44562</v>
      </c>
      <c r="B312" s="65">
        <v>0</v>
      </c>
      <c r="C312" s="65">
        <v>0</v>
      </c>
      <c r="D312" s="65">
        <v>6463.9713600000005</v>
      </c>
      <c r="E312" s="65">
        <v>6864.9393004901312</v>
      </c>
      <c r="F312" s="65">
        <v>5489.79648</v>
      </c>
      <c r="G312" s="65">
        <v>4060.2545343219299</v>
      </c>
      <c r="H312" s="99">
        <v>6.2031206228941427E-2</v>
      </c>
      <c r="I312" s="99">
        <v>-0.26039980733093959</v>
      </c>
      <c r="J312" s="99">
        <v>-8.6046008167073418E-2</v>
      </c>
    </row>
    <row r="313" spans="1:10" x14ac:dyDescent="0.25">
      <c r="A313" s="98">
        <v>44593</v>
      </c>
      <c r="B313" s="65">
        <v>0</v>
      </c>
      <c r="C313" s="65">
        <v>0</v>
      </c>
      <c r="D313" s="65">
        <v>6300.3491100000001</v>
      </c>
      <c r="E313" s="65">
        <v>6691.1673649567374</v>
      </c>
      <c r="F313" s="65">
        <v>5350.8334800000002</v>
      </c>
      <c r="G313" s="65">
        <v>3957.4774727480594</v>
      </c>
      <c r="H313" s="99">
        <v>6.2031206228941427E-2</v>
      </c>
      <c r="I313" s="99">
        <v>-0.26039980733093959</v>
      </c>
      <c r="J313" s="99">
        <v>-8.6046008167073418E-2</v>
      </c>
    </row>
    <row r="314" spans="1:10" x14ac:dyDescent="0.25">
      <c r="A314" s="98">
        <v>44621</v>
      </c>
      <c r="B314" s="65">
        <v>0</v>
      </c>
      <c r="C314" s="65">
        <v>0</v>
      </c>
      <c r="D314" s="65">
        <v>6671.8212000000003</v>
      </c>
      <c r="E314" s="65">
        <v>7085.6823167798239</v>
      </c>
      <c r="F314" s="65">
        <v>5666.3216000000002</v>
      </c>
      <c r="G314" s="65">
        <v>4190.812547084859</v>
      </c>
      <c r="H314" s="99">
        <v>6.2031206228941427E-2</v>
      </c>
      <c r="I314" s="99">
        <v>-0.26039980733093959</v>
      </c>
      <c r="J314" s="99">
        <v>-8.6046008167073529E-2</v>
      </c>
    </row>
    <row r="315" spans="1:10" x14ac:dyDescent="0.25">
      <c r="A315" s="98">
        <v>44652</v>
      </c>
      <c r="B315" s="65">
        <v>0</v>
      </c>
      <c r="C315" s="65">
        <v>0</v>
      </c>
      <c r="D315" s="65">
        <v>6242.63508</v>
      </c>
      <c r="E315" s="65">
        <v>6629.8732640595044</v>
      </c>
      <c r="F315" s="65">
        <v>5301.8174399999998</v>
      </c>
      <c r="G315" s="65">
        <v>3921.225200120185</v>
      </c>
      <c r="H315" s="99">
        <v>6.2031206228941427E-2</v>
      </c>
      <c r="I315" s="99">
        <v>-0.26039980733093948</v>
      </c>
      <c r="J315" s="99">
        <v>-8.6046008167073307E-2</v>
      </c>
    </row>
    <row r="316" spans="1:10" x14ac:dyDescent="0.25">
      <c r="A316" s="98">
        <v>44682</v>
      </c>
      <c r="B316" s="65">
        <v>0</v>
      </c>
      <c r="C316" s="65">
        <v>0</v>
      </c>
      <c r="D316" s="65">
        <v>6038.1568500000003</v>
      </c>
      <c r="E316" s="65">
        <v>6412.7110028050456</v>
      </c>
      <c r="F316" s="65">
        <v>5128.1557999999995</v>
      </c>
      <c r="G316" s="65">
        <v>3792.7850177169603</v>
      </c>
      <c r="H316" s="99">
        <v>6.2031206228941427E-2</v>
      </c>
      <c r="I316" s="99">
        <v>-0.26039980733093937</v>
      </c>
      <c r="J316" s="99">
        <v>-8.6046008167073418E-2</v>
      </c>
    </row>
    <row r="317" spans="1:10" x14ac:dyDescent="0.25">
      <c r="A317" s="98">
        <v>44713</v>
      </c>
      <c r="B317" s="65">
        <v>0</v>
      </c>
      <c r="C317" s="65">
        <v>0</v>
      </c>
      <c r="D317" s="65">
        <v>6219.2321400000001</v>
      </c>
      <c r="E317" s="65">
        <v>6605.018611462001</v>
      </c>
      <c r="F317" s="65">
        <v>5281.9415200000003</v>
      </c>
      <c r="G317" s="65">
        <v>3906.5249658587104</v>
      </c>
      <c r="H317" s="99">
        <v>6.2031206228941427E-2</v>
      </c>
      <c r="I317" s="99">
        <v>-0.26039980733093948</v>
      </c>
      <c r="J317" s="99">
        <v>-8.6046008167073307E-2</v>
      </c>
    </row>
    <row r="318" spans="1:10" x14ac:dyDescent="0.25">
      <c r="A318" s="98">
        <v>44743</v>
      </c>
      <c r="B318" s="65">
        <v>0</v>
      </c>
      <c r="C318" s="65">
        <v>0</v>
      </c>
      <c r="D318" s="65">
        <v>6219.2321400000001</v>
      </c>
      <c r="E318" s="65">
        <v>6605.018611462001</v>
      </c>
      <c r="F318" s="65">
        <v>5281.9415200000003</v>
      </c>
      <c r="G318" s="65">
        <v>3906.5249658587104</v>
      </c>
      <c r="H318" s="99">
        <v>6.2031206228941427E-2</v>
      </c>
      <c r="I318" s="99">
        <v>-0.26039980733093948</v>
      </c>
      <c r="J318" s="99">
        <v>-8.6046008167073307E-2</v>
      </c>
    </row>
    <row r="319" spans="1:10" x14ac:dyDescent="0.25">
      <c r="A319" s="94" t="s">
        <v>30</v>
      </c>
      <c r="B319" s="65">
        <v>0</v>
      </c>
      <c r="C319" s="65">
        <v>0</v>
      </c>
      <c r="D319" s="65">
        <v>49471.694530000008</v>
      </c>
      <c r="E319" s="65">
        <v>52541.366478903139</v>
      </c>
      <c r="F319" s="65">
        <v>42016.600019999998</v>
      </c>
      <c r="G319" s="65">
        <v>31075.485470090855</v>
      </c>
      <c r="H319" s="99">
        <v>6.2049056092907007E-2</v>
      </c>
      <c r="I319" s="99">
        <v>-0.26039980733093937</v>
      </c>
      <c r="J319" s="99">
        <v>-8.6037701759804075E-2</v>
      </c>
    </row>
    <row r="320" spans="1:10" x14ac:dyDescent="0.25">
      <c r="A320" s="95" t="s">
        <v>25</v>
      </c>
      <c r="B320" s="65">
        <v>0</v>
      </c>
      <c r="C320" s="65">
        <v>0</v>
      </c>
      <c r="D320" s="65">
        <v>49471.694530000008</v>
      </c>
      <c r="E320" s="65">
        <v>52541.366478903139</v>
      </c>
      <c r="F320" s="65">
        <v>42016.600019999998</v>
      </c>
      <c r="G320" s="65">
        <v>31075.485470090855</v>
      </c>
      <c r="H320" s="99">
        <v>6.2049056092907007E-2</v>
      </c>
      <c r="I320" s="99">
        <v>-0.26039980733093937</v>
      </c>
      <c r="J320" s="99">
        <v>-8.6037701759804075E-2</v>
      </c>
    </row>
    <row r="321" spans="1:10" x14ac:dyDescent="0.25">
      <c r="A321" s="96" t="s">
        <v>25</v>
      </c>
      <c r="B321" s="65">
        <v>0</v>
      </c>
      <c r="C321" s="65">
        <v>0</v>
      </c>
      <c r="D321" s="65">
        <v>49471.694530000008</v>
      </c>
      <c r="E321" s="65">
        <v>52541.366478903139</v>
      </c>
      <c r="F321" s="65">
        <v>42016.600019999998</v>
      </c>
      <c r="G321" s="65">
        <v>31075.485470090855</v>
      </c>
      <c r="H321" s="99">
        <v>6.2049056092907007E-2</v>
      </c>
      <c r="I321" s="99">
        <v>-0.26039980733093937</v>
      </c>
      <c r="J321" s="99">
        <v>-8.6037701759804075E-2</v>
      </c>
    </row>
    <row r="322" spans="1:10" x14ac:dyDescent="0.25">
      <c r="A322" s="97" t="s">
        <v>25</v>
      </c>
      <c r="B322" s="65">
        <v>0</v>
      </c>
      <c r="C322" s="65">
        <v>0</v>
      </c>
      <c r="D322" s="65">
        <v>49471.694530000008</v>
      </c>
      <c r="E322" s="65">
        <v>52541.366478903139</v>
      </c>
      <c r="F322" s="65">
        <v>42016.600019999998</v>
      </c>
      <c r="G322" s="65">
        <v>31075.485470090855</v>
      </c>
      <c r="H322" s="99">
        <v>6.2049056092907007E-2</v>
      </c>
      <c r="I322" s="99">
        <v>-0.26039980733093937</v>
      </c>
      <c r="J322" s="99">
        <v>-8.6037701759804075E-2</v>
      </c>
    </row>
    <row r="323" spans="1:10" x14ac:dyDescent="0.25">
      <c r="A323" s="98">
        <v>44409</v>
      </c>
      <c r="B323" s="65">
        <v>0</v>
      </c>
      <c r="C323" s="65">
        <v>0</v>
      </c>
      <c r="D323" s="65">
        <v>3885.5168899999999</v>
      </c>
      <c r="E323" s="65">
        <v>4126.6095454575479</v>
      </c>
      <c r="F323" s="65">
        <v>3299.99226</v>
      </c>
      <c r="G323" s="65">
        <v>2440.6749113024084</v>
      </c>
      <c r="H323" s="99">
        <v>6.2049056092907229E-2</v>
      </c>
      <c r="I323" s="99">
        <v>-0.26039980733093948</v>
      </c>
      <c r="J323" s="99">
        <v>-8.6037701759804075E-2</v>
      </c>
    </row>
    <row r="324" spans="1:10" x14ac:dyDescent="0.25">
      <c r="A324" s="98">
        <v>44440</v>
      </c>
      <c r="B324" s="65">
        <v>0</v>
      </c>
      <c r="C324" s="65">
        <v>0</v>
      </c>
      <c r="D324" s="65">
        <v>4567.6614600000003</v>
      </c>
      <c r="E324" s="65">
        <v>4851.0805421449495</v>
      </c>
      <c r="F324" s="65">
        <v>3879.3416399999996</v>
      </c>
      <c r="G324" s="65">
        <v>2869.1618243731091</v>
      </c>
      <c r="H324" s="99">
        <v>6.2049056092907007E-2</v>
      </c>
      <c r="I324" s="99">
        <v>-0.26039980733093948</v>
      </c>
      <c r="J324" s="99">
        <v>-8.6037701759804186E-2</v>
      </c>
    </row>
    <row r="325" spans="1:10" x14ac:dyDescent="0.25">
      <c r="A325" s="98">
        <v>44470</v>
      </c>
      <c r="B325" s="65">
        <v>0</v>
      </c>
      <c r="C325" s="65">
        <v>0</v>
      </c>
      <c r="D325" s="65">
        <v>3081.4014200000001</v>
      </c>
      <c r="E325" s="65">
        <v>3272.5994695543436</v>
      </c>
      <c r="F325" s="65">
        <v>2617.0522799999999</v>
      </c>
      <c r="G325" s="65">
        <v>1935.5723705130042</v>
      </c>
      <c r="H325" s="99">
        <v>6.2049056092907007E-2</v>
      </c>
      <c r="I325" s="99">
        <v>-0.26039980733093937</v>
      </c>
      <c r="J325" s="99">
        <v>-8.6037701759804075E-2</v>
      </c>
    </row>
    <row r="326" spans="1:10" x14ac:dyDescent="0.25">
      <c r="A326" s="98">
        <v>44501</v>
      </c>
      <c r="B326" s="65">
        <v>0</v>
      </c>
      <c r="C326" s="65">
        <v>0</v>
      </c>
      <c r="D326" s="65">
        <v>4288.0208599999996</v>
      </c>
      <c r="E326" s="65">
        <v>4554.0885068696962</v>
      </c>
      <c r="F326" s="65">
        <v>3641.8412399999997</v>
      </c>
      <c r="G326" s="65">
        <v>2693.5064827741303</v>
      </c>
      <c r="H326" s="99">
        <v>6.2049056092907229E-2</v>
      </c>
      <c r="I326" s="99">
        <v>-0.26039980733093937</v>
      </c>
      <c r="J326" s="99">
        <v>-8.6037701759803964E-2</v>
      </c>
    </row>
    <row r="327" spans="1:10" x14ac:dyDescent="0.25">
      <c r="A327" s="98">
        <v>44531</v>
      </c>
      <c r="B327" s="65">
        <v>0</v>
      </c>
      <c r="C327" s="65">
        <v>0</v>
      </c>
      <c r="D327" s="65">
        <v>5389.3288400000001</v>
      </c>
      <c r="E327" s="65">
        <v>5723.7316074962819</v>
      </c>
      <c r="F327" s="65">
        <v>4577.1885599999996</v>
      </c>
      <c r="G327" s="65">
        <v>3385.2895408586196</v>
      </c>
      <c r="H327" s="99">
        <v>6.2049056092907007E-2</v>
      </c>
      <c r="I327" s="99">
        <v>-0.26039980733093948</v>
      </c>
      <c r="J327" s="99">
        <v>-8.6037701759804186E-2</v>
      </c>
    </row>
    <row r="328" spans="1:10" x14ac:dyDescent="0.25">
      <c r="A328" s="98">
        <v>44562</v>
      </c>
      <c r="B328" s="65">
        <v>0</v>
      </c>
      <c r="C328" s="65">
        <v>0</v>
      </c>
      <c r="D328" s="65">
        <v>4804.4634999999998</v>
      </c>
      <c r="E328" s="65">
        <v>5102.5759252078242</v>
      </c>
      <c r="F328" s="65">
        <v>4080.4589999999994</v>
      </c>
      <c r="G328" s="65">
        <v>3017.9082625782016</v>
      </c>
      <c r="H328" s="99">
        <v>6.2049056092907007E-2</v>
      </c>
      <c r="I328" s="99">
        <v>-0.26039980733093948</v>
      </c>
      <c r="J328" s="99">
        <v>-8.6037701759804186E-2</v>
      </c>
    </row>
    <row r="329" spans="1:10" x14ac:dyDescent="0.25">
      <c r="A329" s="98">
        <v>44593</v>
      </c>
      <c r="B329" s="65">
        <v>0</v>
      </c>
      <c r="C329" s="65">
        <v>0</v>
      </c>
      <c r="D329" s="65">
        <v>3984.58106</v>
      </c>
      <c r="E329" s="65">
        <v>4231.8205536986752</v>
      </c>
      <c r="F329" s="65">
        <v>3384.1280400000001</v>
      </c>
      <c r="G329" s="65">
        <v>2502.9017504007702</v>
      </c>
      <c r="H329" s="99">
        <v>6.2049056092907007E-2</v>
      </c>
      <c r="I329" s="99">
        <v>-0.26039980733093948</v>
      </c>
      <c r="J329" s="99">
        <v>-8.6037701759804186E-2</v>
      </c>
    </row>
    <row r="330" spans="1:10" x14ac:dyDescent="0.25">
      <c r="A330" s="98">
        <v>44621</v>
      </c>
      <c r="B330" s="65">
        <v>0</v>
      </c>
      <c r="C330" s="65">
        <v>0</v>
      </c>
      <c r="D330" s="65">
        <v>4816.0656100000006</v>
      </c>
      <c r="E330" s="65">
        <v>5114.8979351820108</v>
      </c>
      <c r="F330" s="65">
        <v>4090.3127399999998</v>
      </c>
      <c r="G330" s="65">
        <v>3025.1960905807127</v>
      </c>
      <c r="H330" s="99">
        <v>6.2049056092907007E-2</v>
      </c>
      <c r="I330" s="99">
        <v>-0.26039980733093948</v>
      </c>
      <c r="J330" s="99">
        <v>-8.6037701759804186E-2</v>
      </c>
    </row>
    <row r="331" spans="1:10" x14ac:dyDescent="0.25">
      <c r="A331" s="98">
        <v>44652</v>
      </c>
      <c r="B331" s="65">
        <v>0</v>
      </c>
      <c r="C331" s="65">
        <v>0</v>
      </c>
      <c r="D331" s="65">
        <v>3693.33835</v>
      </c>
      <c r="E331" s="65">
        <v>3922.5065084492348</v>
      </c>
      <c r="F331" s="65">
        <v>3136.7738999999997</v>
      </c>
      <c r="G331" s="65">
        <v>2319.9585807992803</v>
      </c>
      <c r="H331" s="99">
        <v>6.2049056092907007E-2</v>
      </c>
      <c r="I331" s="99">
        <v>-0.26039980733093948</v>
      </c>
      <c r="J331" s="99">
        <v>-8.6037701759804186E-2</v>
      </c>
    </row>
    <row r="332" spans="1:10" x14ac:dyDescent="0.25">
      <c r="A332" s="98">
        <v>44682</v>
      </c>
      <c r="B332" s="65">
        <v>0</v>
      </c>
      <c r="C332" s="65">
        <v>0</v>
      </c>
      <c r="D332" s="65">
        <v>3231.3363800000002</v>
      </c>
      <c r="E332" s="65">
        <v>3431.8377522976716</v>
      </c>
      <c r="F332" s="65">
        <v>2744.3929199999998</v>
      </c>
      <c r="G332" s="65">
        <v>2029.7535323916056</v>
      </c>
      <c r="H332" s="99">
        <v>6.2049056092907007E-2</v>
      </c>
      <c r="I332" s="99">
        <v>-0.26039980733093937</v>
      </c>
      <c r="J332" s="99">
        <v>-8.6037701759804075E-2</v>
      </c>
    </row>
    <row r="333" spans="1:10" x14ac:dyDescent="0.25">
      <c r="A333" s="98">
        <v>44713</v>
      </c>
      <c r="B333" s="65">
        <v>0</v>
      </c>
      <c r="C333" s="65">
        <v>0</v>
      </c>
      <c r="D333" s="65">
        <v>3864.9900800000005</v>
      </c>
      <c r="E333" s="65">
        <v>4104.8090662724499</v>
      </c>
      <c r="F333" s="65">
        <v>3282.55872</v>
      </c>
      <c r="G333" s="65">
        <v>2427.7810617595046</v>
      </c>
      <c r="H333" s="99">
        <v>6.2049056092907007E-2</v>
      </c>
      <c r="I333" s="99">
        <v>-0.26039980733093948</v>
      </c>
      <c r="J333" s="99">
        <v>-8.6037701759804186E-2</v>
      </c>
    </row>
    <row r="334" spans="1:10" x14ac:dyDescent="0.25">
      <c r="A334" s="98">
        <v>44743</v>
      </c>
      <c r="B334" s="65">
        <v>0</v>
      </c>
      <c r="C334" s="65">
        <v>0</v>
      </c>
      <c r="D334" s="65">
        <v>3864.9900800000005</v>
      </c>
      <c r="E334" s="65">
        <v>4104.8090662724499</v>
      </c>
      <c r="F334" s="65">
        <v>3282.55872</v>
      </c>
      <c r="G334" s="65">
        <v>2427.7810617595046</v>
      </c>
      <c r="H334" s="99">
        <v>6.2049056092907007E-2</v>
      </c>
      <c r="I334" s="99">
        <v>-0.26039980733093948</v>
      </c>
      <c r="J334" s="99">
        <v>-8.6037701759804186E-2</v>
      </c>
    </row>
    <row r="335" spans="1:10" x14ac:dyDescent="0.25">
      <c r="A335" s="94" t="s">
        <v>31</v>
      </c>
      <c r="B335" s="65">
        <v>0</v>
      </c>
      <c r="C335" s="65">
        <v>0</v>
      </c>
      <c r="D335" s="65">
        <v>5885.9257799999987</v>
      </c>
      <c r="E335" s="65">
        <v>6251.225971804316</v>
      </c>
      <c r="F335" s="65">
        <v>4998.9591099999998</v>
      </c>
      <c r="G335" s="65">
        <v>3697.2750211028579</v>
      </c>
      <c r="H335" s="99">
        <v>6.2063336416096959E-2</v>
      </c>
      <c r="I335" s="99">
        <v>-0.26039102546232706</v>
      </c>
      <c r="J335" s="99">
        <v>-8.6026072535969944E-2</v>
      </c>
    </row>
    <row r="336" spans="1:10" x14ac:dyDescent="0.25">
      <c r="A336" s="95" t="s">
        <v>25</v>
      </c>
      <c r="B336" s="65">
        <v>0</v>
      </c>
      <c r="C336" s="65">
        <v>0</v>
      </c>
      <c r="D336" s="65">
        <v>5885.9257799999987</v>
      </c>
      <c r="E336" s="65">
        <v>6251.225971804316</v>
      </c>
      <c r="F336" s="65">
        <v>4998.9591099999998</v>
      </c>
      <c r="G336" s="65">
        <v>3697.2750211028579</v>
      </c>
      <c r="H336" s="99">
        <v>6.2063336416096959E-2</v>
      </c>
      <c r="I336" s="99">
        <v>-0.26039102546232706</v>
      </c>
      <c r="J336" s="99">
        <v>-8.6026072535969944E-2</v>
      </c>
    </row>
    <row r="337" spans="1:10" x14ac:dyDescent="0.25">
      <c r="A337" s="96" t="s">
        <v>25</v>
      </c>
      <c r="B337" s="65">
        <v>0</v>
      </c>
      <c r="C337" s="65">
        <v>0</v>
      </c>
      <c r="D337" s="65">
        <v>5885.9257799999987</v>
      </c>
      <c r="E337" s="65">
        <v>6251.225971804316</v>
      </c>
      <c r="F337" s="65">
        <v>4998.9591099999998</v>
      </c>
      <c r="G337" s="65">
        <v>3697.2750211028579</v>
      </c>
      <c r="H337" s="99">
        <v>6.2063336416096959E-2</v>
      </c>
      <c r="I337" s="99">
        <v>-0.26039102546232706</v>
      </c>
      <c r="J337" s="99">
        <v>-8.6026072535969944E-2</v>
      </c>
    </row>
    <row r="338" spans="1:10" x14ac:dyDescent="0.25">
      <c r="A338" s="97" t="s">
        <v>25</v>
      </c>
      <c r="B338" s="65">
        <v>0</v>
      </c>
      <c r="C338" s="65">
        <v>0</v>
      </c>
      <c r="D338" s="65">
        <v>5885.9257799999987</v>
      </c>
      <c r="E338" s="65">
        <v>6251.225971804316</v>
      </c>
      <c r="F338" s="65">
        <v>4998.9591099999998</v>
      </c>
      <c r="G338" s="65">
        <v>3697.2750211028579</v>
      </c>
      <c r="H338" s="99">
        <v>6.2063336416096959E-2</v>
      </c>
      <c r="I338" s="99">
        <v>-0.26039102546232706</v>
      </c>
      <c r="J338" s="99">
        <v>-8.6026072535969944E-2</v>
      </c>
    </row>
    <row r="339" spans="1:10" x14ac:dyDescent="0.25">
      <c r="A339" s="98">
        <v>44409</v>
      </c>
      <c r="B339" s="65">
        <v>0</v>
      </c>
      <c r="C339" s="65">
        <v>0</v>
      </c>
      <c r="D339" s="65">
        <v>288.89196000000004</v>
      </c>
      <c r="E339" s="65">
        <v>306.82155890138557</v>
      </c>
      <c r="F339" s="65">
        <v>245.35802000000001</v>
      </c>
      <c r="G339" s="65">
        <v>181.46899356679384</v>
      </c>
      <c r="H339" s="99">
        <v>6.2063336416096515E-2</v>
      </c>
      <c r="I339" s="99">
        <v>-0.26039102546232706</v>
      </c>
      <c r="J339" s="99">
        <v>-8.6026072535970277E-2</v>
      </c>
    </row>
    <row r="340" spans="1:10" x14ac:dyDescent="0.25">
      <c r="A340" s="98">
        <v>44440</v>
      </c>
      <c r="B340" s="65">
        <v>0</v>
      </c>
      <c r="C340" s="65">
        <v>0</v>
      </c>
      <c r="D340" s="65">
        <v>526.88076000000001</v>
      </c>
      <c r="E340" s="65">
        <v>559.58073785904878</v>
      </c>
      <c r="F340" s="65">
        <v>447.48362000000003</v>
      </c>
      <c r="G340" s="65">
        <v>330.96290131060573</v>
      </c>
      <c r="H340" s="99">
        <v>6.2063336416096737E-2</v>
      </c>
      <c r="I340" s="99">
        <v>-0.26039102546232706</v>
      </c>
      <c r="J340" s="99">
        <v>-8.6026072535970055E-2</v>
      </c>
    </row>
    <row r="341" spans="1:10" x14ac:dyDescent="0.25">
      <c r="A341" s="98">
        <v>44470</v>
      </c>
      <c r="B341" s="65">
        <v>0</v>
      </c>
      <c r="C341" s="65">
        <v>0</v>
      </c>
      <c r="D341" s="65">
        <v>202.62102000000002</v>
      </c>
      <c r="E341" s="65">
        <v>215.19635652923265</v>
      </c>
      <c r="F341" s="65">
        <v>172.08749</v>
      </c>
      <c r="G341" s="65">
        <v>127.27745200966204</v>
      </c>
      <c r="H341" s="99">
        <v>6.2063336416096515E-2</v>
      </c>
      <c r="I341" s="99">
        <v>-0.26039102546232706</v>
      </c>
      <c r="J341" s="99">
        <v>-8.6026072535970388E-2</v>
      </c>
    </row>
    <row r="342" spans="1:10" x14ac:dyDescent="0.25">
      <c r="A342" s="98">
        <v>44501</v>
      </c>
      <c r="B342" s="65">
        <v>0</v>
      </c>
      <c r="C342" s="65">
        <v>0</v>
      </c>
      <c r="D342" s="65">
        <v>518.28672000000006</v>
      </c>
      <c r="E342" s="65">
        <v>550.45332306335536</v>
      </c>
      <c r="F342" s="65">
        <v>440.18464000000006</v>
      </c>
      <c r="G342" s="65">
        <v>325.56451019763472</v>
      </c>
      <c r="H342" s="99">
        <v>6.2063336416096737E-2</v>
      </c>
      <c r="I342" s="99">
        <v>-0.26039102546232717</v>
      </c>
      <c r="J342" s="99">
        <v>-8.6026072535970277E-2</v>
      </c>
    </row>
    <row r="343" spans="1:10" x14ac:dyDescent="0.25">
      <c r="A343" s="98">
        <v>44531</v>
      </c>
      <c r="B343" s="65">
        <v>0</v>
      </c>
      <c r="C343" s="65">
        <v>0</v>
      </c>
      <c r="D343" s="65">
        <v>763.87794000000008</v>
      </c>
      <c r="E343" s="65">
        <v>811.28675357105487</v>
      </c>
      <c r="F343" s="65">
        <v>648.76702999999998</v>
      </c>
      <c r="G343" s="65">
        <v>479.83391777215166</v>
      </c>
      <c r="H343" s="99">
        <v>6.2063336416096515E-2</v>
      </c>
      <c r="I343" s="99">
        <v>-0.26039102546232706</v>
      </c>
      <c r="J343" s="99">
        <v>-8.6026072535970166E-2</v>
      </c>
    </row>
    <row r="344" spans="1:10" x14ac:dyDescent="0.25">
      <c r="A344" s="98">
        <v>44562</v>
      </c>
      <c r="B344" s="65">
        <v>0</v>
      </c>
      <c r="C344" s="65">
        <v>0</v>
      </c>
      <c r="D344" s="65">
        <v>636.28950000000009</v>
      </c>
      <c r="E344" s="65">
        <v>675.77974929652999</v>
      </c>
      <c r="F344" s="65">
        <v>540.40525000000002</v>
      </c>
      <c r="G344" s="65">
        <v>399.68857278727478</v>
      </c>
      <c r="H344" s="99">
        <v>6.2063336416096515E-2</v>
      </c>
      <c r="I344" s="99">
        <v>-0.26039102546232706</v>
      </c>
      <c r="J344" s="99">
        <v>-8.6026072535970277E-2</v>
      </c>
    </row>
    <row r="345" spans="1:10" x14ac:dyDescent="0.25">
      <c r="A345" s="98">
        <v>44593</v>
      </c>
      <c r="B345" s="65">
        <v>0</v>
      </c>
      <c r="C345" s="65">
        <v>0</v>
      </c>
      <c r="D345" s="65">
        <v>539.44128000000001</v>
      </c>
      <c r="E345" s="65">
        <v>572.92080563736977</v>
      </c>
      <c r="F345" s="65">
        <v>458.15136000000001</v>
      </c>
      <c r="G345" s="65">
        <v>338.85285755264022</v>
      </c>
      <c r="H345" s="99">
        <v>6.2063336416096515E-2</v>
      </c>
      <c r="I345" s="99">
        <v>-0.26039102546232706</v>
      </c>
      <c r="J345" s="99">
        <v>-8.6026072535970277E-2</v>
      </c>
    </row>
    <row r="346" spans="1:10" x14ac:dyDescent="0.25">
      <c r="A346" s="98">
        <v>44621</v>
      </c>
      <c r="B346" s="65">
        <v>0</v>
      </c>
      <c r="C346" s="65">
        <v>0</v>
      </c>
      <c r="D346" s="65">
        <v>672.31835999999998</v>
      </c>
      <c r="E346" s="65">
        <v>714.04468055539837</v>
      </c>
      <c r="F346" s="65">
        <v>571.00482</v>
      </c>
      <c r="G346" s="65">
        <v>422.32028937626848</v>
      </c>
      <c r="H346" s="99">
        <v>6.2063336416096737E-2</v>
      </c>
      <c r="I346" s="99">
        <v>-0.26039102546232717</v>
      </c>
      <c r="J346" s="99">
        <v>-8.6026072535970166E-2</v>
      </c>
    </row>
    <row r="347" spans="1:10" x14ac:dyDescent="0.25">
      <c r="A347" s="98">
        <v>44652</v>
      </c>
      <c r="B347" s="65">
        <v>0</v>
      </c>
      <c r="C347" s="65">
        <v>0</v>
      </c>
      <c r="D347" s="65">
        <v>319.30164000000002</v>
      </c>
      <c r="E347" s="65">
        <v>339.11856510153137</v>
      </c>
      <c r="F347" s="65">
        <v>271.18518</v>
      </c>
      <c r="G347" s="65">
        <v>200.57099288961425</v>
      </c>
      <c r="H347" s="99">
        <v>6.2063336416096515E-2</v>
      </c>
      <c r="I347" s="99">
        <v>-0.26039102546232706</v>
      </c>
      <c r="J347" s="99">
        <v>-8.6026072535970277E-2</v>
      </c>
    </row>
    <row r="348" spans="1:10" x14ac:dyDescent="0.25">
      <c r="A348" s="98">
        <v>44682</v>
      </c>
      <c r="B348" s="65">
        <v>0</v>
      </c>
      <c r="C348" s="65">
        <v>0</v>
      </c>
      <c r="D348" s="65">
        <v>378.13776000000001</v>
      </c>
      <c r="E348" s="65">
        <v>401.6062510105092</v>
      </c>
      <c r="F348" s="65">
        <v>321.15512000000001</v>
      </c>
      <c r="G348" s="65">
        <v>237.52920897072326</v>
      </c>
      <c r="H348" s="99">
        <v>6.2063336416096515E-2</v>
      </c>
      <c r="I348" s="99">
        <v>-0.26039102546232717</v>
      </c>
      <c r="J348" s="99">
        <v>-8.6026072535970277E-2</v>
      </c>
    </row>
    <row r="349" spans="1:10" x14ac:dyDescent="0.25">
      <c r="A349" s="98">
        <v>44713</v>
      </c>
      <c r="B349" s="65">
        <v>0</v>
      </c>
      <c r="C349" s="65">
        <v>0</v>
      </c>
      <c r="D349" s="65">
        <v>519.93942000000004</v>
      </c>
      <c r="E349" s="65">
        <v>552.20859513945015</v>
      </c>
      <c r="F349" s="65">
        <v>441.58829000000003</v>
      </c>
      <c r="G349" s="65">
        <v>326.60266233474454</v>
      </c>
      <c r="H349" s="99">
        <v>6.2063336416096515E-2</v>
      </c>
      <c r="I349" s="99">
        <v>-0.26039102546232706</v>
      </c>
      <c r="J349" s="99">
        <v>-8.6026072535970277E-2</v>
      </c>
    </row>
    <row r="350" spans="1:10" x14ac:dyDescent="0.25">
      <c r="A350" s="98">
        <v>44743</v>
      </c>
      <c r="B350" s="65">
        <v>0</v>
      </c>
      <c r="C350" s="65">
        <v>0</v>
      </c>
      <c r="D350" s="65">
        <v>519.93942000000004</v>
      </c>
      <c r="E350" s="65">
        <v>552.20859513945015</v>
      </c>
      <c r="F350" s="65">
        <v>441.58829000000003</v>
      </c>
      <c r="G350" s="65">
        <v>326.60266233474454</v>
      </c>
      <c r="H350" s="99">
        <v>6.2063336416096515E-2</v>
      </c>
      <c r="I350" s="99">
        <v>-0.26039102546232706</v>
      </c>
      <c r="J350" s="99">
        <v>-8.6026072535970277E-2</v>
      </c>
    </row>
    <row r="351" spans="1:10" x14ac:dyDescent="0.25">
      <c r="A351" s="90" t="s">
        <v>41</v>
      </c>
      <c r="B351" s="65">
        <v>0</v>
      </c>
      <c r="C351" s="65">
        <v>0</v>
      </c>
      <c r="D351" s="65">
        <v>1193433.5047559999</v>
      </c>
      <c r="E351" s="65">
        <v>1474662.2848709763</v>
      </c>
      <c r="F351" s="65">
        <v>822318.39180799993</v>
      </c>
      <c r="G351" s="65">
        <v>649668.15097940608</v>
      </c>
      <c r="H351" s="99">
        <v>0.23564679472650996</v>
      </c>
      <c r="I351" s="99">
        <v>-0.20995546560620415</v>
      </c>
      <c r="J351" s="99">
        <v>5.3865031441350908E-2</v>
      </c>
    </row>
    <row r="352" spans="1:10" x14ac:dyDescent="0.25">
      <c r="A352" s="91" t="s">
        <v>23</v>
      </c>
      <c r="B352" s="65">
        <v>0</v>
      </c>
      <c r="C352" s="65">
        <v>0</v>
      </c>
      <c r="D352" s="65">
        <v>1193433.5047559999</v>
      </c>
      <c r="E352" s="65">
        <v>1474662.2848709763</v>
      </c>
      <c r="F352" s="65">
        <v>822318.39180799993</v>
      </c>
      <c r="G352" s="65">
        <v>649668.15097940608</v>
      </c>
      <c r="H352" s="99">
        <v>0.23564679472650996</v>
      </c>
      <c r="I352" s="99">
        <v>-0.20995546560620415</v>
      </c>
      <c r="J352" s="99">
        <v>5.3865031441350908E-2</v>
      </c>
    </row>
    <row r="353" spans="1:10" x14ac:dyDescent="0.25">
      <c r="A353" s="92" t="s">
        <v>26</v>
      </c>
      <c r="B353" s="65">
        <v>0</v>
      </c>
      <c r="C353" s="65">
        <v>0</v>
      </c>
      <c r="D353" s="65">
        <v>1193433.5047559999</v>
      </c>
      <c r="E353" s="65">
        <v>1474662.2848709763</v>
      </c>
      <c r="F353" s="65">
        <v>822318.39180799993</v>
      </c>
      <c r="G353" s="65">
        <v>649668.15097940608</v>
      </c>
      <c r="H353" s="99">
        <v>0.23564679472650996</v>
      </c>
      <c r="I353" s="99">
        <v>-0.20995546560620415</v>
      </c>
      <c r="J353" s="99">
        <v>5.3865031441350908E-2</v>
      </c>
    </row>
    <row r="354" spans="1:10" x14ac:dyDescent="0.25">
      <c r="A354" s="93" t="s">
        <v>42</v>
      </c>
      <c r="B354" s="65">
        <v>0</v>
      </c>
      <c r="C354" s="65">
        <v>0</v>
      </c>
      <c r="D354" s="65">
        <v>1193433.5047559999</v>
      </c>
      <c r="E354" s="65">
        <v>1474662.2848709763</v>
      </c>
      <c r="F354" s="65">
        <v>822318.39180799993</v>
      </c>
      <c r="G354" s="65">
        <v>649668.15097940608</v>
      </c>
      <c r="H354" s="99">
        <v>0.23564679472650996</v>
      </c>
      <c r="I354" s="99">
        <v>-0.20995546560620415</v>
      </c>
      <c r="J354" s="99">
        <v>5.3865031441350908E-2</v>
      </c>
    </row>
    <row r="355" spans="1:10" x14ac:dyDescent="0.25">
      <c r="A355" s="94" t="s">
        <v>50</v>
      </c>
      <c r="B355" s="65">
        <v>0</v>
      </c>
      <c r="C355" s="65">
        <v>0</v>
      </c>
      <c r="D355" s="65">
        <v>2954.5023180000003</v>
      </c>
      <c r="E355" s="65">
        <v>3650.7213192487434</v>
      </c>
      <c r="F355" s="65">
        <v>2035.7578240000005</v>
      </c>
      <c r="G355" s="65">
        <v>1608.3393422006061</v>
      </c>
      <c r="H355" s="99">
        <v>0.23564679472650973</v>
      </c>
      <c r="I355" s="99">
        <v>-0.20995546560620482</v>
      </c>
      <c r="J355" s="99">
        <v>5.3865031441350686E-2</v>
      </c>
    </row>
    <row r="356" spans="1:10" x14ac:dyDescent="0.25">
      <c r="A356" s="95" t="s">
        <v>51</v>
      </c>
      <c r="B356" s="65">
        <v>0</v>
      </c>
      <c r="C356" s="65">
        <v>0</v>
      </c>
      <c r="D356" s="65">
        <v>1456.70739</v>
      </c>
      <c r="E356" s="65">
        <v>1799.9758173079201</v>
      </c>
      <c r="F356" s="65">
        <v>1003.72352</v>
      </c>
      <c r="G356" s="65">
        <v>792.98628101850159</v>
      </c>
      <c r="H356" s="99">
        <v>0.23564679472650996</v>
      </c>
      <c r="I356" s="99">
        <v>-0.20995546560620437</v>
      </c>
      <c r="J356" s="99">
        <v>5.3865031441350908E-2</v>
      </c>
    </row>
    <row r="357" spans="1:10" x14ac:dyDescent="0.25">
      <c r="A357" s="96" t="s">
        <v>25</v>
      </c>
      <c r="B357" s="65">
        <v>0</v>
      </c>
      <c r="C357" s="65">
        <v>0</v>
      </c>
      <c r="D357" s="65">
        <v>1456.70739</v>
      </c>
      <c r="E357" s="65">
        <v>1799.9758173079201</v>
      </c>
      <c r="F357" s="65">
        <v>1003.72352</v>
      </c>
      <c r="G357" s="65">
        <v>792.98628101850159</v>
      </c>
      <c r="H357" s="99">
        <v>0.23564679472650996</v>
      </c>
      <c r="I357" s="99">
        <v>-0.20995546560620437</v>
      </c>
      <c r="J357" s="99">
        <v>5.3865031441350908E-2</v>
      </c>
    </row>
    <row r="358" spans="1:10" x14ac:dyDescent="0.25">
      <c r="A358" s="97" t="s">
        <v>25</v>
      </c>
      <c r="B358" s="65">
        <v>0</v>
      </c>
      <c r="C358" s="65">
        <v>0</v>
      </c>
      <c r="D358" s="65">
        <v>1456.70739</v>
      </c>
      <c r="E358" s="65">
        <v>1799.9758173079201</v>
      </c>
      <c r="F358" s="65">
        <v>1003.72352</v>
      </c>
      <c r="G358" s="65">
        <v>792.98628101850159</v>
      </c>
      <c r="H358" s="99">
        <v>0.23564679472650996</v>
      </c>
      <c r="I358" s="99">
        <v>-0.20995546560620437</v>
      </c>
      <c r="J358" s="99">
        <v>5.3865031441350908E-2</v>
      </c>
    </row>
    <row r="359" spans="1:10" x14ac:dyDescent="0.25">
      <c r="A359" s="98">
        <v>44409</v>
      </c>
      <c r="B359" s="65">
        <v>0</v>
      </c>
      <c r="C359" s="65">
        <v>0</v>
      </c>
      <c r="D359" s="65">
        <v>92.500739999999993</v>
      </c>
      <c r="E359" s="65">
        <v>114.29824289083028</v>
      </c>
      <c r="F359" s="65">
        <v>63.736319999999999</v>
      </c>
      <c r="G359" s="65">
        <v>50.35453125837396</v>
      </c>
      <c r="H359" s="99">
        <v>0.23564679472651018</v>
      </c>
      <c r="I359" s="99">
        <v>-0.20995546560620437</v>
      </c>
      <c r="J359" s="99">
        <v>5.386503144135113E-2</v>
      </c>
    </row>
    <row r="360" spans="1:10" x14ac:dyDescent="0.25">
      <c r="A360" s="98">
        <v>44440</v>
      </c>
      <c r="B360" s="65">
        <v>0</v>
      </c>
      <c r="C360" s="65">
        <v>0</v>
      </c>
      <c r="D360" s="65">
        <v>91.06662</v>
      </c>
      <c r="E360" s="65">
        <v>112.52617710957711</v>
      </c>
      <c r="F360" s="65">
        <v>62.748159999999999</v>
      </c>
      <c r="G360" s="65">
        <v>49.573840851267391</v>
      </c>
      <c r="H360" s="99">
        <v>0.23564679472651018</v>
      </c>
      <c r="I360" s="99">
        <v>-0.20995546560620437</v>
      </c>
      <c r="J360" s="99">
        <v>5.386503144135113E-2</v>
      </c>
    </row>
    <row r="361" spans="1:10" x14ac:dyDescent="0.25">
      <c r="A361" s="98">
        <v>44470</v>
      </c>
      <c r="B361" s="65">
        <v>0</v>
      </c>
      <c r="C361" s="65">
        <v>0</v>
      </c>
      <c r="D361" s="65">
        <v>80.310719999999989</v>
      </c>
      <c r="E361" s="65">
        <v>99.235683750178225</v>
      </c>
      <c r="F361" s="65">
        <v>55.336959999999998</v>
      </c>
      <c r="G361" s="65">
        <v>43.718662797968094</v>
      </c>
      <c r="H361" s="99">
        <v>0.23564679472651018</v>
      </c>
      <c r="I361" s="99">
        <v>-0.20995546560620437</v>
      </c>
      <c r="J361" s="99">
        <v>5.386503144135113E-2</v>
      </c>
    </row>
    <row r="362" spans="1:10" x14ac:dyDescent="0.25">
      <c r="A362" s="98">
        <v>44501</v>
      </c>
      <c r="B362" s="65">
        <v>0</v>
      </c>
      <c r="C362" s="65">
        <v>0</v>
      </c>
      <c r="D362" s="65">
        <v>92.500739999999993</v>
      </c>
      <c r="E362" s="65">
        <v>114.29824289083028</v>
      </c>
      <c r="F362" s="65">
        <v>63.736319999999999</v>
      </c>
      <c r="G362" s="65">
        <v>50.35453125837396</v>
      </c>
      <c r="H362" s="99">
        <v>0.23564679472651018</v>
      </c>
      <c r="I362" s="99">
        <v>-0.20995546560620437</v>
      </c>
      <c r="J362" s="99">
        <v>5.386503144135113E-2</v>
      </c>
    </row>
    <row r="363" spans="1:10" x14ac:dyDescent="0.25">
      <c r="A363" s="98">
        <v>44531</v>
      </c>
      <c r="B363" s="65">
        <v>0</v>
      </c>
      <c r="C363" s="65">
        <v>0</v>
      </c>
      <c r="D363" s="65">
        <v>135.16580999999999</v>
      </c>
      <c r="E363" s="65">
        <v>167.01719988311245</v>
      </c>
      <c r="F363" s="65">
        <v>93.134079999999997</v>
      </c>
      <c r="G363" s="65">
        <v>73.580070869794511</v>
      </c>
      <c r="H363" s="99">
        <v>0.23564679472651018</v>
      </c>
      <c r="I363" s="99">
        <v>-0.20995546560620437</v>
      </c>
      <c r="J363" s="99">
        <v>5.3865031441350908E-2</v>
      </c>
    </row>
    <row r="364" spans="1:10" x14ac:dyDescent="0.25">
      <c r="A364" s="98">
        <v>44562</v>
      </c>
      <c r="B364" s="65">
        <v>0</v>
      </c>
      <c r="C364" s="65">
        <v>0</v>
      </c>
      <c r="D364" s="65">
        <v>113.29548</v>
      </c>
      <c r="E364" s="65">
        <v>139.99319671900142</v>
      </c>
      <c r="F364" s="65">
        <v>78.064639999999997</v>
      </c>
      <c r="G364" s="65">
        <v>61.674542161419268</v>
      </c>
      <c r="H364" s="99">
        <v>0.23564679472650996</v>
      </c>
      <c r="I364" s="99">
        <v>-0.20995546560620437</v>
      </c>
      <c r="J364" s="99">
        <v>5.386503144135113E-2</v>
      </c>
    </row>
    <row r="365" spans="1:10" x14ac:dyDescent="0.25">
      <c r="A365" s="98">
        <v>44593</v>
      </c>
      <c r="B365" s="65">
        <v>0</v>
      </c>
      <c r="C365" s="65">
        <v>0</v>
      </c>
      <c r="D365" s="65">
        <v>218.70329999999998</v>
      </c>
      <c r="E365" s="65">
        <v>270.24003164111036</v>
      </c>
      <c r="F365" s="65">
        <v>150.6944</v>
      </c>
      <c r="G365" s="65">
        <v>119.05528708375239</v>
      </c>
      <c r="H365" s="99">
        <v>0.23564679472651018</v>
      </c>
      <c r="I365" s="99">
        <v>-0.20995546560620437</v>
      </c>
      <c r="J365" s="99">
        <v>5.386503144135113E-2</v>
      </c>
    </row>
    <row r="366" spans="1:10" x14ac:dyDescent="0.25">
      <c r="A366" s="98">
        <v>44621</v>
      </c>
      <c r="B366" s="65">
        <v>0</v>
      </c>
      <c r="C366" s="65">
        <v>0</v>
      </c>
      <c r="D366" s="65">
        <v>82.103369999999998</v>
      </c>
      <c r="E366" s="65">
        <v>101.45076597674471</v>
      </c>
      <c r="F366" s="65">
        <v>56.572160000000004</v>
      </c>
      <c r="G366" s="65">
        <v>44.69452580685131</v>
      </c>
      <c r="H366" s="99">
        <v>0.23564679472651018</v>
      </c>
      <c r="I366" s="99">
        <v>-0.20995546560620437</v>
      </c>
      <c r="J366" s="99">
        <v>5.3865031441350908E-2</v>
      </c>
    </row>
    <row r="367" spans="1:10" x14ac:dyDescent="0.25">
      <c r="A367" s="98">
        <v>44652</v>
      </c>
      <c r="B367" s="65">
        <v>0</v>
      </c>
      <c r="C367" s="65">
        <v>0</v>
      </c>
      <c r="D367" s="65">
        <v>107.20046999999998</v>
      </c>
      <c r="E367" s="65">
        <v>132.46191714867541</v>
      </c>
      <c r="F367" s="65">
        <v>73.864959999999996</v>
      </c>
      <c r="G367" s="65">
        <v>58.356607931216331</v>
      </c>
      <c r="H367" s="99">
        <v>0.2356467947265104</v>
      </c>
      <c r="I367" s="99">
        <v>-0.20995546560620448</v>
      </c>
      <c r="J367" s="99">
        <v>5.386503144135113E-2</v>
      </c>
    </row>
    <row r="368" spans="1:10" x14ac:dyDescent="0.25">
      <c r="A368" s="98">
        <v>44682</v>
      </c>
      <c r="B368" s="65">
        <v>0</v>
      </c>
      <c r="C368" s="65">
        <v>0</v>
      </c>
      <c r="D368" s="65">
        <v>71.706000000000003</v>
      </c>
      <c r="E368" s="65">
        <v>88.603289062659144</v>
      </c>
      <c r="F368" s="65">
        <v>49.408000000000001</v>
      </c>
      <c r="G368" s="65">
        <v>39.034520355328652</v>
      </c>
      <c r="H368" s="99">
        <v>0.23564679472651018</v>
      </c>
      <c r="I368" s="99">
        <v>-0.20995546560620448</v>
      </c>
      <c r="J368" s="99">
        <v>5.386503144135113E-2</v>
      </c>
    </row>
    <row r="369" spans="1:10" x14ac:dyDescent="0.25">
      <c r="A369" s="98">
        <v>44713</v>
      </c>
      <c r="B369" s="65">
        <v>0</v>
      </c>
      <c r="C369" s="65">
        <v>0</v>
      </c>
      <c r="D369" s="65">
        <v>186.07706999999999</v>
      </c>
      <c r="E369" s="65">
        <v>229.92553511760045</v>
      </c>
      <c r="F369" s="65">
        <v>128.21376000000001</v>
      </c>
      <c r="G369" s="65">
        <v>101.29458032207786</v>
      </c>
      <c r="H369" s="99">
        <v>0.23564679472651018</v>
      </c>
      <c r="I369" s="99">
        <v>-0.20995546560620437</v>
      </c>
      <c r="J369" s="99">
        <v>5.3865031441350908E-2</v>
      </c>
    </row>
    <row r="370" spans="1:10" x14ac:dyDescent="0.25">
      <c r="A370" s="98">
        <v>44743</v>
      </c>
      <c r="B370" s="65">
        <v>0</v>
      </c>
      <c r="C370" s="65">
        <v>0</v>
      </c>
      <c r="D370" s="65">
        <v>186.07706999999999</v>
      </c>
      <c r="E370" s="65">
        <v>229.92553511760045</v>
      </c>
      <c r="F370" s="65">
        <v>128.21376000000001</v>
      </c>
      <c r="G370" s="65">
        <v>101.29458032207786</v>
      </c>
      <c r="H370" s="99">
        <v>0.23564679472651018</v>
      </c>
      <c r="I370" s="99">
        <v>-0.20995546560620437</v>
      </c>
      <c r="J370" s="99">
        <v>5.3865031441350908E-2</v>
      </c>
    </row>
    <row r="371" spans="1:10" x14ac:dyDescent="0.25">
      <c r="A371" s="95" t="s">
        <v>52</v>
      </c>
      <c r="B371" s="65">
        <v>0</v>
      </c>
      <c r="C371" s="65">
        <v>0</v>
      </c>
      <c r="D371" s="65">
        <v>1497.7949279999996</v>
      </c>
      <c r="E371" s="65">
        <v>1850.7455019408242</v>
      </c>
      <c r="F371" s="65">
        <v>1032.034304</v>
      </c>
      <c r="G371" s="65">
        <v>815.35306118210497</v>
      </c>
      <c r="H371" s="99">
        <v>0.23564679472651062</v>
      </c>
      <c r="I371" s="99">
        <v>-0.20995546560620437</v>
      </c>
      <c r="J371" s="99">
        <v>5.3865031441351352E-2</v>
      </c>
    </row>
    <row r="372" spans="1:10" x14ac:dyDescent="0.25">
      <c r="A372" s="96" t="s">
        <v>25</v>
      </c>
      <c r="B372" s="65">
        <v>0</v>
      </c>
      <c r="C372" s="65">
        <v>0</v>
      </c>
      <c r="D372" s="65">
        <v>1497.7949279999996</v>
      </c>
      <c r="E372" s="65">
        <v>1850.7455019408242</v>
      </c>
      <c r="F372" s="65">
        <v>1032.034304</v>
      </c>
      <c r="G372" s="65">
        <v>815.35306118210497</v>
      </c>
      <c r="H372" s="99">
        <v>0.23564679472651062</v>
      </c>
      <c r="I372" s="99">
        <v>-0.20995546560620437</v>
      </c>
      <c r="J372" s="99">
        <v>5.3865031441351352E-2</v>
      </c>
    </row>
    <row r="373" spans="1:10" x14ac:dyDescent="0.25">
      <c r="A373" s="97" t="s">
        <v>25</v>
      </c>
      <c r="B373" s="65">
        <v>0</v>
      </c>
      <c r="C373" s="65">
        <v>0</v>
      </c>
      <c r="D373" s="65">
        <v>1497.7949279999996</v>
      </c>
      <c r="E373" s="65">
        <v>1850.7455019408242</v>
      </c>
      <c r="F373" s="65">
        <v>1032.034304</v>
      </c>
      <c r="G373" s="65">
        <v>815.35306118210497</v>
      </c>
      <c r="H373" s="99">
        <v>0.23564679472651062</v>
      </c>
      <c r="I373" s="99">
        <v>-0.20995546560620437</v>
      </c>
      <c r="J373" s="99">
        <v>5.3865031441351352E-2</v>
      </c>
    </row>
    <row r="374" spans="1:10" x14ac:dyDescent="0.25">
      <c r="A374" s="98">
        <v>44409</v>
      </c>
      <c r="B374" s="65">
        <v>0</v>
      </c>
      <c r="C374" s="65">
        <v>0</v>
      </c>
      <c r="D374" s="65">
        <v>53.636088000000001</v>
      </c>
      <c r="E374" s="65">
        <v>66.275260218869036</v>
      </c>
      <c r="F374" s="65">
        <v>36.957183999999998</v>
      </c>
      <c r="G374" s="65">
        <v>29.197821225785834</v>
      </c>
      <c r="H374" s="99">
        <v>0.23564679472651018</v>
      </c>
      <c r="I374" s="99">
        <v>-0.20995546560620437</v>
      </c>
      <c r="J374" s="99">
        <v>5.386503144135113E-2</v>
      </c>
    </row>
    <row r="375" spans="1:10" x14ac:dyDescent="0.25">
      <c r="A375" s="98">
        <v>44440</v>
      </c>
      <c r="B375" s="65">
        <v>0</v>
      </c>
      <c r="C375" s="65">
        <v>0</v>
      </c>
      <c r="D375" s="65">
        <v>68.407523999999995</v>
      </c>
      <c r="E375" s="65">
        <v>84.527537765776813</v>
      </c>
      <c r="F375" s="65">
        <v>47.135231999999995</v>
      </c>
      <c r="G375" s="65">
        <v>37.238932418983531</v>
      </c>
      <c r="H375" s="99">
        <v>0.23564679472651018</v>
      </c>
      <c r="I375" s="99">
        <v>-0.20995546560620437</v>
      </c>
      <c r="J375" s="99">
        <v>5.386503144135113E-2</v>
      </c>
    </row>
    <row r="376" spans="1:10" x14ac:dyDescent="0.25">
      <c r="A376" s="98">
        <v>44470</v>
      </c>
      <c r="B376" s="65">
        <v>0</v>
      </c>
      <c r="C376" s="65">
        <v>0</v>
      </c>
      <c r="D376" s="65">
        <v>59.946215999999993</v>
      </c>
      <c r="E376" s="65">
        <v>74.072349656383025</v>
      </c>
      <c r="F376" s="65">
        <v>41.305087999999998</v>
      </c>
      <c r="G376" s="65">
        <v>32.632859017054749</v>
      </c>
      <c r="H376" s="99">
        <v>0.23564679472651018</v>
      </c>
      <c r="I376" s="99">
        <v>-0.20995546560620448</v>
      </c>
      <c r="J376" s="99">
        <v>5.3865031441350908E-2</v>
      </c>
    </row>
    <row r="377" spans="1:10" x14ac:dyDescent="0.25">
      <c r="A377" s="98">
        <v>44501</v>
      </c>
      <c r="B377" s="65">
        <v>0</v>
      </c>
      <c r="C377" s="65">
        <v>0</v>
      </c>
      <c r="D377" s="65">
        <v>143.69882399999997</v>
      </c>
      <c r="E377" s="65">
        <v>177.5609912815689</v>
      </c>
      <c r="F377" s="65">
        <v>99.013632000000001</v>
      </c>
      <c r="G377" s="65">
        <v>78.225178792078623</v>
      </c>
      <c r="H377" s="99">
        <v>0.2356467947265104</v>
      </c>
      <c r="I377" s="99">
        <v>-0.20995546560620437</v>
      </c>
      <c r="J377" s="99">
        <v>5.386503144135113E-2</v>
      </c>
    </row>
    <row r="378" spans="1:10" x14ac:dyDescent="0.25">
      <c r="A378" s="98">
        <v>44531</v>
      </c>
      <c r="B378" s="65">
        <v>0</v>
      </c>
      <c r="C378" s="65">
        <v>0</v>
      </c>
      <c r="D378" s="65">
        <v>475.41077999999999</v>
      </c>
      <c r="E378" s="65">
        <v>587.43980648543004</v>
      </c>
      <c r="F378" s="65">
        <v>327.57504</v>
      </c>
      <c r="G378" s="65">
        <v>258.79886995582899</v>
      </c>
      <c r="H378" s="99">
        <v>0.23564679472651018</v>
      </c>
      <c r="I378" s="99">
        <v>-0.20995546560620437</v>
      </c>
      <c r="J378" s="99">
        <v>5.386503144135113E-2</v>
      </c>
    </row>
    <row r="379" spans="1:10" x14ac:dyDescent="0.25">
      <c r="A379" s="98">
        <v>44562</v>
      </c>
      <c r="B379" s="65">
        <v>0</v>
      </c>
      <c r="C379" s="65">
        <v>0</v>
      </c>
      <c r="D379" s="65">
        <v>268.61067599999996</v>
      </c>
      <c r="E379" s="65">
        <v>331.9079208287211</v>
      </c>
      <c r="F379" s="65">
        <v>185.082368</v>
      </c>
      <c r="G379" s="65">
        <v>146.22331325106111</v>
      </c>
      <c r="H379" s="99">
        <v>0.23564679472651018</v>
      </c>
      <c r="I379" s="99">
        <v>-0.20995546560620448</v>
      </c>
      <c r="J379" s="99">
        <v>5.3865031441350908E-2</v>
      </c>
    </row>
    <row r="380" spans="1:10" x14ac:dyDescent="0.25">
      <c r="A380" s="98">
        <v>44593</v>
      </c>
      <c r="B380" s="65">
        <v>0</v>
      </c>
      <c r="C380" s="65">
        <v>0</v>
      </c>
      <c r="D380" s="65">
        <v>124.625028</v>
      </c>
      <c r="E380" s="65">
        <v>153.99251639090159</v>
      </c>
      <c r="F380" s="65">
        <v>85.871104000000003</v>
      </c>
      <c r="G380" s="65">
        <v>67.841996377561202</v>
      </c>
      <c r="H380" s="99">
        <v>0.23564679472651018</v>
      </c>
      <c r="I380" s="99">
        <v>-0.20995546560620437</v>
      </c>
      <c r="J380" s="99">
        <v>5.386503144135113E-2</v>
      </c>
    </row>
    <row r="381" spans="1:10" x14ac:dyDescent="0.25">
      <c r="A381" s="98">
        <v>44621</v>
      </c>
      <c r="B381" s="65">
        <v>0</v>
      </c>
      <c r="C381" s="65">
        <v>0</v>
      </c>
      <c r="D381" s="65">
        <v>76.72542</v>
      </c>
      <c r="E381" s="65">
        <v>94.805519297045265</v>
      </c>
      <c r="F381" s="65">
        <v>52.86656</v>
      </c>
      <c r="G381" s="65">
        <v>41.766936780201654</v>
      </c>
      <c r="H381" s="99">
        <v>0.23564679472650996</v>
      </c>
      <c r="I381" s="99">
        <v>-0.20995546560620448</v>
      </c>
      <c r="J381" s="99">
        <v>5.3865031441350908E-2</v>
      </c>
    </row>
    <row r="382" spans="1:10" x14ac:dyDescent="0.25">
      <c r="A382" s="98">
        <v>44652</v>
      </c>
      <c r="B382" s="65">
        <v>0</v>
      </c>
      <c r="C382" s="65">
        <v>0</v>
      </c>
      <c r="D382" s="65">
        <v>43.167011999999993</v>
      </c>
      <c r="E382" s="65">
        <v>53.339180015720792</v>
      </c>
      <c r="F382" s="65">
        <v>29.743615999999996</v>
      </c>
      <c r="G382" s="65">
        <v>23.498781253907847</v>
      </c>
      <c r="H382" s="99">
        <v>0.23564679472651018</v>
      </c>
      <c r="I382" s="99">
        <v>-0.20995546560620437</v>
      </c>
      <c r="J382" s="99">
        <v>5.386503144135113E-2</v>
      </c>
    </row>
    <row r="383" spans="1:10" x14ac:dyDescent="0.25">
      <c r="A383" s="98">
        <v>44682</v>
      </c>
      <c r="B383" s="65">
        <v>0</v>
      </c>
      <c r="C383" s="65">
        <v>0</v>
      </c>
      <c r="D383" s="65">
        <v>28.682399999999998</v>
      </c>
      <c r="E383" s="65">
        <v>35.441315625063652</v>
      </c>
      <c r="F383" s="65">
        <v>19.763200000000001</v>
      </c>
      <c r="G383" s="65">
        <v>15.613808142131461</v>
      </c>
      <c r="H383" s="99">
        <v>0.23564679472651018</v>
      </c>
      <c r="I383" s="99">
        <v>-0.20995546560620448</v>
      </c>
      <c r="J383" s="99">
        <v>5.3865031441350908E-2</v>
      </c>
    </row>
    <row r="384" spans="1:10" x14ac:dyDescent="0.25">
      <c r="A384" s="98">
        <v>44713</v>
      </c>
      <c r="B384" s="65">
        <v>0</v>
      </c>
      <c r="C384" s="65">
        <v>0</v>
      </c>
      <c r="D384" s="65">
        <v>77.442479999999989</v>
      </c>
      <c r="E384" s="65">
        <v>95.69155218767186</v>
      </c>
      <c r="F384" s="65">
        <v>53.360639999999997</v>
      </c>
      <c r="G384" s="65">
        <v>42.157281983754942</v>
      </c>
      <c r="H384" s="99">
        <v>0.23564679472651018</v>
      </c>
      <c r="I384" s="99">
        <v>-0.20995546560620437</v>
      </c>
      <c r="J384" s="99">
        <v>5.386503144135113E-2</v>
      </c>
    </row>
    <row r="385" spans="1:10" x14ac:dyDescent="0.25">
      <c r="A385" s="98">
        <v>44743</v>
      </c>
      <c r="B385" s="65">
        <v>0</v>
      </c>
      <c r="C385" s="65">
        <v>0</v>
      </c>
      <c r="D385" s="65">
        <v>77.442479999999989</v>
      </c>
      <c r="E385" s="65">
        <v>95.69155218767186</v>
      </c>
      <c r="F385" s="65">
        <v>53.360639999999997</v>
      </c>
      <c r="G385" s="65">
        <v>42.157281983754942</v>
      </c>
      <c r="H385" s="99">
        <v>0.23564679472651018</v>
      </c>
      <c r="I385" s="99">
        <v>-0.20995546560620437</v>
      </c>
      <c r="J385" s="99">
        <v>5.386503144135113E-2</v>
      </c>
    </row>
    <row r="386" spans="1:10" x14ac:dyDescent="0.25">
      <c r="A386" s="94" t="s">
        <v>53</v>
      </c>
      <c r="B386" s="65">
        <v>0</v>
      </c>
      <c r="C386" s="65">
        <v>0</v>
      </c>
      <c r="D386" s="65">
        <v>413.24167799999998</v>
      </c>
      <c r="E386" s="65">
        <v>510.6207548681046</v>
      </c>
      <c r="F386" s="65">
        <v>284.73830399999997</v>
      </c>
      <c r="G386" s="65">
        <v>224.95594080775902</v>
      </c>
      <c r="H386" s="99">
        <v>0.23564679472651018</v>
      </c>
      <c r="I386" s="99">
        <v>-0.20995546560620437</v>
      </c>
      <c r="J386" s="99">
        <v>5.386503144135113E-2</v>
      </c>
    </row>
    <row r="387" spans="1:10" x14ac:dyDescent="0.25">
      <c r="A387" s="95" t="s">
        <v>51</v>
      </c>
      <c r="B387" s="65">
        <v>0</v>
      </c>
      <c r="C387" s="65">
        <v>0</v>
      </c>
      <c r="D387" s="65">
        <v>211.17416999999998</v>
      </c>
      <c r="E387" s="65">
        <v>260.93668628953117</v>
      </c>
      <c r="F387" s="65">
        <v>145.50655999999998</v>
      </c>
      <c r="G387" s="65">
        <v>114.95666244644288</v>
      </c>
      <c r="H387" s="99">
        <v>0.2356467947265104</v>
      </c>
      <c r="I387" s="99">
        <v>-0.20995546560620437</v>
      </c>
      <c r="J387" s="99">
        <v>5.386503144135113E-2</v>
      </c>
    </row>
    <row r="388" spans="1:10" x14ac:dyDescent="0.25">
      <c r="A388" s="96" t="s">
        <v>25</v>
      </c>
      <c r="B388" s="65">
        <v>0</v>
      </c>
      <c r="C388" s="65">
        <v>0</v>
      </c>
      <c r="D388" s="65">
        <v>211.17416999999998</v>
      </c>
      <c r="E388" s="65">
        <v>260.93668628953117</v>
      </c>
      <c r="F388" s="65">
        <v>145.50655999999998</v>
      </c>
      <c r="G388" s="65">
        <v>114.95666244644288</v>
      </c>
      <c r="H388" s="99">
        <v>0.2356467947265104</v>
      </c>
      <c r="I388" s="99">
        <v>-0.20995546560620437</v>
      </c>
      <c r="J388" s="99">
        <v>5.386503144135113E-2</v>
      </c>
    </row>
    <row r="389" spans="1:10" x14ac:dyDescent="0.25">
      <c r="A389" s="97" t="s">
        <v>25</v>
      </c>
      <c r="B389" s="65">
        <v>0</v>
      </c>
      <c r="C389" s="65">
        <v>0</v>
      </c>
      <c r="D389" s="65">
        <v>211.17416999999998</v>
      </c>
      <c r="E389" s="65">
        <v>260.93668628953117</v>
      </c>
      <c r="F389" s="65">
        <v>145.50655999999998</v>
      </c>
      <c r="G389" s="65">
        <v>114.95666244644288</v>
      </c>
      <c r="H389" s="99">
        <v>0.2356467947265104</v>
      </c>
      <c r="I389" s="99">
        <v>-0.20995546560620437</v>
      </c>
      <c r="J389" s="99">
        <v>5.386503144135113E-2</v>
      </c>
    </row>
    <row r="390" spans="1:10" x14ac:dyDescent="0.25">
      <c r="A390" s="98">
        <v>44409</v>
      </c>
      <c r="B390" s="65">
        <v>0</v>
      </c>
      <c r="C390" s="65">
        <v>0</v>
      </c>
      <c r="D390" s="65">
        <v>177.83087999999998</v>
      </c>
      <c r="E390" s="65">
        <v>219.73615687539464</v>
      </c>
      <c r="F390" s="65">
        <v>122.53183999999999</v>
      </c>
      <c r="G390" s="65">
        <v>96.805610481215055</v>
      </c>
      <c r="H390" s="99">
        <v>0.23564679472651018</v>
      </c>
      <c r="I390" s="99">
        <v>-0.20995546560620437</v>
      </c>
      <c r="J390" s="99">
        <v>5.386503144135113E-2</v>
      </c>
    </row>
    <row r="391" spans="1:10" x14ac:dyDescent="0.25">
      <c r="A391" s="98">
        <v>44440</v>
      </c>
      <c r="B391" s="65">
        <v>0</v>
      </c>
      <c r="C391" s="65">
        <v>0</v>
      </c>
      <c r="D391" s="65">
        <v>33.343289999999996</v>
      </c>
      <c r="E391" s="65">
        <v>41.200529414136497</v>
      </c>
      <c r="F391" s="65">
        <v>22.974719999999998</v>
      </c>
      <c r="G391" s="65">
        <v>18.151051965227822</v>
      </c>
      <c r="H391" s="99">
        <v>0.23564679472651018</v>
      </c>
      <c r="I391" s="99">
        <v>-0.20995546560620437</v>
      </c>
      <c r="J391" s="99">
        <v>5.386503144135113E-2</v>
      </c>
    </row>
    <row r="392" spans="1:10" x14ac:dyDescent="0.25">
      <c r="A392" s="95" t="s">
        <v>52</v>
      </c>
      <c r="B392" s="65">
        <v>0</v>
      </c>
      <c r="C392" s="65">
        <v>0</v>
      </c>
      <c r="D392" s="65">
        <v>202.06750799999998</v>
      </c>
      <c r="E392" s="65">
        <v>249.6840685785734</v>
      </c>
      <c r="F392" s="65">
        <v>139.23174399999999</v>
      </c>
      <c r="G392" s="65">
        <v>109.99927836131613</v>
      </c>
      <c r="H392" s="99">
        <v>0.23564679472651018</v>
      </c>
      <c r="I392" s="99">
        <v>-0.20995546560620448</v>
      </c>
      <c r="J392" s="99">
        <v>5.3865031441350908E-2</v>
      </c>
    </row>
    <row r="393" spans="1:10" x14ac:dyDescent="0.25">
      <c r="A393" s="96" t="s">
        <v>25</v>
      </c>
      <c r="B393" s="65">
        <v>0</v>
      </c>
      <c r="C393" s="65">
        <v>0</v>
      </c>
      <c r="D393" s="65">
        <v>202.06750799999998</v>
      </c>
      <c r="E393" s="65">
        <v>249.6840685785734</v>
      </c>
      <c r="F393" s="65">
        <v>139.23174399999999</v>
      </c>
      <c r="G393" s="65">
        <v>109.99927836131613</v>
      </c>
      <c r="H393" s="99">
        <v>0.23564679472651018</v>
      </c>
      <c r="I393" s="99">
        <v>-0.20995546560620448</v>
      </c>
      <c r="J393" s="99">
        <v>5.3865031441350908E-2</v>
      </c>
    </row>
    <row r="394" spans="1:10" x14ac:dyDescent="0.25">
      <c r="A394" s="97" t="s">
        <v>25</v>
      </c>
      <c r="B394" s="65">
        <v>0</v>
      </c>
      <c r="C394" s="65">
        <v>0</v>
      </c>
      <c r="D394" s="65">
        <v>202.06750799999998</v>
      </c>
      <c r="E394" s="65">
        <v>249.6840685785734</v>
      </c>
      <c r="F394" s="65">
        <v>139.23174399999999</v>
      </c>
      <c r="G394" s="65">
        <v>109.99927836131613</v>
      </c>
      <c r="H394" s="99">
        <v>0.23564679472651018</v>
      </c>
      <c r="I394" s="99">
        <v>-0.20995546560620448</v>
      </c>
      <c r="J394" s="99">
        <v>5.3865031441350908E-2</v>
      </c>
    </row>
    <row r="395" spans="1:10" x14ac:dyDescent="0.25">
      <c r="A395" s="98">
        <v>44409</v>
      </c>
      <c r="B395" s="65">
        <v>0</v>
      </c>
      <c r="C395" s="65">
        <v>0</v>
      </c>
      <c r="D395" s="65">
        <v>201.06362399999998</v>
      </c>
      <c r="E395" s="65">
        <v>248.44362253169618</v>
      </c>
      <c r="F395" s="65">
        <v>138.540032</v>
      </c>
      <c r="G395" s="65">
        <v>109.45279507634153</v>
      </c>
      <c r="H395" s="99">
        <v>0.23564679472651018</v>
      </c>
      <c r="I395" s="99">
        <v>-0.20995546560620448</v>
      </c>
      <c r="J395" s="99">
        <v>5.3865031441350908E-2</v>
      </c>
    </row>
    <row r="396" spans="1:10" x14ac:dyDescent="0.25">
      <c r="A396" s="98">
        <v>44440</v>
      </c>
      <c r="B396" s="65">
        <v>0</v>
      </c>
      <c r="C396" s="65">
        <v>0</v>
      </c>
      <c r="D396" s="65">
        <v>1.003884</v>
      </c>
      <c r="E396" s="65">
        <v>1.2404460468772278</v>
      </c>
      <c r="F396" s="65">
        <v>0.69171199999999999</v>
      </c>
      <c r="G396" s="65">
        <v>0.54648328497460108</v>
      </c>
      <c r="H396" s="99">
        <v>0.23564679472650996</v>
      </c>
      <c r="I396" s="99">
        <v>-0.20995546560620448</v>
      </c>
      <c r="J396" s="99">
        <v>5.3865031441350908E-2</v>
      </c>
    </row>
    <row r="397" spans="1:10" x14ac:dyDescent="0.25">
      <c r="A397" s="94" t="s">
        <v>25</v>
      </c>
      <c r="B397" s="65">
        <v>0</v>
      </c>
      <c r="C397" s="65">
        <v>0</v>
      </c>
      <c r="D397" s="65">
        <v>1190065.76076</v>
      </c>
      <c r="E397" s="65">
        <v>1470500.9427968597</v>
      </c>
      <c r="F397" s="65">
        <v>819997.89567999996</v>
      </c>
      <c r="G397" s="65">
        <v>647834.85569639772</v>
      </c>
      <c r="H397" s="99">
        <v>0.23564679472650996</v>
      </c>
      <c r="I397" s="99">
        <v>-0.20995546560620437</v>
      </c>
      <c r="J397" s="99">
        <v>5.386503144135113E-2</v>
      </c>
    </row>
    <row r="398" spans="1:10" x14ac:dyDescent="0.25">
      <c r="A398" s="95" t="s">
        <v>25</v>
      </c>
      <c r="B398" s="65">
        <v>0</v>
      </c>
      <c r="C398" s="65">
        <v>0</v>
      </c>
      <c r="D398" s="65">
        <v>1190065.76076</v>
      </c>
      <c r="E398" s="65">
        <v>1470500.9427968597</v>
      </c>
      <c r="F398" s="65">
        <v>819997.89567999996</v>
      </c>
      <c r="G398" s="65">
        <v>647834.85569639772</v>
      </c>
      <c r="H398" s="99">
        <v>0.23564679472650996</v>
      </c>
      <c r="I398" s="99">
        <v>-0.20995546560620437</v>
      </c>
      <c r="J398" s="99">
        <v>5.386503144135113E-2</v>
      </c>
    </row>
    <row r="399" spans="1:10" x14ac:dyDescent="0.25">
      <c r="A399" s="96" t="s">
        <v>25</v>
      </c>
      <c r="B399" s="65">
        <v>0</v>
      </c>
      <c r="C399" s="65">
        <v>0</v>
      </c>
      <c r="D399" s="65">
        <v>1190065.76076</v>
      </c>
      <c r="E399" s="65">
        <v>1470500.9427968597</v>
      </c>
      <c r="F399" s="65">
        <v>819997.89567999996</v>
      </c>
      <c r="G399" s="65">
        <v>647834.85569639772</v>
      </c>
      <c r="H399" s="99">
        <v>0.23564679472650996</v>
      </c>
      <c r="I399" s="99">
        <v>-0.20995546560620437</v>
      </c>
      <c r="J399" s="99">
        <v>5.386503144135113E-2</v>
      </c>
    </row>
    <row r="400" spans="1:10" x14ac:dyDescent="0.25">
      <c r="A400" s="97" t="s">
        <v>25</v>
      </c>
      <c r="B400" s="65">
        <v>0</v>
      </c>
      <c r="C400" s="65">
        <v>0</v>
      </c>
      <c r="D400" s="65">
        <v>1190065.76076</v>
      </c>
      <c r="E400" s="65">
        <v>1470500.9427968597</v>
      </c>
      <c r="F400" s="65">
        <v>819997.89567999996</v>
      </c>
      <c r="G400" s="65">
        <v>647834.85569639772</v>
      </c>
      <c r="H400" s="99">
        <v>0.23564679472650996</v>
      </c>
      <c r="I400" s="99">
        <v>-0.20995546560620437</v>
      </c>
      <c r="J400" s="99">
        <v>5.386503144135113E-2</v>
      </c>
    </row>
    <row r="401" spans="1:10" x14ac:dyDescent="0.25">
      <c r="A401" s="98">
        <v>44409</v>
      </c>
      <c r="B401" s="65">
        <v>0</v>
      </c>
      <c r="C401" s="65">
        <v>0</v>
      </c>
      <c r="D401" s="65">
        <v>99270.503459999993</v>
      </c>
      <c r="E401" s="65">
        <v>122663.27941123594</v>
      </c>
      <c r="F401" s="65">
        <v>68400.929279999997</v>
      </c>
      <c r="G401" s="65">
        <v>54039.780325120541</v>
      </c>
      <c r="H401" s="99">
        <v>0.2356467947265104</v>
      </c>
      <c r="I401" s="99">
        <v>-0.20995546560620437</v>
      </c>
      <c r="J401" s="99">
        <v>5.386503144135113E-2</v>
      </c>
    </row>
    <row r="402" spans="1:10" x14ac:dyDescent="0.25">
      <c r="A402" s="98">
        <v>44440</v>
      </c>
      <c r="B402" s="65">
        <v>0</v>
      </c>
      <c r="C402" s="65">
        <v>0</v>
      </c>
      <c r="D402" s="65">
        <v>99226.762799999982</v>
      </c>
      <c r="E402" s="65">
        <v>122609.23140490771</v>
      </c>
      <c r="F402" s="65">
        <v>68370.790399999998</v>
      </c>
      <c r="G402" s="65">
        <v>54015.969267703789</v>
      </c>
      <c r="H402" s="99">
        <v>0.2356467947265104</v>
      </c>
      <c r="I402" s="99">
        <v>-0.20995546560620437</v>
      </c>
      <c r="J402" s="99">
        <v>5.3865031441351352E-2</v>
      </c>
    </row>
    <row r="403" spans="1:10" x14ac:dyDescent="0.25">
      <c r="A403" s="98">
        <v>44470</v>
      </c>
      <c r="B403" s="65">
        <v>0</v>
      </c>
      <c r="C403" s="65">
        <v>0</v>
      </c>
      <c r="D403" s="65">
        <v>96907.073699999994</v>
      </c>
      <c r="E403" s="65">
        <v>119742.91500373068</v>
      </c>
      <c r="F403" s="65">
        <v>66772.441600000006</v>
      </c>
      <c r="G403" s="65">
        <v>52753.202534208904</v>
      </c>
      <c r="H403" s="99">
        <v>0.23564679472651018</v>
      </c>
      <c r="I403" s="99">
        <v>-0.20995546560620448</v>
      </c>
      <c r="J403" s="99">
        <v>5.3865031441350908E-2</v>
      </c>
    </row>
    <row r="404" spans="1:10" x14ac:dyDescent="0.25">
      <c r="A404" s="98">
        <v>44501</v>
      </c>
      <c r="B404" s="65">
        <v>0</v>
      </c>
      <c r="C404" s="65">
        <v>0</v>
      </c>
      <c r="D404" s="65">
        <v>102051.26213999998</v>
      </c>
      <c r="E404" s="65">
        <v>126099.31496108584</v>
      </c>
      <c r="F404" s="65">
        <v>70316.971519999992</v>
      </c>
      <c r="G404" s="65">
        <v>55553.539024500184</v>
      </c>
      <c r="H404" s="99">
        <v>0.23564679472651018</v>
      </c>
      <c r="I404" s="99">
        <v>-0.20995546560620437</v>
      </c>
      <c r="J404" s="99">
        <v>5.386503144135113E-2</v>
      </c>
    </row>
    <row r="405" spans="1:10" x14ac:dyDescent="0.25">
      <c r="A405" s="98">
        <v>44531</v>
      </c>
      <c r="B405" s="65">
        <v>0</v>
      </c>
      <c r="C405" s="65">
        <v>0</v>
      </c>
      <c r="D405" s="65">
        <v>103507.611</v>
      </c>
      <c r="E405" s="65">
        <v>127898.84776194846</v>
      </c>
      <c r="F405" s="65">
        <v>71320.447999999989</v>
      </c>
      <c r="G405" s="65">
        <v>56346.330132916904</v>
      </c>
      <c r="H405" s="99">
        <v>0.23564679472651018</v>
      </c>
      <c r="I405" s="99">
        <v>-0.20995546560620437</v>
      </c>
      <c r="J405" s="99">
        <v>5.3865031441350908E-2</v>
      </c>
    </row>
    <row r="406" spans="1:10" x14ac:dyDescent="0.25">
      <c r="A406" s="98">
        <v>44562</v>
      </c>
      <c r="B406" s="65">
        <v>0</v>
      </c>
      <c r="C406" s="65">
        <v>0</v>
      </c>
      <c r="D406" s="65">
        <v>103307.55125999999</v>
      </c>
      <c r="E406" s="65">
        <v>127651.64458546363</v>
      </c>
      <c r="F406" s="65">
        <v>71182.599679999985</v>
      </c>
      <c r="G406" s="65">
        <v>56237.423821125536</v>
      </c>
      <c r="H406" s="99">
        <v>0.23564679472650996</v>
      </c>
      <c r="I406" s="99">
        <v>-0.20995546560620437</v>
      </c>
      <c r="J406" s="99">
        <v>5.386503144135113E-2</v>
      </c>
    </row>
    <row r="407" spans="1:10" x14ac:dyDescent="0.25">
      <c r="A407" s="98">
        <v>44593</v>
      </c>
      <c r="B407" s="65">
        <v>0</v>
      </c>
      <c r="C407" s="65">
        <v>0</v>
      </c>
      <c r="D407" s="65">
        <v>98650.246559999985</v>
      </c>
      <c r="E407" s="65">
        <v>121896.86096084393</v>
      </c>
      <c r="F407" s="65">
        <v>67973.550080000001</v>
      </c>
      <c r="G407" s="65">
        <v>53702.131724046951</v>
      </c>
      <c r="H407" s="99">
        <v>0.23564679472651018</v>
      </c>
      <c r="I407" s="99">
        <v>-0.20995546560620437</v>
      </c>
      <c r="J407" s="99">
        <v>5.386503144135113E-2</v>
      </c>
    </row>
    <row r="408" spans="1:10" x14ac:dyDescent="0.25">
      <c r="A408" s="98">
        <v>44621</v>
      </c>
      <c r="B408" s="65">
        <v>0</v>
      </c>
      <c r="C408" s="65">
        <v>0</v>
      </c>
      <c r="D408" s="65">
        <v>99848.095289999997</v>
      </c>
      <c r="E408" s="65">
        <v>123376.97890463565</v>
      </c>
      <c r="F408" s="65">
        <v>68798.91072</v>
      </c>
      <c r="G408" s="65">
        <v>54354.203386582711</v>
      </c>
      <c r="H408" s="99">
        <v>0.23564679472651018</v>
      </c>
      <c r="I408" s="99">
        <v>-0.20995546560620448</v>
      </c>
      <c r="J408" s="99">
        <v>5.3865031441350908E-2</v>
      </c>
    </row>
    <row r="409" spans="1:10" x14ac:dyDescent="0.25">
      <c r="A409" s="98">
        <v>44652</v>
      </c>
      <c r="B409" s="65">
        <v>0</v>
      </c>
      <c r="C409" s="65">
        <v>0</v>
      </c>
      <c r="D409" s="65">
        <v>95676.240210000004</v>
      </c>
      <c r="E409" s="65">
        <v>118222.03954697015</v>
      </c>
      <c r="F409" s="65">
        <v>65924.35328000001</v>
      </c>
      <c r="G409" s="65">
        <v>52083.174992309694</v>
      </c>
      <c r="H409" s="99">
        <v>0.23564679472651018</v>
      </c>
      <c r="I409" s="99">
        <v>-0.20995546560620448</v>
      </c>
      <c r="J409" s="99">
        <v>5.386503144135113E-2</v>
      </c>
    </row>
    <row r="410" spans="1:10" x14ac:dyDescent="0.25">
      <c r="A410" s="98">
        <v>44682</v>
      </c>
      <c r="B410" s="65">
        <v>0</v>
      </c>
      <c r="C410" s="65">
        <v>0</v>
      </c>
      <c r="D410" s="65">
        <v>102054.84744</v>
      </c>
      <c r="E410" s="65">
        <v>126103.74512553899</v>
      </c>
      <c r="F410" s="65">
        <v>70319.441919999997</v>
      </c>
      <c r="G410" s="65">
        <v>55555.490750517958</v>
      </c>
      <c r="H410" s="99">
        <v>0.23564679472651018</v>
      </c>
      <c r="I410" s="99">
        <v>-0.20995546560620426</v>
      </c>
      <c r="J410" s="99">
        <v>5.386503144135113E-2</v>
      </c>
    </row>
    <row r="411" spans="1:10" x14ac:dyDescent="0.25">
      <c r="A411" s="98">
        <v>44713</v>
      </c>
      <c r="B411" s="65">
        <v>0</v>
      </c>
      <c r="C411" s="65">
        <v>0</v>
      </c>
      <c r="D411" s="65">
        <v>94782.783449999988</v>
      </c>
      <c r="E411" s="65">
        <v>117118.04256524942</v>
      </c>
      <c r="F411" s="65">
        <v>65308.729599999999</v>
      </c>
      <c r="G411" s="65">
        <v>51596.804868682295</v>
      </c>
      <c r="H411" s="99">
        <v>0.2356467947265104</v>
      </c>
      <c r="I411" s="99">
        <v>-0.20995546560620437</v>
      </c>
      <c r="J411" s="99">
        <v>5.386503144135113E-2</v>
      </c>
    </row>
    <row r="412" spans="1:10" x14ac:dyDescent="0.25">
      <c r="A412" s="98">
        <v>44743</v>
      </c>
      <c r="B412" s="65">
        <v>0</v>
      </c>
      <c r="C412" s="65">
        <v>0</v>
      </c>
      <c r="D412" s="65">
        <v>94782.783449999988</v>
      </c>
      <c r="E412" s="65">
        <v>117118.04256524942</v>
      </c>
      <c r="F412" s="65">
        <v>65308.729599999999</v>
      </c>
      <c r="G412" s="65">
        <v>51596.804868682295</v>
      </c>
      <c r="H412" s="99">
        <v>0.2356467947265104</v>
      </c>
      <c r="I412" s="99">
        <v>-0.20995546560620437</v>
      </c>
      <c r="J412" s="99">
        <v>5.386503144135113E-2</v>
      </c>
    </row>
    <row r="413" spans="1:10" x14ac:dyDescent="0.25">
      <c r="A413" s="90" t="s">
        <v>36</v>
      </c>
      <c r="B413" s="65">
        <v>0</v>
      </c>
      <c r="C413" s="65">
        <v>0</v>
      </c>
      <c r="D413" s="65">
        <v>2659933.0537496004</v>
      </c>
      <c r="E413" s="65">
        <v>3076957.2820501928</v>
      </c>
      <c r="F413" s="65">
        <v>1833195.6359023997</v>
      </c>
      <c r="G413" s="65">
        <v>1357234.5428817845</v>
      </c>
      <c r="H413" s="99">
        <v>0.15677997147812794</v>
      </c>
      <c r="I413" s="99">
        <v>-0.25963464220572485</v>
      </c>
      <c r="J413" s="99">
        <v>-1.3117110323538905E-2</v>
      </c>
    </row>
    <row r="414" spans="1:10" x14ac:dyDescent="0.25">
      <c r="A414" s="91" t="s">
        <v>32</v>
      </c>
      <c r="B414" s="65">
        <v>0</v>
      </c>
      <c r="C414" s="65">
        <v>0</v>
      </c>
      <c r="D414" s="65">
        <v>3922.1954799999994</v>
      </c>
      <c r="E414" s="65">
        <v>4583.9928483585827</v>
      </c>
      <c r="F414" s="65">
        <v>3089.2880499999997</v>
      </c>
      <c r="G414" s="65">
        <v>2288.0096560477846</v>
      </c>
      <c r="H414" s="99">
        <v>0.16873135766261793</v>
      </c>
      <c r="I414" s="99">
        <v>-0.25937315685153262</v>
      </c>
      <c r="J414" s="99">
        <v>-1.9893225876782661E-2</v>
      </c>
    </row>
    <row r="415" spans="1:10" x14ac:dyDescent="0.25">
      <c r="A415" s="92" t="s">
        <v>26</v>
      </c>
      <c r="B415" s="65">
        <v>0</v>
      </c>
      <c r="C415" s="65">
        <v>0</v>
      </c>
      <c r="D415" s="65">
        <v>3922.1954799999994</v>
      </c>
      <c r="E415" s="65">
        <v>4583.9928483585827</v>
      </c>
      <c r="F415" s="65">
        <v>3089.2880499999997</v>
      </c>
      <c r="G415" s="65">
        <v>2288.0096560477846</v>
      </c>
      <c r="H415" s="99">
        <v>0.16873135766261793</v>
      </c>
      <c r="I415" s="99">
        <v>-0.25937315685153262</v>
      </c>
      <c r="J415" s="99">
        <v>-1.9893225876782661E-2</v>
      </c>
    </row>
    <row r="416" spans="1:10" x14ac:dyDescent="0.25">
      <c r="A416" s="93" t="s">
        <v>40</v>
      </c>
      <c r="B416" s="65">
        <v>0</v>
      </c>
      <c r="C416" s="65">
        <v>0</v>
      </c>
      <c r="D416" s="65">
        <v>3922.1954799999994</v>
      </c>
      <c r="E416" s="65">
        <v>4583.9928483585827</v>
      </c>
      <c r="F416" s="65">
        <v>3089.2880499999997</v>
      </c>
      <c r="G416" s="65">
        <v>2288.0096560477846</v>
      </c>
      <c r="H416" s="99">
        <v>0.16873135766261793</v>
      </c>
      <c r="I416" s="99">
        <v>-0.25937315685153262</v>
      </c>
      <c r="J416" s="99">
        <v>-1.9893225876782661E-2</v>
      </c>
    </row>
    <row r="417" spans="1:10" x14ac:dyDescent="0.25">
      <c r="A417" s="94" t="s">
        <v>25</v>
      </c>
      <c r="B417" s="65">
        <v>0</v>
      </c>
      <c r="C417" s="65">
        <v>0</v>
      </c>
      <c r="D417" s="65">
        <v>3922.1954799999994</v>
      </c>
      <c r="E417" s="65">
        <v>4583.9928483585827</v>
      </c>
      <c r="F417" s="65">
        <v>3089.2880499999997</v>
      </c>
      <c r="G417" s="65">
        <v>2288.0096560477846</v>
      </c>
      <c r="H417" s="99">
        <v>0.16873135766261793</v>
      </c>
      <c r="I417" s="99">
        <v>-0.25937315685153262</v>
      </c>
      <c r="J417" s="99">
        <v>-1.9893225876782661E-2</v>
      </c>
    </row>
    <row r="418" spans="1:10" x14ac:dyDescent="0.25">
      <c r="A418" s="95" t="s">
        <v>25</v>
      </c>
      <c r="B418" s="65">
        <v>0</v>
      </c>
      <c r="C418" s="65">
        <v>0</v>
      </c>
      <c r="D418" s="65">
        <v>3922.1954799999994</v>
      </c>
      <c r="E418" s="65">
        <v>4583.9928483585827</v>
      </c>
      <c r="F418" s="65">
        <v>3089.2880499999997</v>
      </c>
      <c r="G418" s="65">
        <v>2288.0096560477846</v>
      </c>
      <c r="H418" s="99">
        <v>0.16873135766261793</v>
      </c>
      <c r="I418" s="99">
        <v>-0.25937315685153262</v>
      </c>
      <c r="J418" s="99">
        <v>-1.9893225876782661E-2</v>
      </c>
    </row>
    <row r="419" spans="1:10" x14ac:dyDescent="0.25">
      <c r="A419" s="96" t="s">
        <v>25</v>
      </c>
      <c r="B419" s="65">
        <v>0</v>
      </c>
      <c r="C419" s="65">
        <v>0</v>
      </c>
      <c r="D419" s="65">
        <v>3922.1954799999994</v>
      </c>
      <c r="E419" s="65">
        <v>4583.9928483585827</v>
      </c>
      <c r="F419" s="65">
        <v>3089.2880499999997</v>
      </c>
      <c r="G419" s="65">
        <v>2288.0096560477846</v>
      </c>
      <c r="H419" s="99">
        <v>0.16873135766261793</v>
      </c>
      <c r="I419" s="99">
        <v>-0.25937315685153262</v>
      </c>
      <c r="J419" s="99">
        <v>-1.9893225876782661E-2</v>
      </c>
    </row>
    <row r="420" spans="1:10" x14ac:dyDescent="0.25">
      <c r="A420" s="97" t="s">
        <v>34</v>
      </c>
      <c r="B420" s="65">
        <v>0</v>
      </c>
      <c r="C420" s="65">
        <v>0</v>
      </c>
      <c r="D420" s="65">
        <v>3232.2371199999998</v>
      </c>
      <c r="E420" s="65">
        <v>3810.0074651764644</v>
      </c>
      <c r="F420" s="65">
        <v>2820.7249599999991</v>
      </c>
      <c r="G420" s="65">
        <v>2090.764918911223</v>
      </c>
      <c r="H420" s="99">
        <v>0.17875246268332701</v>
      </c>
      <c r="I420" s="99">
        <v>-0.25878455058191008</v>
      </c>
      <c r="J420" s="99">
        <v>-2.5143011619909506E-2</v>
      </c>
    </row>
    <row r="421" spans="1:10" x14ac:dyDescent="0.25">
      <c r="A421" s="98">
        <v>44409</v>
      </c>
      <c r="B421" s="65">
        <v>0</v>
      </c>
      <c r="C421" s="65">
        <v>0</v>
      </c>
      <c r="D421" s="65">
        <v>207.51598000000001</v>
      </c>
      <c r="E421" s="65">
        <v>244.60997247114412</v>
      </c>
      <c r="F421" s="65">
        <v>181.09609</v>
      </c>
      <c r="G421" s="65">
        <v>134.23121973720882</v>
      </c>
      <c r="H421" s="99">
        <v>0.17875246268332745</v>
      </c>
      <c r="I421" s="99">
        <v>-0.2587845505819103</v>
      </c>
      <c r="J421" s="99">
        <v>-2.5143011619909506E-2</v>
      </c>
    </row>
    <row r="422" spans="1:10" x14ac:dyDescent="0.25">
      <c r="A422" s="98">
        <v>44440</v>
      </c>
      <c r="B422" s="65">
        <v>0</v>
      </c>
      <c r="C422" s="65">
        <v>0</v>
      </c>
      <c r="D422" s="65">
        <v>225.24194</v>
      </c>
      <c r="E422" s="65">
        <v>265.50449147457027</v>
      </c>
      <c r="F422" s="65">
        <v>196.56526999999997</v>
      </c>
      <c r="G422" s="65">
        <v>145.69721494303815</v>
      </c>
      <c r="H422" s="99">
        <v>0.17875246268332745</v>
      </c>
      <c r="I422" s="99">
        <v>-0.25878455058191019</v>
      </c>
      <c r="J422" s="99">
        <v>-2.5143011619909283E-2</v>
      </c>
    </row>
    <row r="423" spans="1:10" x14ac:dyDescent="0.25">
      <c r="A423" s="98">
        <v>44470</v>
      </c>
      <c r="B423" s="65">
        <v>0</v>
      </c>
      <c r="C423" s="65">
        <v>0</v>
      </c>
      <c r="D423" s="65">
        <v>214.54523999999998</v>
      </c>
      <c r="E423" s="65">
        <v>252.8957300069855</v>
      </c>
      <c r="F423" s="65">
        <v>187.23041999999998</v>
      </c>
      <c r="G423" s="65">
        <v>138.77807990503769</v>
      </c>
      <c r="H423" s="99">
        <v>0.17875246268332745</v>
      </c>
      <c r="I423" s="99">
        <v>-0.2587845505819103</v>
      </c>
      <c r="J423" s="99">
        <v>-2.5143011619909394E-2</v>
      </c>
    </row>
    <row r="424" spans="1:10" x14ac:dyDescent="0.25">
      <c r="A424" s="98">
        <v>44501</v>
      </c>
      <c r="B424" s="65">
        <v>0</v>
      </c>
      <c r="C424" s="65">
        <v>0</v>
      </c>
      <c r="D424" s="65">
        <v>336.18200000000002</v>
      </c>
      <c r="E424" s="65">
        <v>396.27536040980641</v>
      </c>
      <c r="F424" s="65">
        <v>293.38100000000003</v>
      </c>
      <c r="G424" s="65">
        <v>217.4585297657286</v>
      </c>
      <c r="H424" s="99">
        <v>0.17875246268332745</v>
      </c>
      <c r="I424" s="99">
        <v>-0.2587845505819103</v>
      </c>
      <c r="J424" s="99">
        <v>-2.5143011619909617E-2</v>
      </c>
    </row>
    <row r="425" spans="1:10" x14ac:dyDescent="0.25">
      <c r="A425" s="98">
        <v>44531</v>
      </c>
      <c r="B425" s="65">
        <v>0</v>
      </c>
      <c r="C425" s="65">
        <v>0</v>
      </c>
      <c r="D425" s="65">
        <v>400.36220000000003</v>
      </c>
      <c r="E425" s="65">
        <v>471.92792921531486</v>
      </c>
      <c r="F425" s="65">
        <v>349.39009999999996</v>
      </c>
      <c r="G425" s="65">
        <v>258.97333999373132</v>
      </c>
      <c r="H425" s="99">
        <v>0.17875246268332723</v>
      </c>
      <c r="I425" s="99">
        <v>-0.25878455058191019</v>
      </c>
      <c r="J425" s="99">
        <v>-2.5143011619909394E-2</v>
      </c>
    </row>
    <row r="426" spans="1:10" x14ac:dyDescent="0.25">
      <c r="A426" s="98">
        <v>44562</v>
      </c>
      <c r="B426" s="65">
        <v>0</v>
      </c>
      <c r="C426" s="65">
        <v>0</v>
      </c>
      <c r="D426" s="65">
        <v>418.69940000000003</v>
      </c>
      <c r="E426" s="65">
        <v>493.54294887403159</v>
      </c>
      <c r="F426" s="65">
        <v>365.39269999999999</v>
      </c>
      <c r="G426" s="65">
        <v>270.83471434458926</v>
      </c>
      <c r="H426" s="99">
        <v>0.17875246268332745</v>
      </c>
      <c r="I426" s="99">
        <v>-0.25878455058191019</v>
      </c>
      <c r="J426" s="99">
        <v>-2.5143011619909394E-2</v>
      </c>
    </row>
    <row r="427" spans="1:10" x14ac:dyDescent="0.25">
      <c r="A427" s="98">
        <v>44593</v>
      </c>
      <c r="B427" s="65">
        <v>0</v>
      </c>
      <c r="C427" s="65">
        <v>0</v>
      </c>
      <c r="D427" s="65">
        <v>389.66549999999995</v>
      </c>
      <c r="E427" s="65">
        <v>459.31916774773003</v>
      </c>
      <c r="F427" s="65">
        <v>340.05524999999994</v>
      </c>
      <c r="G427" s="65">
        <v>252.05420495573082</v>
      </c>
      <c r="H427" s="99">
        <v>0.17875246268332745</v>
      </c>
      <c r="I427" s="99">
        <v>-0.2587845505819103</v>
      </c>
      <c r="J427" s="99">
        <v>-2.5143011619909506E-2</v>
      </c>
    </row>
    <row r="428" spans="1:10" x14ac:dyDescent="0.25">
      <c r="A428" s="98">
        <v>44621</v>
      </c>
      <c r="B428" s="65">
        <v>0</v>
      </c>
      <c r="C428" s="65">
        <v>0</v>
      </c>
      <c r="D428" s="65">
        <v>345.04498000000001</v>
      </c>
      <c r="E428" s="65">
        <v>406.72261991151942</v>
      </c>
      <c r="F428" s="65">
        <v>301.11559</v>
      </c>
      <c r="G428" s="65">
        <v>223.19152736864325</v>
      </c>
      <c r="H428" s="99">
        <v>0.17875246268332723</v>
      </c>
      <c r="I428" s="99">
        <v>-0.2587845505819103</v>
      </c>
      <c r="J428" s="99">
        <v>-2.5143011619909506E-2</v>
      </c>
    </row>
    <row r="429" spans="1:10" x14ac:dyDescent="0.25">
      <c r="A429" s="98">
        <v>44652</v>
      </c>
      <c r="B429" s="65">
        <v>0</v>
      </c>
      <c r="C429" s="65">
        <v>0</v>
      </c>
      <c r="D429" s="65">
        <v>235.63302000000002</v>
      </c>
      <c r="E429" s="65">
        <v>277.75300261450974</v>
      </c>
      <c r="F429" s="65">
        <v>205.63341</v>
      </c>
      <c r="G429" s="65">
        <v>152.41866040852432</v>
      </c>
      <c r="H429" s="99">
        <v>0.17875246268332723</v>
      </c>
      <c r="I429" s="99">
        <v>-0.25878455058191019</v>
      </c>
      <c r="J429" s="99">
        <v>-2.5143011619909394E-2</v>
      </c>
    </row>
    <row r="430" spans="1:10" x14ac:dyDescent="0.25">
      <c r="A430" s="98">
        <v>44682</v>
      </c>
      <c r="B430" s="65">
        <v>0</v>
      </c>
      <c r="C430" s="65">
        <v>0</v>
      </c>
      <c r="D430" s="65">
        <v>188.56754000000001</v>
      </c>
      <c r="E430" s="65">
        <v>222.27445215713684</v>
      </c>
      <c r="F430" s="65">
        <v>164.56007</v>
      </c>
      <c r="G430" s="65">
        <v>121.9744662413223</v>
      </c>
      <c r="H430" s="99">
        <v>0.17875246268332723</v>
      </c>
      <c r="I430" s="99">
        <v>-0.2587845505819103</v>
      </c>
      <c r="J430" s="99">
        <v>-2.5143011619909506E-2</v>
      </c>
    </row>
    <row r="431" spans="1:10" x14ac:dyDescent="0.25">
      <c r="A431" s="98">
        <v>44713</v>
      </c>
      <c r="B431" s="65">
        <v>0</v>
      </c>
      <c r="C431" s="65">
        <v>0</v>
      </c>
      <c r="D431" s="65">
        <v>135.38965999999999</v>
      </c>
      <c r="E431" s="65">
        <v>159.59089514685837</v>
      </c>
      <c r="F431" s="65">
        <v>118.15253</v>
      </c>
      <c r="G431" s="65">
        <v>87.576480623834328</v>
      </c>
      <c r="H431" s="99">
        <v>0.17875246268332745</v>
      </c>
      <c r="I431" s="99">
        <v>-0.2587845505819103</v>
      </c>
      <c r="J431" s="99">
        <v>-2.5143011619909506E-2</v>
      </c>
    </row>
    <row r="432" spans="1:10" x14ac:dyDescent="0.25">
      <c r="A432" s="98">
        <v>44743</v>
      </c>
      <c r="B432" s="65">
        <v>0</v>
      </c>
      <c r="C432" s="65">
        <v>0</v>
      </c>
      <c r="D432" s="65">
        <v>135.38965999999999</v>
      </c>
      <c r="E432" s="65">
        <v>159.59089514685837</v>
      </c>
      <c r="F432" s="65">
        <v>118.15253</v>
      </c>
      <c r="G432" s="65">
        <v>87.576480623834328</v>
      </c>
      <c r="H432" s="99">
        <v>0.17875246268332745</v>
      </c>
      <c r="I432" s="99">
        <v>-0.2587845505819103</v>
      </c>
      <c r="J432" s="99">
        <v>-2.5143011619909506E-2</v>
      </c>
    </row>
    <row r="433" spans="1:10" x14ac:dyDescent="0.25">
      <c r="A433" s="97" t="s">
        <v>35</v>
      </c>
      <c r="B433" s="65">
        <v>0</v>
      </c>
      <c r="C433" s="65">
        <v>0</v>
      </c>
      <c r="D433" s="65">
        <v>321.68555999999995</v>
      </c>
      <c r="E433" s="65">
        <v>363.2347640458359</v>
      </c>
      <c r="F433" s="65">
        <v>122.41989</v>
      </c>
      <c r="G433" s="65">
        <v>90.739513784063092</v>
      </c>
      <c r="H433" s="99">
        <v>0.12916092362316789</v>
      </c>
      <c r="I433" s="99">
        <v>-0.25878455058191041</v>
      </c>
      <c r="J433" s="99">
        <v>2.2221812026623544E-2</v>
      </c>
    </row>
    <row r="434" spans="1:10" x14ac:dyDescent="0.25">
      <c r="A434" s="98">
        <v>44409</v>
      </c>
      <c r="B434" s="65">
        <v>0</v>
      </c>
      <c r="C434" s="65">
        <v>0</v>
      </c>
      <c r="D434" s="65">
        <v>18.22184</v>
      </c>
      <c r="E434" s="65">
        <v>20.575389684513578</v>
      </c>
      <c r="F434" s="65">
        <v>6.9344599999999987</v>
      </c>
      <c r="G434" s="65">
        <v>5.1399288853717664</v>
      </c>
      <c r="H434" s="99">
        <v>0.12916092362316745</v>
      </c>
      <c r="I434" s="99">
        <v>-0.25878455058191019</v>
      </c>
      <c r="J434" s="99">
        <v>2.2221812026623322E-2</v>
      </c>
    </row>
    <row r="435" spans="1:10" x14ac:dyDescent="0.25">
      <c r="A435" s="98">
        <v>44440</v>
      </c>
      <c r="B435" s="65">
        <v>0</v>
      </c>
      <c r="C435" s="65">
        <v>0</v>
      </c>
      <c r="D435" s="65">
        <v>19.623520000000003</v>
      </c>
      <c r="E435" s="65">
        <v>22.158111967937703</v>
      </c>
      <c r="F435" s="65">
        <v>7.4678799999999992</v>
      </c>
      <c r="G435" s="65">
        <v>5.5353080304003637</v>
      </c>
      <c r="H435" s="99">
        <v>0.12916092362316745</v>
      </c>
      <c r="I435" s="99">
        <v>-0.25878455058191019</v>
      </c>
      <c r="J435" s="99">
        <v>2.2221812026623322E-2</v>
      </c>
    </row>
    <row r="436" spans="1:10" x14ac:dyDescent="0.25">
      <c r="A436" s="98">
        <v>44470</v>
      </c>
      <c r="B436" s="65">
        <v>0</v>
      </c>
      <c r="C436" s="65">
        <v>0</v>
      </c>
      <c r="D436" s="65">
        <v>21.726040000000001</v>
      </c>
      <c r="E436" s="65">
        <v>24.532195393073884</v>
      </c>
      <c r="F436" s="65">
        <v>8.2680099999999985</v>
      </c>
      <c r="G436" s="65">
        <v>6.1283767479432596</v>
      </c>
      <c r="H436" s="99">
        <v>0.12916092362316745</v>
      </c>
      <c r="I436" s="99">
        <v>-0.25878455058191019</v>
      </c>
      <c r="J436" s="99">
        <v>2.2221812026623322E-2</v>
      </c>
    </row>
    <row r="437" spans="1:10" x14ac:dyDescent="0.25">
      <c r="A437" s="98">
        <v>44501</v>
      </c>
      <c r="B437" s="65">
        <v>0</v>
      </c>
      <c r="C437" s="65">
        <v>0</v>
      </c>
      <c r="D437" s="65">
        <v>33.640320000000003</v>
      </c>
      <c r="E437" s="65">
        <v>37.985334802178919</v>
      </c>
      <c r="F437" s="65">
        <v>12.80208</v>
      </c>
      <c r="G437" s="65">
        <v>9.4890994806863382</v>
      </c>
      <c r="H437" s="99">
        <v>0.12916092362316745</v>
      </c>
      <c r="I437" s="99">
        <v>-0.2587845505819103</v>
      </c>
      <c r="J437" s="99">
        <v>2.2221812026623322E-2</v>
      </c>
    </row>
    <row r="438" spans="1:10" x14ac:dyDescent="0.25">
      <c r="A438" s="98">
        <v>44531</v>
      </c>
      <c r="B438" s="65">
        <v>0</v>
      </c>
      <c r="C438" s="65">
        <v>0</v>
      </c>
      <c r="D438" s="65">
        <v>34.341160000000002</v>
      </c>
      <c r="E438" s="65">
        <v>38.776695943890978</v>
      </c>
      <c r="F438" s="65">
        <v>13.06879</v>
      </c>
      <c r="G438" s="65">
        <v>9.686789053200636</v>
      </c>
      <c r="H438" s="99">
        <v>0.12916092362316745</v>
      </c>
      <c r="I438" s="99">
        <v>-0.2587845505819103</v>
      </c>
      <c r="J438" s="99">
        <v>2.2221812026623322E-2</v>
      </c>
    </row>
    <row r="439" spans="1:10" x14ac:dyDescent="0.25">
      <c r="A439" s="98">
        <v>44562</v>
      </c>
      <c r="B439" s="65">
        <v>0</v>
      </c>
      <c r="C439" s="65">
        <v>0</v>
      </c>
      <c r="D439" s="65">
        <v>28.734440000000003</v>
      </c>
      <c r="E439" s="65">
        <v>32.44580681019449</v>
      </c>
      <c r="F439" s="65">
        <v>10.93511</v>
      </c>
      <c r="G439" s="65">
        <v>8.1052724730862469</v>
      </c>
      <c r="H439" s="99">
        <v>0.12916092362316745</v>
      </c>
      <c r="I439" s="99">
        <v>-0.2587845505819103</v>
      </c>
      <c r="J439" s="99">
        <v>2.2221812026623322E-2</v>
      </c>
    </row>
    <row r="440" spans="1:10" x14ac:dyDescent="0.25">
      <c r="A440" s="98">
        <v>44593</v>
      </c>
      <c r="B440" s="65">
        <v>0</v>
      </c>
      <c r="C440" s="65">
        <v>0</v>
      </c>
      <c r="D440" s="65">
        <v>44.853760000000001</v>
      </c>
      <c r="E440" s="65">
        <v>50.647113069571887</v>
      </c>
      <c r="F440" s="65">
        <v>17.06944</v>
      </c>
      <c r="G440" s="65">
        <v>12.652132640915116</v>
      </c>
      <c r="H440" s="99">
        <v>0.12916092362316745</v>
      </c>
      <c r="I440" s="99">
        <v>-0.2587845505819103</v>
      </c>
      <c r="J440" s="99">
        <v>2.2221812026623322E-2</v>
      </c>
    </row>
    <row r="441" spans="1:10" x14ac:dyDescent="0.25">
      <c r="A441" s="98">
        <v>44621</v>
      </c>
      <c r="B441" s="65">
        <v>0</v>
      </c>
      <c r="C441" s="65">
        <v>0</v>
      </c>
      <c r="D441" s="65">
        <v>30.836960000000001</v>
      </c>
      <c r="E441" s="65">
        <v>34.819890235330675</v>
      </c>
      <c r="F441" s="65">
        <v>11.735239999999999</v>
      </c>
      <c r="G441" s="65">
        <v>8.6983411906291419</v>
      </c>
      <c r="H441" s="99">
        <v>0.12916092362316767</v>
      </c>
      <c r="I441" s="99">
        <v>-0.2587845505819103</v>
      </c>
      <c r="J441" s="99">
        <v>2.2221812026623322E-2</v>
      </c>
    </row>
    <row r="442" spans="1:10" x14ac:dyDescent="0.25">
      <c r="A442" s="98">
        <v>44652</v>
      </c>
      <c r="B442" s="65">
        <v>0</v>
      </c>
      <c r="C442" s="65">
        <v>0</v>
      </c>
      <c r="D442" s="65">
        <v>25.931080000000001</v>
      </c>
      <c r="E442" s="65">
        <v>29.280362243346246</v>
      </c>
      <c r="F442" s="65">
        <v>9.868269999999999</v>
      </c>
      <c r="G442" s="65">
        <v>7.3145141830290514</v>
      </c>
      <c r="H442" s="99">
        <v>0.12916092362316745</v>
      </c>
      <c r="I442" s="99">
        <v>-0.2587845505819103</v>
      </c>
      <c r="J442" s="99">
        <v>2.2221812026623322E-2</v>
      </c>
    </row>
    <row r="443" spans="1:10" x14ac:dyDescent="0.25">
      <c r="A443" s="98">
        <v>44682</v>
      </c>
      <c r="B443" s="65">
        <v>0</v>
      </c>
      <c r="C443" s="65">
        <v>0</v>
      </c>
      <c r="D443" s="65">
        <v>24.529400000000003</v>
      </c>
      <c r="E443" s="65">
        <v>27.697639959922128</v>
      </c>
      <c r="F443" s="65">
        <v>9.3348499999999994</v>
      </c>
      <c r="G443" s="65">
        <v>6.919135038000455</v>
      </c>
      <c r="H443" s="99">
        <v>0.12916092362316745</v>
      </c>
      <c r="I443" s="99">
        <v>-0.25878455058191019</v>
      </c>
      <c r="J443" s="99">
        <v>2.2221812026623544E-2</v>
      </c>
    </row>
    <row r="444" spans="1:10" x14ac:dyDescent="0.25">
      <c r="A444" s="98">
        <v>44713</v>
      </c>
      <c r="B444" s="65">
        <v>0</v>
      </c>
      <c r="C444" s="65">
        <v>0</v>
      </c>
      <c r="D444" s="65">
        <v>19.623520000000003</v>
      </c>
      <c r="E444" s="65">
        <v>22.158111967937703</v>
      </c>
      <c r="F444" s="65">
        <v>7.4678799999999992</v>
      </c>
      <c r="G444" s="65">
        <v>5.5353080304003637</v>
      </c>
      <c r="H444" s="99">
        <v>0.12916092362316745</v>
      </c>
      <c r="I444" s="99">
        <v>-0.25878455058191019</v>
      </c>
      <c r="J444" s="99">
        <v>2.2221812026623322E-2</v>
      </c>
    </row>
    <row r="445" spans="1:10" x14ac:dyDescent="0.25">
      <c r="A445" s="98">
        <v>44743</v>
      </c>
      <c r="B445" s="65">
        <v>0</v>
      </c>
      <c r="C445" s="65">
        <v>0</v>
      </c>
      <c r="D445" s="65">
        <v>19.623520000000003</v>
      </c>
      <c r="E445" s="65">
        <v>22.158111967937703</v>
      </c>
      <c r="F445" s="65">
        <v>7.4678799999999992</v>
      </c>
      <c r="G445" s="65">
        <v>5.5353080304003637</v>
      </c>
      <c r="H445" s="99">
        <v>0.12916092362316745</v>
      </c>
      <c r="I445" s="99">
        <v>-0.25878455058191019</v>
      </c>
      <c r="J445" s="99">
        <v>2.2221812026623322E-2</v>
      </c>
    </row>
    <row r="446" spans="1:10" x14ac:dyDescent="0.25">
      <c r="A446" s="97" t="s">
        <v>33</v>
      </c>
      <c r="B446" s="65">
        <v>0</v>
      </c>
      <c r="C446" s="65">
        <v>0</v>
      </c>
      <c r="D446" s="65">
        <v>368.27279999999996</v>
      </c>
      <c r="E446" s="65">
        <v>410.7506191362811</v>
      </c>
      <c r="F446" s="65">
        <v>146.14320000000001</v>
      </c>
      <c r="G446" s="65">
        <v>106.50522335249848</v>
      </c>
      <c r="H446" s="99">
        <v>0.11534335182039279</v>
      </c>
      <c r="I446" s="99">
        <v>-0.27122696538396263</v>
      </c>
      <c r="J446" s="99">
        <v>5.5205174193251327E-3</v>
      </c>
    </row>
    <row r="447" spans="1:10" x14ac:dyDescent="0.25">
      <c r="A447" s="98">
        <v>44409</v>
      </c>
      <c r="B447" s="65">
        <v>0</v>
      </c>
      <c r="C447" s="65">
        <v>0</v>
      </c>
      <c r="D447" s="65">
        <v>31.785450000000001</v>
      </c>
      <c r="E447" s="65">
        <v>35.451690342119498</v>
      </c>
      <c r="F447" s="65">
        <v>12.61355</v>
      </c>
      <c r="G447" s="65">
        <v>9.1924151107811198</v>
      </c>
      <c r="H447" s="99">
        <v>0.11534335182039257</v>
      </c>
      <c r="I447" s="99">
        <v>-0.27122696538396251</v>
      </c>
      <c r="J447" s="99">
        <v>5.5205174193251327E-3</v>
      </c>
    </row>
    <row r="448" spans="1:10" x14ac:dyDescent="0.25">
      <c r="A448" s="98">
        <v>44440</v>
      </c>
      <c r="B448" s="65">
        <v>0</v>
      </c>
      <c r="C448" s="65">
        <v>0</v>
      </c>
      <c r="D448" s="65">
        <v>31.785450000000001</v>
      </c>
      <c r="E448" s="65">
        <v>35.451690342119498</v>
      </c>
      <c r="F448" s="65">
        <v>12.61355</v>
      </c>
      <c r="G448" s="65">
        <v>9.1924151107811198</v>
      </c>
      <c r="H448" s="99">
        <v>0.11534335182039257</v>
      </c>
      <c r="I448" s="99">
        <v>-0.27122696538396251</v>
      </c>
      <c r="J448" s="99">
        <v>5.5205174193251327E-3</v>
      </c>
    </row>
    <row r="449" spans="1:10" x14ac:dyDescent="0.25">
      <c r="A449" s="98">
        <v>44470</v>
      </c>
      <c r="B449" s="65">
        <v>0</v>
      </c>
      <c r="C449" s="65">
        <v>0</v>
      </c>
      <c r="D449" s="65">
        <v>27.401250000000001</v>
      </c>
      <c r="E449" s="65">
        <v>30.561802019068537</v>
      </c>
      <c r="F449" s="65">
        <v>10.873750000000001</v>
      </c>
      <c r="G449" s="65">
        <v>7.9244957851561368</v>
      </c>
      <c r="H449" s="99">
        <v>0.11534335182039279</v>
      </c>
      <c r="I449" s="99">
        <v>-0.27122696538396263</v>
      </c>
      <c r="J449" s="99">
        <v>5.5205174193251327E-3</v>
      </c>
    </row>
    <row r="450" spans="1:10" x14ac:dyDescent="0.25">
      <c r="A450" s="98">
        <v>44501</v>
      </c>
      <c r="B450" s="65">
        <v>0</v>
      </c>
      <c r="C450" s="65">
        <v>0</v>
      </c>
      <c r="D450" s="65">
        <v>27.401250000000001</v>
      </c>
      <c r="E450" s="65">
        <v>30.561802019068537</v>
      </c>
      <c r="F450" s="65">
        <v>10.873750000000001</v>
      </c>
      <c r="G450" s="65">
        <v>7.9244957851561368</v>
      </c>
      <c r="H450" s="99">
        <v>0.11534335182039279</v>
      </c>
      <c r="I450" s="99">
        <v>-0.27122696538396263</v>
      </c>
      <c r="J450" s="99">
        <v>5.5205174193251327E-3</v>
      </c>
    </row>
    <row r="451" spans="1:10" x14ac:dyDescent="0.25">
      <c r="A451" s="98">
        <v>44531</v>
      </c>
      <c r="B451" s="65">
        <v>0</v>
      </c>
      <c r="C451" s="65">
        <v>0</v>
      </c>
      <c r="D451" s="65">
        <v>33.977550000000001</v>
      </c>
      <c r="E451" s="65">
        <v>37.896634503644982</v>
      </c>
      <c r="F451" s="65">
        <v>13.483449999999999</v>
      </c>
      <c r="G451" s="65">
        <v>9.82637477359361</v>
      </c>
      <c r="H451" s="99">
        <v>0.11534335182039257</v>
      </c>
      <c r="I451" s="99">
        <v>-0.27122696538396251</v>
      </c>
      <c r="J451" s="99">
        <v>5.5205174193251327E-3</v>
      </c>
    </row>
    <row r="452" spans="1:10" x14ac:dyDescent="0.25">
      <c r="A452" s="98">
        <v>44562</v>
      </c>
      <c r="B452" s="65">
        <v>0</v>
      </c>
      <c r="C452" s="65">
        <v>0</v>
      </c>
      <c r="D452" s="65">
        <v>32.881499999999996</v>
      </c>
      <c r="E452" s="65">
        <v>36.67416242288224</v>
      </c>
      <c r="F452" s="65">
        <v>13.048499999999999</v>
      </c>
      <c r="G452" s="65">
        <v>9.5093949421873631</v>
      </c>
      <c r="H452" s="99">
        <v>0.11534335182039279</v>
      </c>
      <c r="I452" s="99">
        <v>-0.27122696538396263</v>
      </c>
      <c r="J452" s="99">
        <v>5.5205174193253548E-3</v>
      </c>
    </row>
    <row r="453" spans="1:10" x14ac:dyDescent="0.25">
      <c r="A453" s="98">
        <v>44593</v>
      </c>
      <c r="B453" s="65">
        <v>0</v>
      </c>
      <c r="C453" s="65">
        <v>0</v>
      </c>
      <c r="D453" s="65">
        <v>40.553849999999997</v>
      </c>
      <c r="E453" s="65">
        <v>45.231466988221428</v>
      </c>
      <c r="F453" s="65">
        <v>16.093149999999998</v>
      </c>
      <c r="G453" s="65">
        <v>11.728253762031082</v>
      </c>
      <c r="H453" s="99">
        <v>0.11534335182039257</v>
      </c>
      <c r="I453" s="99">
        <v>-0.27122696538396251</v>
      </c>
      <c r="J453" s="99">
        <v>5.5205174193251327E-3</v>
      </c>
    </row>
    <row r="454" spans="1:10" x14ac:dyDescent="0.25">
      <c r="A454" s="98">
        <v>44621</v>
      </c>
      <c r="B454" s="65">
        <v>0</v>
      </c>
      <c r="C454" s="65">
        <v>0</v>
      </c>
      <c r="D454" s="65">
        <v>28.497299999999999</v>
      </c>
      <c r="E454" s="65">
        <v>31.784274099831276</v>
      </c>
      <c r="F454" s="65">
        <v>11.3087</v>
      </c>
      <c r="G454" s="65">
        <v>8.241475616562381</v>
      </c>
      <c r="H454" s="99">
        <v>0.11534335182039279</v>
      </c>
      <c r="I454" s="99">
        <v>-0.27122696538396274</v>
      </c>
      <c r="J454" s="99">
        <v>5.5205174193251327E-3</v>
      </c>
    </row>
    <row r="455" spans="1:10" x14ac:dyDescent="0.25">
      <c r="A455" s="98">
        <v>44652</v>
      </c>
      <c r="B455" s="65">
        <v>0</v>
      </c>
      <c r="C455" s="65">
        <v>0</v>
      </c>
      <c r="D455" s="65">
        <v>26.305199999999999</v>
      </c>
      <c r="E455" s="65">
        <v>29.339329938305795</v>
      </c>
      <c r="F455" s="65">
        <v>10.438800000000001</v>
      </c>
      <c r="G455" s="65">
        <v>7.6075159537498918</v>
      </c>
      <c r="H455" s="99">
        <v>0.11534335182039279</v>
      </c>
      <c r="I455" s="99">
        <v>-0.27122696538396263</v>
      </c>
      <c r="J455" s="99">
        <v>5.5205174193251327E-3</v>
      </c>
    </row>
    <row r="456" spans="1:10" x14ac:dyDescent="0.25">
      <c r="A456" s="98">
        <v>44682</v>
      </c>
      <c r="B456" s="65">
        <v>0</v>
      </c>
      <c r="C456" s="65">
        <v>0</v>
      </c>
      <c r="D456" s="65">
        <v>28.497299999999999</v>
      </c>
      <c r="E456" s="65">
        <v>31.784274099831276</v>
      </c>
      <c r="F456" s="65">
        <v>11.3087</v>
      </c>
      <c r="G456" s="65">
        <v>8.241475616562381</v>
      </c>
      <c r="H456" s="99">
        <v>0.11534335182039279</v>
      </c>
      <c r="I456" s="99">
        <v>-0.27122696538396274</v>
      </c>
      <c r="J456" s="99">
        <v>5.5205174193251327E-3</v>
      </c>
    </row>
    <row r="457" spans="1:10" x14ac:dyDescent="0.25">
      <c r="A457" s="98">
        <v>44713</v>
      </c>
      <c r="B457" s="65">
        <v>0</v>
      </c>
      <c r="C457" s="65">
        <v>0</v>
      </c>
      <c r="D457" s="65">
        <v>29.593349999999997</v>
      </c>
      <c r="E457" s="65">
        <v>33.006746180594014</v>
      </c>
      <c r="F457" s="65">
        <v>11.743649999999999</v>
      </c>
      <c r="G457" s="65">
        <v>8.5584554479686279</v>
      </c>
      <c r="H457" s="99">
        <v>0.11534335182039257</v>
      </c>
      <c r="I457" s="99">
        <v>-0.27122696538396251</v>
      </c>
      <c r="J457" s="99">
        <v>5.5205174193251327E-3</v>
      </c>
    </row>
    <row r="458" spans="1:10" x14ac:dyDescent="0.25">
      <c r="A458" s="98">
        <v>44743</v>
      </c>
      <c r="B458" s="65">
        <v>0</v>
      </c>
      <c r="C458" s="65">
        <v>0</v>
      </c>
      <c r="D458" s="65">
        <v>29.593349999999997</v>
      </c>
      <c r="E458" s="65">
        <v>33.006746180594014</v>
      </c>
      <c r="F458" s="65">
        <v>11.743649999999999</v>
      </c>
      <c r="G458" s="65">
        <v>8.5584554479686279</v>
      </c>
      <c r="H458" s="99">
        <v>0.11534335182039257</v>
      </c>
      <c r="I458" s="99">
        <v>-0.27122696538396251</v>
      </c>
      <c r="J458" s="99">
        <v>5.5205174193251327E-3</v>
      </c>
    </row>
    <row r="459" spans="1:10" x14ac:dyDescent="0.25">
      <c r="A459" s="91" t="s">
        <v>23</v>
      </c>
      <c r="B459" s="65">
        <v>0</v>
      </c>
      <c r="C459" s="65">
        <v>0</v>
      </c>
      <c r="D459" s="65">
        <v>2656010.8582696007</v>
      </c>
      <c r="E459" s="65">
        <v>3072373.2892018342</v>
      </c>
      <c r="F459" s="65">
        <v>1830106.3478523998</v>
      </c>
      <c r="G459" s="65">
        <v>1354946.533225737</v>
      </c>
      <c r="H459" s="99">
        <v>0.15676232257706024</v>
      </c>
      <c r="I459" s="99">
        <v>-0.25963508360279508</v>
      </c>
      <c r="J459" s="99">
        <v>-1.3106519734747857E-2</v>
      </c>
    </row>
    <row r="460" spans="1:10" x14ac:dyDescent="0.25">
      <c r="A460" s="92" t="s">
        <v>26</v>
      </c>
      <c r="B460" s="65">
        <v>0</v>
      </c>
      <c r="C460" s="65">
        <v>0</v>
      </c>
      <c r="D460" s="65">
        <v>2656010.8582696007</v>
      </c>
      <c r="E460" s="65">
        <v>3072373.2892018342</v>
      </c>
      <c r="F460" s="65">
        <v>1830106.3478523998</v>
      </c>
      <c r="G460" s="65">
        <v>1354946.533225737</v>
      </c>
      <c r="H460" s="99">
        <v>0.15676232257706024</v>
      </c>
      <c r="I460" s="99">
        <v>-0.25963508360279508</v>
      </c>
      <c r="J460" s="99">
        <v>-1.3106519734747857E-2</v>
      </c>
    </row>
    <row r="461" spans="1:10" x14ac:dyDescent="0.25">
      <c r="A461" s="93" t="s">
        <v>40</v>
      </c>
      <c r="B461" s="65">
        <v>0</v>
      </c>
      <c r="C461" s="65">
        <v>0</v>
      </c>
      <c r="D461" s="65">
        <v>1663084.3657999998</v>
      </c>
      <c r="E461" s="65">
        <v>1923817.765536617</v>
      </c>
      <c r="F461" s="65">
        <v>1145937.0527000001</v>
      </c>
      <c r="G461" s="65">
        <v>847545.32843217021</v>
      </c>
      <c r="H461" s="99">
        <v>0.15677701330034144</v>
      </c>
      <c r="I461" s="99">
        <v>-0.2603910254623274</v>
      </c>
      <c r="J461" s="99">
        <v>-1.340620768613543E-2</v>
      </c>
    </row>
    <row r="462" spans="1:10" x14ac:dyDescent="0.25">
      <c r="A462" s="94" t="s">
        <v>25</v>
      </c>
      <c r="B462" s="65">
        <v>0</v>
      </c>
      <c r="C462" s="65">
        <v>0</v>
      </c>
      <c r="D462" s="65">
        <v>1663084.3657999998</v>
      </c>
      <c r="E462" s="65">
        <v>1923817.765536617</v>
      </c>
      <c r="F462" s="65">
        <v>1145937.0527000001</v>
      </c>
      <c r="G462" s="65">
        <v>847545.32843217021</v>
      </c>
      <c r="H462" s="99">
        <v>0.15677701330034144</v>
      </c>
      <c r="I462" s="99">
        <v>-0.2603910254623274</v>
      </c>
      <c r="J462" s="99">
        <v>-1.340620768613543E-2</v>
      </c>
    </row>
    <row r="463" spans="1:10" x14ac:dyDescent="0.25">
      <c r="A463" s="95" t="s">
        <v>25</v>
      </c>
      <c r="B463" s="65">
        <v>0</v>
      </c>
      <c r="C463" s="65">
        <v>0</v>
      </c>
      <c r="D463" s="65">
        <v>1663084.3657999998</v>
      </c>
      <c r="E463" s="65">
        <v>1923817.765536617</v>
      </c>
      <c r="F463" s="65">
        <v>1145937.0527000001</v>
      </c>
      <c r="G463" s="65">
        <v>847545.32843217021</v>
      </c>
      <c r="H463" s="99">
        <v>0.15677701330034144</v>
      </c>
      <c r="I463" s="99">
        <v>-0.2603910254623274</v>
      </c>
      <c r="J463" s="99">
        <v>-1.340620768613543E-2</v>
      </c>
    </row>
    <row r="464" spans="1:10" x14ac:dyDescent="0.25">
      <c r="A464" s="96" t="s">
        <v>25</v>
      </c>
      <c r="B464" s="65">
        <v>0</v>
      </c>
      <c r="C464" s="65">
        <v>0</v>
      </c>
      <c r="D464" s="65">
        <v>1663084.3657999998</v>
      </c>
      <c r="E464" s="65">
        <v>1923817.765536617</v>
      </c>
      <c r="F464" s="65">
        <v>1145937.0527000001</v>
      </c>
      <c r="G464" s="65">
        <v>847545.32843217021</v>
      </c>
      <c r="H464" s="99">
        <v>0.15677701330034144</v>
      </c>
      <c r="I464" s="99">
        <v>-0.2603910254623274</v>
      </c>
      <c r="J464" s="99">
        <v>-1.340620768613543E-2</v>
      </c>
    </row>
    <row r="465" spans="1:10" x14ac:dyDescent="0.25">
      <c r="A465" s="97" t="s">
        <v>25</v>
      </c>
      <c r="B465" s="65">
        <v>0</v>
      </c>
      <c r="C465" s="65">
        <v>0</v>
      </c>
      <c r="D465" s="65">
        <v>1663084.3657999998</v>
      </c>
      <c r="E465" s="65">
        <v>1923817.765536617</v>
      </c>
      <c r="F465" s="65">
        <v>1145937.0527000001</v>
      </c>
      <c r="G465" s="65">
        <v>847545.32843217021</v>
      </c>
      <c r="H465" s="99">
        <v>0.15677701330034144</v>
      </c>
      <c r="I465" s="99">
        <v>-0.2603910254623274</v>
      </c>
      <c r="J465" s="99">
        <v>-1.340620768613543E-2</v>
      </c>
    </row>
    <row r="466" spans="1:10" x14ac:dyDescent="0.25">
      <c r="A466" s="98">
        <v>44409</v>
      </c>
      <c r="B466" s="65">
        <v>0</v>
      </c>
      <c r="C466" s="65">
        <v>0</v>
      </c>
      <c r="D466" s="65">
        <v>124580.8876</v>
      </c>
      <c r="E466" s="65">
        <v>144112.30707223355</v>
      </c>
      <c r="F466" s="65">
        <v>85841.619400000011</v>
      </c>
      <c r="G466" s="65">
        <v>63489.23209708721</v>
      </c>
      <c r="H466" s="99">
        <v>0.15677701330034144</v>
      </c>
      <c r="I466" s="99">
        <v>-0.26039102546232717</v>
      </c>
      <c r="J466" s="99">
        <v>-1.3406207686135208E-2</v>
      </c>
    </row>
    <row r="467" spans="1:10" x14ac:dyDescent="0.25">
      <c r="A467" s="98">
        <v>44440</v>
      </c>
      <c r="B467" s="65">
        <v>0</v>
      </c>
      <c r="C467" s="65">
        <v>0</v>
      </c>
      <c r="D467" s="65">
        <v>135009.20991999999</v>
      </c>
      <c r="E467" s="65">
        <v>156175.55061929644</v>
      </c>
      <c r="F467" s="65">
        <v>93027.184480000011</v>
      </c>
      <c r="G467" s="65">
        <v>68803.740517379731</v>
      </c>
      <c r="H467" s="99">
        <v>0.15677701330034166</v>
      </c>
      <c r="I467" s="99">
        <v>-0.26039102546232706</v>
      </c>
      <c r="J467" s="99">
        <v>-1.3406207686135208E-2</v>
      </c>
    </row>
    <row r="468" spans="1:10" x14ac:dyDescent="0.25">
      <c r="A468" s="98">
        <v>44470</v>
      </c>
      <c r="B468" s="65">
        <v>0</v>
      </c>
      <c r="C468" s="65">
        <v>0</v>
      </c>
      <c r="D468" s="65">
        <v>124869.74837999999</v>
      </c>
      <c r="E468" s="65">
        <v>144446.45458258156</v>
      </c>
      <c r="F468" s="65">
        <v>86040.656969999996</v>
      </c>
      <c r="G468" s="65">
        <v>63636.442070129378</v>
      </c>
      <c r="H468" s="99">
        <v>0.15677701330034166</v>
      </c>
      <c r="I468" s="99">
        <v>-0.26039102546232706</v>
      </c>
      <c r="J468" s="99">
        <v>-1.3406207686135097E-2</v>
      </c>
    </row>
    <row r="469" spans="1:10" x14ac:dyDescent="0.25">
      <c r="A469" s="98">
        <v>44501</v>
      </c>
      <c r="B469" s="65">
        <v>0</v>
      </c>
      <c r="C469" s="65">
        <v>0</v>
      </c>
      <c r="D469" s="65">
        <v>149480.76832000003</v>
      </c>
      <c r="E469" s="65">
        <v>172915.91672304992</v>
      </c>
      <c r="F469" s="65">
        <v>102998.71408000002</v>
      </c>
      <c r="G469" s="65">
        <v>76178.773299407767</v>
      </c>
      <c r="H469" s="99">
        <v>0.15677701330034122</v>
      </c>
      <c r="I469" s="99">
        <v>-0.26039102546232729</v>
      </c>
      <c r="J469" s="99">
        <v>-1.3406207686135319E-2</v>
      </c>
    </row>
    <row r="470" spans="1:10" x14ac:dyDescent="0.25">
      <c r="A470" s="98">
        <v>44531</v>
      </c>
      <c r="B470" s="65">
        <v>0</v>
      </c>
      <c r="C470" s="65">
        <v>0</v>
      </c>
      <c r="D470" s="65">
        <v>166276.25040000002</v>
      </c>
      <c r="E470" s="65">
        <v>192344.54432049172</v>
      </c>
      <c r="F470" s="65">
        <v>114571.5276</v>
      </c>
      <c r="G470" s="65">
        <v>84738.130039450683</v>
      </c>
      <c r="H470" s="99">
        <v>0.15677701330034144</v>
      </c>
      <c r="I470" s="99">
        <v>-0.26039102546232717</v>
      </c>
      <c r="J470" s="99">
        <v>-1.3406207686135319E-2</v>
      </c>
    </row>
    <row r="471" spans="1:10" x14ac:dyDescent="0.25">
      <c r="A471" s="98">
        <v>44562</v>
      </c>
      <c r="B471" s="65">
        <v>0</v>
      </c>
      <c r="C471" s="65">
        <v>0</v>
      </c>
      <c r="D471" s="65">
        <v>159317.92421999999</v>
      </c>
      <c r="E471" s="65">
        <v>184295.31254442173</v>
      </c>
      <c r="F471" s="65">
        <v>109776.93992999999</v>
      </c>
      <c r="G471" s="65">
        <v>81192.009969511011</v>
      </c>
      <c r="H471" s="99">
        <v>0.15677701330034144</v>
      </c>
      <c r="I471" s="99">
        <v>-0.26039102546232706</v>
      </c>
      <c r="J471" s="99">
        <v>-1.3406207686135319E-2</v>
      </c>
    </row>
    <row r="472" spans="1:10" x14ac:dyDescent="0.25">
      <c r="A472" s="98">
        <v>44593</v>
      </c>
      <c r="B472" s="65">
        <v>0</v>
      </c>
      <c r="C472" s="65">
        <v>0</v>
      </c>
      <c r="D472" s="65">
        <v>148062.94672000001</v>
      </c>
      <c r="E472" s="65">
        <v>171275.81328720922</v>
      </c>
      <c r="F472" s="65">
        <v>102021.77368</v>
      </c>
      <c r="G472" s="65">
        <v>75456.219411979357</v>
      </c>
      <c r="H472" s="99">
        <v>0.15677701330034166</v>
      </c>
      <c r="I472" s="99">
        <v>-0.26039102546232695</v>
      </c>
      <c r="J472" s="99">
        <v>-1.3406207686135097E-2</v>
      </c>
    </row>
    <row r="473" spans="1:10" x14ac:dyDescent="0.25">
      <c r="A473" s="98">
        <v>44621</v>
      </c>
      <c r="B473" s="65">
        <v>0</v>
      </c>
      <c r="C473" s="65">
        <v>0</v>
      </c>
      <c r="D473" s="65">
        <v>158964.28365999999</v>
      </c>
      <c r="E473" s="65">
        <v>183886.22927364311</v>
      </c>
      <c r="F473" s="65">
        <v>109533.26629</v>
      </c>
      <c r="G473" s="65">
        <v>81011.786758508752</v>
      </c>
      <c r="H473" s="99">
        <v>0.15677701330034188</v>
      </c>
      <c r="I473" s="99">
        <v>-0.26039102546232717</v>
      </c>
      <c r="J473" s="99">
        <v>-1.3406207686135097E-2</v>
      </c>
    </row>
    <row r="474" spans="1:10" x14ac:dyDescent="0.25">
      <c r="A474" s="98">
        <v>44652</v>
      </c>
      <c r="B474" s="65">
        <v>0</v>
      </c>
      <c r="C474" s="65">
        <v>0</v>
      </c>
      <c r="D474" s="65">
        <v>124694.96520000002</v>
      </c>
      <c r="E474" s="65">
        <v>144244.26941764605</v>
      </c>
      <c r="F474" s="65">
        <v>85920.223800000022</v>
      </c>
      <c r="G474" s="65">
        <v>63547.368616765358</v>
      </c>
      <c r="H474" s="99">
        <v>0.15677701330034144</v>
      </c>
      <c r="I474" s="99">
        <v>-0.26039102546232729</v>
      </c>
      <c r="J474" s="99">
        <v>-1.3406207686135208E-2</v>
      </c>
    </row>
    <row r="475" spans="1:10" x14ac:dyDescent="0.25">
      <c r="A475" s="98">
        <v>44682</v>
      </c>
      <c r="B475" s="65">
        <v>0</v>
      </c>
      <c r="C475" s="65">
        <v>0</v>
      </c>
      <c r="D475" s="65">
        <v>127358.26974</v>
      </c>
      <c r="E475" s="65">
        <v>147325.11888893647</v>
      </c>
      <c r="F475" s="65">
        <v>87755.355810000008</v>
      </c>
      <c r="G475" s="65">
        <v>64904.648720822712</v>
      </c>
      <c r="H475" s="99">
        <v>0.15677701330034166</v>
      </c>
      <c r="I475" s="99">
        <v>-0.26039102546232717</v>
      </c>
      <c r="J475" s="99">
        <v>-1.3406207686135208E-2</v>
      </c>
    </row>
    <row r="476" spans="1:10" x14ac:dyDescent="0.25">
      <c r="A476" s="98">
        <v>44713</v>
      </c>
      <c r="B476" s="65">
        <v>0</v>
      </c>
      <c r="C476" s="65">
        <v>0</v>
      </c>
      <c r="D476" s="65">
        <v>122234.55581999999</v>
      </c>
      <c r="E476" s="65">
        <v>141398.12440355346</v>
      </c>
      <c r="F476" s="65">
        <v>84224.895329999999</v>
      </c>
      <c r="G476" s="65">
        <v>62293.488465564129</v>
      </c>
      <c r="H476" s="99">
        <v>0.15677701330034144</v>
      </c>
      <c r="I476" s="99">
        <v>-0.26039102546232717</v>
      </c>
      <c r="J476" s="99">
        <v>-1.3406207686135208E-2</v>
      </c>
    </row>
    <row r="477" spans="1:10" x14ac:dyDescent="0.25">
      <c r="A477" s="98">
        <v>44743</v>
      </c>
      <c r="B477" s="65">
        <v>0</v>
      </c>
      <c r="C477" s="65">
        <v>0</v>
      </c>
      <c r="D477" s="65">
        <v>122234.55581999999</v>
      </c>
      <c r="E477" s="65">
        <v>141398.12440355346</v>
      </c>
      <c r="F477" s="65">
        <v>84224.895329999999</v>
      </c>
      <c r="G477" s="65">
        <v>62293.488465564129</v>
      </c>
      <c r="H477" s="99">
        <v>0.15677701330034144</v>
      </c>
      <c r="I477" s="99">
        <v>-0.26039102546232717</v>
      </c>
      <c r="J477" s="99">
        <v>-1.3406207686135208E-2</v>
      </c>
    </row>
    <row r="478" spans="1:10" x14ac:dyDescent="0.25">
      <c r="A478" s="93" t="s">
        <v>49</v>
      </c>
      <c r="B478" s="65">
        <v>0</v>
      </c>
      <c r="C478" s="65">
        <v>0</v>
      </c>
      <c r="D478" s="65">
        <v>25959.580140000005</v>
      </c>
      <c r="E478" s="65">
        <v>30029.445580880063</v>
      </c>
      <c r="F478" s="65">
        <v>17887.273410000002</v>
      </c>
      <c r="G478" s="65">
        <v>13229.587944045083</v>
      </c>
      <c r="H478" s="99">
        <v>0.15677701330034144</v>
      </c>
      <c r="I478" s="99">
        <v>-0.26039102546232717</v>
      </c>
      <c r="J478" s="99">
        <v>-1.340620768613543E-2</v>
      </c>
    </row>
    <row r="479" spans="1:10" x14ac:dyDescent="0.25">
      <c r="A479" s="94" t="s">
        <v>25</v>
      </c>
      <c r="B479" s="65">
        <v>0</v>
      </c>
      <c r="C479" s="65">
        <v>0</v>
      </c>
      <c r="D479" s="65">
        <v>25959.580140000005</v>
      </c>
      <c r="E479" s="65">
        <v>30029.445580880063</v>
      </c>
      <c r="F479" s="65">
        <v>17887.273410000002</v>
      </c>
      <c r="G479" s="65">
        <v>13229.587944045083</v>
      </c>
      <c r="H479" s="99">
        <v>0.15677701330034144</v>
      </c>
      <c r="I479" s="99">
        <v>-0.26039102546232717</v>
      </c>
      <c r="J479" s="99">
        <v>-1.340620768613543E-2</v>
      </c>
    </row>
    <row r="480" spans="1:10" x14ac:dyDescent="0.25">
      <c r="A480" s="95" t="s">
        <v>25</v>
      </c>
      <c r="B480" s="65">
        <v>0</v>
      </c>
      <c r="C480" s="65">
        <v>0</v>
      </c>
      <c r="D480" s="65">
        <v>25959.580140000005</v>
      </c>
      <c r="E480" s="65">
        <v>30029.445580880063</v>
      </c>
      <c r="F480" s="65">
        <v>17887.273410000002</v>
      </c>
      <c r="G480" s="65">
        <v>13229.587944045083</v>
      </c>
      <c r="H480" s="99">
        <v>0.15677701330034144</v>
      </c>
      <c r="I480" s="99">
        <v>-0.26039102546232717</v>
      </c>
      <c r="J480" s="99">
        <v>-1.340620768613543E-2</v>
      </c>
    </row>
    <row r="481" spans="1:10" x14ac:dyDescent="0.25">
      <c r="A481" s="96" t="s">
        <v>25</v>
      </c>
      <c r="B481" s="65">
        <v>0</v>
      </c>
      <c r="C481" s="65">
        <v>0</v>
      </c>
      <c r="D481" s="65">
        <v>25959.580140000005</v>
      </c>
      <c r="E481" s="65">
        <v>30029.445580880063</v>
      </c>
      <c r="F481" s="65">
        <v>17887.273410000002</v>
      </c>
      <c r="G481" s="65">
        <v>13229.587944045083</v>
      </c>
      <c r="H481" s="99">
        <v>0.15677701330034144</v>
      </c>
      <c r="I481" s="99">
        <v>-0.26039102546232717</v>
      </c>
      <c r="J481" s="99">
        <v>-1.340620768613543E-2</v>
      </c>
    </row>
    <row r="482" spans="1:10" x14ac:dyDescent="0.25">
      <c r="A482" s="97" t="s">
        <v>25</v>
      </c>
      <c r="B482" s="65">
        <v>0</v>
      </c>
      <c r="C482" s="65">
        <v>0</v>
      </c>
      <c r="D482" s="65">
        <v>25959.580140000005</v>
      </c>
      <c r="E482" s="65">
        <v>30029.445580880063</v>
      </c>
      <c r="F482" s="65">
        <v>17887.273410000002</v>
      </c>
      <c r="G482" s="65">
        <v>13229.587944045083</v>
      </c>
      <c r="H482" s="99">
        <v>0.15677701330034144</v>
      </c>
      <c r="I482" s="99">
        <v>-0.26039102546232717</v>
      </c>
      <c r="J482" s="99">
        <v>-1.340620768613543E-2</v>
      </c>
    </row>
    <row r="483" spans="1:10" x14ac:dyDescent="0.25">
      <c r="A483" s="98">
        <v>44409</v>
      </c>
      <c r="B483" s="65">
        <v>0</v>
      </c>
      <c r="C483" s="65">
        <v>0</v>
      </c>
      <c r="D483" s="65">
        <v>2577.7463400000001</v>
      </c>
      <c r="E483" s="65">
        <v>2981.8777122310867</v>
      </c>
      <c r="F483" s="65">
        <v>1776.1787100000001</v>
      </c>
      <c r="G483" s="65">
        <v>1313.6777142987467</v>
      </c>
      <c r="H483" s="99">
        <v>0.15677701330034144</v>
      </c>
      <c r="I483" s="99">
        <v>-0.26039102546232717</v>
      </c>
      <c r="J483" s="99">
        <v>-1.3406207686135208E-2</v>
      </c>
    </row>
    <row r="484" spans="1:10" x14ac:dyDescent="0.25">
      <c r="A484" s="98">
        <v>44440</v>
      </c>
      <c r="B484" s="65">
        <v>0</v>
      </c>
      <c r="C484" s="65">
        <v>0</v>
      </c>
      <c r="D484" s="65">
        <v>2462.4464800000001</v>
      </c>
      <c r="E484" s="65">
        <v>2848.5014845463393</v>
      </c>
      <c r="F484" s="65">
        <v>1696.7321199999999</v>
      </c>
      <c r="G484" s="65">
        <v>1254.9183033383317</v>
      </c>
      <c r="H484" s="99">
        <v>0.15677701330034144</v>
      </c>
      <c r="I484" s="99">
        <v>-0.26039102546232706</v>
      </c>
      <c r="J484" s="99">
        <v>-1.3406207686135319E-2</v>
      </c>
    </row>
    <row r="485" spans="1:10" x14ac:dyDescent="0.25">
      <c r="A485" s="98">
        <v>44470</v>
      </c>
      <c r="B485" s="65">
        <v>0</v>
      </c>
      <c r="C485" s="65">
        <v>0</v>
      </c>
      <c r="D485" s="65">
        <v>2646.6003200000005</v>
      </c>
      <c r="E485" s="65">
        <v>3061.5264135693287</v>
      </c>
      <c r="F485" s="65">
        <v>1823.6220800000003</v>
      </c>
      <c r="G485" s="65">
        <v>1348.7672565330581</v>
      </c>
      <c r="H485" s="99">
        <v>0.15677701330034144</v>
      </c>
      <c r="I485" s="99">
        <v>-0.26039102546232717</v>
      </c>
      <c r="J485" s="99">
        <v>-1.3406207686135319E-2</v>
      </c>
    </row>
    <row r="486" spans="1:10" x14ac:dyDescent="0.25">
      <c r="A486" s="98">
        <v>44501</v>
      </c>
      <c r="B486" s="65">
        <v>0</v>
      </c>
      <c r="C486" s="65">
        <v>0</v>
      </c>
      <c r="D486" s="65">
        <v>2176.0302200000001</v>
      </c>
      <c r="E486" s="65">
        <v>2517.1817387428855</v>
      </c>
      <c r="F486" s="65">
        <v>1499.3789300000001</v>
      </c>
      <c r="G486" s="65">
        <v>1108.9541128606934</v>
      </c>
      <c r="H486" s="99">
        <v>0.15677701330034166</v>
      </c>
      <c r="I486" s="99">
        <v>-0.26039102546232706</v>
      </c>
      <c r="J486" s="99">
        <v>-1.3406207686135208E-2</v>
      </c>
    </row>
    <row r="487" spans="1:10" x14ac:dyDescent="0.25">
      <c r="A487" s="98">
        <v>44531</v>
      </c>
      <c r="B487" s="65">
        <v>0</v>
      </c>
      <c r="C487" s="65">
        <v>0</v>
      </c>
      <c r="D487" s="65">
        <v>2350.40598</v>
      </c>
      <c r="E487" s="65">
        <v>2718.8956095876624</v>
      </c>
      <c r="F487" s="65">
        <v>1619.5313700000002</v>
      </c>
      <c r="G487" s="65">
        <v>1197.8199357972926</v>
      </c>
      <c r="H487" s="99">
        <v>0.15677701330034166</v>
      </c>
      <c r="I487" s="99">
        <v>-0.26039102546232706</v>
      </c>
      <c r="J487" s="99">
        <v>-1.3406207686135208E-2</v>
      </c>
    </row>
    <row r="488" spans="1:10" x14ac:dyDescent="0.25">
      <c r="A488" s="98">
        <v>44562</v>
      </c>
      <c r="B488" s="65">
        <v>0</v>
      </c>
      <c r="C488" s="65">
        <v>0</v>
      </c>
      <c r="D488" s="65">
        <v>2559.0050200000001</v>
      </c>
      <c r="E488" s="65">
        <v>2960.1981840561807</v>
      </c>
      <c r="F488" s="65">
        <v>1763.26513</v>
      </c>
      <c r="G488" s="65">
        <v>1304.1267146373364</v>
      </c>
      <c r="H488" s="99">
        <v>0.15677701330034144</v>
      </c>
      <c r="I488" s="99">
        <v>-0.26039102546232717</v>
      </c>
      <c r="J488" s="99">
        <v>-1.3406207686135319E-2</v>
      </c>
    </row>
    <row r="489" spans="1:10" x14ac:dyDescent="0.25">
      <c r="A489" s="98">
        <v>44593</v>
      </c>
      <c r="B489" s="65">
        <v>0</v>
      </c>
      <c r="C489" s="65">
        <v>0</v>
      </c>
      <c r="D489" s="65">
        <v>2566.7460000000001</v>
      </c>
      <c r="E489" s="65">
        <v>2969.1527717805984</v>
      </c>
      <c r="F489" s="65">
        <v>1768.5990000000002</v>
      </c>
      <c r="G489" s="65">
        <v>1308.0716927583537</v>
      </c>
      <c r="H489" s="99">
        <v>0.15677701330034144</v>
      </c>
      <c r="I489" s="99">
        <v>-0.26039102546232717</v>
      </c>
      <c r="J489" s="99">
        <v>-1.3406207686135319E-2</v>
      </c>
    </row>
    <row r="490" spans="1:10" x14ac:dyDescent="0.25">
      <c r="A490" s="98">
        <v>44621</v>
      </c>
      <c r="B490" s="65">
        <v>0</v>
      </c>
      <c r="C490" s="65">
        <v>0</v>
      </c>
      <c r="D490" s="65">
        <v>2404.5928400000003</v>
      </c>
      <c r="E490" s="65">
        <v>2781.5777236585864</v>
      </c>
      <c r="F490" s="65">
        <v>1656.8684600000001</v>
      </c>
      <c r="G490" s="65">
        <v>1225.4347826444134</v>
      </c>
      <c r="H490" s="99">
        <v>0.15677701330034166</v>
      </c>
      <c r="I490" s="99">
        <v>-0.26039102546232706</v>
      </c>
      <c r="J490" s="99">
        <v>-1.3406207686135097E-2</v>
      </c>
    </row>
    <row r="491" spans="1:10" x14ac:dyDescent="0.25">
      <c r="A491" s="98">
        <v>44652</v>
      </c>
      <c r="B491" s="65">
        <v>0</v>
      </c>
      <c r="C491" s="65">
        <v>0</v>
      </c>
      <c r="D491" s="65">
        <v>2207.4015600000002</v>
      </c>
      <c r="E491" s="65">
        <v>2553.4713837313147</v>
      </c>
      <c r="F491" s="65">
        <v>1520.9951400000002</v>
      </c>
      <c r="G491" s="65">
        <v>1124.9416557721843</v>
      </c>
      <c r="H491" s="99">
        <v>0.15677701330034144</v>
      </c>
      <c r="I491" s="99">
        <v>-0.26039102546232717</v>
      </c>
      <c r="J491" s="99">
        <v>-1.3406207686135208E-2</v>
      </c>
    </row>
    <row r="492" spans="1:10" x14ac:dyDescent="0.25">
      <c r="A492" s="98">
        <v>44682</v>
      </c>
      <c r="B492" s="65">
        <v>0</v>
      </c>
      <c r="C492" s="65">
        <v>0</v>
      </c>
      <c r="D492" s="65">
        <v>2044.8409800000002</v>
      </c>
      <c r="E492" s="65">
        <v>2365.4250415185438</v>
      </c>
      <c r="F492" s="65">
        <v>1408.98387</v>
      </c>
      <c r="G492" s="65">
        <v>1042.0971152308218</v>
      </c>
      <c r="H492" s="99">
        <v>0.15677701330034166</v>
      </c>
      <c r="I492" s="99">
        <v>-0.26039102546232706</v>
      </c>
      <c r="J492" s="99">
        <v>-1.3406207686135097E-2</v>
      </c>
    </row>
    <row r="493" spans="1:10" x14ac:dyDescent="0.25">
      <c r="A493" s="98">
        <v>44713</v>
      </c>
      <c r="B493" s="65">
        <v>0</v>
      </c>
      <c r="C493" s="65">
        <v>0</v>
      </c>
      <c r="D493" s="65">
        <v>981.88220000000013</v>
      </c>
      <c r="E493" s="65">
        <v>1135.8187587287687</v>
      </c>
      <c r="F493" s="65">
        <v>676.55930000000012</v>
      </c>
      <c r="G493" s="65">
        <v>500.38933008692584</v>
      </c>
      <c r="H493" s="99">
        <v>0.15677701330034144</v>
      </c>
      <c r="I493" s="99">
        <v>-0.26039102546232717</v>
      </c>
      <c r="J493" s="99">
        <v>-1.3406207686135319E-2</v>
      </c>
    </row>
    <row r="494" spans="1:10" x14ac:dyDescent="0.25">
      <c r="A494" s="98">
        <v>44743</v>
      </c>
      <c r="B494" s="65">
        <v>0</v>
      </c>
      <c r="C494" s="65">
        <v>0</v>
      </c>
      <c r="D494" s="65">
        <v>981.88220000000013</v>
      </c>
      <c r="E494" s="65">
        <v>1135.8187587287687</v>
      </c>
      <c r="F494" s="65">
        <v>676.55930000000012</v>
      </c>
      <c r="G494" s="65">
        <v>500.38933008692584</v>
      </c>
      <c r="H494" s="99">
        <v>0.15677701330034144</v>
      </c>
      <c r="I494" s="99">
        <v>-0.26039102546232717</v>
      </c>
      <c r="J494" s="99">
        <v>-1.3406207686135319E-2</v>
      </c>
    </row>
    <row r="495" spans="1:10" x14ac:dyDescent="0.25">
      <c r="A495" s="93" t="s">
        <v>37</v>
      </c>
      <c r="B495" s="65">
        <v>0</v>
      </c>
      <c r="C495" s="65">
        <v>0</v>
      </c>
      <c r="D495" s="65">
        <v>455358.66687999998</v>
      </c>
      <c r="E495" s="65">
        <v>526748.43865387153</v>
      </c>
      <c r="F495" s="65">
        <v>313761.81472000008</v>
      </c>
      <c r="G495" s="65">
        <v>232061.05403413853</v>
      </c>
      <c r="H495" s="99">
        <v>0.15677701330034122</v>
      </c>
      <c r="I495" s="99">
        <v>-0.2603910254623274</v>
      </c>
      <c r="J495" s="99">
        <v>-1.3406207686135541E-2</v>
      </c>
    </row>
    <row r="496" spans="1:10" x14ac:dyDescent="0.25">
      <c r="A496" s="94" t="s">
        <v>25</v>
      </c>
      <c r="B496" s="65">
        <v>0</v>
      </c>
      <c r="C496" s="65">
        <v>0</v>
      </c>
      <c r="D496" s="65">
        <v>455358.66687999998</v>
      </c>
      <c r="E496" s="65">
        <v>526748.43865387153</v>
      </c>
      <c r="F496" s="65">
        <v>313761.81472000008</v>
      </c>
      <c r="G496" s="65">
        <v>232061.05403413853</v>
      </c>
      <c r="H496" s="99">
        <v>0.15677701330034122</v>
      </c>
      <c r="I496" s="99">
        <v>-0.2603910254623274</v>
      </c>
      <c r="J496" s="99">
        <v>-1.3406207686135541E-2</v>
      </c>
    </row>
    <row r="497" spans="1:10" x14ac:dyDescent="0.25">
      <c r="A497" s="95" t="s">
        <v>25</v>
      </c>
      <c r="B497" s="65">
        <v>0</v>
      </c>
      <c r="C497" s="65">
        <v>0</v>
      </c>
      <c r="D497" s="65">
        <v>455358.66687999998</v>
      </c>
      <c r="E497" s="65">
        <v>526748.43865387153</v>
      </c>
      <c r="F497" s="65">
        <v>313761.81472000008</v>
      </c>
      <c r="G497" s="65">
        <v>232061.05403413853</v>
      </c>
      <c r="H497" s="99">
        <v>0.15677701330034122</v>
      </c>
      <c r="I497" s="99">
        <v>-0.2603910254623274</v>
      </c>
      <c r="J497" s="99">
        <v>-1.3406207686135541E-2</v>
      </c>
    </row>
    <row r="498" spans="1:10" x14ac:dyDescent="0.25">
      <c r="A498" s="96" t="s">
        <v>25</v>
      </c>
      <c r="B498" s="65">
        <v>0</v>
      </c>
      <c r="C498" s="65">
        <v>0</v>
      </c>
      <c r="D498" s="65">
        <v>455358.66687999998</v>
      </c>
      <c r="E498" s="65">
        <v>526748.43865387153</v>
      </c>
      <c r="F498" s="65">
        <v>313761.81472000008</v>
      </c>
      <c r="G498" s="65">
        <v>232061.05403413853</v>
      </c>
      <c r="H498" s="99">
        <v>0.15677701330034122</v>
      </c>
      <c r="I498" s="99">
        <v>-0.2603910254623274</v>
      </c>
      <c r="J498" s="99">
        <v>-1.3406207686135541E-2</v>
      </c>
    </row>
    <row r="499" spans="1:10" x14ac:dyDescent="0.25">
      <c r="A499" s="97" t="s">
        <v>25</v>
      </c>
      <c r="B499" s="65">
        <v>0</v>
      </c>
      <c r="C499" s="65">
        <v>0</v>
      </c>
      <c r="D499" s="65">
        <v>455358.66687999998</v>
      </c>
      <c r="E499" s="65">
        <v>526748.43865387153</v>
      </c>
      <c r="F499" s="65">
        <v>313761.81472000008</v>
      </c>
      <c r="G499" s="65">
        <v>232061.05403413853</v>
      </c>
      <c r="H499" s="99">
        <v>0.15677701330034122</v>
      </c>
      <c r="I499" s="99">
        <v>-0.2603910254623274</v>
      </c>
      <c r="J499" s="99">
        <v>-1.3406207686135541E-2</v>
      </c>
    </row>
    <row r="500" spans="1:10" x14ac:dyDescent="0.25">
      <c r="A500" s="98">
        <v>44409</v>
      </c>
      <c r="B500" s="65">
        <v>0</v>
      </c>
      <c r="C500" s="65">
        <v>0</v>
      </c>
      <c r="D500" s="65">
        <v>34857.22552</v>
      </c>
      <c r="E500" s="65">
        <v>40322.037228962043</v>
      </c>
      <c r="F500" s="65">
        <v>24018.135880000002</v>
      </c>
      <c r="G500" s="65">
        <v>17764.028848513284</v>
      </c>
      <c r="H500" s="99">
        <v>0.15677701330034144</v>
      </c>
      <c r="I500" s="99">
        <v>-0.26039102546232729</v>
      </c>
      <c r="J500" s="99">
        <v>-1.3406207686135319E-2</v>
      </c>
    </row>
    <row r="501" spans="1:10" x14ac:dyDescent="0.25">
      <c r="A501" s="98">
        <v>44440</v>
      </c>
      <c r="B501" s="65">
        <v>0</v>
      </c>
      <c r="C501" s="65">
        <v>0</v>
      </c>
      <c r="D501" s="65">
        <v>37484.269679999998</v>
      </c>
      <c r="E501" s="65">
        <v>43360.941526174953</v>
      </c>
      <c r="F501" s="65">
        <v>25828.282920000001</v>
      </c>
      <c r="G501" s="65">
        <v>19102.82984453009</v>
      </c>
      <c r="H501" s="99">
        <v>0.15677701330034166</v>
      </c>
      <c r="I501" s="99">
        <v>-0.26039102546232717</v>
      </c>
      <c r="J501" s="99">
        <v>-1.3406207686135097E-2</v>
      </c>
    </row>
    <row r="502" spans="1:10" x14ac:dyDescent="0.25">
      <c r="A502" s="98">
        <v>44470</v>
      </c>
      <c r="B502" s="65">
        <v>0</v>
      </c>
      <c r="C502" s="65">
        <v>0</v>
      </c>
      <c r="D502" s="65">
        <v>36158.117579999998</v>
      </c>
      <c r="E502" s="65">
        <v>41826.879260754977</v>
      </c>
      <c r="F502" s="65">
        <v>24914.50677</v>
      </c>
      <c r="G502" s="65">
        <v>18426.992803271609</v>
      </c>
      <c r="H502" s="99">
        <v>0.15677701330034166</v>
      </c>
      <c r="I502" s="99">
        <v>-0.26039102546232706</v>
      </c>
      <c r="J502" s="99">
        <v>-1.3406207686135208E-2</v>
      </c>
    </row>
    <row r="503" spans="1:10" x14ac:dyDescent="0.25">
      <c r="A503" s="98">
        <v>44501</v>
      </c>
      <c r="B503" s="65">
        <v>0</v>
      </c>
      <c r="C503" s="65">
        <v>0</v>
      </c>
      <c r="D503" s="65">
        <v>37001.069560000004</v>
      </c>
      <c r="E503" s="65">
        <v>42801.986734534985</v>
      </c>
      <c r="F503" s="65">
        <v>25495.33714</v>
      </c>
      <c r="G503" s="65">
        <v>18856.580157607645</v>
      </c>
      <c r="H503" s="99">
        <v>0.15677701330034144</v>
      </c>
      <c r="I503" s="99">
        <v>-0.26039102546232717</v>
      </c>
      <c r="J503" s="99">
        <v>-1.3406207686135319E-2</v>
      </c>
    </row>
    <row r="504" spans="1:10" x14ac:dyDescent="0.25">
      <c r="A504" s="98">
        <v>44531</v>
      </c>
      <c r="B504" s="65">
        <v>0</v>
      </c>
      <c r="C504" s="65">
        <v>0</v>
      </c>
      <c r="D504" s="65">
        <v>40898.449280000001</v>
      </c>
      <c r="E504" s="65">
        <v>47310.386006733905</v>
      </c>
      <c r="F504" s="65">
        <v>28180.800320000002</v>
      </c>
      <c r="G504" s="65">
        <v>20842.772826326127</v>
      </c>
      <c r="H504" s="99">
        <v>0.15677701330034144</v>
      </c>
      <c r="I504" s="99">
        <v>-0.26039102546232706</v>
      </c>
      <c r="J504" s="99">
        <v>-1.3406207686135208E-2</v>
      </c>
    </row>
    <row r="505" spans="1:10" x14ac:dyDescent="0.25">
      <c r="A505" s="98">
        <v>44562</v>
      </c>
      <c r="B505" s="65">
        <v>0</v>
      </c>
      <c r="C505" s="65">
        <v>0</v>
      </c>
      <c r="D505" s="65">
        <v>38150.808800000006</v>
      </c>
      <c r="E505" s="65">
        <v>44131.978658656386</v>
      </c>
      <c r="F505" s="65">
        <v>26287.557199999999</v>
      </c>
      <c r="G505" s="65">
        <v>19442.513223792423</v>
      </c>
      <c r="H505" s="99">
        <v>0.15677701330034122</v>
      </c>
      <c r="I505" s="99">
        <v>-0.26039102546232695</v>
      </c>
      <c r="J505" s="99">
        <v>-1.3406207686135208E-2</v>
      </c>
    </row>
    <row r="506" spans="1:10" x14ac:dyDescent="0.25">
      <c r="A506" s="98">
        <v>44593</v>
      </c>
      <c r="B506" s="65">
        <v>0</v>
      </c>
      <c r="C506" s="65">
        <v>0</v>
      </c>
      <c r="D506" s="65">
        <v>41195.865880000005</v>
      </c>
      <c r="E506" s="65">
        <v>47654.430692987851</v>
      </c>
      <c r="F506" s="65">
        <v>28385.733220000002</v>
      </c>
      <c r="G506" s="65">
        <v>20994.343038344159</v>
      </c>
      <c r="H506" s="99">
        <v>0.15677701330034144</v>
      </c>
      <c r="I506" s="99">
        <v>-0.26039102546232706</v>
      </c>
      <c r="J506" s="99">
        <v>-1.3406207686135208E-2</v>
      </c>
    </row>
    <row r="507" spans="1:10" x14ac:dyDescent="0.25">
      <c r="A507" s="98">
        <v>44621</v>
      </c>
      <c r="B507" s="65">
        <v>0</v>
      </c>
      <c r="C507" s="65">
        <v>0</v>
      </c>
      <c r="D507" s="65">
        <v>40559.068420000003</v>
      </c>
      <c r="E507" s="65">
        <v>46917.798029131809</v>
      </c>
      <c r="F507" s="65">
        <v>27946.952230000006</v>
      </c>
      <c r="G507" s="65">
        <v>20669.816680283631</v>
      </c>
      <c r="H507" s="99">
        <v>0.15677701330034166</v>
      </c>
      <c r="I507" s="99">
        <v>-0.26039102546232729</v>
      </c>
      <c r="J507" s="99">
        <v>-1.3406207686135097E-2</v>
      </c>
    </row>
    <row r="508" spans="1:10" x14ac:dyDescent="0.25">
      <c r="A508" s="98">
        <v>44652</v>
      </c>
      <c r="B508" s="65">
        <v>0</v>
      </c>
      <c r="C508" s="65">
        <v>0</v>
      </c>
      <c r="D508" s="65">
        <v>36028.96544</v>
      </c>
      <c r="E508" s="65">
        <v>41677.479033984426</v>
      </c>
      <c r="F508" s="65">
        <v>24825.515360000005</v>
      </c>
      <c r="G508" s="65">
        <v>18361.173957778847</v>
      </c>
      <c r="H508" s="99">
        <v>0.15677701330034144</v>
      </c>
      <c r="I508" s="99">
        <v>-0.26039102546232729</v>
      </c>
      <c r="J508" s="99">
        <v>-1.3406207686135319E-2</v>
      </c>
    </row>
    <row r="509" spans="1:10" x14ac:dyDescent="0.25">
      <c r="A509" s="98">
        <v>44682</v>
      </c>
      <c r="B509" s="65">
        <v>0</v>
      </c>
      <c r="C509" s="65">
        <v>0</v>
      </c>
      <c r="D509" s="65">
        <v>37621.162800000006</v>
      </c>
      <c r="E509" s="65">
        <v>43519.296340669913</v>
      </c>
      <c r="F509" s="65">
        <v>25922.608200000002</v>
      </c>
      <c r="G509" s="65">
        <v>19172.593668143872</v>
      </c>
      <c r="H509" s="99">
        <v>0.15677701330034122</v>
      </c>
      <c r="I509" s="99">
        <v>-0.26039102546232706</v>
      </c>
      <c r="J509" s="99">
        <v>-1.3406207686135208E-2</v>
      </c>
    </row>
    <row r="510" spans="1:10" x14ac:dyDescent="0.25">
      <c r="A510" s="98">
        <v>44713</v>
      </c>
      <c r="B510" s="65">
        <v>0</v>
      </c>
      <c r="C510" s="65">
        <v>0</v>
      </c>
      <c r="D510" s="65">
        <v>37701.831960000003</v>
      </c>
      <c r="E510" s="65">
        <v>43612.612570640158</v>
      </c>
      <c r="F510" s="65">
        <v>25978.192740000002</v>
      </c>
      <c r="G510" s="65">
        <v>19213.70449277342</v>
      </c>
      <c r="H510" s="99">
        <v>0.15677701330034144</v>
      </c>
      <c r="I510" s="99">
        <v>-0.26039102546232706</v>
      </c>
      <c r="J510" s="99">
        <v>-1.340620768613543E-2</v>
      </c>
    </row>
    <row r="511" spans="1:10" x14ac:dyDescent="0.25">
      <c r="A511" s="98">
        <v>44743</v>
      </c>
      <c r="B511" s="65">
        <v>0</v>
      </c>
      <c r="C511" s="65">
        <v>0</v>
      </c>
      <c r="D511" s="65">
        <v>37701.831960000003</v>
      </c>
      <c r="E511" s="65">
        <v>43612.612570640158</v>
      </c>
      <c r="F511" s="65">
        <v>25978.192740000002</v>
      </c>
      <c r="G511" s="65">
        <v>19213.70449277342</v>
      </c>
      <c r="H511" s="99">
        <v>0.15677701330034144</v>
      </c>
      <c r="I511" s="99">
        <v>-0.26039102546232706</v>
      </c>
      <c r="J511" s="99">
        <v>-1.340620768613543E-2</v>
      </c>
    </row>
    <row r="512" spans="1:10" x14ac:dyDescent="0.25">
      <c r="A512" s="93" t="s">
        <v>43</v>
      </c>
      <c r="B512" s="65">
        <v>0</v>
      </c>
      <c r="C512" s="65">
        <v>0</v>
      </c>
      <c r="D512" s="65">
        <v>426548.77642000001</v>
      </c>
      <c r="E512" s="65">
        <v>493421.81961404276</v>
      </c>
      <c r="F512" s="65">
        <v>293910.55423000007</v>
      </c>
      <c r="G512" s="65">
        <v>217378.8836198494</v>
      </c>
      <c r="H512" s="99">
        <v>0.15677701330034144</v>
      </c>
      <c r="I512" s="99">
        <v>-0.26039102546232729</v>
      </c>
      <c r="J512" s="99">
        <v>-1.340620768613543E-2</v>
      </c>
    </row>
    <row r="513" spans="1:10" x14ac:dyDescent="0.25">
      <c r="A513" s="94" t="s">
        <v>25</v>
      </c>
      <c r="B513" s="65">
        <v>0</v>
      </c>
      <c r="C513" s="65">
        <v>0</v>
      </c>
      <c r="D513" s="65">
        <v>426548.77642000001</v>
      </c>
      <c r="E513" s="65">
        <v>493421.81961404276</v>
      </c>
      <c r="F513" s="65">
        <v>293910.55423000007</v>
      </c>
      <c r="G513" s="65">
        <v>217378.8836198494</v>
      </c>
      <c r="H513" s="99">
        <v>0.15677701330034144</v>
      </c>
      <c r="I513" s="99">
        <v>-0.26039102546232729</v>
      </c>
      <c r="J513" s="99">
        <v>-1.340620768613543E-2</v>
      </c>
    </row>
    <row r="514" spans="1:10" x14ac:dyDescent="0.25">
      <c r="A514" s="95" t="s">
        <v>25</v>
      </c>
      <c r="B514" s="65">
        <v>0</v>
      </c>
      <c r="C514" s="65">
        <v>0</v>
      </c>
      <c r="D514" s="65">
        <v>426548.77642000001</v>
      </c>
      <c r="E514" s="65">
        <v>493421.81961404276</v>
      </c>
      <c r="F514" s="65">
        <v>293910.55423000007</v>
      </c>
      <c r="G514" s="65">
        <v>217378.8836198494</v>
      </c>
      <c r="H514" s="99">
        <v>0.15677701330034144</v>
      </c>
      <c r="I514" s="99">
        <v>-0.26039102546232729</v>
      </c>
      <c r="J514" s="99">
        <v>-1.340620768613543E-2</v>
      </c>
    </row>
    <row r="515" spans="1:10" x14ac:dyDescent="0.25">
      <c r="A515" s="96" t="s">
        <v>25</v>
      </c>
      <c r="B515" s="65">
        <v>0</v>
      </c>
      <c r="C515" s="65">
        <v>0</v>
      </c>
      <c r="D515" s="65">
        <v>426548.77642000001</v>
      </c>
      <c r="E515" s="65">
        <v>493421.81961404276</v>
      </c>
      <c r="F515" s="65">
        <v>293910.55423000007</v>
      </c>
      <c r="G515" s="65">
        <v>217378.8836198494</v>
      </c>
      <c r="H515" s="99">
        <v>0.15677701330034144</v>
      </c>
      <c r="I515" s="99">
        <v>-0.26039102546232729</v>
      </c>
      <c r="J515" s="99">
        <v>-1.340620768613543E-2</v>
      </c>
    </row>
    <row r="516" spans="1:10" x14ac:dyDescent="0.25">
      <c r="A516" s="97" t="s">
        <v>25</v>
      </c>
      <c r="B516" s="65">
        <v>0</v>
      </c>
      <c r="C516" s="65">
        <v>0</v>
      </c>
      <c r="D516" s="65">
        <v>426548.77642000001</v>
      </c>
      <c r="E516" s="65">
        <v>493421.81961404276</v>
      </c>
      <c r="F516" s="65">
        <v>293910.55423000007</v>
      </c>
      <c r="G516" s="65">
        <v>217378.8836198494</v>
      </c>
      <c r="H516" s="99">
        <v>0.15677701330034144</v>
      </c>
      <c r="I516" s="99">
        <v>-0.26039102546232729</v>
      </c>
      <c r="J516" s="99">
        <v>-1.340620768613543E-2</v>
      </c>
    </row>
    <row r="517" spans="1:10" x14ac:dyDescent="0.25">
      <c r="A517" s="98">
        <v>44409</v>
      </c>
      <c r="B517" s="65">
        <v>0</v>
      </c>
      <c r="C517" s="65">
        <v>0</v>
      </c>
      <c r="D517" s="65">
        <v>31249.92884</v>
      </c>
      <c r="E517" s="65">
        <v>36149.199349383409</v>
      </c>
      <c r="F517" s="65">
        <v>21532.552460000003</v>
      </c>
      <c r="G517" s="65">
        <v>15925.669044119246</v>
      </c>
      <c r="H517" s="99">
        <v>0.15677701330034166</v>
      </c>
      <c r="I517" s="99">
        <v>-0.26039102546232717</v>
      </c>
      <c r="J517" s="99">
        <v>-1.3406207686135097E-2</v>
      </c>
    </row>
    <row r="518" spans="1:10" x14ac:dyDescent="0.25">
      <c r="A518" s="98">
        <v>44440</v>
      </c>
      <c r="B518" s="65">
        <v>0</v>
      </c>
      <c r="C518" s="65">
        <v>0</v>
      </c>
      <c r="D518" s="65">
        <v>31148.88868</v>
      </c>
      <c r="E518" s="65">
        <v>36032.318414875219</v>
      </c>
      <c r="F518" s="65">
        <v>21462.931420000001</v>
      </c>
      <c r="G518" s="65">
        <v>15874.176698118599</v>
      </c>
      <c r="H518" s="99">
        <v>0.15677701330034166</v>
      </c>
      <c r="I518" s="99">
        <v>-0.26039102546232717</v>
      </c>
      <c r="J518" s="99">
        <v>-1.3406207686135097E-2</v>
      </c>
    </row>
    <row r="519" spans="1:10" x14ac:dyDescent="0.25">
      <c r="A519" s="98">
        <v>44470</v>
      </c>
      <c r="B519" s="65">
        <v>0</v>
      </c>
      <c r="C519" s="65">
        <v>0</v>
      </c>
      <c r="D519" s="65">
        <v>28212.61274</v>
      </c>
      <c r="E519" s="65">
        <v>32635.701902776367</v>
      </c>
      <c r="F519" s="65">
        <v>19439.710310000002</v>
      </c>
      <c r="G519" s="65">
        <v>14377.784207688528</v>
      </c>
      <c r="H519" s="99">
        <v>0.15677701330034166</v>
      </c>
      <c r="I519" s="99">
        <v>-0.26039102546232717</v>
      </c>
      <c r="J519" s="99">
        <v>-1.3406207686135319E-2</v>
      </c>
    </row>
    <row r="520" spans="1:10" x14ac:dyDescent="0.25">
      <c r="A520" s="98">
        <v>44501</v>
      </c>
      <c r="B520" s="65">
        <v>0</v>
      </c>
      <c r="C520" s="65">
        <v>0</v>
      </c>
      <c r="D520" s="65">
        <v>36697.949079999999</v>
      </c>
      <c r="E520" s="65">
        <v>42451.343931010415</v>
      </c>
      <c r="F520" s="65">
        <v>25286.474020000001</v>
      </c>
      <c r="G520" s="65">
        <v>18702.103119605708</v>
      </c>
      <c r="H520" s="99">
        <v>0.15677701330034144</v>
      </c>
      <c r="I520" s="99">
        <v>-0.26039102546232706</v>
      </c>
      <c r="J520" s="99">
        <v>-1.3406207686135208E-2</v>
      </c>
    </row>
    <row r="521" spans="1:10" x14ac:dyDescent="0.25">
      <c r="A521" s="98">
        <v>44531</v>
      </c>
      <c r="B521" s="65">
        <v>0</v>
      </c>
      <c r="C521" s="65">
        <v>0</v>
      </c>
      <c r="D521" s="65">
        <v>40849.151460000001</v>
      </c>
      <c r="E521" s="65">
        <v>47253.359421752088</v>
      </c>
      <c r="F521" s="65">
        <v>28146.831990000002</v>
      </c>
      <c r="G521" s="65">
        <v>20817.64954460807</v>
      </c>
      <c r="H521" s="99">
        <v>0.15677701330034166</v>
      </c>
      <c r="I521" s="99">
        <v>-0.26039102546232706</v>
      </c>
      <c r="J521" s="99">
        <v>-1.3406207686135208E-2</v>
      </c>
    </row>
    <row r="522" spans="1:10" x14ac:dyDescent="0.25">
      <c r="A522" s="98">
        <v>44562</v>
      </c>
      <c r="B522" s="65">
        <v>0</v>
      </c>
      <c r="C522" s="65">
        <v>0</v>
      </c>
      <c r="D522" s="65">
        <v>35455.7255</v>
      </c>
      <c r="E522" s="65">
        <v>41014.368248286766</v>
      </c>
      <c r="F522" s="65">
        <v>24430.528250000003</v>
      </c>
      <c r="G522" s="65">
        <v>18069.037946396151</v>
      </c>
      <c r="H522" s="99">
        <v>0.15677701330034166</v>
      </c>
      <c r="I522" s="99">
        <v>-0.26039102546232706</v>
      </c>
      <c r="J522" s="99">
        <v>-1.3406207686135097E-2</v>
      </c>
    </row>
    <row r="523" spans="1:10" x14ac:dyDescent="0.25">
      <c r="A523" s="98">
        <v>44593</v>
      </c>
      <c r="B523" s="65">
        <v>0</v>
      </c>
      <c r="C523" s="65">
        <v>0</v>
      </c>
      <c r="D523" s="65">
        <v>38427.039559999997</v>
      </c>
      <c r="E523" s="65">
        <v>44451.516052190869</v>
      </c>
      <c r="F523" s="65">
        <v>26477.89214</v>
      </c>
      <c r="G523" s="65">
        <v>19583.28665358451</v>
      </c>
      <c r="H523" s="99">
        <v>0.15677701330034166</v>
      </c>
      <c r="I523" s="99">
        <v>-0.26039102546232706</v>
      </c>
      <c r="J523" s="99">
        <v>-1.3406207686135208E-2</v>
      </c>
    </row>
    <row r="524" spans="1:10" x14ac:dyDescent="0.25">
      <c r="A524" s="98">
        <v>44621</v>
      </c>
      <c r="B524" s="65">
        <v>0</v>
      </c>
      <c r="C524" s="65">
        <v>0</v>
      </c>
      <c r="D524" s="65">
        <v>41953.667080000007</v>
      </c>
      <c r="E524" s="65">
        <v>48531.037701799265</v>
      </c>
      <c r="F524" s="65">
        <v>28907.891020000003</v>
      </c>
      <c r="G524" s="65">
        <v>21380.535633349005</v>
      </c>
      <c r="H524" s="99">
        <v>0.15677701330034144</v>
      </c>
      <c r="I524" s="99">
        <v>-0.26039102546232706</v>
      </c>
      <c r="J524" s="99">
        <v>-1.3406207686135097E-2</v>
      </c>
    </row>
    <row r="525" spans="1:10" x14ac:dyDescent="0.25">
      <c r="A525" s="98">
        <v>44652</v>
      </c>
      <c r="B525" s="65">
        <v>0</v>
      </c>
      <c r="C525" s="65">
        <v>0</v>
      </c>
      <c r="D525" s="65">
        <v>35358.352120000003</v>
      </c>
      <c r="E525" s="65">
        <v>40901.728960595399</v>
      </c>
      <c r="F525" s="65">
        <v>24363.433780000003</v>
      </c>
      <c r="G525" s="65">
        <v>18019.414274242299</v>
      </c>
      <c r="H525" s="99">
        <v>0.15677701330034144</v>
      </c>
      <c r="I525" s="99">
        <v>-0.26039102546232717</v>
      </c>
      <c r="J525" s="99">
        <v>-1.3406207686135208E-2</v>
      </c>
    </row>
    <row r="526" spans="1:10" x14ac:dyDescent="0.25">
      <c r="A526" s="98">
        <v>44682</v>
      </c>
      <c r="B526" s="65">
        <v>0</v>
      </c>
      <c r="C526" s="65">
        <v>0</v>
      </c>
      <c r="D526" s="65">
        <v>37514.41876</v>
      </c>
      <c r="E526" s="65">
        <v>43395.817288891107</v>
      </c>
      <c r="F526" s="65">
        <v>25849.056940000002</v>
      </c>
      <c r="G526" s="65">
        <v>19118.194496159318</v>
      </c>
      <c r="H526" s="99">
        <v>0.15677701330034166</v>
      </c>
      <c r="I526" s="99">
        <v>-0.26039102546232717</v>
      </c>
      <c r="J526" s="99">
        <v>-1.3406207686135097E-2</v>
      </c>
    </row>
    <row r="527" spans="1:10" x14ac:dyDescent="0.25">
      <c r="A527" s="98">
        <v>44713</v>
      </c>
      <c r="B527" s="65">
        <v>0</v>
      </c>
      <c r="C527" s="65">
        <v>0</v>
      </c>
      <c r="D527" s="65">
        <v>34840.5213</v>
      </c>
      <c r="E527" s="65">
        <v>40302.714171240936</v>
      </c>
      <c r="F527" s="65">
        <v>24006.625950000001</v>
      </c>
      <c r="G527" s="65">
        <v>17755.516000988988</v>
      </c>
      <c r="H527" s="99">
        <v>0.15677701330034166</v>
      </c>
      <c r="I527" s="99">
        <v>-0.26039102546232717</v>
      </c>
      <c r="J527" s="99">
        <v>-1.3406207686135208E-2</v>
      </c>
    </row>
    <row r="528" spans="1:10" x14ac:dyDescent="0.25">
      <c r="A528" s="98">
        <v>44743</v>
      </c>
      <c r="B528" s="65">
        <v>0</v>
      </c>
      <c r="C528" s="65">
        <v>0</v>
      </c>
      <c r="D528" s="65">
        <v>34840.5213</v>
      </c>
      <c r="E528" s="65">
        <v>40302.714171240936</v>
      </c>
      <c r="F528" s="65">
        <v>24006.625950000001</v>
      </c>
      <c r="G528" s="65">
        <v>17755.516000988988</v>
      </c>
      <c r="H528" s="99">
        <v>0.15677701330034166</v>
      </c>
      <c r="I528" s="99">
        <v>-0.26039102546232717</v>
      </c>
      <c r="J528" s="99">
        <v>-1.3406207686135208E-2</v>
      </c>
    </row>
    <row r="529" spans="1:10" x14ac:dyDescent="0.25">
      <c r="A529" s="93" t="s">
        <v>47</v>
      </c>
      <c r="B529" s="65">
        <v>0</v>
      </c>
      <c r="C529" s="65">
        <v>0</v>
      </c>
      <c r="D529" s="65">
        <v>85059.469029600004</v>
      </c>
      <c r="E529" s="65">
        <v>98355.819816423231</v>
      </c>
      <c r="F529" s="65">
        <v>58609.652792399982</v>
      </c>
      <c r="G529" s="65">
        <v>44731.679195534191</v>
      </c>
      <c r="H529" s="99">
        <v>0.15631829046800427</v>
      </c>
      <c r="I529" s="99">
        <v>-0.23678648372176281</v>
      </c>
      <c r="J529" s="99">
        <v>-4.0483494481379223E-3</v>
      </c>
    </row>
    <row r="530" spans="1:10" x14ac:dyDescent="0.25">
      <c r="A530" s="94" t="s">
        <v>48</v>
      </c>
      <c r="B530" s="65">
        <v>0</v>
      </c>
      <c r="C530" s="65">
        <v>0</v>
      </c>
      <c r="D530" s="65">
        <v>85059.469029600004</v>
      </c>
      <c r="E530" s="65">
        <v>98355.819816423231</v>
      </c>
      <c r="F530" s="65">
        <v>58609.652792399982</v>
      </c>
      <c r="G530" s="65">
        <v>44731.679195534191</v>
      </c>
      <c r="H530" s="99">
        <v>0.15631829046800427</v>
      </c>
      <c r="I530" s="99">
        <v>-0.23678648372176281</v>
      </c>
      <c r="J530" s="99">
        <v>-4.0483494481379223E-3</v>
      </c>
    </row>
    <row r="531" spans="1:10" x14ac:dyDescent="0.25">
      <c r="A531" s="95" t="s">
        <v>25</v>
      </c>
      <c r="B531" s="65">
        <v>0</v>
      </c>
      <c r="C531" s="65">
        <v>0</v>
      </c>
      <c r="D531" s="65">
        <v>85059.469029600004</v>
      </c>
      <c r="E531" s="65">
        <v>98355.819816423231</v>
      </c>
      <c r="F531" s="65">
        <v>58609.652792399982</v>
      </c>
      <c r="G531" s="65">
        <v>44731.679195534191</v>
      </c>
      <c r="H531" s="99">
        <v>0.15631829046800427</v>
      </c>
      <c r="I531" s="99">
        <v>-0.23678648372176281</v>
      </c>
      <c r="J531" s="99">
        <v>-4.0483494481379223E-3</v>
      </c>
    </row>
    <row r="532" spans="1:10" x14ac:dyDescent="0.25">
      <c r="A532" s="96" t="s">
        <v>25</v>
      </c>
      <c r="B532" s="65">
        <v>0</v>
      </c>
      <c r="C532" s="65">
        <v>0</v>
      </c>
      <c r="D532" s="65">
        <v>85059.469029600004</v>
      </c>
      <c r="E532" s="65">
        <v>98355.819816423231</v>
      </c>
      <c r="F532" s="65">
        <v>58609.652792399982</v>
      </c>
      <c r="G532" s="65">
        <v>44731.679195534191</v>
      </c>
      <c r="H532" s="99">
        <v>0.15631829046800427</v>
      </c>
      <c r="I532" s="99">
        <v>-0.23678648372176281</v>
      </c>
      <c r="J532" s="99">
        <v>-4.0483494481379223E-3</v>
      </c>
    </row>
    <row r="533" spans="1:10" x14ac:dyDescent="0.25">
      <c r="A533" s="97" t="s">
        <v>25</v>
      </c>
      <c r="B533" s="65">
        <v>0</v>
      </c>
      <c r="C533" s="65">
        <v>0</v>
      </c>
      <c r="D533" s="65">
        <v>85059.469029600004</v>
      </c>
      <c r="E533" s="65">
        <v>98355.819816423231</v>
      </c>
      <c r="F533" s="65">
        <v>58609.652792399982</v>
      </c>
      <c r="G533" s="65">
        <v>44731.679195534191</v>
      </c>
      <c r="H533" s="99">
        <v>0.15631829046800427</v>
      </c>
      <c r="I533" s="99">
        <v>-0.23678648372176281</v>
      </c>
      <c r="J533" s="99">
        <v>-4.0483494481379223E-3</v>
      </c>
    </row>
    <row r="534" spans="1:10" x14ac:dyDescent="0.25">
      <c r="A534" s="98">
        <v>44409</v>
      </c>
      <c r="B534" s="65">
        <v>0</v>
      </c>
      <c r="C534" s="65">
        <v>0</v>
      </c>
      <c r="D534" s="65">
        <v>7469.1575244000005</v>
      </c>
      <c r="E534" s="65">
        <v>8640.149732945205</v>
      </c>
      <c r="F534" s="65">
        <v>5146.5725585999999</v>
      </c>
      <c r="G534" s="65">
        <v>3927.9337392301886</v>
      </c>
      <c r="H534" s="99">
        <v>0.15677701330034144</v>
      </c>
      <c r="I534" s="99">
        <v>-0.23678648372176303</v>
      </c>
      <c r="J534" s="99">
        <v>-3.7767620669700852E-3</v>
      </c>
    </row>
    <row r="535" spans="1:10" x14ac:dyDescent="0.25">
      <c r="A535" s="98">
        <v>44440</v>
      </c>
      <c r="B535" s="65">
        <v>0</v>
      </c>
      <c r="C535" s="65">
        <v>0</v>
      </c>
      <c r="D535" s="65">
        <v>8343.8719676000001</v>
      </c>
      <c r="E535" s="65">
        <v>9612.9805734903948</v>
      </c>
      <c r="F535" s="65">
        <v>5749.2886393999988</v>
      </c>
      <c r="G535" s="65">
        <v>4387.9347985749946</v>
      </c>
      <c r="H535" s="99">
        <v>0.15210068069338267</v>
      </c>
      <c r="I535" s="99">
        <v>-0.23678648372176292</v>
      </c>
      <c r="J535" s="99">
        <v>-6.5453901723643293E-3</v>
      </c>
    </row>
    <row r="536" spans="1:10" x14ac:dyDescent="0.25">
      <c r="A536" s="98">
        <v>44470</v>
      </c>
      <c r="B536" s="65">
        <v>0</v>
      </c>
      <c r="C536" s="65">
        <v>0</v>
      </c>
      <c r="D536" s="65">
        <v>7337.0312184000004</v>
      </c>
      <c r="E536" s="65">
        <v>8487.3090593121196</v>
      </c>
      <c r="F536" s="65">
        <v>5055.5318195999998</v>
      </c>
      <c r="G536" s="65">
        <v>3858.4502166934299</v>
      </c>
      <c r="H536" s="99">
        <v>0.15677701330034166</v>
      </c>
      <c r="I536" s="99">
        <v>-0.23678648372176292</v>
      </c>
      <c r="J536" s="99">
        <v>-3.7767620669698632E-3</v>
      </c>
    </row>
    <row r="537" spans="1:10" x14ac:dyDescent="0.25">
      <c r="A537" s="98">
        <v>44501</v>
      </c>
      <c r="B537" s="65">
        <v>0</v>
      </c>
      <c r="C537" s="65">
        <v>0</v>
      </c>
      <c r="D537" s="65">
        <v>7881.621384</v>
      </c>
      <c r="E537" s="65">
        <v>9117.2784445476245</v>
      </c>
      <c r="F537" s="65">
        <v>5430.7779959999989</v>
      </c>
      <c r="G537" s="65">
        <v>4144.843170453637</v>
      </c>
      <c r="H537" s="99">
        <v>0.15677701330034166</v>
      </c>
      <c r="I537" s="99">
        <v>-0.23678648372176292</v>
      </c>
      <c r="J537" s="99">
        <v>-3.7767620669698632E-3</v>
      </c>
    </row>
    <row r="538" spans="1:10" x14ac:dyDescent="0.25">
      <c r="A538" s="98">
        <v>44531</v>
      </c>
      <c r="B538" s="65">
        <v>0</v>
      </c>
      <c r="C538" s="65">
        <v>0</v>
      </c>
      <c r="D538" s="65">
        <v>8567.5292508000002</v>
      </c>
      <c r="E538" s="65">
        <v>9910.7208981037365</v>
      </c>
      <c r="F538" s="65">
        <v>5903.3981801999989</v>
      </c>
      <c r="G538" s="65">
        <v>4505.5532831009868</v>
      </c>
      <c r="H538" s="99">
        <v>0.15677701330034144</v>
      </c>
      <c r="I538" s="99">
        <v>-0.23678648372176292</v>
      </c>
      <c r="J538" s="99">
        <v>-3.7767620669699742E-3</v>
      </c>
    </row>
    <row r="539" spans="1:10" x14ac:dyDescent="0.25">
      <c r="A539" s="98">
        <v>44562</v>
      </c>
      <c r="B539" s="65">
        <v>0</v>
      </c>
      <c r="C539" s="65">
        <v>0</v>
      </c>
      <c r="D539" s="65">
        <v>7281.4998724000006</v>
      </c>
      <c r="E539" s="65">
        <v>8423.07167474169</v>
      </c>
      <c r="F539" s="65">
        <v>5017.2683206000002</v>
      </c>
      <c r="G539" s="65">
        <v>3829.246997076531</v>
      </c>
      <c r="H539" s="99">
        <v>0.15677701330034144</v>
      </c>
      <c r="I539" s="99">
        <v>-0.23678648372176303</v>
      </c>
      <c r="J539" s="99">
        <v>-3.7767620669699742E-3</v>
      </c>
    </row>
    <row r="540" spans="1:10" x14ac:dyDescent="0.25">
      <c r="A540" s="98">
        <v>44593</v>
      </c>
      <c r="B540" s="65">
        <v>0</v>
      </c>
      <c r="C540" s="65">
        <v>0</v>
      </c>
      <c r="D540" s="65">
        <v>6656.1020239999998</v>
      </c>
      <c r="E540" s="65">
        <v>7699.6258195450782</v>
      </c>
      <c r="F540" s="65">
        <v>4586.3421559999997</v>
      </c>
      <c r="G540" s="65">
        <v>3500.3583237358703</v>
      </c>
      <c r="H540" s="99">
        <v>0.15677701330034166</v>
      </c>
      <c r="I540" s="99">
        <v>-0.23678648372176303</v>
      </c>
      <c r="J540" s="99">
        <v>-3.7767620669698632E-3</v>
      </c>
    </row>
    <row r="541" spans="1:10" x14ac:dyDescent="0.25">
      <c r="A541" s="98">
        <v>44621</v>
      </c>
      <c r="B541" s="65">
        <v>0</v>
      </c>
      <c r="C541" s="65">
        <v>0</v>
      </c>
      <c r="D541" s="65">
        <v>7278.4360740000002</v>
      </c>
      <c r="E541" s="65">
        <v>8419.5275431791833</v>
      </c>
      <c r="F541" s="65">
        <v>5015.1572309999992</v>
      </c>
      <c r="G541" s="65">
        <v>3827.6357849597362</v>
      </c>
      <c r="H541" s="99">
        <v>0.15677701330034144</v>
      </c>
      <c r="I541" s="99">
        <v>-0.23678648372176292</v>
      </c>
      <c r="J541" s="99">
        <v>-3.7767620669699742E-3</v>
      </c>
    </row>
    <row r="542" spans="1:10" x14ac:dyDescent="0.25">
      <c r="A542" s="98">
        <v>44652</v>
      </c>
      <c r="B542" s="65">
        <v>0</v>
      </c>
      <c r="C542" s="65">
        <v>0</v>
      </c>
      <c r="D542" s="65">
        <v>6745.3351524</v>
      </c>
      <c r="E542" s="65">
        <v>7802.8486513030766</v>
      </c>
      <c r="F542" s="65">
        <v>4647.8276405999995</v>
      </c>
      <c r="G542" s="65">
        <v>3547.2848766375078</v>
      </c>
      <c r="H542" s="99">
        <v>0.15677701330034166</v>
      </c>
      <c r="I542" s="99">
        <v>-0.23678648372176292</v>
      </c>
      <c r="J542" s="99">
        <v>-3.7767620669698632E-3</v>
      </c>
    </row>
    <row r="543" spans="1:10" x14ac:dyDescent="0.25">
      <c r="A543" s="98">
        <v>44682</v>
      </c>
      <c r="B543" s="65">
        <v>0</v>
      </c>
      <c r="C543" s="65">
        <v>0</v>
      </c>
      <c r="D543" s="65">
        <v>5824.2807584000002</v>
      </c>
      <c r="E543" s="65">
        <v>6737.3941003246</v>
      </c>
      <c r="F543" s="65">
        <v>4013.1813295999996</v>
      </c>
      <c r="G543" s="65">
        <v>3062.914234026186</v>
      </c>
      <c r="H543" s="99">
        <v>0.15677701330034144</v>
      </c>
      <c r="I543" s="99">
        <v>-0.23678648372176303</v>
      </c>
      <c r="J543" s="99">
        <v>-3.7767620669700852E-3</v>
      </c>
    </row>
    <row r="544" spans="1:10" x14ac:dyDescent="0.25">
      <c r="A544" s="98">
        <v>44713</v>
      </c>
      <c r="B544" s="65">
        <v>0</v>
      </c>
      <c r="C544" s="65">
        <v>0</v>
      </c>
      <c r="D544" s="65">
        <v>5837.3019016000007</v>
      </c>
      <c r="E544" s="65">
        <v>6752.4566594652524</v>
      </c>
      <c r="F544" s="65">
        <v>4022.1534603999999</v>
      </c>
      <c r="G544" s="65">
        <v>3069.7618855225628</v>
      </c>
      <c r="H544" s="99">
        <v>0.15677701330034144</v>
      </c>
      <c r="I544" s="99">
        <v>-0.23678648372176292</v>
      </c>
      <c r="J544" s="99">
        <v>-3.7767620669698632E-3</v>
      </c>
    </row>
    <row r="545" spans="1:10" x14ac:dyDescent="0.25">
      <c r="A545" s="98">
        <v>44743</v>
      </c>
      <c r="B545" s="65">
        <v>0</v>
      </c>
      <c r="C545" s="65">
        <v>0</v>
      </c>
      <c r="D545" s="65">
        <v>5837.3019016000007</v>
      </c>
      <c r="E545" s="65">
        <v>6752.4566594652524</v>
      </c>
      <c r="F545" s="65">
        <v>4022.1534603999999</v>
      </c>
      <c r="G545" s="65">
        <v>3069.7618855225628</v>
      </c>
      <c r="H545" s="99">
        <v>0.15677701330034144</v>
      </c>
      <c r="I545" s="99">
        <v>-0.23678648372176292</v>
      </c>
      <c r="J545" s="99">
        <v>-3.7767620669698632E-3</v>
      </c>
    </row>
    <row r="546" spans="1:10" x14ac:dyDescent="0.25">
      <c r="A546" s="90" t="s">
        <v>44</v>
      </c>
      <c r="B546" s="65">
        <v>0</v>
      </c>
      <c r="C546" s="65">
        <v>0</v>
      </c>
      <c r="D546" s="65">
        <v>404776.19924999995</v>
      </c>
      <c r="E546" s="65">
        <v>468239.63375661714</v>
      </c>
      <c r="F546" s="65">
        <v>278913.90060000005</v>
      </c>
      <c r="G546" s="65">
        <v>206284.7746218392</v>
      </c>
      <c r="H546" s="99">
        <v>0.15678647762444298</v>
      </c>
      <c r="I546" s="99">
        <v>-0.26039980733093959</v>
      </c>
      <c r="J546" s="99">
        <v>-1.3406207686135208E-2</v>
      </c>
    </row>
    <row r="547" spans="1:10" x14ac:dyDescent="0.25">
      <c r="A547" s="91" t="s">
        <v>23</v>
      </c>
      <c r="B547" s="65">
        <v>0</v>
      </c>
      <c r="C547" s="65">
        <v>0</v>
      </c>
      <c r="D547" s="65">
        <v>404776.19924999995</v>
      </c>
      <c r="E547" s="65">
        <v>468239.63375661714</v>
      </c>
      <c r="F547" s="65">
        <v>278913.90060000005</v>
      </c>
      <c r="G547" s="65">
        <v>206284.7746218392</v>
      </c>
      <c r="H547" s="99">
        <v>0.15678647762444298</v>
      </c>
      <c r="I547" s="99">
        <v>-0.26039980733093959</v>
      </c>
      <c r="J547" s="99">
        <v>-1.3406207686135208E-2</v>
      </c>
    </row>
    <row r="548" spans="1:10" x14ac:dyDescent="0.25">
      <c r="A548" s="92" t="s">
        <v>26</v>
      </c>
      <c r="B548" s="65">
        <v>0</v>
      </c>
      <c r="C548" s="65">
        <v>0</v>
      </c>
      <c r="D548" s="65">
        <v>404776.19924999995</v>
      </c>
      <c r="E548" s="65">
        <v>468239.63375661714</v>
      </c>
      <c r="F548" s="65">
        <v>278913.90060000005</v>
      </c>
      <c r="G548" s="65">
        <v>206284.7746218392</v>
      </c>
      <c r="H548" s="99">
        <v>0.15678647762444298</v>
      </c>
      <c r="I548" s="99">
        <v>-0.26039980733093959</v>
      </c>
      <c r="J548" s="99">
        <v>-1.3406207686135208E-2</v>
      </c>
    </row>
    <row r="549" spans="1:10" x14ac:dyDescent="0.25">
      <c r="A549" s="93" t="s">
        <v>45</v>
      </c>
      <c r="B549" s="65">
        <v>0</v>
      </c>
      <c r="C549" s="65">
        <v>0</v>
      </c>
      <c r="D549" s="65">
        <v>404776.19924999995</v>
      </c>
      <c r="E549" s="65">
        <v>468239.63375661714</v>
      </c>
      <c r="F549" s="65">
        <v>278913.90060000005</v>
      </c>
      <c r="G549" s="65">
        <v>206284.7746218392</v>
      </c>
      <c r="H549" s="99">
        <v>0.15678647762444298</v>
      </c>
      <c r="I549" s="99">
        <v>-0.26039980733093959</v>
      </c>
      <c r="J549" s="99">
        <v>-1.3406207686135208E-2</v>
      </c>
    </row>
    <row r="550" spans="1:10" x14ac:dyDescent="0.25">
      <c r="A550" s="94" t="s">
        <v>46</v>
      </c>
      <c r="B550" s="65">
        <v>0</v>
      </c>
      <c r="C550" s="65">
        <v>0</v>
      </c>
      <c r="D550" s="65">
        <v>404776.19924999995</v>
      </c>
      <c r="E550" s="65">
        <v>468239.63375661714</v>
      </c>
      <c r="F550" s="65">
        <v>278913.90060000005</v>
      </c>
      <c r="G550" s="65">
        <v>206284.7746218392</v>
      </c>
      <c r="H550" s="99">
        <v>0.15678647762444298</v>
      </c>
      <c r="I550" s="99">
        <v>-0.26039980733093959</v>
      </c>
      <c r="J550" s="99">
        <v>-1.3406207686135208E-2</v>
      </c>
    </row>
    <row r="551" spans="1:10" x14ac:dyDescent="0.25">
      <c r="A551" s="95" t="s">
        <v>25</v>
      </c>
      <c r="B551" s="65">
        <v>0</v>
      </c>
      <c r="C551" s="65">
        <v>0</v>
      </c>
      <c r="D551" s="65">
        <v>404776.19924999995</v>
      </c>
      <c r="E551" s="65">
        <v>468239.63375661714</v>
      </c>
      <c r="F551" s="65">
        <v>278913.90060000005</v>
      </c>
      <c r="G551" s="65">
        <v>206284.7746218392</v>
      </c>
      <c r="H551" s="99">
        <v>0.15678647762444298</v>
      </c>
      <c r="I551" s="99">
        <v>-0.26039980733093959</v>
      </c>
      <c r="J551" s="99">
        <v>-1.3406207686135208E-2</v>
      </c>
    </row>
    <row r="552" spans="1:10" x14ac:dyDescent="0.25">
      <c r="A552" s="96" t="s">
        <v>25</v>
      </c>
      <c r="B552" s="65">
        <v>0</v>
      </c>
      <c r="C552" s="65">
        <v>0</v>
      </c>
      <c r="D552" s="65">
        <v>404776.19924999995</v>
      </c>
      <c r="E552" s="65">
        <v>468239.63375661714</v>
      </c>
      <c r="F552" s="65">
        <v>278913.90060000005</v>
      </c>
      <c r="G552" s="65">
        <v>206284.7746218392</v>
      </c>
      <c r="H552" s="99">
        <v>0.15678647762444298</v>
      </c>
      <c r="I552" s="99">
        <v>-0.26039980733093959</v>
      </c>
      <c r="J552" s="99">
        <v>-1.3406207686135208E-2</v>
      </c>
    </row>
    <row r="553" spans="1:10" x14ac:dyDescent="0.25">
      <c r="A553" s="97" t="s">
        <v>25</v>
      </c>
      <c r="B553" s="65">
        <v>0</v>
      </c>
      <c r="C553" s="65">
        <v>0</v>
      </c>
      <c r="D553" s="65">
        <v>404776.19924999995</v>
      </c>
      <c r="E553" s="65">
        <v>468239.63375661714</v>
      </c>
      <c r="F553" s="65">
        <v>278913.90060000005</v>
      </c>
      <c r="G553" s="65">
        <v>206284.7746218392</v>
      </c>
      <c r="H553" s="99">
        <v>0.15678647762444298</v>
      </c>
      <c r="I553" s="99">
        <v>-0.26039980733093959</v>
      </c>
      <c r="J553" s="99">
        <v>-1.3406207686135208E-2</v>
      </c>
    </row>
    <row r="554" spans="1:10" x14ac:dyDescent="0.25">
      <c r="A554" s="98">
        <v>44409</v>
      </c>
      <c r="B554" s="65">
        <v>0</v>
      </c>
      <c r="C554" s="65">
        <v>0</v>
      </c>
      <c r="D554" s="65">
        <v>33526.073049999999</v>
      </c>
      <c r="E554" s="65">
        <v>38782.507952089261</v>
      </c>
      <c r="F554" s="65">
        <v>23101.377560000001</v>
      </c>
      <c r="G554" s="65">
        <v>17085.783294296711</v>
      </c>
      <c r="H554" s="99">
        <v>0.15678647762444298</v>
      </c>
      <c r="I554" s="99">
        <v>-0.26039980733093948</v>
      </c>
      <c r="J554" s="99">
        <v>-1.3406207686135319E-2</v>
      </c>
    </row>
    <row r="555" spans="1:10" x14ac:dyDescent="0.25">
      <c r="A555" s="98">
        <v>44440</v>
      </c>
      <c r="B555" s="65">
        <v>0</v>
      </c>
      <c r="C555" s="65">
        <v>0</v>
      </c>
      <c r="D555" s="65">
        <v>33526.073049999999</v>
      </c>
      <c r="E555" s="65">
        <v>38782.507952089261</v>
      </c>
      <c r="F555" s="65">
        <v>23101.377560000001</v>
      </c>
      <c r="G555" s="65">
        <v>17085.783294296711</v>
      </c>
      <c r="H555" s="99">
        <v>0.15678647762444298</v>
      </c>
      <c r="I555" s="99">
        <v>-0.26039980733093948</v>
      </c>
      <c r="J555" s="99">
        <v>-1.3406207686135319E-2</v>
      </c>
    </row>
    <row r="556" spans="1:10" x14ac:dyDescent="0.25">
      <c r="A556" s="98">
        <v>44470</v>
      </c>
      <c r="B556" s="65">
        <v>0</v>
      </c>
      <c r="C556" s="65">
        <v>0</v>
      </c>
      <c r="D556" s="65">
        <v>33526.073049999999</v>
      </c>
      <c r="E556" s="65">
        <v>38782.507952089261</v>
      </c>
      <c r="F556" s="65">
        <v>23101.377560000001</v>
      </c>
      <c r="G556" s="65">
        <v>17085.783294296711</v>
      </c>
      <c r="H556" s="99">
        <v>0.15678647762444298</v>
      </c>
      <c r="I556" s="99">
        <v>-0.26039980733093948</v>
      </c>
      <c r="J556" s="99">
        <v>-1.3406207686135319E-2</v>
      </c>
    </row>
    <row r="557" spans="1:10" x14ac:dyDescent="0.25">
      <c r="A557" s="98">
        <v>44501</v>
      </c>
      <c r="B557" s="65">
        <v>0</v>
      </c>
      <c r="C557" s="65">
        <v>0</v>
      </c>
      <c r="D557" s="65">
        <v>33618.2307</v>
      </c>
      <c r="E557" s="65">
        <v>38889.11467541891</v>
      </c>
      <c r="F557" s="65">
        <v>23164.879440000001</v>
      </c>
      <c r="G557" s="65">
        <v>17132.74929697956</v>
      </c>
      <c r="H557" s="99">
        <v>0.15678647762444298</v>
      </c>
      <c r="I557" s="99">
        <v>-0.26039980733093948</v>
      </c>
      <c r="J557" s="99">
        <v>-1.3406207686135319E-2</v>
      </c>
    </row>
    <row r="558" spans="1:10" x14ac:dyDescent="0.25">
      <c r="A558" s="98">
        <v>44531</v>
      </c>
      <c r="B558" s="65">
        <v>0</v>
      </c>
      <c r="C558" s="65">
        <v>0</v>
      </c>
      <c r="D558" s="65">
        <v>33618.2307</v>
      </c>
      <c r="E558" s="65">
        <v>38889.11467541891</v>
      </c>
      <c r="F558" s="65">
        <v>23164.879440000001</v>
      </c>
      <c r="G558" s="65">
        <v>17132.74929697956</v>
      </c>
      <c r="H558" s="99">
        <v>0.15678647762444298</v>
      </c>
      <c r="I558" s="99">
        <v>-0.26039980733093948</v>
      </c>
      <c r="J558" s="99">
        <v>-1.3406207686135319E-2</v>
      </c>
    </row>
    <row r="559" spans="1:10" x14ac:dyDescent="0.25">
      <c r="A559" s="98">
        <v>44562</v>
      </c>
      <c r="B559" s="65">
        <v>0</v>
      </c>
      <c r="C559" s="65">
        <v>0</v>
      </c>
      <c r="D559" s="65">
        <v>33883.947849999997</v>
      </c>
      <c r="E559" s="65">
        <v>39196.492681411808</v>
      </c>
      <c r="F559" s="65">
        <v>23347.973719999998</v>
      </c>
      <c r="G559" s="65">
        <v>17268.165861744161</v>
      </c>
      <c r="H559" s="99">
        <v>0.15678647762444275</v>
      </c>
      <c r="I559" s="99">
        <v>-0.26039980733093948</v>
      </c>
      <c r="J559" s="99">
        <v>-1.3406207686135319E-2</v>
      </c>
    </row>
    <row r="560" spans="1:10" x14ac:dyDescent="0.25">
      <c r="A560" s="98">
        <v>44593</v>
      </c>
      <c r="B560" s="65">
        <v>0</v>
      </c>
      <c r="C560" s="65">
        <v>0</v>
      </c>
      <c r="D560" s="65">
        <v>33867.814149999998</v>
      </c>
      <c r="E560" s="65">
        <v>39177.829435417763</v>
      </c>
      <c r="F560" s="65">
        <v>23336.856680000001</v>
      </c>
      <c r="G560" s="65">
        <v>17259.943696818253</v>
      </c>
      <c r="H560" s="99">
        <v>0.15678647762444298</v>
      </c>
      <c r="I560" s="99">
        <v>-0.26039980733093948</v>
      </c>
      <c r="J560" s="99">
        <v>-1.3406207686135208E-2</v>
      </c>
    </row>
    <row r="561" spans="1:10" x14ac:dyDescent="0.25">
      <c r="A561" s="98">
        <v>44621</v>
      </c>
      <c r="B561" s="65">
        <v>0</v>
      </c>
      <c r="C561" s="65">
        <v>0</v>
      </c>
      <c r="D561" s="65">
        <v>33743.877999999997</v>
      </c>
      <c r="E561" s="65">
        <v>39034.461773008923</v>
      </c>
      <c r="F561" s="65">
        <v>23251.457599999998</v>
      </c>
      <c r="G561" s="65">
        <v>17196.782520796489</v>
      </c>
      <c r="H561" s="99">
        <v>0.15678647762444275</v>
      </c>
      <c r="I561" s="99">
        <v>-0.26039980733093948</v>
      </c>
      <c r="J561" s="99">
        <v>-1.3406207686135208E-2</v>
      </c>
    </row>
    <row r="562" spans="1:10" x14ac:dyDescent="0.25">
      <c r="A562" s="98">
        <v>44652</v>
      </c>
      <c r="B562" s="65">
        <v>0</v>
      </c>
      <c r="C562" s="65">
        <v>0</v>
      </c>
      <c r="D562" s="65">
        <v>33750.967049999992</v>
      </c>
      <c r="E562" s="65">
        <v>39042.662290188127</v>
      </c>
      <c r="F562" s="65">
        <v>23256.342359999999</v>
      </c>
      <c r="G562" s="65">
        <v>17200.395290233631</v>
      </c>
      <c r="H562" s="99">
        <v>0.15678647762444298</v>
      </c>
      <c r="I562" s="99">
        <v>-0.26039980733093948</v>
      </c>
      <c r="J562" s="99">
        <v>-1.3406207686135208E-2</v>
      </c>
    </row>
    <row r="563" spans="1:10" x14ac:dyDescent="0.25">
      <c r="A563" s="98">
        <v>44682</v>
      </c>
      <c r="B563" s="65">
        <v>0</v>
      </c>
      <c r="C563" s="65">
        <v>0</v>
      </c>
      <c r="D563" s="65">
        <v>33750.967049999992</v>
      </c>
      <c r="E563" s="65">
        <v>39042.662290188127</v>
      </c>
      <c r="F563" s="65">
        <v>23256.342359999999</v>
      </c>
      <c r="G563" s="65">
        <v>17200.395290233631</v>
      </c>
      <c r="H563" s="99">
        <v>0.15678647762444298</v>
      </c>
      <c r="I563" s="99">
        <v>-0.26039980733093948</v>
      </c>
      <c r="J563" s="99">
        <v>-1.3406207686135208E-2</v>
      </c>
    </row>
    <row r="564" spans="1:10" x14ac:dyDescent="0.25">
      <c r="A564" s="98">
        <v>44713</v>
      </c>
      <c r="B564" s="65">
        <v>0</v>
      </c>
      <c r="C564" s="65">
        <v>0</v>
      </c>
      <c r="D564" s="65">
        <v>33981.972300000001</v>
      </c>
      <c r="E564" s="65">
        <v>39309.886039648387</v>
      </c>
      <c r="F564" s="65">
        <v>23415.51816</v>
      </c>
      <c r="G564" s="65">
        <v>17318.121742581887</v>
      </c>
      <c r="H564" s="99">
        <v>0.15678647762444275</v>
      </c>
      <c r="I564" s="99">
        <v>-0.26039980733093937</v>
      </c>
      <c r="J564" s="99">
        <v>-1.3406207686135319E-2</v>
      </c>
    </row>
    <row r="565" spans="1:10" x14ac:dyDescent="0.25">
      <c r="A565" s="98">
        <v>44743</v>
      </c>
      <c r="B565" s="65">
        <v>0</v>
      </c>
      <c r="C565" s="65">
        <v>0</v>
      </c>
      <c r="D565" s="65">
        <v>33981.972300000001</v>
      </c>
      <c r="E565" s="65">
        <v>39309.886039648387</v>
      </c>
      <c r="F565" s="65">
        <v>23415.51816</v>
      </c>
      <c r="G565" s="65">
        <v>17318.121742581887</v>
      </c>
      <c r="H565" s="99">
        <v>0.15678647762444275</v>
      </c>
      <c r="I565" s="99">
        <v>-0.26039980733093937</v>
      </c>
      <c r="J565" s="99">
        <v>-1.3406207686135319E-2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70F6C-52D7-45A2-B82F-EF6379F14270}">
  <sheetPr>
    <tabColor indexed="12" tint="-0.249977111117893"/>
  </sheetPr>
  <dimension ref="A1:AV475"/>
  <sheetViews>
    <sheetView showGridLines="0" topLeftCell="AI1" workbookViewId="0">
      <selection activeCell="AQ22" sqref="AQ22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0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682</v>
      </c>
      <c r="W1" s="1" t="s">
        <v>683</v>
      </c>
      <c r="X1" s="1" t="s">
        <v>684</v>
      </c>
      <c r="Y1" s="1" t="s">
        <v>685</v>
      </c>
      <c r="Z1" s="1" t="s">
        <v>686</v>
      </c>
      <c r="AA1" s="1" t="s">
        <v>687</v>
      </c>
      <c r="AB1" s="1" t="s">
        <v>704</v>
      </c>
      <c r="AC1" s="1" t="s">
        <v>705</v>
      </c>
      <c r="AD1" s="1" t="s">
        <v>706</v>
      </c>
      <c r="AE1" s="1" t="s">
        <v>707</v>
      </c>
      <c r="AF1" s="1" t="s">
        <v>708</v>
      </c>
      <c r="AG1" s="1" t="s">
        <v>709</v>
      </c>
      <c r="AI1" s="40" t="s">
        <v>65</v>
      </c>
      <c r="AJ1" s="40" t="s">
        <v>710</v>
      </c>
      <c r="AK1" s="40" t="s">
        <v>711</v>
      </c>
      <c r="AL1" s="40" t="s">
        <v>712</v>
      </c>
      <c r="AN1" s="40" t="s">
        <v>65</v>
      </c>
      <c r="AO1" s="40" t="s">
        <v>713</v>
      </c>
      <c r="AP1" s="40" t="s">
        <v>714</v>
      </c>
      <c r="AQ1" s="40" t="s">
        <v>712</v>
      </c>
      <c r="AS1" s="40" t="s">
        <v>65</v>
      </c>
      <c r="AT1" s="40" t="s">
        <v>715</v>
      </c>
      <c r="AU1" s="40" t="s">
        <v>716</v>
      </c>
      <c r="AV1" s="40" t="s">
        <v>712</v>
      </c>
    </row>
    <row r="2" spans="1:48" ht="11.25" customHeight="1" x14ac:dyDescent="0.25">
      <c r="A2" s="4" t="s">
        <v>21</v>
      </c>
      <c r="B2" s="4" t="s">
        <v>38</v>
      </c>
      <c r="C2" s="4" t="s">
        <v>56</v>
      </c>
      <c r="D2" s="4" t="s">
        <v>37</v>
      </c>
      <c r="E2" s="4" t="s">
        <v>25</v>
      </c>
      <c r="F2" s="4" t="s">
        <v>57</v>
      </c>
      <c r="G2" s="4" t="s">
        <v>25</v>
      </c>
      <c r="H2" s="4" t="s">
        <v>34</v>
      </c>
      <c r="I2" s="5">
        <v>44409</v>
      </c>
      <c r="J2" s="6">
        <v>7152</v>
      </c>
      <c r="K2" s="6">
        <v>3576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58</v>
      </c>
      <c r="R2" s="4">
        <v>0</v>
      </c>
      <c r="S2" s="6">
        <v>5</v>
      </c>
      <c r="T2" s="6">
        <v>0</v>
      </c>
      <c r="U2" s="6">
        <v>0</v>
      </c>
      <c r="V2" s="6">
        <f>IF(ISERROR(VLOOKUP($S$2,'TAR FIN'!$A$1:$O$88,15,0)),0,VLOOKUP($S$2,'TAR FIN'!$A$1:$O$88,15,0))</f>
        <v>17.190000000000001</v>
      </c>
      <c r="W2" s="6">
        <f>IF(ISERROR(VLOOKUP($T$2,'TAR FIN'!$A$1:$O$88,15,0)),0,VLOOKUP($T$2,'TAR FIN'!$A$1:$O$88,15,0))</f>
        <v>0</v>
      </c>
      <c r="X2" s="6">
        <f>IF(ISERROR(VLOOKUP($U$2,'TAR FIN'!$A$1:$O$88,15,0)),0,VLOOKUP($U$2,'TAR FIN'!$A$1:$O$88,15,0))</f>
        <v>0</v>
      </c>
      <c r="Y2" s="6">
        <f ca="1">('TUSD BE'!$AM$6+'TUSD BF_350'!$AM$6+'TUSD CVA'!$AM$6)*1</f>
        <v>13.66046481326768</v>
      </c>
      <c r="Z2" s="6">
        <f ca="1">('TUSD BE'!$AM$7+'TUSD BF_350'!$AM$7+'TUSD CVA'!$AM$7)*1</f>
        <v>83.275517807559041</v>
      </c>
      <c r="AA2" s="6"/>
      <c r="AB2" s="6">
        <f>$K$2*$V$2</f>
        <v>61471.44</v>
      </c>
      <c r="AC2" s="6">
        <f>$M$2*$W$2</f>
        <v>0</v>
      </c>
      <c r="AD2" s="6">
        <f>$O$2*$X$2</f>
        <v>0</v>
      </c>
      <c r="AE2" s="6">
        <f ca="1">$K$2*$Y$2</f>
        <v>48849.822172245222</v>
      </c>
      <c r="AF2" s="6">
        <f ca="1">$M$2*$Z$2</f>
        <v>0</v>
      </c>
      <c r="AG2" s="6">
        <f>$O$2*$AA$2</f>
        <v>0</v>
      </c>
      <c r="AI2" s="41" t="s">
        <v>38</v>
      </c>
      <c r="AJ2" s="42">
        <f>SUMIF($B$2:$B$475,AI2,$AB$2:$AB$475)+SUMIF($B$2:$B$475,AI2,$AC$2:$AC$475)</f>
        <v>4797484.0044137966</v>
      </c>
      <c r="AK2" s="42">
        <f ca="1">SUMIF($B$2:$B$475,AI2,$AE$2:$AE$475)+SUMIF($B$2:$B$475,AI2,$AF$2:$AF$475)</f>
        <v>4506757.0326040918</v>
      </c>
      <c r="AL2" s="43">
        <f t="shared" ref="AL2:AL9" ca="1" si="0">IF(AJ2&lt;&gt;0,AK2/AJ2-1,0)</f>
        <v>-6.0599883510237706E-2</v>
      </c>
      <c r="AN2" s="41" t="s">
        <v>38</v>
      </c>
      <c r="AO2" s="42">
        <f>SUMIF($B$2:$B$475,AN2,$AD$2:$AD$475)</f>
        <v>2117178.5408321987</v>
      </c>
      <c r="AP2" s="42">
        <f ca="1">SUMIF($B$2:$B$475,AN2,$AG$2:$AG$475)</f>
        <v>1575477.5337243301</v>
      </c>
      <c r="AQ2" s="43">
        <f t="shared" ref="AQ2:AQ9" ca="1" si="1">IF(AO2&lt;&gt;0,AP2/AO2-1,0)</f>
        <v>-0.25585986097088553</v>
      </c>
      <c r="AS2" s="41" t="s">
        <v>38</v>
      </c>
      <c r="AT2" s="42">
        <f>SUMIF($B$2:$B$475,AS2,$AB$2:$AB$475)+SUMIF($B$2:$B$475,AS2,$AC$2:$AC$475)+SUMIF($B$2:$B$475,AS2,$AD$2:$AD$475)</f>
        <v>6914662.5452459957</v>
      </c>
      <c r="AU2" s="42">
        <f ca="1">SUMIF($B$2:$B$475,AS2,$AE$2:$AE$475)+SUMIF($B$2:$B$475,AS2,$AF$2:$AF$475)+SUMIF($B$2:$B$475,AS2,$AG$2:$AG$475)</f>
        <v>6082234.5663284222</v>
      </c>
      <c r="AV2" s="43">
        <f t="shared" ref="AV2:AV9" ca="1" si="2">IF(AT2&lt;&gt;0,AU2/AT2-1,0)</f>
        <v>-0.1203859152157597</v>
      </c>
    </row>
    <row r="3" spans="1:48" ht="11.25" customHeight="1" x14ac:dyDescent="0.25">
      <c r="A3" s="4" t="s">
        <v>21</v>
      </c>
      <c r="B3" s="4" t="s">
        <v>38</v>
      </c>
      <c r="C3" s="4" t="s">
        <v>56</v>
      </c>
      <c r="D3" s="4" t="s">
        <v>37</v>
      </c>
      <c r="E3" s="4" t="s">
        <v>25</v>
      </c>
      <c r="F3" s="4" t="s">
        <v>57</v>
      </c>
      <c r="G3" s="4" t="s">
        <v>25</v>
      </c>
      <c r="H3" s="4" t="s">
        <v>34</v>
      </c>
      <c r="I3" s="5">
        <v>44440</v>
      </c>
      <c r="J3" s="6">
        <v>7212</v>
      </c>
      <c r="K3" s="6">
        <v>3606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58</v>
      </c>
      <c r="R3" s="4">
        <v>0</v>
      </c>
      <c r="S3" s="6">
        <v>5</v>
      </c>
      <c r="T3" s="6">
        <v>0</v>
      </c>
      <c r="U3" s="6">
        <v>0</v>
      </c>
      <c r="V3" s="6">
        <f>IF(ISERROR(VLOOKUP($S$3,'TAR FIN'!$A$1:$O$88,15,0)),0,VLOOKUP($S$3,'TAR FIN'!$A$1:$O$88,15,0))</f>
        <v>17.190000000000001</v>
      </c>
      <c r="W3" s="6">
        <f>IF(ISERROR(VLOOKUP($T$3,'TAR FIN'!$A$1:$O$88,15,0)),0,VLOOKUP($T$3,'TAR FIN'!$A$1:$O$88,15,0))</f>
        <v>0</v>
      </c>
      <c r="X3" s="6">
        <f>IF(ISERROR(VLOOKUP($U$3,'TAR FIN'!$A$1:$O$88,15,0)),0,VLOOKUP($U$3,'TAR FIN'!$A$1:$O$88,15,0))</f>
        <v>0</v>
      </c>
      <c r="Y3" s="6">
        <f ca="1">('TUSD BE'!$AM$6+'TUSD BF_350'!$AM$6+'TUSD CVA'!$AM$6)*1</f>
        <v>13.66046481326768</v>
      </c>
      <c r="Z3" s="6">
        <f ca="1">('TUSD BE'!$AM$7+'TUSD BF_350'!$AM$7+'TUSD CVA'!$AM$7)*1</f>
        <v>83.275517807559041</v>
      </c>
      <c r="AA3" s="6"/>
      <c r="AB3" s="6">
        <f>$K$3*$V$3</f>
        <v>61987.140000000007</v>
      </c>
      <c r="AC3" s="6">
        <f>$M$3*$W$3</f>
        <v>0</v>
      </c>
      <c r="AD3" s="6">
        <f>$O$3*$X$3</f>
        <v>0</v>
      </c>
      <c r="AE3" s="6">
        <f ca="1">$K$3*$Y$3</f>
        <v>49259.636116643254</v>
      </c>
      <c r="AF3" s="6">
        <f ca="1">$M$3*$Z$3</f>
        <v>0</v>
      </c>
      <c r="AG3" s="6">
        <f>$O$3*$AA$3</f>
        <v>0</v>
      </c>
      <c r="AI3" s="41" t="s">
        <v>22</v>
      </c>
      <c r="AJ3" s="42">
        <f>SUMIF($B$2:$B$475,AI3,$AB$2:$AB$475)+SUMIF($B$2:$B$475,AI3,$AC$2:$AC$475)</f>
        <v>2945976.8403300014</v>
      </c>
      <c r="AK3" s="42">
        <f ca="1">SUMIF($B$2:$B$475,AI3,$AE$2:$AE$475)+SUMIF($B$2:$B$475,AI3,$AF$2:$AF$475)</f>
        <v>3826681.7832509647</v>
      </c>
      <c r="AL3" s="43">
        <f t="shared" ca="1" si="0"/>
        <v>0.29895175374912619</v>
      </c>
      <c r="AN3" s="41" t="s">
        <v>22</v>
      </c>
      <c r="AO3" s="42">
        <f>SUMIF($B$2:$B$475,AN3,$AD$2:$AD$475)</f>
        <v>3190244.1757300007</v>
      </c>
      <c r="AP3" s="42">
        <f ca="1">SUMIF($B$2:$B$475,AN3,$AG$2:$AG$475)</f>
        <v>2292805.4864499168</v>
      </c>
      <c r="AQ3" s="43">
        <f t="shared" ca="1" si="1"/>
        <v>-0.28130721030929529</v>
      </c>
      <c r="AS3" s="41" t="s">
        <v>22</v>
      </c>
      <c r="AT3" s="42">
        <f>SUMIF($B$2:$B$475,AS3,$AB$2:$AB$475)+SUMIF($B$2:$B$475,AS3,$AC$2:$AC$475)+SUMIF($B$2:$B$475,AS3,$AD$2:$AD$475)</f>
        <v>6136221.0160600021</v>
      </c>
      <c r="AU3" s="42">
        <f ca="1">SUMIF($B$2:$B$475,AS3,$AE$2:$AE$475)+SUMIF($B$2:$B$475,AS3,$AF$2:$AF$475)+SUMIF($B$2:$B$475,AS3,$AG$2:$AG$475)</f>
        <v>6119487.2697008811</v>
      </c>
      <c r="AV3" s="43">
        <f t="shared" ca="1" si="2"/>
        <v>-2.7270442696448738E-3</v>
      </c>
    </row>
    <row r="4" spans="1:48" ht="11.25" customHeight="1" x14ac:dyDescent="0.25">
      <c r="A4" s="4" t="s">
        <v>21</v>
      </c>
      <c r="B4" s="4" t="s">
        <v>38</v>
      </c>
      <c r="C4" s="4" t="s">
        <v>56</v>
      </c>
      <c r="D4" s="4" t="s">
        <v>37</v>
      </c>
      <c r="E4" s="4" t="s">
        <v>25</v>
      </c>
      <c r="F4" s="4" t="s">
        <v>57</v>
      </c>
      <c r="G4" s="4" t="s">
        <v>25</v>
      </c>
      <c r="H4" s="4" t="s">
        <v>34</v>
      </c>
      <c r="I4" s="5">
        <v>44470</v>
      </c>
      <c r="J4" s="6">
        <v>7403</v>
      </c>
      <c r="K4" s="6">
        <v>3701.5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58</v>
      </c>
      <c r="R4" s="4">
        <v>0</v>
      </c>
      <c r="S4" s="6">
        <v>5</v>
      </c>
      <c r="T4" s="6">
        <v>0</v>
      </c>
      <c r="U4" s="6">
        <v>0</v>
      </c>
      <c r="V4" s="6">
        <f>IF(ISERROR(VLOOKUP($S$4,'TAR FIN'!$A$1:$O$88,15,0)),0,VLOOKUP($S$4,'TAR FIN'!$A$1:$O$88,15,0))</f>
        <v>17.190000000000001</v>
      </c>
      <c r="W4" s="6">
        <f>IF(ISERROR(VLOOKUP($T$4,'TAR FIN'!$A$1:$O$88,15,0)),0,VLOOKUP($T$4,'TAR FIN'!$A$1:$O$88,15,0))</f>
        <v>0</v>
      </c>
      <c r="X4" s="6">
        <f>IF(ISERROR(VLOOKUP($U$4,'TAR FIN'!$A$1:$O$88,15,0)),0,VLOOKUP($U$4,'TAR FIN'!$A$1:$O$88,15,0))</f>
        <v>0</v>
      </c>
      <c r="Y4" s="6">
        <f ca="1">('TUSD BE'!$AM$6+'TUSD BF_350'!$AM$6+'TUSD CVA'!$AM$6)*1</f>
        <v>13.66046481326768</v>
      </c>
      <c r="Z4" s="6">
        <f ca="1">('TUSD BE'!$AM$7+'TUSD BF_350'!$AM$7+'TUSD CVA'!$AM$7)*1</f>
        <v>83.275517807559041</v>
      </c>
      <c r="AA4" s="6"/>
      <c r="AB4" s="6">
        <f>$K$4*$V$4</f>
        <v>63628.785000000003</v>
      </c>
      <c r="AC4" s="6">
        <f>$M$4*$W$4</f>
        <v>0</v>
      </c>
      <c r="AD4" s="6">
        <f>$O$4*$X$4</f>
        <v>0</v>
      </c>
      <c r="AE4" s="6">
        <f ca="1">$K$4*$Y$4</f>
        <v>50564.210506310315</v>
      </c>
      <c r="AF4" s="6">
        <f ca="1">$M$4*$Z$4</f>
        <v>0</v>
      </c>
      <c r="AG4" s="6">
        <f>$O$4*$AA$4</f>
        <v>0</v>
      </c>
      <c r="AI4" s="41" t="s">
        <v>41</v>
      </c>
      <c r="AJ4" s="42">
        <f>SUMIF($B$2:$B$475,AI4,$AB$2:$AB$475)+SUMIF($B$2:$B$475,AI4,$AC$2:$AC$475)</f>
        <v>790629.3087040002</v>
      </c>
      <c r="AK4" s="42">
        <f ca="1">SUMIF($B$2:$B$475,AI4,$AE$2:$AE$475)+SUMIF($B$2:$B$475,AI4,$AF$2:$AF$475)</f>
        <v>1096424.1495471057</v>
      </c>
      <c r="AL4" s="43">
        <f t="shared" ca="1" si="0"/>
        <v>0.38677397546059167</v>
      </c>
      <c r="AN4" s="41" t="s">
        <v>41</v>
      </c>
      <c r="AO4" s="42">
        <f>SUMIF($B$2:$B$475,AN4,$AD$2:$AD$475)</f>
        <v>846251.63839600014</v>
      </c>
      <c r="AP4" s="42">
        <f ca="1">SUMIF($B$2:$B$475,AN4,$AG$2:$AG$475)</f>
        <v>649668.15097940608</v>
      </c>
      <c r="AQ4" s="43">
        <f t="shared" ca="1" si="1"/>
        <v>-0.23229909225251455</v>
      </c>
      <c r="AS4" s="41" t="s">
        <v>41</v>
      </c>
      <c r="AT4" s="42">
        <f>SUMIF($B$2:$B$475,AS4,$AB$2:$AB$475)+SUMIF($B$2:$B$475,AS4,$AC$2:$AC$475)+SUMIF($B$2:$B$475,AS4,$AD$2:$AD$475)</f>
        <v>1636880.9471000005</v>
      </c>
      <c r="AU4" s="42">
        <f ca="1">SUMIF($B$2:$B$475,AS4,$AE$2:$AE$475)+SUMIF($B$2:$B$475,AS4,$AF$2:$AF$475)+SUMIF($B$2:$B$475,AS4,$AG$2:$AG$475)</f>
        <v>1746092.3005265119</v>
      </c>
      <c r="AV4" s="43">
        <f t="shared" ca="1" si="2"/>
        <v>6.6719179314779664E-2</v>
      </c>
    </row>
    <row r="5" spans="1:48" ht="11.25" customHeight="1" x14ac:dyDescent="0.25">
      <c r="A5" s="4" t="s">
        <v>21</v>
      </c>
      <c r="B5" s="4" t="s">
        <v>38</v>
      </c>
      <c r="C5" s="4" t="s">
        <v>56</v>
      </c>
      <c r="D5" s="4" t="s">
        <v>37</v>
      </c>
      <c r="E5" s="4" t="s">
        <v>25</v>
      </c>
      <c r="F5" s="4" t="s">
        <v>57</v>
      </c>
      <c r="G5" s="4" t="s">
        <v>25</v>
      </c>
      <c r="H5" s="4" t="s">
        <v>34</v>
      </c>
      <c r="I5" s="5">
        <v>44501</v>
      </c>
      <c r="J5" s="6">
        <v>7236</v>
      </c>
      <c r="K5" s="6">
        <v>3618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58</v>
      </c>
      <c r="R5" s="4">
        <v>0</v>
      </c>
      <c r="S5" s="6">
        <v>5</v>
      </c>
      <c r="T5" s="6">
        <v>0</v>
      </c>
      <c r="U5" s="6">
        <v>0</v>
      </c>
      <c r="V5" s="6">
        <f>IF(ISERROR(VLOOKUP($S$5,'TAR FIN'!$A$1:$O$88,15,0)),0,VLOOKUP($S$5,'TAR FIN'!$A$1:$O$88,15,0))</f>
        <v>17.190000000000001</v>
      </c>
      <c r="W5" s="6">
        <f>IF(ISERROR(VLOOKUP($T$5,'TAR FIN'!$A$1:$O$88,15,0)),0,VLOOKUP($T$5,'TAR FIN'!$A$1:$O$88,15,0))</f>
        <v>0</v>
      </c>
      <c r="X5" s="6">
        <f>IF(ISERROR(VLOOKUP($U$5,'TAR FIN'!$A$1:$O$88,15,0)),0,VLOOKUP($U$5,'TAR FIN'!$A$1:$O$88,15,0))</f>
        <v>0</v>
      </c>
      <c r="Y5" s="6">
        <f ca="1">('TUSD BE'!$AM$6+'TUSD BF_350'!$AM$6+'TUSD CVA'!$AM$6)*1</f>
        <v>13.66046481326768</v>
      </c>
      <c r="Z5" s="6">
        <f ca="1">('TUSD BE'!$AM$7+'TUSD BF_350'!$AM$7+'TUSD CVA'!$AM$7)*1</f>
        <v>83.275517807559041</v>
      </c>
      <c r="AA5" s="6"/>
      <c r="AB5" s="6">
        <f>$K$5*$V$5</f>
        <v>62193.420000000006</v>
      </c>
      <c r="AC5" s="6">
        <f>$M$5*$W$5</f>
        <v>0</v>
      </c>
      <c r="AD5" s="6">
        <f>$O$5*$X$5</f>
        <v>0</v>
      </c>
      <c r="AE5" s="6">
        <f ca="1">$K$5*$Y$5</f>
        <v>49423.561694402466</v>
      </c>
      <c r="AF5" s="6">
        <f ca="1">$M$5*$Z$5</f>
        <v>0</v>
      </c>
      <c r="AG5" s="6">
        <f>$O$5*$AA$5</f>
        <v>0</v>
      </c>
      <c r="AI5" s="41" t="s">
        <v>36</v>
      </c>
      <c r="AJ5" s="42">
        <f>SUMIF($B$2:$B$475,AI5,$AB$2:$AB$475)+SUMIF($B$2:$B$475,AI5,$AC$2:$AC$475)</f>
        <v>1762253.9569608006</v>
      </c>
      <c r="AK5" s="42">
        <f ca="1">SUMIF($B$2:$B$475,AI5,$AE$2:$AE$475)+SUMIF($B$2:$B$475,AI5,$AF$2:$AF$475)</f>
        <v>2290122.94628768</v>
      </c>
      <c r="AL5" s="43">
        <f t="shared" ca="1" si="0"/>
        <v>0.29954195151148766</v>
      </c>
      <c r="AN5" s="41" t="s">
        <v>36</v>
      </c>
      <c r="AO5" s="42">
        <f>SUMIF($B$2:$B$475,AN5,$AD$2:$AD$475)</f>
        <v>1886553.0994520001</v>
      </c>
      <c r="AP5" s="42">
        <f ca="1">SUMIF($B$2:$B$475,AN5,$AG$2:$AG$475)</f>
        <v>1357234.5428817845</v>
      </c>
      <c r="AQ5" s="43">
        <f t="shared" ca="1" si="1"/>
        <v>-0.28057442789390363</v>
      </c>
      <c r="AS5" s="41" t="s">
        <v>36</v>
      </c>
      <c r="AT5" s="42">
        <f>SUMIF($B$2:$B$475,AS5,$AB$2:$AB$475)+SUMIF($B$2:$B$475,AS5,$AC$2:$AC$475)+SUMIF($B$2:$B$475,AS5,$AD$2:$AD$475)</f>
        <v>3648807.0564128007</v>
      </c>
      <c r="AU5" s="42">
        <f ca="1">SUMIF($B$2:$B$475,AS5,$AE$2:$AE$475)+SUMIF($B$2:$B$475,AS5,$AF$2:$AF$475)+SUMIF($B$2:$B$475,AS5,$AG$2:$AG$475)</f>
        <v>3647357.4891694644</v>
      </c>
      <c r="AV5" s="43">
        <f t="shared" ca="1" si="2"/>
        <v>-3.9727155229773992E-4</v>
      </c>
    </row>
    <row r="6" spans="1:48" ht="11.25" customHeight="1" x14ac:dyDescent="0.25">
      <c r="A6" s="4" t="s">
        <v>21</v>
      </c>
      <c r="B6" s="4" t="s">
        <v>38</v>
      </c>
      <c r="C6" s="4" t="s">
        <v>56</v>
      </c>
      <c r="D6" s="4" t="s">
        <v>37</v>
      </c>
      <c r="E6" s="4" t="s">
        <v>25</v>
      </c>
      <c r="F6" s="4" t="s">
        <v>57</v>
      </c>
      <c r="G6" s="4" t="s">
        <v>25</v>
      </c>
      <c r="H6" s="4" t="s">
        <v>34</v>
      </c>
      <c r="I6" s="5">
        <v>44531</v>
      </c>
      <c r="J6" s="6">
        <v>7075</v>
      </c>
      <c r="K6" s="6">
        <v>3537.5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58</v>
      </c>
      <c r="R6" s="4">
        <v>0</v>
      </c>
      <c r="S6" s="6">
        <v>5</v>
      </c>
      <c r="T6" s="6">
        <v>0</v>
      </c>
      <c r="U6" s="6">
        <v>0</v>
      </c>
      <c r="V6" s="6">
        <f>IF(ISERROR(VLOOKUP($S$6,'TAR FIN'!$A$1:$O$88,15,0)),0,VLOOKUP($S$6,'TAR FIN'!$A$1:$O$88,15,0))</f>
        <v>17.190000000000001</v>
      </c>
      <c r="W6" s="6">
        <f>IF(ISERROR(VLOOKUP($T$6,'TAR FIN'!$A$1:$O$88,15,0)),0,VLOOKUP($T$6,'TAR FIN'!$A$1:$O$88,15,0))</f>
        <v>0</v>
      </c>
      <c r="X6" s="6">
        <f>IF(ISERROR(VLOOKUP($U$6,'TAR FIN'!$A$1:$O$88,15,0)),0,VLOOKUP($U$6,'TAR FIN'!$A$1:$O$88,15,0))</f>
        <v>0</v>
      </c>
      <c r="Y6" s="6">
        <f ca="1">('TUSD BE'!$AM$6+'TUSD BF_350'!$AM$6+'TUSD CVA'!$AM$6)*1</f>
        <v>13.66046481326768</v>
      </c>
      <c r="Z6" s="6">
        <f ca="1">('TUSD BE'!$AM$7+'TUSD BF_350'!$AM$7+'TUSD CVA'!$AM$7)*1</f>
        <v>83.275517807559041</v>
      </c>
      <c r="AA6" s="6"/>
      <c r="AB6" s="6">
        <f>$K$6*$V$6</f>
        <v>60809.625000000007</v>
      </c>
      <c r="AC6" s="6">
        <f>$M$6*$W$6</f>
        <v>0</v>
      </c>
      <c r="AD6" s="6">
        <f>$O$6*$X$6</f>
        <v>0</v>
      </c>
      <c r="AE6" s="6">
        <f ca="1">$K$6*$Y$6</f>
        <v>48323.894276934421</v>
      </c>
      <c r="AF6" s="6">
        <f ca="1">$M$6*$Z$6</f>
        <v>0</v>
      </c>
      <c r="AG6" s="6">
        <f>$O$6*$AA$6</f>
        <v>0</v>
      </c>
      <c r="AI6" s="41" t="s">
        <v>44</v>
      </c>
      <c r="AJ6" s="42">
        <f>SUMIF($B$2:$B$475,AI6,$AB$2:$AB$475)+SUMIF($B$2:$B$475,AI6,$AC$2:$AC$475)</f>
        <v>268167.33675000002</v>
      </c>
      <c r="AK6" s="42">
        <f ca="1">SUMIF($B$2:$B$475,AI6,$AE$2:$AE$475)+SUMIF($B$2:$B$475,AI6,$AF$2:$AF$475)</f>
        <v>348140.21318159992</v>
      </c>
      <c r="AL6" s="43">
        <f t="shared" ca="1" si="0"/>
        <v>0.29822004946916758</v>
      </c>
      <c r="AN6" s="41" t="s">
        <v>44</v>
      </c>
      <c r="AO6" s="42">
        <f>SUMIF($B$2:$B$475,AN6,$AD$2:$AD$475)</f>
        <v>287027.63909999997</v>
      </c>
      <c r="AP6" s="42">
        <f ca="1">SUMIF($B$2:$B$475,AN6,$AG$2:$AG$475)</f>
        <v>206284.7746218392</v>
      </c>
      <c r="AQ6" s="43">
        <f t="shared" ca="1" si="1"/>
        <v>-0.28130693173429921</v>
      </c>
      <c r="AS6" s="41" t="s">
        <v>44</v>
      </c>
      <c r="AT6" s="42">
        <f>SUMIF($B$2:$B$475,AS6,$AB$2:$AB$475)+SUMIF($B$2:$B$475,AS6,$AC$2:$AC$475)+SUMIF($B$2:$B$475,AS6,$AD$2:$AD$475)</f>
        <v>555194.97585000005</v>
      </c>
      <c r="AU6" s="42">
        <f ca="1">SUMIF($B$2:$B$475,AS6,$AE$2:$AE$475)+SUMIF($B$2:$B$475,AS6,$AF$2:$AF$475)+SUMIF($B$2:$B$475,AS6,$AG$2:$AG$475)</f>
        <v>554424.98780343914</v>
      </c>
      <c r="AV6" s="43">
        <f t="shared" ca="1" si="2"/>
        <v>-1.3868786283269818E-3</v>
      </c>
    </row>
    <row r="7" spans="1:48" ht="11.25" customHeight="1" x14ac:dyDescent="0.25">
      <c r="A7" s="4" t="s">
        <v>21</v>
      </c>
      <c r="B7" s="4" t="s">
        <v>38</v>
      </c>
      <c r="C7" s="4" t="s">
        <v>56</v>
      </c>
      <c r="D7" s="4" t="s">
        <v>37</v>
      </c>
      <c r="E7" s="4" t="s">
        <v>25</v>
      </c>
      <c r="F7" s="4" t="s">
        <v>57</v>
      </c>
      <c r="G7" s="4" t="s">
        <v>25</v>
      </c>
      <c r="H7" s="4" t="s">
        <v>34</v>
      </c>
      <c r="I7" s="5">
        <v>44562</v>
      </c>
      <c r="J7" s="6">
        <v>7194</v>
      </c>
      <c r="K7" s="6">
        <v>3597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58</v>
      </c>
      <c r="R7" s="4">
        <v>0</v>
      </c>
      <c r="S7" s="6">
        <v>5</v>
      </c>
      <c r="T7" s="6">
        <v>0</v>
      </c>
      <c r="U7" s="6">
        <v>0</v>
      </c>
      <c r="V7" s="6">
        <f>IF(ISERROR(VLOOKUP($S$7,'TAR FIN'!$A$1:$O$88,15,0)),0,VLOOKUP($S$7,'TAR FIN'!$A$1:$O$88,15,0))</f>
        <v>17.190000000000001</v>
      </c>
      <c r="W7" s="6">
        <f>IF(ISERROR(VLOOKUP($T$7,'TAR FIN'!$A$1:$O$88,15,0)),0,VLOOKUP($T$7,'TAR FIN'!$A$1:$O$88,15,0))</f>
        <v>0</v>
      </c>
      <c r="X7" s="6">
        <f>IF(ISERROR(VLOOKUP($U$7,'TAR FIN'!$A$1:$O$88,15,0)),0,VLOOKUP($U$7,'TAR FIN'!$A$1:$O$88,15,0))</f>
        <v>0</v>
      </c>
      <c r="Y7" s="6">
        <f ca="1">('TUSD BE'!$AM$6+'TUSD BF_350'!$AM$6+'TUSD CVA'!$AM$6)*1</f>
        <v>13.66046481326768</v>
      </c>
      <c r="Z7" s="6">
        <f ca="1">('TUSD BE'!$AM$7+'TUSD BF_350'!$AM$7+'TUSD CVA'!$AM$7)*1</f>
        <v>83.275517807559041</v>
      </c>
      <c r="AA7" s="6"/>
      <c r="AB7" s="6">
        <f>$K$7*$V$7</f>
        <v>61832.430000000008</v>
      </c>
      <c r="AC7" s="6">
        <f>$M$7*$W$7</f>
        <v>0</v>
      </c>
      <c r="AD7" s="6">
        <f>$O$7*$X$7</f>
        <v>0</v>
      </c>
      <c r="AE7" s="6">
        <f ca="1">$K$7*$Y$7</f>
        <v>49136.691933323847</v>
      </c>
      <c r="AF7" s="6">
        <f ca="1">$M$7*$Z$7</f>
        <v>0</v>
      </c>
      <c r="AG7" s="6">
        <f>$O$7*$AA$7</f>
        <v>0</v>
      </c>
      <c r="AI7" s="41" t="s">
        <v>717</v>
      </c>
      <c r="AJ7" s="42">
        <f>+$AJ$2</f>
        <v>4797484.0044137966</v>
      </c>
      <c r="AK7" s="42">
        <f ca="1">+$AK$2</f>
        <v>4506757.0326040918</v>
      </c>
      <c r="AL7" s="43">
        <f t="shared" ca="1" si="0"/>
        <v>-6.0599883510237706E-2</v>
      </c>
      <c r="AN7" s="41" t="s">
        <v>717</v>
      </c>
      <c r="AO7" s="42">
        <f>+$AO$2</f>
        <v>2117178.5408321987</v>
      </c>
      <c r="AP7" s="42">
        <f ca="1">+$AP$2</f>
        <v>1575477.5337243301</v>
      </c>
      <c r="AQ7" s="43">
        <f t="shared" ca="1" si="1"/>
        <v>-0.25585986097088553</v>
      </c>
      <c r="AS7" s="41" t="s">
        <v>717</v>
      </c>
      <c r="AT7" s="42">
        <f>+$AT$2</f>
        <v>6914662.5452459957</v>
      </c>
      <c r="AU7" s="42">
        <f ca="1">+$AU$2</f>
        <v>6082234.5663284222</v>
      </c>
      <c r="AV7" s="43">
        <f t="shared" ca="1" si="2"/>
        <v>-0.1203859152157597</v>
      </c>
    </row>
    <row r="8" spans="1:48" ht="11.25" customHeight="1" x14ac:dyDescent="0.25">
      <c r="A8" s="4" t="s">
        <v>21</v>
      </c>
      <c r="B8" s="4" t="s">
        <v>38</v>
      </c>
      <c r="C8" s="4" t="s">
        <v>56</v>
      </c>
      <c r="D8" s="4" t="s">
        <v>37</v>
      </c>
      <c r="E8" s="4" t="s">
        <v>25</v>
      </c>
      <c r="F8" s="4" t="s">
        <v>57</v>
      </c>
      <c r="G8" s="4" t="s">
        <v>25</v>
      </c>
      <c r="H8" s="4" t="s">
        <v>34</v>
      </c>
      <c r="I8" s="5">
        <v>44593</v>
      </c>
      <c r="J8" s="6">
        <v>7408</v>
      </c>
      <c r="K8" s="6">
        <v>3704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58</v>
      </c>
      <c r="R8" s="4">
        <v>0</v>
      </c>
      <c r="S8" s="6">
        <v>5</v>
      </c>
      <c r="T8" s="6">
        <v>0</v>
      </c>
      <c r="U8" s="6">
        <v>0</v>
      </c>
      <c r="V8" s="6">
        <f>IF(ISERROR(VLOOKUP($S$8,'TAR FIN'!$A$1:$O$88,15,0)),0,VLOOKUP($S$8,'TAR FIN'!$A$1:$O$88,15,0))</f>
        <v>17.190000000000001</v>
      </c>
      <c r="W8" s="6">
        <f>IF(ISERROR(VLOOKUP($T$8,'TAR FIN'!$A$1:$O$88,15,0)),0,VLOOKUP($T$8,'TAR FIN'!$A$1:$O$88,15,0))</f>
        <v>0</v>
      </c>
      <c r="X8" s="6">
        <f>IF(ISERROR(VLOOKUP($U$8,'TAR FIN'!$A$1:$O$88,15,0)),0,VLOOKUP($U$8,'TAR FIN'!$A$1:$O$88,15,0))</f>
        <v>0</v>
      </c>
      <c r="Y8" s="6">
        <f ca="1">('TUSD BE'!$AM$6+'TUSD BF_350'!$AM$6+'TUSD CVA'!$AM$6)*1</f>
        <v>13.66046481326768</v>
      </c>
      <c r="Z8" s="6">
        <f ca="1">('TUSD BE'!$AM$7+'TUSD BF_350'!$AM$7+'TUSD CVA'!$AM$7)*1</f>
        <v>83.275517807559041</v>
      </c>
      <c r="AA8" s="6"/>
      <c r="AB8" s="6">
        <f>$K$8*$V$8</f>
        <v>63671.76</v>
      </c>
      <c r="AC8" s="6">
        <f>$M$8*$W$8</f>
        <v>0</v>
      </c>
      <c r="AD8" s="6">
        <f>$O$8*$X$8</f>
        <v>0</v>
      </c>
      <c r="AE8" s="6">
        <f ca="1">$K$8*$Y$8</f>
        <v>50598.361668343488</v>
      </c>
      <c r="AF8" s="6">
        <f ca="1">$M$8*$Z$8</f>
        <v>0</v>
      </c>
      <c r="AG8" s="6">
        <f>$O$8*$AA$8</f>
        <v>0</v>
      </c>
      <c r="AI8" s="41" t="s">
        <v>85</v>
      </c>
      <c r="AJ8" s="42">
        <f>+$AJ$3+$AJ$4+$AJ$5+$AJ$6</f>
        <v>5767027.4427448018</v>
      </c>
      <c r="AK8" s="42">
        <f ca="1">+$AK$3+$AK$4+$AK$5+$AK$6</f>
        <v>7561369.0922673512</v>
      </c>
      <c r="AL8" s="43">
        <f t="shared" ca="1" si="0"/>
        <v>0.31113804595813344</v>
      </c>
      <c r="AN8" s="41" t="s">
        <v>85</v>
      </c>
      <c r="AO8" s="42">
        <f>+$AO$3+$AO$4+$AO$5+$AO$6</f>
        <v>6210076.5526780011</v>
      </c>
      <c r="AP8" s="42">
        <f ca="1">+$AP$3+$AP$4+$AP$5+$AP$6</f>
        <v>4505992.9549329476</v>
      </c>
      <c r="AQ8" s="43">
        <f t="shared" ca="1" si="1"/>
        <v>-0.27440621436626145</v>
      </c>
      <c r="AS8" s="41" t="s">
        <v>85</v>
      </c>
      <c r="AT8" s="42">
        <f>+$AT$3+$AT$4+$AT$5+$AT$6</f>
        <v>11977103.995422803</v>
      </c>
      <c r="AU8" s="42">
        <f ca="1">+$AU$3+$AU$4+$AU$5+$AU$6</f>
        <v>12067362.047200296</v>
      </c>
      <c r="AV8" s="43">
        <f t="shared" ca="1" si="2"/>
        <v>7.5358827820135588E-3</v>
      </c>
    </row>
    <row r="9" spans="1:48" ht="11.25" customHeight="1" x14ac:dyDescent="0.25">
      <c r="A9" s="4" t="s">
        <v>21</v>
      </c>
      <c r="B9" s="4" t="s">
        <v>38</v>
      </c>
      <c r="C9" s="4" t="s">
        <v>56</v>
      </c>
      <c r="D9" s="4" t="s">
        <v>37</v>
      </c>
      <c r="E9" s="4" t="s">
        <v>25</v>
      </c>
      <c r="F9" s="4" t="s">
        <v>57</v>
      </c>
      <c r="G9" s="4" t="s">
        <v>25</v>
      </c>
      <c r="H9" s="4" t="s">
        <v>34</v>
      </c>
      <c r="I9" s="5">
        <v>44621</v>
      </c>
      <c r="J9" s="6">
        <v>7588</v>
      </c>
      <c r="K9" s="6">
        <v>3794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58</v>
      </c>
      <c r="R9" s="4">
        <v>0</v>
      </c>
      <c r="S9" s="6">
        <v>5</v>
      </c>
      <c r="T9" s="6">
        <v>0</v>
      </c>
      <c r="U9" s="6">
        <v>0</v>
      </c>
      <c r="V9" s="6">
        <f>IF(ISERROR(VLOOKUP($S$9,'TAR FIN'!$A$1:$O$88,15,0)),0,VLOOKUP($S$9,'TAR FIN'!$A$1:$O$88,15,0))</f>
        <v>17.190000000000001</v>
      </c>
      <c r="W9" s="6">
        <f>IF(ISERROR(VLOOKUP($T$9,'TAR FIN'!$A$1:$O$88,15,0)),0,VLOOKUP($T$9,'TAR FIN'!$A$1:$O$88,15,0))</f>
        <v>0</v>
      </c>
      <c r="X9" s="6">
        <f>IF(ISERROR(VLOOKUP($U$9,'TAR FIN'!$A$1:$O$88,15,0)),0,VLOOKUP($U$9,'TAR FIN'!$A$1:$O$88,15,0))</f>
        <v>0</v>
      </c>
      <c r="Y9" s="6">
        <f ca="1">('TUSD BE'!$AM$6+'TUSD BF_350'!$AM$6+'TUSD CVA'!$AM$6)*1</f>
        <v>13.66046481326768</v>
      </c>
      <c r="Z9" s="6">
        <f ca="1">('TUSD BE'!$AM$7+'TUSD BF_350'!$AM$7+'TUSD CVA'!$AM$7)*1</f>
        <v>83.275517807559041</v>
      </c>
      <c r="AA9" s="6"/>
      <c r="AB9" s="6">
        <f>$K$9*$V$9</f>
        <v>65218.860000000008</v>
      </c>
      <c r="AC9" s="6">
        <f>$M$9*$W$9</f>
        <v>0</v>
      </c>
      <c r="AD9" s="6">
        <f>$O$9*$X$9</f>
        <v>0</v>
      </c>
      <c r="AE9" s="6">
        <f ca="1">$K$9*$Y$9</f>
        <v>51827.803501537579</v>
      </c>
      <c r="AF9" s="6">
        <f ca="1">$M$9*$Z$9</f>
        <v>0</v>
      </c>
      <c r="AG9" s="6">
        <f>$O$9*$AA$9</f>
        <v>0</v>
      </c>
      <c r="AI9" s="41" t="s">
        <v>718</v>
      </c>
      <c r="AJ9" s="42">
        <f>AJ8+AJ7</f>
        <v>10564511.447158597</v>
      </c>
      <c r="AK9" s="42">
        <f ca="1">AK8+AK7</f>
        <v>12068126.124871444</v>
      </c>
      <c r="AL9" s="43">
        <f t="shared" ca="1" si="0"/>
        <v>0.14232694859895823</v>
      </c>
      <c r="AN9" s="41" t="s">
        <v>718</v>
      </c>
      <c r="AO9" s="42">
        <f>AO8+AO7</f>
        <v>8327255.0935101993</v>
      </c>
      <c r="AP9" s="42">
        <f ca="1">AP8+AP7</f>
        <v>6081470.488657278</v>
      </c>
      <c r="AQ9" s="43">
        <f t="shared" ca="1" si="1"/>
        <v>-0.26969086207088355</v>
      </c>
      <c r="AS9" s="41" t="s">
        <v>718</v>
      </c>
      <c r="AT9" s="42">
        <f>AT8+AT7</f>
        <v>18891766.5406688</v>
      </c>
      <c r="AU9" s="42">
        <f ca="1">AU8+AU7</f>
        <v>18149596.613528717</v>
      </c>
      <c r="AV9" s="43">
        <f t="shared" ca="1" si="2"/>
        <v>-3.9285364105172249E-2</v>
      </c>
    </row>
    <row r="10" spans="1:48" ht="11.25" customHeight="1" x14ac:dyDescent="0.25">
      <c r="A10" s="4" t="s">
        <v>21</v>
      </c>
      <c r="B10" s="4" t="s">
        <v>38</v>
      </c>
      <c r="C10" s="4" t="s">
        <v>56</v>
      </c>
      <c r="D10" s="4" t="s">
        <v>37</v>
      </c>
      <c r="E10" s="4" t="s">
        <v>25</v>
      </c>
      <c r="F10" s="4" t="s">
        <v>57</v>
      </c>
      <c r="G10" s="4" t="s">
        <v>25</v>
      </c>
      <c r="H10" s="4" t="s">
        <v>34</v>
      </c>
      <c r="I10" s="5">
        <v>44652</v>
      </c>
      <c r="J10" s="6">
        <v>7439</v>
      </c>
      <c r="K10" s="6">
        <v>3719.5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58</v>
      </c>
      <c r="R10" s="4">
        <v>0</v>
      </c>
      <c r="S10" s="6">
        <v>5</v>
      </c>
      <c r="T10" s="6">
        <v>0</v>
      </c>
      <c r="U10" s="6">
        <v>0</v>
      </c>
      <c r="V10" s="6">
        <f>IF(ISERROR(VLOOKUP($S$10,'TAR FIN'!$A$1:$O$88,15,0)),0,VLOOKUP($S$10,'TAR FIN'!$A$1:$O$88,15,0))</f>
        <v>17.190000000000001</v>
      </c>
      <c r="W10" s="6">
        <f>IF(ISERROR(VLOOKUP($T$10,'TAR FIN'!$A$1:$O$88,15,0)),0,VLOOKUP($T$10,'TAR FIN'!$A$1:$O$88,15,0))</f>
        <v>0</v>
      </c>
      <c r="X10" s="6">
        <f>IF(ISERROR(VLOOKUP($U$10,'TAR FIN'!$A$1:$O$88,15,0)),0,VLOOKUP($U$10,'TAR FIN'!$A$1:$O$88,15,0))</f>
        <v>0</v>
      </c>
      <c r="Y10" s="6">
        <f ca="1">('TUSD BE'!$AM$6+'TUSD BF_350'!$AM$6+'TUSD CVA'!$AM$6)*1</f>
        <v>13.66046481326768</v>
      </c>
      <c r="Z10" s="6">
        <f ca="1">('TUSD BE'!$AM$7+'TUSD BF_350'!$AM$7+'TUSD CVA'!$AM$7)*1</f>
        <v>83.275517807559041</v>
      </c>
      <c r="AA10" s="6"/>
      <c r="AB10" s="6">
        <f>$K$10*$V$10</f>
        <v>63938.205000000002</v>
      </c>
      <c r="AC10" s="6">
        <f>$M$10*$W$10</f>
        <v>0</v>
      </c>
      <c r="AD10" s="6">
        <f>$O$10*$X$10</f>
        <v>0</v>
      </c>
      <c r="AE10" s="6">
        <f ca="1">$K$10*$Y$10</f>
        <v>50810.098872949136</v>
      </c>
      <c r="AF10" s="6">
        <f ca="1">$M$10*$Z$10</f>
        <v>0</v>
      </c>
      <c r="AG10" s="6">
        <f>$O$10*$AA$10</f>
        <v>0</v>
      </c>
    </row>
    <row r="11" spans="1:48" ht="11.25" customHeight="1" x14ac:dyDescent="0.25">
      <c r="A11" s="4" t="s">
        <v>21</v>
      </c>
      <c r="B11" s="4" t="s">
        <v>38</v>
      </c>
      <c r="C11" s="4" t="s">
        <v>56</v>
      </c>
      <c r="D11" s="4" t="s">
        <v>37</v>
      </c>
      <c r="E11" s="4" t="s">
        <v>25</v>
      </c>
      <c r="F11" s="4" t="s">
        <v>57</v>
      </c>
      <c r="G11" s="4" t="s">
        <v>25</v>
      </c>
      <c r="H11" s="4" t="s">
        <v>34</v>
      </c>
      <c r="I11" s="5">
        <v>44682</v>
      </c>
      <c r="J11" s="6">
        <v>7134</v>
      </c>
      <c r="K11" s="6">
        <v>3567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58</v>
      </c>
      <c r="R11" s="4">
        <v>0</v>
      </c>
      <c r="S11" s="6">
        <v>5</v>
      </c>
      <c r="T11" s="6">
        <v>0</v>
      </c>
      <c r="U11" s="6">
        <v>0</v>
      </c>
      <c r="V11" s="6">
        <f>IF(ISERROR(VLOOKUP($S$11,'TAR FIN'!$A$1:$O$88,15,0)),0,VLOOKUP($S$11,'TAR FIN'!$A$1:$O$88,15,0))</f>
        <v>17.190000000000001</v>
      </c>
      <c r="W11" s="6">
        <f>IF(ISERROR(VLOOKUP($T$11,'TAR FIN'!$A$1:$O$88,15,0)),0,VLOOKUP($T$11,'TAR FIN'!$A$1:$O$88,15,0))</f>
        <v>0</v>
      </c>
      <c r="X11" s="6">
        <f>IF(ISERROR(VLOOKUP($U$11,'TAR FIN'!$A$1:$O$88,15,0)),0,VLOOKUP($U$11,'TAR FIN'!$A$1:$O$88,15,0))</f>
        <v>0</v>
      </c>
      <c r="Y11" s="6">
        <f ca="1">('TUSD BE'!$AM$6+'TUSD BF_350'!$AM$6+'TUSD CVA'!$AM$6)*1</f>
        <v>13.66046481326768</v>
      </c>
      <c r="Z11" s="6">
        <f ca="1">('TUSD BE'!$AM$7+'TUSD BF_350'!$AM$7+'TUSD CVA'!$AM$7)*1</f>
        <v>83.275517807559041</v>
      </c>
      <c r="AA11" s="6"/>
      <c r="AB11" s="6">
        <f>$K$11*$V$11</f>
        <v>61316.73</v>
      </c>
      <c r="AC11" s="6">
        <f>$M$11*$W$11</f>
        <v>0</v>
      </c>
      <c r="AD11" s="6">
        <f>$O$11*$X$11</f>
        <v>0</v>
      </c>
      <c r="AE11" s="6">
        <f ca="1">$K$11*$Y$11</f>
        <v>48726.877988925815</v>
      </c>
      <c r="AF11" s="6">
        <f ca="1"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38</v>
      </c>
      <c r="C12" s="4" t="s">
        <v>56</v>
      </c>
      <c r="D12" s="4" t="s">
        <v>37</v>
      </c>
      <c r="E12" s="4" t="s">
        <v>25</v>
      </c>
      <c r="F12" s="4" t="s">
        <v>57</v>
      </c>
      <c r="G12" s="4" t="s">
        <v>25</v>
      </c>
      <c r="H12" s="4" t="s">
        <v>34</v>
      </c>
      <c r="I12" s="5">
        <v>44713</v>
      </c>
      <c r="J12" s="6">
        <v>7229</v>
      </c>
      <c r="K12" s="6">
        <v>3614.5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58</v>
      </c>
      <c r="R12" s="4">
        <v>0</v>
      </c>
      <c r="S12" s="6">
        <v>5</v>
      </c>
      <c r="T12" s="6">
        <v>0</v>
      </c>
      <c r="U12" s="6">
        <v>0</v>
      </c>
      <c r="V12" s="6">
        <f>IF(ISERROR(VLOOKUP($S$12,'TAR FIN'!$A$1:$O$88,15,0)),0,VLOOKUP($S$12,'TAR FIN'!$A$1:$O$88,15,0))</f>
        <v>17.190000000000001</v>
      </c>
      <c r="W12" s="6">
        <f>IF(ISERROR(VLOOKUP($T$12,'TAR FIN'!$A$1:$O$88,15,0)),0,VLOOKUP($T$12,'TAR FIN'!$A$1:$O$88,15,0))</f>
        <v>0</v>
      </c>
      <c r="X12" s="6">
        <f>IF(ISERROR(VLOOKUP($U$12,'TAR FIN'!$A$1:$O$88,15,0)),0,VLOOKUP($U$12,'TAR FIN'!$A$1:$O$88,15,0))</f>
        <v>0</v>
      </c>
      <c r="Y12" s="6">
        <f ca="1">('TUSD BE'!$AM$6+'TUSD BF_350'!$AM$6+'TUSD CVA'!$AM$6)*1</f>
        <v>13.66046481326768</v>
      </c>
      <c r="Z12" s="6">
        <f ca="1">('TUSD BE'!$AM$7+'TUSD BF_350'!$AM$7+'TUSD CVA'!$AM$7)*1</f>
        <v>83.275517807559041</v>
      </c>
      <c r="AA12" s="6"/>
      <c r="AB12" s="6">
        <f>$K$12*$V$12</f>
        <v>62133.255000000005</v>
      </c>
      <c r="AC12" s="6">
        <f>$M$12*$W$12</f>
        <v>0</v>
      </c>
      <c r="AD12" s="6">
        <f>$O$12*$X$12</f>
        <v>0</v>
      </c>
      <c r="AE12" s="6">
        <f ca="1">$K$12*$Y$12</f>
        <v>49375.75006755603</v>
      </c>
      <c r="AF12" s="6">
        <f ca="1">$M$12*$Z$12</f>
        <v>0</v>
      </c>
      <c r="AG12" s="6">
        <f>$O$12*$AA$12</f>
        <v>0</v>
      </c>
    </row>
    <row r="13" spans="1:48" ht="11.25" customHeight="1" x14ac:dyDescent="0.25">
      <c r="A13" s="4" t="s">
        <v>55</v>
      </c>
      <c r="B13" s="4" t="s">
        <v>38</v>
      </c>
      <c r="C13" s="4" t="s">
        <v>56</v>
      </c>
      <c r="D13" s="4" t="s">
        <v>37</v>
      </c>
      <c r="E13" s="4" t="s">
        <v>25</v>
      </c>
      <c r="F13" s="4" t="s">
        <v>57</v>
      </c>
      <c r="G13" s="4" t="s">
        <v>25</v>
      </c>
      <c r="H13" s="4" t="s">
        <v>34</v>
      </c>
      <c r="I13" s="5">
        <v>44743</v>
      </c>
      <c r="J13" s="6">
        <v>7229</v>
      </c>
      <c r="K13" s="6">
        <v>3614.5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58</v>
      </c>
      <c r="R13" s="4">
        <v>0</v>
      </c>
      <c r="S13" s="6">
        <v>5</v>
      </c>
      <c r="T13" s="6">
        <v>0</v>
      </c>
      <c r="U13" s="6">
        <v>0</v>
      </c>
      <c r="V13" s="6">
        <f>IF(ISERROR(VLOOKUP($S$13,'TAR FIN'!$A$1:$O$88,15,0)),0,VLOOKUP($S$13,'TAR FIN'!$A$1:$O$88,15,0))</f>
        <v>17.190000000000001</v>
      </c>
      <c r="W13" s="6">
        <f>IF(ISERROR(VLOOKUP($T$13,'TAR FIN'!$A$1:$O$88,15,0)),0,VLOOKUP($T$13,'TAR FIN'!$A$1:$O$88,15,0))</f>
        <v>0</v>
      </c>
      <c r="X13" s="6">
        <f>IF(ISERROR(VLOOKUP($U$13,'TAR FIN'!$A$1:$O$88,15,0)),0,VLOOKUP($U$13,'TAR FIN'!$A$1:$O$88,15,0))</f>
        <v>0</v>
      </c>
      <c r="Y13" s="6">
        <f ca="1">('TUSD BE'!$AM$6+'TUSD BF_350'!$AM$6+'TUSD CVA'!$AM$6)*1</f>
        <v>13.66046481326768</v>
      </c>
      <c r="Z13" s="6">
        <f ca="1">('TUSD BE'!$AM$7+'TUSD BF_350'!$AM$7+'TUSD CVA'!$AM$7)*1</f>
        <v>83.275517807559041</v>
      </c>
      <c r="AA13" s="6"/>
      <c r="AB13" s="6">
        <f>$K$13*$V$13</f>
        <v>62133.255000000005</v>
      </c>
      <c r="AC13" s="6">
        <f>$M$13*$W$13</f>
        <v>0</v>
      </c>
      <c r="AD13" s="6">
        <f>$O$13*$X$13</f>
        <v>0</v>
      </c>
      <c r="AE13" s="6">
        <f ca="1">$K$13*$Y$13</f>
        <v>49375.75006755603</v>
      </c>
      <c r="AF13" s="6">
        <f ca="1"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38</v>
      </c>
      <c r="C14" s="4" t="s">
        <v>56</v>
      </c>
      <c r="D14" s="4" t="s">
        <v>37</v>
      </c>
      <c r="E14" s="4" t="s">
        <v>25</v>
      </c>
      <c r="F14" s="4" t="s">
        <v>57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3408.886</v>
      </c>
      <c r="M14" s="6">
        <v>1704.443</v>
      </c>
      <c r="N14" s="6">
        <v>0</v>
      </c>
      <c r="O14" s="6">
        <v>0</v>
      </c>
      <c r="P14" s="6">
        <v>6</v>
      </c>
      <c r="Q14" s="4" t="s">
        <v>58</v>
      </c>
      <c r="R14" s="4">
        <v>0</v>
      </c>
      <c r="S14" s="6">
        <v>0</v>
      </c>
      <c r="T14" s="6">
        <v>8</v>
      </c>
      <c r="U14" s="6">
        <v>0</v>
      </c>
      <c r="V14" s="6">
        <f>IF(ISERROR(VLOOKUP($S$14,'TAR FIN'!$A$1:$O$88,15,0)),0,VLOOKUP($S$14,'TAR FIN'!$A$1:$O$88,15,0))</f>
        <v>0</v>
      </c>
      <c r="W14" s="6">
        <f>IF(ISERROR(VLOOKUP($T$14,'TAR FIN'!$A$1:$O$88,15,0)),0,VLOOKUP($T$14,'TAR FIN'!$A$1:$O$88,15,0))</f>
        <v>73.790000000000006</v>
      </c>
      <c r="X14" s="6">
        <f>IF(ISERROR(VLOOKUP($U$14,'TAR FIN'!$A$1:$O$88,15,0)),0,VLOOKUP($U$14,'TAR FIN'!$A$1:$O$88,15,0))</f>
        <v>0</v>
      </c>
      <c r="Y14" s="6"/>
      <c r="Z14" s="6">
        <f ca="1">('TUSD BE'!$AM$7+'TUSD BF_350'!$AM$7+'TUSD CVA'!$AM$7)*1</f>
        <v>83.275517807559041</v>
      </c>
      <c r="AA14" s="6"/>
      <c r="AB14" s="6">
        <f>$K$14*$V$14</f>
        <v>0</v>
      </c>
      <c r="AC14" s="6">
        <f>$M$14*$W$14</f>
        <v>125770.84897000001</v>
      </c>
      <c r="AD14" s="6">
        <f>$O$14*$X$14</f>
        <v>0</v>
      </c>
      <c r="AE14" s="6">
        <f>$K$14*$Y$14</f>
        <v>0</v>
      </c>
      <c r="AF14" s="6">
        <f ca="1">$M$14*$Z$14</f>
        <v>141938.37339846935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38</v>
      </c>
      <c r="C15" s="4" t="s">
        <v>56</v>
      </c>
      <c r="D15" s="4" t="s">
        <v>37</v>
      </c>
      <c r="E15" s="4" t="s">
        <v>25</v>
      </c>
      <c r="F15" s="4" t="s">
        <v>57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3332.1570000000002</v>
      </c>
      <c r="M15" s="6">
        <v>1666.0785000000001</v>
      </c>
      <c r="N15" s="6">
        <v>0</v>
      </c>
      <c r="O15" s="6">
        <v>0</v>
      </c>
      <c r="P15" s="6">
        <v>6</v>
      </c>
      <c r="Q15" s="4" t="s">
        <v>58</v>
      </c>
      <c r="R15" s="4">
        <v>0</v>
      </c>
      <c r="S15" s="6">
        <v>0</v>
      </c>
      <c r="T15" s="6">
        <v>8</v>
      </c>
      <c r="U15" s="6">
        <v>0</v>
      </c>
      <c r="V15" s="6">
        <f>IF(ISERROR(VLOOKUP($S$15,'TAR FIN'!$A$1:$O$88,15,0)),0,VLOOKUP($S$15,'TAR FIN'!$A$1:$O$88,15,0))</f>
        <v>0</v>
      </c>
      <c r="W15" s="6">
        <f>IF(ISERROR(VLOOKUP($T$15,'TAR FIN'!$A$1:$O$88,15,0)),0,VLOOKUP($T$15,'TAR FIN'!$A$1:$O$88,15,0))</f>
        <v>73.790000000000006</v>
      </c>
      <c r="X15" s="6">
        <f>IF(ISERROR(VLOOKUP($U$15,'TAR FIN'!$A$1:$O$88,15,0)),0,VLOOKUP($U$15,'TAR FIN'!$A$1:$O$88,15,0))</f>
        <v>0</v>
      </c>
      <c r="Y15" s="6"/>
      <c r="Z15" s="6">
        <f ca="1">('TUSD BE'!$AM$7+'TUSD BF_350'!$AM$7+'TUSD CVA'!$AM$7)*1</f>
        <v>83.275517807559041</v>
      </c>
      <c r="AA15" s="6"/>
      <c r="AB15" s="6">
        <f>$K$15*$V$15</f>
        <v>0</v>
      </c>
      <c r="AC15" s="6">
        <f>$M$15*$W$15</f>
        <v>122939.93251500002</v>
      </c>
      <c r="AD15" s="6">
        <f>$O$15*$X$15</f>
        <v>0</v>
      </c>
      <c r="AE15" s="6">
        <f>$K$15*$Y$15</f>
        <v>0</v>
      </c>
      <c r="AF15" s="6">
        <f ca="1">$M$15*$Z$15</f>
        <v>138743.54979554127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38</v>
      </c>
      <c r="C16" s="4" t="s">
        <v>56</v>
      </c>
      <c r="D16" s="4" t="s">
        <v>37</v>
      </c>
      <c r="E16" s="4" t="s">
        <v>25</v>
      </c>
      <c r="F16" s="4" t="s">
        <v>57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3444.0309999999999</v>
      </c>
      <c r="M16" s="6">
        <v>1722.0155</v>
      </c>
      <c r="N16" s="6">
        <v>0</v>
      </c>
      <c r="O16" s="6">
        <v>0</v>
      </c>
      <c r="P16" s="6">
        <v>6</v>
      </c>
      <c r="Q16" s="4" t="s">
        <v>58</v>
      </c>
      <c r="R16" s="4">
        <v>0</v>
      </c>
      <c r="S16" s="6">
        <v>0</v>
      </c>
      <c r="T16" s="6">
        <v>8</v>
      </c>
      <c r="U16" s="6">
        <v>0</v>
      </c>
      <c r="V16" s="6">
        <f>IF(ISERROR(VLOOKUP($S$16,'TAR FIN'!$A$1:$O$88,15,0)),0,VLOOKUP($S$16,'TAR FIN'!$A$1:$O$88,15,0))</f>
        <v>0</v>
      </c>
      <c r="W16" s="6">
        <f>IF(ISERROR(VLOOKUP($T$16,'TAR FIN'!$A$1:$O$88,15,0)),0,VLOOKUP($T$16,'TAR FIN'!$A$1:$O$88,15,0))</f>
        <v>73.790000000000006</v>
      </c>
      <c r="X16" s="6">
        <f>IF(ISERROR(VLOOKUP($U$16,'TAR FIN'!$A$1:$O$88,15,0)),0,VLOOKUP($U$16,'TAR FIN'!$A$1:$O$88,15,0))</f>
        <v>0</v>
      </c>
      <c r="Y16" s="6"/>
      <c r="Z16" s="6">
        <f ca="1">('TUSD BE'!$AM$7+'TUSD BF_350'!$AM$7+'TUSD CVA'!$AM$7)*1</f>
        <v>83.275517807559041</v>
      </c>
      <c r="AA16" s="6"/>
      <c r="AB16" s="6">
        <f>$K$16*$V$16</f>
        <v>0</v>
      </c>
      <c r="AC16" s="6">
        <f>$M$16*$W$16</f>
        <v>127067.52374500001</v>
      </c>
      <c r="AD16" s="6">
        <f>$O$16*$X$16</f>
        <v>0</v>
      </c>
      <c r="AE16" s="6">
        <f>$K$16*$Y$16</f>
        <v>0</v>
      </c>
      <c r="AF16" s="6">
        <f ca="1">$M$16*$Z$16</f>
        <v>143401.73243514268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38</v>
      </c>
      <c r="C17" s="4" t="s">
        <v>56</v>
      </c>
      <c r="D17" s="4" t="s">
        <v>37</v>
      </c>
      <c r="E17" s="4" t="s">
        <v>25</v>
      </c>
      <c r="F17" s="4" t="s">
        <v>57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3415.11</v>
      </c>
      <c r="M17" s="6">
        <v>1707.5550000000001</v>
      </c>
      <c r="N17" s="6">
        <v>0</v>
      </c>
      <c r="O17" s="6">
        <v>0</v>
      </c>
      <c r="P17" s="6">
        <v>6</v>
      </c>
      <c r="Q17" s="4" t="s">
        <v>58</v>
      </c>
      <c r="R17" s="4">
        <v>0</v>
      </c>
      <c r="S17" s="6">
        <v>0</v>
      </c>
      <c r="T17" s="6">
        <v>8</v>
      </c>
      <c r="U17" s="6">
        <v>0</v>
      </c>
      <c r="V17" s="6">
        <f>IF(ISERROR(VLOOKUP($S$17,'TAR FIN'!$A$1:$O$88,15,0)),0,VLOOKUP($S$17,'TAR FIN'!$A$1:$O$88,15,0))</f>
        <v>0</v>
      </c>
      <c r="W17" s="6">
        <f>IF(ISERROR(VLOOKUP($T$17,'TAR FIN'!$A$1:$O$88,15,0)),0,VLOOKUP($T$17,'TAR FIN'!$A$1:$O$88,15,0))</f>
        <v>73.790000000000006</v>
      </c>
      <c r="X17" s="6">
        <f>IF(ISERROR(VLOOKUP($U$17,'TAR FIN'!$A$1:$O$88,15,0)),0,VLOOKUP($U$17,'TAR FIN'!$A$1:$O$88,15,0))</f>
        <v>0</v>
      </c>
      <c r="Y17" s="6"/>
      <c r="Z17" s="6">
        <f ca="1">('TUSD BE'!$AM$7+'TUSD BF_350'!$AM$7+'TUSD CVA'!$AM$7)*1</f>
        <v>83.275517807559041</v>
      </c>
      <c r="AA17" s="6"/>
      <c r="AB17" s="6">
        <f>$K$17*$V$17</f>
        <v>0</v>
      </c>
      <c r="AC17" s="6">
        <f>$M$17*$W$17</f>
        <v>126000.48345000001</v>
      </c>
      <c r="AD17" s="6">
        <f>$O$17*$X$17</f>
        <v>0</v>
      </c>
      <c r="AE17" s="6">
        <f>$K$17*$Y$17</f>
        <v>0</v>
      </c>
      <c r="AF17" s="6">
        <f ca="1">$M$17*$Z$17</f>
        <v>142197.52680988648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38</v>
      </c>
      <c r="C18" s="4" t="s">
        <v>56</v>
      </c>
      <c r="D18" s="4" t="s">
        <v>37</v>
      </c>
      <c r="E18" s="4" t="s">
        <v>25</v>
      </c>
      <c r="F18" s="4" t="s">
        <v>57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3030.1959999999999</v>
      </c>
      <c r="M18" s="6">
        <v>1515.098</v>
      </c>
      <c r="N18" s="6">
        <v>0</v>
      </c>
      <c r="O18" s="6">
        <v>0</v>
      </c>
      <c r="P18" s="6">
        <v>6</v>
      </c>
      <c r="Q18" s="4" t="s">
        <v>58</v>
      </c>
      <c r="R18" s="4">
        <v>0</v>
      </c>
      <c r="S18" s="6">
        <v>0</v>
      </c>
      <c r="T18" s="6">
        <v>8</v>
      </c>
      <c r="U18" s="6">
        <v>0</v>
      </c>
      <c r="V18" s="6">
        <f>IF(ISERROR(VLOOKUP($S$18,'TAR FIN'!$A$1:$O$88,15,0)),0,VLOOKUP($S$18,'TAR FIN'!$A$1:$O$88,15,0))</f>
        <v>0</v>
      </c>
      <c r="W18" s="6">
        <f>IF(ISERROR(VLOOKUP($T$18,'TAR FIN'!$A$1:$O$88,15,0)),0,VLOOKUP($T$18,'TAR FIN'!$A$1:$O$88,15,0))</f>
        <v>73.790000000000006</v>
      </c>
      <c r="X18" s="6">
        <f>IF(ISERROR(VLOOKUP($U$18,'TAR FIN'!$A$1:$O$88,15,0)),0,VLOOKUP($U$18,'TAR FIN'!$A$1:$O$88,15,0))</f>
        <v>0</v>
      </c>
      <c r="Y18" s="6"/>
      <c r="Z18" s="6">
        <f ca="1">('TUSD BE'!$AM$7+'TUSD BF_350'!$AM$7+'TUSD CVA'!$AM$7)*1</f>
        <v>83.275517807559041</v>
      </c>
      <c r="AA18" s="6"/>
      <c r="AB18" s="6">
        <f>$K$18*$V$18</f>
        <v>0</v>
      </c>
      <c r="AC18" s="6">
        <f>$M$18*$W$18</f>
        <v>111799.08142</v>
      </c>
      <c r="AD18" s="6">
        <f>$O$18*$X$18</f>
        <v>0</v>
      </c>
      <c r="AE18" s="6">
        <f>$K$18*$Y$18</f>
        <v>0</v>
      </c>
      <c r="AF18" s="6">
        <f ca="1">$M$18*$Z$18</f>
        <v>126170.57047919708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38</v>
      </c>
      <c r="C19" s="4" t="s">
        <v>56</v>
      </c>
      <c r="D19" s="4" t="s">
        <v>37</v>
      </c>
      <c r="E19" s="4" t="s">
        <v>25</v>
      </c>
      <c r="F19" s="4" t="s">
        <v>57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3510.837</v>
      </c>
      <c r="M19" s="6">
        <v>1755.4185</v>
      </c>
      <c r="N19" s="6">
        <v>0</v>
      </c>
      <c r="O19" s="6">
        <v>0</v>
      </c>
      <c r="P19" s="6">
        <v>6</v>
      </c>
      <c r="Q19" s="4" t="s">
        <v>58</v>
      </c>
      <c r="R19" s="4">
        <v>0</v>
      </c>
      <c r="S19" s="6">
        <v>0</v>
      </c>
      <c r="T19" s="6">
        <v>8</v>
      </c>
      <c r="U19" s="6">
        <v>0</v>
      </c>
      <c r="V19" s="6">
        <f>IF(ISERROR(VLOOKUP($S$19,'TAR FIN'!$A$1:$O$88,15,0)),0,VLOOKUP($S$19,'TAR FIN'!$A$1:$O$88,15,0))</f>
        <v>0</v>
      </c>
      <c r="W19" s="6">
        <f>IF(ISERROR(VLOOKUP($T$19,'TAR FIN'!$A$1:$O$88,15,0)),0,VLOOKUP($T$19,'TAR FIN'!$A$1:$O$88,15,0))</f>
        <v>73.790000000000006</v>
      </c>
      <c r="X19" s="6">
        <f>IF(ISERROR(VLOOKUP($U$19,'TAR FIN'!$A$1:$O$88,15,0)),0,VLOOKUP($U$19,'TAR FIN'!$A$1:$O$88,15,0))</f>
        <v>0</v>
      </c>
      <c r="Y19" s="6"/>
      <c r="Z19" s="6">
        <f ca="1">('TUSD BE'!$AM$7+'TUSD BF_350'!$AM$7+'TUSD CVA'!$AM$7)*1</f>
        <v>83.275517807559041</v>
      </c>
      <c r="AA19" s="6"/>
      <c r="AB19" s="6">
        <f>$K$19*$V$19</f>
        <v>0</v>
      </c>
      <c r="AC19" s="6">
        <f>$M$19*$W$19</f>
        <v>129532.33111500001</v>
      </c>
      <c r="AD19" s="6">
        <f>$O$19*$X$19</f>
        <v>0</v>
      </c>
      <c r="AE19" s="6">
        <f>$K$19*$Y$19</f>
        <v>0</v>
      </c>
      <c r="AF19" s="6">
        <f ca="1">$M$19*$Z$19</f>
        <v>146183.38455646858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38</v>
      </c>
      <c r="C20" s="4" t="s">
        <v>56</v>
      </c>
      <c r="D20" s="4" t="s">
        <v>37</v>
      </c>
      <c r="E20" s="4" t="s">
        <v>25</v>
      </c>
      <c r="F20" s="4" t="s">
        <v>57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3237.096</v>
      </c>
      <c r="M20" s="6">
        <v>1618.548</v>
      </c>
      <c r="N20" s="6">
        <v>0</v>
      </c>
      <c r="O20" s="6">
        <v>0</v>
      </c>
      <c r="P20" s="6">
        <v>6</v>
      </c>
      <c r="Q20" s="4" t="s">
        <v>58</v>
      </c>
      <c r="R20" s="4">
        <v>0</v>
      </c>
      <c r="S20" s="6">
        <v>0</v>
      </c>
      <c r="T20" s="6">
        <v>8</v>
      </c>
      <c r="U20" s="6">
        <v>0</v>
      </c>
      <c r="V20" s="6">
        <f>IF(ISERROR(VLOOKUP($S$20,'TAR FIN'!$A$1:$O$88,15,0)),0,VLOOKUP($S$20,'TAR FIN'!$A$1:$O$88,15,0))</f>
        <v>0</v>
      </c>
      <c r="W20" s="6">
        <f>IF(ISERROR(VLOOKUP($T$20,'TAR FIN'!$A$1:$O$88,15,0)),0,VLOOKUP($T$20,'TAR FIN'!$A$1:$O$88,15,0))</f>
        <v>73.790000000000006</v>
      </c>
      <c r="X20" s="6">
        <f>IF(ISERROR(VLOOKUP($U$20,'TAR FIN'!$A$1:$O$88,15,0)),0,VLOOKUP($U$20,'TAR FIN'!$A$1:$O$88,15,0))</f>
        <v>0</v>
      </c>
      <c r="Y20" s="6"/>
      <c r="Z20" s="6">
        <f ca="1">('TUSD BE'!$AM$7+'TUSD BF_350'!$AM$7+'TUSD CVA'!$AM$7)*1</f>
        <v>83.275517807559041</v>
      </c>
      <c r="AA20" s="6"/>
      <c r="AB20" s="6">
        <f>$K$20*$V$20</f>
        <v>0</v>
      </c>
      <c r="AC20" s="6">
        <f>$M$20*$W$20</f>
        <v>119432.65692000001</v>
      </c>
      <c r="AD20" s="6">
        <f>$O$20*$X$20</f>
        <v>0</v>
      </c>
      <c r="AE20" s="6">
        <f>$K$20*$Y$20</f>
        <v>0</v>
      </c>
      <c r="AF20" s="6">
        <f ca="1">$M$20*$Z$20</f>
        <v>134785.42279638906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38</v>
      </c>
      <c r="C21" s="4" t="s">
        <v>56</v>
      </c>
      <c r="D21" s="4" t="s">
        <v>37</v>
      </c>
      <c r="E21" s="4" t="s">
        <v>25</v>
      </c>
      <c r="F21" s="4" t="s">
        <v>57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3688.7570000000001</v>
      </c>
      <c r="M21" s="6">
        <v>1844.3785</v>
      </c>
      <c r="N21" s="6">
        <v>0</v>
      </c>
      <c r="O21" s="6">
        <v>0</v>
      </c>
      <c r="P21" s="6">
        <v>6</v>
      </c>
      <c r="Q21" s="4" t="s">
        <v>58</v>
      </c>
      <c r="R21" s="4">
        <v>0</v>
      </c>
      <c r="S21" s="6">
        <v>0</v>
      </c>
      <c r="T21" s="6">
        <v>8</v>
      </c>
      <c r="U21" s="6">
        <v>0</v>
      </c>
      <c r="V21" s="6">
        <f>IF(ISERROR(VLOOKUP($S$21,'TAR FIN'!$A$1:$O$88,15,0)),0,VLOOKUP($S$21,'TAR FIN'!$A$1:$O$88,15,0))</f>
        <v>0</v>
      </c>
      <c r="W21" s="6">
        <f>IF(ISERROR(VLOOKUP($T$21,'TAR FIN'!$A$1:$O$88,15,0)),0,VLOOKUP($T$21,'TAR FIN'!$A$1:$O$88,15,0))</f>
        <v>73.790000000000006</v>
      </c>
      <c r="X21" s="6">
        <f>IF(ISERROR(VLOOKUP($U$21,'TAR FIN'!$A$1:$O$88,15,0)),0,VLOOKUP($U$21,'TAR FIN'!$A$1:$O$88,15,0))</f>
        <v>0</v>
      </c>
      <c r="Y21" s="6"/>
      <c r="Z21" s="6">
        <f ca="1">('TUSD BE'!$AM$7+'TUSD BF_350'!$AM$7+'TUSD CVA'!$AM$7)*1</f>
        <v>83.275517807559041</v>
      </c>
      <c r="AA21" s="6"/>
      <c r="AB21" s="6">
        <f>$K$21*$V$21</f>
        <v>0</v>
      </c>
      <c r="AC21" s="6">
        <f>$M$21*$W$21</f>
        <v>136096.68951500001</v>
      </c>
      <c r="AD21" s="6">
        <f>$O$21*$X$21</f>
        <v>0</v>
      </c>
      <c r="AE21" s="6">
        <f>$K$21*$Y$21</f>
        <v>0</v>
      </c>
      <c r="AF21" s="6">
        <f ca="1">$M$21*$Z$21</f>
        <v>153591.57462062902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38</v>
      </c>
      <c r="C22" s="4" t="s">
        <v>56</v>
      </c>
      <c r="D22" s="4" t="s">
        <v>37</v>
      </c>
      <c r="E22" s="4" t="s">
        <v>25</v>
      </c>
      <c r="F22" s="4" t="s">
        <v>57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3372.8220000000001</v>
      </c>
      <c r="M22" s="6">
        <v>1686.4110000000001</v>
      </c>
      <c r="N22" s="6">
        <v>0</v>
      </c>
      <c r="O22" s="6">
        <v>0</v>
      </c>
      <c r="P22" s="6">
        <v>6</v>
      </c>
      <c r="Q22" s="4" t="s">
        <v>58</v>
      </c>
      <c r="R22" s="4">
        <v>0</v>
      </c>
      <c r="S22" s="6">
        <v>0</v>
      </c>
      <c r="T22" s="6">
        <v>8</v>
      </c>
      <c r="U22" s="6">
        <v>0</v>
      </c>
      <c r="V22" s="6">
        <f>IF(ISERROR(VLOOKUP($S$22,'TAR FIN'!$A$1:$O$88,15,0)),0,VLOOKUP($S$22,'TAR FIN'!$A$1:$O$88,15,0))</f>
        <v>0</v>
      </c>
      <c r="W22" s="6">
        <f>IF(ISERROR(VLOOKUP($T$22,'TAR FIN'!$A$1:$O$88,15,0)),0,VLOOKUP($T$22,'TAR FIN'!$A$1:$O$88,15,0))</f>
        <v>73.790000000000006</v>
      </c>
      <c r="X22" s="6">
        <f>IF(ISERROR(VLOOKUP($U$22,'TAR FIN'!$A$1:$O$88,15,0)),0,VLOOKUP($U$22,'TAR FIN'!$A$1:$O$88,15,0))</f>
        <v>0</v>
      </c>
      <c r="Y22" s="6"/>
      <c r="Z22" s="6">
        <f ca="1">('TUSD BE'!$AM$7+'TUSD BF_350'!$AM$7+'TUSD CVA'!$AM$7)*1</f>
        <v>83.275517807559041</v>
      </c>
      <c r="AA22" s="6"/>
      <c r="AB22" s="6">
        <f>$K$22*$V$22</f>
        <v>0</v>
      </c>
      <c r="AC22" s="6">
        <f>$M$22*$W$22</f>
        <v>124440.26769000001</v>
      </c>
      <c r="AD22" s="6">
        <f>$O$22*$X$22</f>
        <v>0</v>
      </c>
      <c r="AE22" s="6">
        <f>$K$22*$Y$22</f>
        <v>0</v>
      </c>
      <c r="AF22" s="6">
        <f ca="1">$M$22*$Z$22</f>
        <v>140436.74926136347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38</v>
      </c>
      <c r="C23" s="4" t="s">
        <v>56</v>
      </c>
      <c r="D23" s="4" t="s">
        <v>37</v>
      </c>
      <c r="E23" s="4" t="s">
        <v>25</v>
      </c>
      <c r="F23" s="4" t="s">
        <v>57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3390.308</v>
      </c>
      <c r="M23" s="6">
        <v>1695.154</v>
      </c>
      <c r="N23" s="6">
        <v>0</v>
      </c>
      <c r="O23" s="6">
        <v>0</v>
      </c>
      <c r="P23" s="6">
        <v>6</v>
      </c>
      <c r="Q23" s="4" t="s">
        <v>58</v>
      </c>
      <c r="R23" s="4">
        <v>0</v>
      </c>
      <c r="S23" s="6">
        <v>0</v>
      </c>
      <c r="T23" s="6">
        <v>8</v>
      </c>
      <c r="U23" s="6">
        <v>0</v>
      </c>
      <c r="V23" s="6">
        <f>IF(ISERROR(VLOOKUP($S$23,'TAR FIN'!$A$1:$O$88,15,0)),0,VLOOKUP($S$23,'TAR FIN'!$A$1:$O$88,15,0))</f>
        <v>0</v>
      </c>
      <c r="W23" s="6">
        <f>IF(ISERROR(VLOOKUP($T$23,'TAR FIN'!$A$1:$O$88,15,0)),0,VLOOKUP($T$23,'TAR FIN'!$A$1:$O$88,15,0))</f>
        <v>73.790000000000006</v>
      </c>
      <c r="X23" s="6">
        <f>IF(ISERROR(VLOOKUP($U$23,'TAR FIN'!$A$1:$O$88,15,0)),0,VLOOKUP($U$23,'TAR FIN'!$A$1:$O$88,15,0))</f>
        <v>0</v>
      </c>
      <c r="Y23" s="6"/>
      <c r="Z23" s="6">
        <f ca="1">('TUSD BE'!$AM$7+'TUSD BF_350'!$AM$7+'TUSD CVA'!$AM$7)*1</f>
        <v>83.275517807559041</v>
      </c>
      <c r="AA23" s="6"/>
      <c r="AB23" s="6">
        <f>$K$23*$V$23</f>
        <v>0</v>
      </c>
      <c r="AC23" s="6">
        <f>$M$23*$W$23</f>
        <v>125085.41366000001</v>
      </c>
      <c r="AD23" s="6">
        <f>$O$23*$X$23</f>
        <v>0</v>
      </c>
      <c r="AE23" s="6">
        <f>$K$23*$Y$23</f>
        <v>0</v>
      </c>
      <c r="AF23" s="6">
        <f ca="1">$M$23*$Z$23</f>
        <v>141164.82711355493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38</v>
      </c>
      <c r="C24" s="4" t="s">
        <v>56</v>
      </c>
      <c r="D24" s="4" t="s">
        <v>37</v>
      </c>
      <c r="E24" s="4" t="s">
        <v>25</v>
      </c>
      <c r="F24" s="4" t="s">
        <v>57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3363.3820000000001</v>
      </c>
      <c r="M24" s="6">
        <v>1681.691</v>
      </c>
      <c r="N24" s="6">
        <v>0</v>
      </c>
      <c r="O24" s="6">
        <v>0</v>
      </c>
      <c r="P24" s="6">
        <v>6</v>
      </c>
      <c r="Q24" s="4" t="s">
        <v>58</v>
      </c>
      <c r="R24" s="4">
        <v>0</v>
      </c>
      <c r="S24" s="6">
        <v>0</v>
      </c>
      <c r="T24" s="6">
        <v>8</v>
      </c>
      <c r="U24" s="6">
        <v>0</v>
      </c>
      <c r="V24" s="6">
        <f>IF(ISERROR(VLOOKUP($S$24,'TAR FIN'!$A$1:$O$88,15,0)),0,VLOOKUP($S$24,'TAR FIN'!$A$1:$O$88,15,0))</f>
        <v>0</v>
      </c>
      <c r="W24" s="6">
        <f>IF(ISERROR(VLOOKUP($T$24,'TAR FIN'!$A$1:$O$88,15,0)),0,VLOOKUP($T$24,'TAR FIN'!$A$1:$O$88,15,0))</f>
        <v>73.790000000000006</v>
      </c>
      <c r="X24" s="6">
        <f>IF(ISERROR(VLOOKUP($U$24,'TAR FIN'!$A$1:$O$88,15,0)),0,VLOOKUP($U$24,'TAR FIN'!$A$1:$O$88,15,0))</f>
        <v>0</v>
      </c>
      <c r="Y24" s="6"/>
      <c r="Z24" s="6">
        <f ca="1">('TUSD BE'!$AM$7+'TUSD BF_350'!$AM$7+'TUSD CVA'!$AM$7)*1</f>
        <v>83.275517807559041</v>
      </c>
      <c r="AA24" s="6"/>
      <c r="AB24" s="6">
        <f>$K$24*$V$24</f>
        <v>0</v>
      </c>
      <c r="AC24" s="6">
        <f>$M$24*$W$24</f>
        <v>124091.97889000001</v>
      </c>
      <c r="AD24" s="6">
        <f>$O$24*$X$24</f>
        <v>0</v>
      </c>
      <c r="AE24" s="6">
        <f>$K$24*$Y$24</f>
        <v>0</v>
      </c>
      <c r="AF24" s="6">
        <f ca="1">$M$24*$Z$24</f>
        <v>140043.68881731178</v>
      </c>
      <c r="AG24" s="6">
        <f>$O$24*$AA$24</f>
        <v>0</v>
      </c>
    </row>
    <row r="25" spans="1:33" ht="11.25" customHeight="1" x14ac:dyDescent="0.25">
      <c r="A25" s="4" t="s">
        <v>55</v>
      </c>
      <c r="B25" s="4" t="s">
        <v>38</v>
      </c>
      <c r="C25" s="4" t="s">
        <v>56</v>
      </c>
      <c r="D25" s="4" t="s">
        <v>37</v>
      </c>
      <c r="E25" s="4" t="s">
        <v>25</v>
      </c>
      <c r="F25" s="4" t="s">
        <v>57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3363.3820000000001</v>
      </c>
      <c r="M25" s="6">
        <v>1681.691</v>
      </c>
      <c r="N25" s="6">
        <v>0</v>
      </c>
      <c r="O25" s="6">
        <v>0</v>
      </c>
      <c r="P25" s="6">
        <v>6</v>
      </c>
      <c r="Q25" s="4" t="s">
        <v>58</v>
      </c>
      <c r="R25" s="4">
        <v>0</v>
      </c>
      <c r="S25" s="6">
        <v>0</v>
      </c>
      <c r="T25" s="6">
        <v>8</v>
      </c>
      <c r="U25" s="6">
        <v>0</v>
      </c>
      <c r="V25" s="6">
        <f>IF(ISERROR(VLOOKUP($S$25,'TAR FIN'!$A$1:$O$88,15,0)),0,VLOOKUP($S$25,'TAR FIN'!$A$1:$O$88,15,0))</f>
        <v>0</v>
      </c>
      <c r="W25" s="6">
        <f>IF(ISERROR(VLOOKUP($T$25,'TAR FIN'!$A$1:$O$88,15,0)),0,VLOOKUP($T$25,'TAR FIN'!$A$1:$O$88,15,0))</f>
        <v>73.790000000000006</v>
      </c>
      <c r="X25" s="6">
        <f>IF(ISERROR(VLOOKUP($U$25,'TAR FIN'!$A$1:$O$88,15,0)),0,VLOOKUP($U$25,'TAR FIN'!$A$1:$O$88,15,0))</f>
        <v>0</v>
      </c>
      <c r="Y25" s="6"/>
      <c r="Z25" s="6">
        <f ca="1">('TUSD BE'!$AM$7+'TUSD BF_350'!$AM$7+'TUSD CVA'!$AM$7)*1</f>
        <v>83.275517807559041</v>
      </c>
      <c r="AA25" s="6"/>
      <c r="AB25" s="6">
        <f>$K$25*$V$25</f>
        <v>0</v>
      </c>
      <c r="AC25" s="6">
        <f>$M$25*$W$25</f>
        <v>124091.97889000001</v>
      </c>
      <c r="AD25" s="6">
        <f>$O$25*$X$25</f>
        <v>0</v>
      </c>
      <c r="AE25" s="6">
        <f>$K$25*$Y$25</f>
        <v>0</v>
      </c>
      <c r="AF25" s="6">
        <f ca="1">$M$25*$Z$25</f>
        <v>140043.68881731178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38</v>
      </c>
      <c r="C26" s="4" t="s">
        <v>56</v>
      </c>
      <c r="D26" s="4" t="s">
        <v>37</v>
      </c>
      <c r="E26" s="4" t="s">
        <v>25</v>
      </c>
      <c r="F26" s="4" t="s">
        <v>57</v>
      </c>
      <c r="G26" s="4" t="s">
        <v>25</v>
      </c>
      <c r="H26" s="4" t="s">
        <v>33</v>
      </c>
      <c r="I26" s="5">
        <v>44409</v>
      </c>
      <c r="J26" s="6">
        <v>3350</v>
      </c>
      <c r="K26" s="6">
        <v>1675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58</v>
      </c>
      <c r="R26" s="4">
        <v>0</v>
      </c>
      <c r="S26" s="6">
        <v>2</v>
      </c>
      <c r="T26" s="6">
        <v>0</v>
      </c>
      <c r="U26" s="6">
        <v>0</v>
      </c>
      <c r="V26" s="6">
        <f>IF(ISERROR(VLOOKUP($S$26,'TAR FIN'!$A$1:$O$88,15,0)),0,VLOOKUP($S$26,'TAR FIN'!$A$1:$O$88,15,0))</f>
        <v>50.05</v>
      </c>
      <c r="W26" s="6">
        <f>IF(ISERROR(VLOOKUP($T$26,'TAR FIN'!$A$1:$O$88,15,0)),0,VLOOKUP($T$26,'TAR FIN'!$A$1:$O$88,15,0))</f>
        <v>0</v>
      </c>
      <c r="X26" s="6">
        <f>IF(ISERROR(VLOOKUP($U$26,'TAR FIN'!$A$1:$O$88,15,0)),0,VLOOKUP($U$26,'TAR FIN'!$A$1:$O$88,15,0))</f>
        <v>0</v>
      </c>
      <c r="Y26" s="6">
        <f ca="1">('TUSD BE'!$AM$5+'TUSD BF_350'!$AM$5+'TUSD CVA'!$AM$5)*1</f>
        <v>39.785437301566063</v>
      </c>
      <c r="Z26" s="6">
        <f ca="1">('TUSD BE'!$AM$7+'TUSD BF_350'!$AM$7+'TUSD CVA'!$AM$7)*1</f>
        <v>83.275517807559041</v>
      </c>
      <c r="AA26" s="6"/>
      <c r="AB26" s="6">
        <f>$K$26*$V$26</f>
        <v>83833.75</v>
      </c>
      <c r="AC26" s="6">
        <f>$M$26*$W$26</f>
        <v>0</v>
      </c>
      <c r="AD26" s="6">
        <f>$O$26*$X$26</f>
        <v>0</v>
      </c>
      <c r="AE26" s="6">
        <f ca="1">$K$26*$Y$26</f>
        <v>66640.607480123159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38</v>
      </c>
      <c r="C27" s="4" t="s">
        <v>56</v>
      </c>
      <c r="D27" s="4" t="s">
        <v>37</v>
      </c>
      <c r="E27" s="4" t="s">
        <v>25</v>
      </c>
      <c r="F27" s="4" t="s">
        <v>57</v>
      </c>
      <c r="G27" s="4" t="s">
        <v>25</v>
      </c>
      <c r="H27" s="4" t="s">
        <v>33</v>
      </c>
      <c r="I27" s="5">
        <v>44440</v>
      </c>
      <c r="J27" s="6">
        <v>3350</v>
      </c>
      <c r="K27" s="6">
        <v>1675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58</v>
      </c>
      <c r="R27" s="4">
        <v>0</v>
      </c>
      <c r="S27" s="6">
        <v>2</v>
      </c>
      <c r="T27" s="6">
        <v>0</v>
      </c>
      <c r="U27" s="6">
        <v>0</v>
      </c>
      <c r="V27" s="6">
        <f>IF(ISERROR(VLOOKUP($S$27,'TAR FIN'!$A$1:$O$88,15,0)),0,VLOOKUP($S$27,'TAR FIN'!$A$1:$O$88,15,0))</f>
        <v>50.05</v>
      </c>
      <c r="W27" s="6">
        <f>IF(ISERROR(VLOOKUP($T$27,'TAR FIN'!$A$1:$O$88,15,0)),0,VLOOKUP($T$27,'TAR FIN'!$A$1:$O$88,15,0))</f>
        <v>0</v>
      </c>
      <c r="X27" s="6">
        <f>IF(ISERROR(VLOOKUP($U$27,'TAR FIN'!$A$1:$O$88,15,0)),0,VLOOKUP($U$27,'TAR FIN'!$A$1:$O$88,15,0))</f>
        <v>0</v>
      </c>
      <c r="Y27" s="6">
        <f ca="1">('TUSD BE'!$AM$5+'TUSD BF_350'!$AM$5+'TUSD CVA'!$AM$5)*1</f>
        <v>39.785437301566063</v>
      </c>
      <c r="Z27" s="6">
        <f ca="1">('TUSD BE'!$AM$7+'TUSD BF_350'!$AM$7+'TUSD CVA'!$AM$7)*1</f>
        <v>83.275517807559041</v>
      </c>
      <c r="AA27" s="6"/>
      <c r="AB27" s="6">
        <f>$K$27*$V$27</f>
        <v>83833.75</v>
      </c>
      <c r="AC27" s="6">
        <f>$M$27*$W$27</f>
        <v>0</v>
      </c>
      <c r="AD27" s="6">
        <f>$O$27*$X$27</f>
        <v>0</v>
      </c>
      <c r="AE27" s="6">
        <f ca="1">$K$27*$Y$27</f>
        <v>66640.607480123159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38</v>
      </c>
      <c r="C28" s="4" t="s">
        <v>56</v>
      </c>
      <c r="D28" s="4" t="s">
        <v>37</v>
      </c>
      <c r="E28" s="4" t="s">
        <v>25</v>
      </c>
      <c r="F28" s="4" t="s">
        <v>57</v>
      </c>
      <c r="G28" s="4" t="s">
        <v>25</v>
      </c>
      <c r="H28" s="4" t="s">
        <v>33</v>
      </c>
      <c r="I28" s="5">
        <v>44470</v>
      </c>
      <c r="J28" s="6">
        <v>3350</v>
      </c>
      <c r="K28" s="6">
        <v>1675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58</v>
      </c>
      <c r="R28" s="4">
        <v>0</v>
      </c>
      <c r="S28" s="6">
        <v>2</v>
      </c>
      <c r="T28" s="6">
        <v>0</v>
      </c>
      <c r="U28" s="6">
        <v>0</v>
      </c>
      <c r="V28" s="6">
        <f>IF(ISERROR(VLOOKUP($S$28,'TAR FIN'!$A$1:$O$88,15,0)),0,VLOOKUP($S$28,'TAR FIN'!$A$1:$O$88,15,0))</f>
        <v>50.05</v>
      </c>
      <c r="W28" s="6">
        <f>IF(ISERROR(VLOOKUP($T$28,'TAR FIN'!$A$1:$O$88,15,0)),0,VLOOKUP($T$28,'TAR FIN'!$A$1:$O$88,15,0))</f>
        <v>0</v>
      </c>
      <c r="X28" s="6">
        <f>IF(ISERROR(VLOOKUP($U$28,'TAR FIN'!$A$1:$O$88,15,0)),0,VLOOKUP($U$28,'TAR FIN'!$A$1:$O$88,15,0))</f>
        <v>0</v>
      </c>
      <c r="Y28" s="6">
        <f ca="1">('TUSD BE'!$AM$5+'TUSD BF_350'!$AM$5+'TUSD CVA'!$AM$5)*1</f>
        <v>39.785437301566063</v>
      </c>
      <c r="Z28" s="6">
        <f ca="1">('TUSD BE'!$AM$7+'TUSD BF_350'!$AM$7+'TUSD CVA'!$AM$7)*1</f>
        <v>83.275517807559041</v>
      </c>
      <c r="AA28" s="6"/>
      <c r="AB28" s="6">
        <f>$K$28*$V$28</f>
        <v>83833.75</v>
      </c>
      <c r="AC28" s="6">
        <f>$M$28*$W$28</f>
        <v>0</v>
      </c>
      <c r="AD28" s="6">
        <f>$O$28*$X$28</f>
        <v>0</v>
      </c>
      <c r="AE28" s="6">
        <f ca="1">$K$28*$Y$28</f>
        <v>66640.607480123159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38</v>
      </c>
      <c r="C29" s="4" t="s">
        <v>56</v>
      </c>
      <c r="D29" s="4" t="s">
        <v>37</v>
      </c>
      <c r="E29" s="4" t="s">
        <v>25</v>
      </c>
      <c r="F29" s="4" t="s">
        <v>57</v>
      </c>
      <c r="G29" s="4" t="s">
        <v>25</v>
      </c>
      <c r="H29" s="4" t="s">
        <v>33</v>
      </c>
      <c r="I29" s="5">
        <v>44501</v>
      </c>
      <c r="J29" s="6">
        <v>3350</v>
      </c>
      <c r="K29" s="6">
        <v>1675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58</v>
      </c>
      <c r="R29" s="4">
        <v>0</v>
      </c>
      <c r="S29" s="6">
        <v>2</v>
      </c>
      <c r="T29" s="6">
        <v>0</v>
      </c>
      <c r="U29" s="6">
        <v>0</v>
      </c>
      <c r="V29" s="6">
        <f>IF(ISERROR(VLOOKUP($S$29,'TAR FIN'!$A$1:$O$88,15,0)),0,VLOOKUP($S$29,'TAR FIN'!$A$1:$O$88,15,0))</f>
        <v>50.05</v>
      </c>
      <c r="W29" s="6">
        <f>IF(ISERROR(VLOOKUP($T$29,'TAR FIN'!$A$1:$O$88,15,0)),0,VLOOKUP($T$29,'TAR FIN'!$A$1:$O$88,15,0))</f>
        <v>0</v>
      </c>
      <c r="X29" s="6">
        <f>IF(ISERROR(VLOOKUP($U$29,'TAR FIN'!$A$1:$O$88,15,0)),0,VLOOKUP($U$29,'TAR FIN'!$A$1:$O$88,15,0))</f>
        <v>0</v>
      </c>
      <c r="Y29" s="6">
        <f ca="1">('TUSD BE'!$AM$5+'TUSD BF_350'!$AM$5+'TUSD CVA'!$AM$5)*1</f>
        <v>39.785437301566063</v>
      </c>
      <c r="Z29" s="6">
        <f ca="1">('TUSD BE'!$AM$7+'TUSD BF_350'!$AM$7+'TUSD CVA'!$AM$7)*1</f>
        <v>83.275517807559041</v>
      </c>
      <c r="AA29" s="6"/>
      <c r="AB29" s="6">
        <f>$K$29*$V$29</f>
        <v>83833.75</v>
      </c>
      <c r="AC29" s="6">
        <f>$M$29*$W$29</f>
        <v>0</v>
      </c>
      <c r="AD29" s="6">
        <f>$O$29*$X$29</f>
        <v>0</v>
      </c>
      <c r="AE29" s="6">
        <f ca="1">$K$29*$Y$29</f>
        <v>66640.607480123159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38</v>
      </c>
      <c r="C30" s="4" t="s">
        <v>56</v>
      </c>
      <c r="D30" s="4" t="s">
        <v>37</v>
      </c>
      <c r="E30" s="4" t="s">
        <v>25</v>
      </c>
      <c r="F30" s="4" t="s">
        <v>57</v>
      </c>
      <c r="G30" s="4" t="s">
        <v>25</v>
      </c>
      <c r="H30" s="4" t="s">
        <v>33</v>
      </c>
      <c r="I30" s="5">
        <v>44531</v>
      </c>
      <c r="J30" s="6">
        <v>3350</v>
      </c>
      <c r="K30" s="6">
        <v>1675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58</v>
      </c>
      <c r="R30" s="4">
        <v>0</v>
      </c>
      <c r="S30" s="6">
        <v>2</v>
      </c>
      <c r="T30" s="6">
        <v>0</v>
      </c>
      <c r="U30" s="6">
        <v>0</v>
      </c>
      <c r="V30" s="6">
        <f>IF(ISERROR(VLOOKUP($S$30,'TAR FIN'!$A$1:$O$88,15,0)),0,VLOOKUP($S$30,'TAR FIN'!$A$1:$O$88,15,0))</f>
        <v>50.05</v>
      </c>
      <c r="W30" s="6">
        <f>IF(ISERROR(VLOOKUP($T$30,'TAR FIN'!$A$1:$O$88,15,0)),0,VLOOKUP($T$30,'TAR FIN'!$A$1:$O$88,15,0))</f>
        <v>0</v>
      </c>
      <c r="X30" s="6">
        <f>IF(ISERROR(VLOOKUP($U$30,'TAR FIN'!$A$1:$O$88,15,0)),0,VLOOKUP($U$30,'TAR FIN'!$A$1:$O$88,15,0))</f>
        <v>0</v>
      </c>
      <c r="Y30" s="6">
        <f ca="1">('TUSD BE'!$AM$5+'TUSD BF_350'!$AM$5+'TUSD CVA'!$AM$5)*1</f>
        <v>39.785437301566063</v>
      </c>
      <c r="Z30" s="6">
        <f ca="1">('TUSD BE'!$AM$7+'TUSD BF_350'!$AM$7+'TUSD CVA'!$AM$7)*1</f>
        <v>83.275517807559041</v>
      </c>
      <c r="AA30" s="6"/>
      <c r="AB30" s="6">
        <f>$K$30*$V$30</f>
        <v>83833.75</v>
      </c>
      <c r="AC30" s="6">
        <f>$M$30*$W$30</f>
        <v>0</v>
      </c>
      <c r="AD30" s="6">
        <f>$O$30*$X$30</f>
        <v>0</v>
      </c>
      <c r="AE30" s="6">
        <f ca="1">$K$30*$Y$30</f>
        <v>66640.607480123159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38</v>
      </c>
      <c r="C31" s="4" t="s">
        <v>56</v>
      </c>
      <c r="D31" s="4" t="s">
        <v>37</v>
      </c>
      <c r="E31" s="4" t="s">
        <v>25</v>
      </c>
      <c r="F31" s="4" t="s">
        <v>57</v>
      </c>
      <c r="G31" s="4" t="s">
        <v>25</v>
      </c>
      <c r="H31" s="4" t="s">
        <v>33</v>
      </c>
      <c r="I31" s="5">
        <v>44562</v>
      </c>
      <c r="J31" s="6">
        <v>3364</v>
      </c>
      <c r="K31" s="6">
        <v>1682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58</v>
      </c>
      <c r="R31" s="4">
        <v>0</v>
      </c>
      <c r="S31" s="6">
        <v>2</v>
      </c>
      <c r="T31" s="6">
        <v>0</v>
      </c>
      <c r="U31" s="6">
        <v>0</v>
      </c>
      <c r="V31" s="6">
        <f>IF(ISERROR(VLOOKUP($S$31,'TAR FIN'!$A$1:$O$88,15,0)),0,VLOOKUP($S$31,'TAR FIN'!$A$1:$O$88,15,0))</f>
        <v>50.05</v>
      </c>
      <c r="W31" s="6">
        <f>IF(ISERROR(VLOOKUP($T$31,'TAR FIN'!$A$1:$O$88,15,0)),0,VLOOKUP($T$31,'TAR FIN'!$A$1:$O$88,15,0))</f>
        <v>0</v>
      </c>
      <c r="X31" s="6">
        <f>IF(ISERROR(VLOOKUP($U$31,'TAR FIN'!$A$1:$O$88,15,0)),0,VLOOKUP($U$31,'TAR FIN'!$A$1:$O$88,15,0))</f>
        <v>0</v>
      </c>
      <c r="Y31" s="6">
        <f ca="1">('TUSD BE'!$AM$5+'TUSD BF_350'!$AM$5+'TUSD CVA'!$AM$5)*1</f>
        <v>39.785437301566063</v>
      </c>
      <c r="Z31" s="6">
        <f ca="1">('TUSD BE'!$AM$7+'TUSD BF_350'!$AM$7+'TUSD CVA'!$AM$7)*1</f>
        <v>83.275517807559041</v>
      </c>
      <c r="AA31" s="6"/>
      <c r="AB31" s="6">
        <f>$K$31*$V$31</f>
        <v>84184.099999999991</v>
      </c>
      <c r="AC31" s="6">
        <f>$M$31*$W$31</f>
        <v>0</v>
      </c>
      <c r="AD31" s="6">
        <f>$O$31*$X$31</f>
        <v>0</v>
      </c>
      <c r="AE31" s="6">
        <f ca="1">$K$31*$Y$31</f>
        <v>66919.105541234123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38</v>
      </c>
      <c r="C32" s="4" t="s">
        <v>56</v>
      </c>
      <c r="D32" s="4" t="s">
        <v>37</v>
      </c>
      <c r="E32" s="4" t="s">
        <v>25</v>
      </c>
      <c r="F32" s="4" t="s">
        <v>57</v>
      </c>
      <c r="G32" s="4" t="s">
        <v>25</v>
      </c>
      <c r="H32" s="4" t="s">
        <v>33</v>
      </c>
      <c r="I32" s="5">
        <v>44593</v>
      </c>
      <c r="J32" s="6">
        <v>3350</v>
      </c>
      <c r="K32" s="6">
        <v>1675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58</v>
      </c>
      <c r="R32" s="4">
        <v>0</v>
      </c>
      <c r="S32" s="6">
        <v>2</v>
      </c>
      <c r="T32" s="6">
        <v>0</v>
      </c>
      <c r="U32" s="6">
        <v>0</v>
      </c>
      <c r="V32" s="6">
        <f>IF(ISERROR(VLOOKUP($S$32,'TAR FIN'!$A$1:$O$88,15,0)),0,VLOOKUP($S$32,'TAR FIN'!$A$1:$O$88,15,0))</f>
        <v>50.05</v>
      </c>
      <c r="W32" s="6">
        <f>IF(ISERROR(VLOOKUP($T$32,'TAR FIN'!$A$1:$O$88,15,0)),0,VLOOKUP($T$32,'TAR FIN'!$A$1:$O$88,15,0))</f>
        <v>0</v>
      </c>
      <c r="X32" s="6">
        <f>IF(ISERROR(VLOOKUP($U$32,'TAR FIN'!$A$1:$O$88,15,0)),0,VLOOKUP($U$32,'TAR FIN'!$A$1:$O$88,15,0))</f>
        <v>0</v>
      </c>
      <c r="Y32" s="6">
        <f ca="1">('TUSD BE'!$AM$5+'TUSD BF_350'!$AM$5+'TUSD CVA'!$AM$5)*1</f>
        <v>39.785437301566063</v>
      </c>
      <c r="Z32" s="6">
        <f ca="1">('TUSD BE'!$AM$7+'TUSD BF_350'!$AM$7+'TUSD CVA'!$AM$7)*1</f>
        <v>83.275517807559041</v>
      </c>
      <c r="AA32" s="6"/>
      <c r="AB32" s="6">
        <f>$K$32*$V$32</f>
        <v>83833.75</v>
      </c>
      <c r="AC32" s="6">
        <f>$M$32*$W$32</f>
        <v>0</v>
      </c>
      <c r="AD32" s="6">
        <f>$O$32*$X$32</f>
        <v>0</v>
      </c>
      <c r="AE32" s="6">
        <f ca="1">$K$32*$Y$32</f>
        <v>66640.607480123159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38</v>
      </c>
      <c r="C33" s="4" t="s">
        <v>56</v>
      </c>
      <c r="D33" s="4" t="s">
        <v>37</v>
      </c>
      <c r="E33" s="4" t="s">
        <v>25</v>
      </c>
      <c r="F33" s="4" t="s">
        <v>57</v>
      </c>
      <c r="G33" s="4" t="s">
        <v>25</v>
      </c>
      <c r="H33" s="4" t="s">
        <v>33</v>
      </c>
      <c r="I33" s="5">
        <v>44621</v>
      </c>
      <c r="J33" s="6">
        <v>3350</v>
      </c>
      <c r="K33" s="6">
        <v>1675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58</v>
      </c>
      <c r="R33" s="4">
        <v>0</v>
      </c>
      <c r="S33" s="6">
        <v>2</v>
      </c>
      <c r="T33" s="6">
        <v>0</v>
      </c>
      <c r="U33" s="6">
        <v>0</v>
      </c>
      <c r="V33" s="6">
        <f>IF(ISERROR(VLOOKUP($S$33,'TAR FIN'!$A$1:$O$88,15,0)),0,VLOOKUP($S$33,'TAR FIN'!$A$1:$O$88,15,0))</f>
        <v>50.05</v>
      </c>
      <c r="W33" s="6">
        <f>IF(ISERROR(VLOOKUP($T$33,'TAR FIN'!$A$1:$O$88,15,0)),0,VLOOKUP($T$33,'TAR FIN'!$A$1:$O$88,15,0))</f>
        <v>0</v>
      </c>
      <c r="X33" s="6">
        <f>IF(ISERROR(VLOOKUP($U$33,'TAR FIN'!$A$1:$O$88,15,0)),0,VLOOKUP($U$33,'TAR FIN'!$A$1:$O$88,15,0))</f>
        <v>0</v>
      </c>
      <c r="Y33" s="6">
        <f ca="1">('TUSD BE'!$AM$5+'TUSD BF_350'!$AM$5+'TUSD CVA'!$AM$5)*1</f>
        <v>39.785437301566063</v>
      </c>
      <c r="Z33" s="6">
        <f ca="1">('TUSD BE'!$AM$7+'TUSD BF_350'!$AM$7+'TUSD CVA'!$AM$7)*1</f>
        <v>83.275517807559041</v>
      </c>
      <c r="AA33" s="6"/>
      <c r="AB33" s="6">
        <f>$K$33*$V$33</f>
        <v>83833.75</v>
      </c>
      <c r="AC33" s="6">
        <f>$M$33*$W$33</f>
        <v>0</v>
      </c>
      <c r="AD33" s="6">
        <f>$O$33*$X$33</f>
        <v>0</v>
      </c>
      <c r="AE33" s="6">
        <f ca="1">$K$33*$Y$33</f>
        <v>66640.607480123159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38</v>
      </c>
      <c r="C34" s="4" t="s">
        <v>56</v>
      </c>
      <c r="D34" s="4" t="s">
        <v>37</v>
      </c>
      <c r="E34" s="4" t="s">
        <v>25</v>
      </c>
      <c r="F34" s="4" t="s">
        <v>57</v>
      </c>
      <c r="G34" s="4" t="s">
        <v>25</v>
      </c>
      <c r="H34" s="4" t="s">
        <v>33</v>
      </c>
      <c r="I34" s="5">
        <v>44652</v>
      </c>
      <c r="J34" s="6">
        <v>3398</v>
      </c>
      <c r="K34" s="6">
        <v>1699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58</v>
      </c>
      <c r="R34" s="4">
        <v>0</v>
      </c>
      <c r="S34" s="6">
        <v>2</v>
      </c>
      <c r="T34" s="6">
        <v>0</v>
      </c>
      <c r="U34" s="6">
        <v>0</v>
      </c>
      <c r="V34" s="6">
        <f>IF(ISERROR(VLOOKUP($S$34,'TAR FIN'!$A$1:$O$88,15,0)),0,VLOOKUP($S$34,'TAR FIN'!$A$1:$O$88,15,0))</f>
        <v>50.05</v>
      </c>
      <c r="W34" s="6">
        <f>IF(ISERROR(VLOOKUP($T$34,'TAR FIN'!$A$1:$O$88,15,0)),0,VLOOKUP($T$34,'TAR FIN'!$A$1:$O$88,15,0))</f>
        <v>0</v>
      </c>
      <c r="X34" s="6">
        <f>IF(ISERROR(VLOOKUP($U$34,'TAR FIN'!$A$1:$O$88,15,0)),0,VLOOKUP($U$34,'TAR FIN'!$A$1:$O$88,15,0))</f>
        <v>0</v>
      </c>
      <c r="Y34" s="6">
        <f ca="1">('TUSD BE'!$AM$5+'TUSD BF_350'!$AM$5+'TUSD CVA'!$AM$5)*1</f>
        <v>39.785437301566063</v>
      </c>
      <c r="Z34" s="6">
        <f ca="1">('TUSD BE'!$AM$7+'TUSD BF_350'!$AM$7+'TUSD CVA'!$AM$7)*1</f>
        <v>83.275517807559041</v>
      </c>
      <c r="AA34" s="6"/>
      <c r="AB34" s="6">
        <f>$K$34*$V$34</f>
        <v>85034.95</v>
      </c>
      <c r="AC34" s="6">
        <f>$M$34*$W$34</f>
        <v>0</v>
      </c>
      <c r="AD34" s="6">
        <f>$O$34*$X$34</f>
        <v>0</v>
      </c>
      <c r="AE34" s="6">
        <f ca="1">$K$34*$Y$34</f>
        <v>67595.45797536074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38</v>
      </c>
      <c r="C35" s="4" t="s">
        <v>56</v>
      </c>
      <c r="D35" s="4" t="s">
        <v>37</v>
      </c>
      <c r="E35" s="4" t="s">
        <v>25</v>
      </c>
      <c r="F35" s="4" t="s">
        <v>57</v>
      </c>
      <c r="G35" s="4" t="s">
        <v>25</v>
      </c>
      <c r="H35" s="4" t="s">
        <v>33</v>
      </c>
      <c r="I35" s="5">
        <v>44682</v>
      </c>
      <c r="J35" s="6">
        <v>3237</v>
      </c>
      <c r="K35" s="6">
        <v>1618.5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58</v>
      </c>
      <c r="R35" s="4">
        <v>0</v>
      </c>
      <c r="S35" s="6">
        <v>2</v>
      </c>
      <c r="T35" s="6">
        <v>0</v>
      </c>
      <c r="U35" s="6">
        <v>0</v>
      </c>
      <c r="V35" s="6">
        <f>IF(ISERROR(VLOOKUP($S$35,'TAR FIN'!$A$1:$O$88,15,0)),0,VLOOKUP($S$35,'TAR FIN'!$A$1:$O$88,15,0))</f>
        <v>50.05</v>
      </c>
      <c r="W35" s="6">
        <f>IF(ISERROR(VLOOKUP($T$35,'TAR FIN'!$A$1:$O$88,15,0)),0,VLOOKUP($T$35,'TAR FIN'!$A$1:$O$88,15,0))</f>
        <v>0</v>
      </c>
      <c r="X35" s="6">
        <f>IF(ISERROR(VLOOKUP($U$35,'TAR FIN'!$A$1:$O$88,15,0)),0,VLOOKUP($U$35,'TAR FIN'!$A$1:$O$88,15,0))</f>
        <v>0</v>
      </c>
      <c r="Y35" s="6">
        <f ca="1">('TUSD BE'!$AM$5+'TUSD BF_350'!$AM$5+'TUSD CVA'!$AM$5)*1</f>
        <v>39.785437301566063</v>
      </c>
      <c r="Z35" s="6">
        <f ca="1">('TUSD BE'!$AM$7+'TUSD BF_350'!$AM$7+'TUSD CVA'!$AM$7)*1</f>
        <v>83.275517807559041</v>
      </c>
      <c r="AA35" s="6"/>
      <c r="AB35" s="6">
        <f>$K$35*$V$35</f>
        <v>81005.924999999988</v>
      </c>
      <c r="AC35" s="6">
        <f>$M$35*$W$35</f>
        <v>0</v>
      </c>
      <c r="AD35" s="6">
        <f>$O$35*$X$35</f>
        <v>0</v>
      </c>
      <c r="AE35" s="6">
        <f ca="1">$K$35*$Y$35</f>
        <v>64392.730272584675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38</v>
      </c>
      <c r="C36" s="4" t="s">
        <v>56</v>
      </c>
      <c r="D36" s="4" t="s">
        <v>37</v>
      </c>
      <c r="E36" s="4" t="s">
        <v>25</v>
      </c>
      <c r="F36" s="4" t="s">
        <v>57</v>
      </c>
      <c r="G36" s="4" t="s">
        <v>25</v>
      </c>
      <c r="H36" s="4" t="s">
        <v>33</v>
      </c>
      <c r="I36" s="5">
        <v>44713</v>
      </c>
      <c r="J36" s="6">
        <v>3283</v>
      </c>
      <c r="K36" s="6">
        <v>1641.5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58</v>
      </c>
      <c r="R36" s="4">
        <v>0</v>
      </c>
      <c r="S36" s="6">
        <v>2</v>
      </c>
      <c r="T36" s="6">
        <v>0</v>
      </c>
      <c r="U36" s="6">
        <v>0</v>
      </c>
      <c r="V36" s="6">
        <f>IF(ISERROR(VLOOKUP($S$36,'TAR FIN'!$A$1:$O$88,15,0)),0,VLOOKUP($S$36,'TAR FIN'!$A$1:$O$88,15,0))</f>
        <v>50.05</v>
      </c>
      <c r="W36" s="6">
        <f>IF(ISERROR(VLOOKUP($T$36,'TAR FIN'!$A$1:$O$88,15,0)),0,VLOOKUP($T$36,'TAR FIN'!$A$1:$O$88,15,0))</f>
        <v>0</v>
      </c>
      <c r="X36" s="6">
        <f>IF(ISERROR(VLOOKUP($U$36,'TAR FIN'!$A$1:$O$88,15,0)),0,VLOOKUP($U$36,'TAR FIN'!$A$1:$O$88,15,0))</f>
        <v>0</v>
      </c>
      <c r="Y36" s="6">
        <f ca="1">('TUSD BE'!$AM$5+'TUSD BF_350'!$AM$5+'TUSD CVA'!$AM$5)*1</f>
        <v>39.785437301566063</v>
      </c>
      <c r="Z36" s="6">
        <f ca="1">('TUSD BE'!$AM$7+'TUSD BF_350'!$AM$7+'TUSD CVA'!$AM$7)*1</f>
        <v>83.275517807559041</v>
      </c>
      <c r="AA36" s="6"/>
      <c r="AB36" s="6">
        <f>$K$36*$V$36</f>
        <v>82157.074999999997</v>
      </c>
      <c r="AC36" s="6">
        <f>$M$36*$W$36</f>
        <v>0</v>
      </c>
      <c r="AD36" s="6">
        <f>$O$36*$X$36</f>
        <v>0</v>
      </c>
      <c r="AE36" s="6">
        <f ca="1">$K$36*$Y$36</f>
        <v>65307.79533052069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55</v>
      </c>
      <c r="B37" s="4" t="s">
        <v>38</v>
      </c>
      <c r="C37" s="4" t="s">
        <v>56</v>
      </c>
      <c r="D37" s="4" t="s">
        <v>37</v>
      </c>
      <c r="E37" s="4" t="s">
        <v>25</v>
      </c>
      <c r="F37" s="4" t="s">
        <v>57</v>
      </c>
      <c r="G37" s="4" t="s">
        <v>25</v>
      </c>
      <c r="H37" s="4" t="s">
        <v>33</v>
      </c>
      <c r="I37" s="5">
        <v>44743</v>
      </c>
      <c r="J37" s="6">
        <v>3283</v>
      </c>
      <c r="K37" s="6">
        <v>1641.5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58</v>
      </c>
      <c r="R37" s="4">
        <v>0</v>
      </c>
      <c r="S37" s="6">
        <v>2</v>
      </c>
      <c r="T37" s="6">
        <v>0</v>
      </c>
      <c r="U37" s="6">
        <v>0</v>
      </c>
      <c r="V37" s="6">
        <f>IF(ISERROR(VLOOKUP($S$37,'TAR FIN'!$A$1:$O$88,15,0)),0,VLOOKUP($S$37,'TAR FIN'!$A$1:$O$88,15,0))</f>
        <v>50.05</v>
      </c>
      <c r="W37" s="6">
        <f>IF(ISERROR(VLOOKUP($T$37,'TAR FIN'!$A$1:$O$88,15,0)),0,VLOOKUP($T$37,'TAR FIN'!$A$1:$O$88,15,0))</f>
        <v>0</v>
      </c>
      <c r="X37" s="6">
        <f>IF(ISERROR(VLOOKUP($U$37,'TAR FIN'!$A$1:$O$88,15,0)),0,VLOOKUP($U$37,'TAR FIN'!$A$1:$O$88,15,0))</f>
        <v>0</v>
      </c>
      <c r="Y37" s="6">
        <f ca="1">('TUSD BE'!$AM$5+'TUSD BF_350'!$AM$5+'TUSD CVA'!$AM$5)*1</f>
        <v>39.785437301566063</v>
      </c>
      <c r="Z37" s="6">
        <f ca="1">('TUSD BE'!$AM$7+'TUSD BF_350'!$AM$7+'TUSD CVA'!$AM$7)*1</f>
        <v>83.275517807559041</v>
      </c>
      <c r="AA37" s="6"/>
      <c r="AB37" s="6">
        <f>$K$37*$V$37</f>
        <v>82157.074999999997</v>
      </c>
      <c r="AC37" s="6">
        <f>$M$37*$W$37</f>
        <v>0</v>
      </c>
      <c r="AD37" s="6">
        <f>$O$37*$X$37</f>
        <v>0</v>
      </c>
      <c r="AE37" s="6">
        <f ca="1">$K$37*$Y$37</f>
        <v>65307.79533052069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38</v>
      </c>
      <c r="C38" s="4" t="s">
        <v>39</v>
      </c>
      <c r="D38" s="4" t="s">
        <v>40</v>
      </c>
      <c r="E38" s="4" t="s">
        <v>25</v>
      </c>
      <c r="F38" s="4" t="s">
        <v>25</v>
      </c>
      <c r="G38" s="4" t="s">
        <v>25</v>
      </c>
      <c r="H38" s="4" t="s">
        <v>34</v>
      </c>
      <c r="I38" s="5">
        <v>44409</v>
      </c>
      <c r="J38" s="6">
        <v>0</v>
      </c>
      <c r="K38" s="6">
        <v>0</v>
      </c>
      <c r="L38" s="6">
        <v>214.33199999999999</v>
      </c>
      <c r="M38" s="6">
        <v>214.33199999999999</v>
      </c>
      <c r="N38" s="6">
        <v>214.33199999999999</v>
      </c>
      <c r="O38" s="6">
        <v>214.33199999999999</v>
      </c>
      <c r="P38" s="6">
        <v>0</v>
      </c>
      <c r="Q38" s="4" t="s">
        <v>26</v>
      </c>
      <c r="R38" s="4">
        <v>0</v>
      </c>
      <c r="S38" s="6">
        <v>0</v>
      </c>
      <c r="T38" s="6">
        <v>21</v>
      </c>
      <c r="U38" s="6">
        <v>70</v>
      </c>
      <c r="V38" s="6">
        <f>IF(ISERROR(VLOOKUP($S$38,'TAR FIN'!$A$1:$O$88,15,0)),0,VLOOKUP($S$38,'TAR FIN'!$A$1:$O$88,15,0))</f>
        <v>0</v>
      </c>
      <c r="W38" s="6">
        <f>IF(ISERROR(VLOOKUP($T$38,'TAR FIN'!$A$1:$O$88,15,0)),0,VLOOKUP($T$38,'TAR FIN'!$A$1:$O$88,15,0))</f>
        <v>73.790000000000006</v>
      </c>
      <c r="X38" s="6">
        <f>IF(ISERROR(VLOOKUP($U$38,'TAR FIN'!$A$1:$O$88,15,0)),0,VLOOKUP($U$38,'TAR FIN'!$A$1:$O$88,15,0))</f>
        <v>266.70999999999998</v>
      </c>
      <c r="Y38" s="6"/>
      <c r="Z38" s="6">
        <f ca="1">('TUSD BE'!$AM$12+'TUSD BF_350'!$AM$12+'TUSD CVA'!$AM$12)*1</f>
        <v>83.275517807559041</v>
      </c>
      <c r="AA38" s="6">
        <f ca="1">('TE BE'!$AB$6+'TE BF_350'!$AB$6+'TE CVA'!$AB$6)*1</f>
        <v>197.6895725142987</v>
      </c>
      <c r="AB38" s="6">
        <f>$K$38*$V$38</f>
        <v>0</v>
      </c>
      <c r="AC38" s="6">
        <f>$M$38*$W$38</f>
        <v>15815.558280000001</v>
      </c>
      <c r="AD38" s="6">
        <f>$O$38*$X$38</f>
        <v>57164.487719999997</v>
      </c>
      <c r="AE38" s="6">
        <f>$K$38*$Y$38</f>
        <v>0</v>
      </c>
      <c r="AF38" s="6">
        <f ca="1">$M$38*$Z$38</f>
        <v>17848.608282729743</v>
      </c>
      <c r="AG38" s="6">
        <f ca="1">$O$38*$AA$38</f>
        <v>42371.201456134666</v>
      </c>
    </row>
    <row r="39" spans="1:33" ht="11.25" customHeight="1" x14ac:dyDescent="0.25">
      <c r="A39" s="4" t="s">
        <v>21</v>
      </c>
      <c r="B39" s="4" t="s">
        <v>38</v>
      </c>
      <c r="C39" s="4" t="s">
        <v>39</v>
      </c>
      <c r="D39" s="4" t="s">
        <v>40</v>
      </c>
      <c r="E39" s="4" t="s">
        <v>25</v>
      </c>
      <c r="F39" s="4" t="s">
        <v>25</v>
      </c>
      <c r="G39" s="4" t="s">
        <v>25</v>
      </c>
      <c r="H39" s="4" t="s">
        <v>34</v>
      </c>
      <c r="I39" s="5">
        <v>44440</v>
      </c>
      <c r="J39" s="6">
        <v>0</v>
      </c>
      <c r="K39" s="6">
        <v>0</v>
      </c>
      <c r="L39" s="6">
        <v>189.839</v>
      </c>
      <c r="M39" s="6">
        <v>189.839</v>
      </c>
      <c r="N39" s="6">
        <v>189.839</v>
      </c>
      <c r="O39" s="6">
        <v>189.839</v>
      </c>
      <c r="P39" s="6">
        <v>0</v>
      </c>
      <c r="Q39" s="4" t="s">
        <v>26</v>
      </c>
      <c r="R39" s="4">
        <v>0</v>
      </c>
      <c r="S39" s="6">
        <v>0</v>
      </c>
      <c r="T39" s="6">
        <v>21</v>
      </c>
      <c r="U39" s="6">
        <v>70</v>
      </c>
      <c r="V39" s="6">
        <f>IF(ISERROR(VLOOKUP($S$39,'TAR FIN'!$A$1:$O$88,15,0)),0,VLOOKUP($S$39,'TAR FIN'!$A$1:$O$88,15,0))</f>
        <v>0</v>
      </c>
      <c r="W39" s="6">
        <f>IF(ISERROR(VLOOKUP($T$39,'TAR FIN'!$A$1:$O$88,15,0)),0,VLOOKUP($T$39,'TAR FIN'!$A$1:$O$88,15,0))</f>
        <v>73.790000000000006</v>
      </c>
      <c r="X39" s="6">
        <f>IF(ISERROR(VLOOKUP($U$39,'TAR FIN'!$A$1:$O$88,15,0)),0,VLOOKUP($U$39,'TAR FIN'!$A$1:$O$88,15,0))</f>
        <v>266.70999999999998</v>
      </c>
      <c r="Y39" s="6"/>
      <c r="Z39" s="6">
        <f ca="1">('TUSD BE'!$AM$12+'TUSD BF_350'!$AM$12+'TUSD CVA'!$AM$12)*1</f>
        <v>83.275517807559041</v>
      </c>
      <c r="AA39" s="6">
        <f ca="1">('TE BE'!$AB$6+'TE BF_350'!$AB$6+'TE CVA'!$AB$6)*1</f>
        <v>197.6895725142987</v>
      </c>
      <c r="AB39" s="6">
        <f>$K$39*$V$39</f>
        <v>0</v>
      </c>
      <c r="AC39" s="6">
        <f>$M$39*$W$39</f>
        <v>14008.219810000001</v>
      </c>
      <c r="AD39" s="6">
        <f>$O$39*$X$39</f>
        <v>50631.959689999996</v>
      </c>
      <c r="AE39" s="6">
        <f>$K$39*$Y$39</f>
        <v>0</v>
      </c>
      <c r="AF39" s="6">
        <f ca="1">$M$39*$Z$39</f>
        <v>15808.9410250692</v>
      </c>
      <c r="AG39" s="6">
        <f ca="1">$O$39*$AA$39</f>
        <v>37529.190756541953</v>
      </c>
    </row>
    <row r="40" spans="1:33" ht="11.25" customHeight="1" x14ac:dyDescent="0.25">
      <c r="A40" s="4" t="s">
        <v>21</v>
      </c>
      <c r="B40" s="4" t="s">
        <v>38</v>
      </c>
      <c r="C40" s="4" t="s">
        <v>39</v>
      </c>
      <c r="D40" s="4" t="s">
        <v>40</v>
      </c>
      <c r="E40" s="4" t="s">
        <v>25</v>
      </c>
      <c r="F40" s="4" t="s">
        <v>25</v>
      </c>
      <c r="G40" s="4" t="s">
        <v>25</v>
      </c>
      <c r="H40" s="4" t="s">
        <v>34</v>
      </c>
      <c r="I40" s="5">
        <v>44470</v>
      </c>
      <c r="J40" s="6">
        <v>0</v>
      </c>
      <c r="K40" s="6">
        <v>0</v>
      </c>
      <c r="L40" s="6">
        <v>270.11</v>
      </c>
      <c r="M40" s="6">
        <v>270.11</v>
      </c>
      <c r="N40" s="6">
        <v>270.11</v>
      </c>
      <c r="O40" s="6">
        <v>270.11</v>
      </c>
      <c r="P40" s="6">
        <v>0</v>
      </c>
      <c r="Q40" s="4" t="s">
        <v>26</v>
      </c>
      <c r="R40" s="4">
        <v>0</v>
      </c>
      <c r="S40" s="6">
        <v>0</v>
      </c>
      <c r="T40" s="6">
        <v>21</v>
      </c>
      <c r="U40" s="6">
        <v>70</v>
      </c>
      <c r="V40" s="6">
        <f>IF(ISERROR(VLOOKUP($S$40,'TAR FIN'!$A$1:$O$88,15,0)),0,VLOOKUP($S$40,'TAR FIN'!$A$1:$O$88,15,0))</f>
        <v>0</v>
      </c>
      <c r="W40" s="6">
        <f>IF(ISERROR(VLOOKUP($T$40,'TAR FIN'!$A$1:$O$88,15,0)),0,VLOOKUP($T$40,'TAR FIN'!$A$1:$O$88,15,0))</f>
        <v>73.790000000000006</v>
      </c>
      <c r="X40" s="6">
        <f>IF(ISERROR(VLOOKUP($U$40,'TAR FIN'!$A$1:$O$88,15,0)),0,VLOOKUP($U$40,'TAR FIN'!$A$1:$O$88,15,0))</f>
        <v>266.70999999999998</v>
      </c>
      <c r="Y40" s="6"/>
      <c r="Z40" s="6">
        <f ca="1">('TUSD BE'!$AM$12+'TUSD BF_350'!$AM$12+'TUSD CVA'!$AM$12)*1</f>
        <v>83.275517807559041</v>
      </c>
      <c r="AA40" s="6">
        <f ca="1">('TE BE'!$AB$6+'TE BF_350'!$AB$6+'TE CVA'!$AB$6)*1</f>
        <v>197.6895725142987</v>
      </c>
      <c r="AB40" s="6">
        <f>$K$40*$V$40</f>
        <v>0</v>
      </c>
      <c r="AC40" s="6">
        <f>$M$40*$W$40</f>
        <v>19931.416900000004</v>
      </c>
      <c r="AD40" s="6">
        <f>$O$40*$X$40</f>
        <v>72041.038100000005</v>
      </c>
      <c r="AE40" s="6">
        <f>$K$40*$Y$40</f>
        <v>0</v>
      </c>
      <c r="AF40" s="6">
        <f ca="1">$M$40*$Z$40</f>
        <v>22493.550114999773</v>
      </c>
      <c r="AG40" s="6">
        <f ca="1">$O$40*$AA$40</f>
        <v>53397.930431837223</v>
      </c>
    </row>
    <row r="41" spans="1:33" ht="11.25" customHeight="1" x14ac:dyDescent="0.25">
      <c r="A41" s="4" t="s">
        <v>21</v>
      </c>
      <c r="B41" s="4" t="s">
        <v>38</v>
      </c>
      <c r="C41" s="4" t="s">
        <v>39</v>
      </c>
      <c r="D41" s="4" t="s">
        <v>40</v>
      </c>
      <c r="E41" s="4" t="s">
        <v>25</v>
      </c>
      <c r="F41" s="4" t="s">
        <v>25</v>
      </c>
      <c r="G41" s="4" t="s">
        <v>25</v>
      </c>
      <c r="H41" s="4" t="s">
        <v>34</v>
      </c>
      <c r="I41" s="5">
        <v>44501</v>
      </c>
      <c r="J41" s="6">
        <v>0</v>
      </c>
      <c r="K41" s="6">
        <v>0</v>
      </c>
      <c r="L41" s="6">
        <v>267.45999999999998</v>
      </c>
      <c r="M41" s="6">
        <v>267.45999999999998</v>
      </c>
      <c r="N41" s="6">
        <v>267.45999999999998</v>
      </c>
      <c r="O41" s="6">
        <v>267.45999999999998</v>
      </c>
      <c r="P41" s="6">
        <v>0</v>
      </c>
      <c r="Q41" s="4" t="s">
        <v>26</v>
      </c>
      <c r="R41" s="4">
        <v>0</v>
      </c>
      <c r="S41" s="6">
        <v>0</v>
      </c>
      <c r="T41" s="6">
        <v>21</v>
      </c>
      <c r="U41" s="6">
        <v>70</v>
      </c>
      <c r="V41" s="6">
        <f>IF(ISERROR(VLOOKUP($S$41,'TAR FIN'!$A$1:$O$88,15,0)),0,VLOOKUP($S$41,'TAR FIN'!$A$1:$O$88,15,0))</f>
        <v>0</v>
      </c>
      <c r="W41" s="6">
        <f>IF(ISERROR(VLOOKUP($T$41,'TAR FIN'!$A$1:$O$88,15,0)),0,VLOOKUP($T$41,'TAR FIN'!$A$1:$O$88,15,0))</f>
        <v>73.790000000000006</v>
      </c>
      <c r="X41" s="6">
        <f>IF(ISERROR(VLOOKUP($U$41,'TAR FIN'!$A$1:$O$88,15,0)),0,VLOOKUP($U$41,'TAR FIN'!$A$1:$O$88,15,0))</f>
        <v>266.70999999999998</v>
      </c>
      <c r="Y41" s="6"/>
      <c r="Z41" s="6">
        <f ca="1">('TUSD BE'!$AM$12+'TUSD BF_350'!$AM$12+'TUSD CVA'!$AM$12)*1</f>
        <v>83.275517807559041</v>
      </c>
      <c r="AA41" s="6">
        <f ca="1">('TE BE'!$AB$6+'TE BF_350'!$AB$6+'TE CVA'!$AB$6)*1</f>
        <v>197.6895725142987</v>
      </c>
      <c r="AB41" s="6">
        <f>$K$41*$V$41</f>
        <v>0</v>
      </c>
      <c r="AC41" s="6">
        <f>$M$41*$W$41</f>
        <v>19735.8734</v>
      </c>
      <c r="AD41" s="6">
        <f>$O$41*$X$41</f>
        <v>71334.256599999993</v>
      </c>
      <c r="AE41" s="6">
        <f>$K$41*$Y$41</f>
        <v>0</v>
      </c>
      <c r="AF41" s="6">
        <f ca="1">$M$41*$Z$41</f>
        <v>22272.869992809738</v>
      </c>
      <c r="AG41" s="6">
        <f ca="1">$O$41*$AA$41</f>
        <v>52874.053064674328</v>
      </c>
    </row>
    <row r="42" spans="1:33" ht="11.25" customHeight="1" x14ac:dyDescent="0.25">
      <c r="A42" s="4" t="s">
        <v>21</v>
      </c>
      <c r="B42" s="4" t="s">
        <v>38</v>
      </c>
      <c r="C42" s="4" t="s">
        <v>39</v>
      </c>
      <c r="D42" s="4" t="s">
        <v>40</v>
      </c>
      <c r="E42" s="4" t="s">
        <v>25</v>
      </c>
      <c r="F42" s="4" t="s">
        <v>25</v>
      </c>
      <c r="G42" s="4" t="s">
        <v>25</v>
      </c>
      <c r="H42" s="4" t="s">
        <v>34</v>
      </c>
      <c r="I42" s="5">
        <v>44531</v>
      </c>
      <c r="J42" s="6">
        <v>0</v>
      </c>
      <c r="K42" s="6">
        <v>0</v>
      </c>
      <c r="L42" s="6">
        <v>240.125</v>
      </c>
      <c r="M42" s="6">
        <v>240.125</v>
      </c>
      <c r="N42" s="6">
        <v>240.125</v>
      </c>
      <c r="O42" s="6">
        <v>240.125</v>
      </c>
      <c r="P42" s="6">
        <v>0</v>
      </c>
      <c r="Q42" s="4" t="s">
        <v>26</v>
      </c>
      <c r="R42" s="4">
        <v>0</v>
      </c>
      <c r="S42" s="6">
        <v>0</v>
      </c>
      <c r="T42" s="6">
        <v>21</v>
      </c>
      <c r="U42" s="6">
        <v>70</v>
      </c>
      <c r="V42" s="6">
        <f>IF(ISERROR(VLOOKUP($S$42,'TAR FIN'!$A$1:$O$88,15,0)),0,VLOOKUP($S$42,'TAR FIN'!$A$1:$O$88,15,0))</f>
        <v>0</v>
      </c>
      <c r="W42" s="6">
        <f>IF(ISERROR(VLOOKUP($T$42,'TAR FIN'!$A$1:$O$88,15,0)),0,VLOOKUP($T$42,'TAR FIN'!$A$1:$O$88,15,0))</f>
        <v>73.790000000000006</v>
      </c>
      <c r="X42" s="6">
        <f>IF(ISERROR(VLOOKUP($U$42,'TAR FIN'!$A$1:$O$88,15,0)),0,VLOOKUP($U$42,'TAR FIN'!$A$1:$O$88,15,0))</f>
        <v>266.70999999999998</v>
      </c>
      <c r="Y42" s="6"/>
      <c r="Z42" s="6">
        <f ca="1">('TUSD BE'!$AM$12+'TUSD BF_350'!$AM$12+'TUSD CVA'!$AM$12)*1</f>
        <v>83.275517807559041</v>
      </c>
      <c r="AA42" s="6">
        <f ca="1">('TE BE'!$AB$6+'TE BF_350'!$AB$6+'TE CVA'!$AB$6)*1</f>
        <v>197.6895725142987</v>
      </c>
      <c r="AB42" s="6">
        <f>$K$42*$V$42</f>
        <v>0</v>
      </c>
      <c r="AC42" s="6">
        <f>$M$42*$W$42</f>
        <v>17718.823750000003</v>
      </c>
      <c r="AD42" s="6">
        <f>$O$42*$X$42</f>
        <v>64043.738749999997</v>
      </c>
      <c r="AE42" s="6">
        <f>$K$42*$Y$42</f>
        <v>0</v>
      </c>
      <c r="AF42" s="6">
        <f ca="1">$M$42*$Z$42</f>
        <v>19996.533713540113</v>
      </c>
      <c r="AG42" s="6">
        <f ca="1">$O$42*$AA$42</f>
        <v>47470.208599995975</v>
      </c>
    </row>
    <row r="43" spans="1:33" ht="11.25" customHeight="1" x14ac:dyDescent="0.25">
      <c r="A43" s="4" t="s">
        <v>21</v>
      </c>
      <c r="B43" s="4" t="s">
        <v>38</v>
      </c>
      <c r="C43" s="4" t="s">
        <v>39</v>
      </c>
      <c r="D43" s="4" t="s">
        <v>40</v>
      </c>
      <c r="E43" s="4" t="s">
        <v>25</v>
      </c>
      <c r="F43" s="4" t="s">
        <v>25</v>
      </c>
      <c r="G43" s="4" t="s">
        <v>25</v>
      </c>
      <c r="H43" s="4" t="s">
        <v>34</v>
      </c>
      <c r="I43" s="5">
        <v>44562</v>
      </c>
      <c r="J43" s="6">
        <v>0</v>
      </c>
      <c r="K43" s="6">
        <v>0</v>
      </c>
      <c r="L43" s="6">
        <v>232.13399999999999</v>
      </c>
      <c r="M43" s="6">
        <v>232.13399999999999</v>
      </c>
      <c r="N43" s="6">
        <v>232.13399999999999</v>
      </c>
      <c r="O43" s="6">
        <v>232.13399999999999</v>
      </c>
      <c r="P43" s="6">
        <v>0</v>
      </c>
      <c r="Q43" s="4" t="s">
        <v>26</v>
      </c>
      <c r="R43" s="4">
        <v>0</v>
      </c>
      <c r="S43" s="6">
        <v>0</v>
      </c>
      <c r="T43" s="6">
        <v>21</v>
      </c>
      <c r="U43" s="6">
        <v>70</v>
      </c>
      <c r="V43" s="6">
        <f>IF(ISERROR(VLOOKUP($S$43,'TAR FIN'!$A$1:$O$88,15,0)),0,VLOOKUP($S$43,'TAR FIN'!$A$1:$O$88,15,0))</f>
        <v>0</v>
      </c>
      <c r="W43" s="6">
        <f>IF(ISERROR(VLOOKUP($T$43,'TAR FIN'!$A$1:$O$88,15,0)),0,VLOOKUP($T$43,'TAR FIN'!$A$1:$O$88,15,0))</f>
        <v>73.790000000000006</v>
      </c>
      <c r="X43" s="6">
        <f>IF(ISERROR(VLOOKUP($U$43,'TAR FIN'!$A$1:$O$88,15,0)),0,VLOOKUP($U$43,'TAR FIN'!$A$1:$O$88,15,0))</f>
        <v>266.70999999999998</v>
      </c>
      <c r="Y43" s="6"/>
      <c r="Z43" s="6">
        <f ca="1">('TUSD BE'!$AM$12+'TUSD BF_350'!$AM$12+'TUSD CVA'!$AM$12)*1</f>
        <v>83.275517807559041</v>
      </c>
      <c r="AA43" s="6">
        <f ca="1">('TE BE'!$AB$6+'TE BF_350'!$AB$6+'TE CVA'!$AB$6)*1</f>
        <v>197.6895725142987</v>
      </c>
      <c r="AB43" s="6">
        <f>$K$43*$V$43</f>
        <v>0</v>
      </c>
      <c r="AC43" s="6">
        <f>$M$43*$W$43</f>
        <v>17129.167860000001</v>
      </c>
      <c r="AD43" s="6">
        <f>$O$43*$X$43</f>
        <v>61912.459139999992</v>
      </c>
      <c r="AE43" s="6">
        <f>$K$43*$Y$43</f>
        <v>0</v>
      </c>
      <c r="AF43" s="6">
        <f ca="1">$M$43*$Z$43</f>
        <v>19331.079050739911</v>
      </c>
      <c r="AG43" s="6">
        <f ca="1">$O$43*$AA$43</f>
        <v>45890.471226034213</v>
      </c>
    </row>
    <row r="44" spans="1:33" ht="11.25" customHeight="1" x14ac:dyDescent="0.25">
      <c r="A44" s="4" t="s">
        <v>21</v>
      </c>
      <c r="B44" s="4" t="s">
        <v>38</v>
      </c>
      <c r="C44" s="4" t="s">
        <v>39</v>
      </c>
      <c r="D44" s="4" t="s">
        <v>40</v>
      </c>
      <c r="E44" s="4" t="s">
        <v>25</v>
      </c>
      <c r="F44" s="4" t="s">
        <v>25</v>
      </c>
      <c r="G44" s="4" t="s">
        <v>25</v>
      </c>
      <c r="H44" s="4" t="s">
        <v>34</v>
      </c>
      <c r="I44" s="5">
        <v>44593</v>
      </c>
      <c r="J44" s="6">
        <v>0</v>
      </c>
      <c r="K44" s="6">
        <v>0</v>
      </c>
      <c r="L44" s="6">
        <v>262.23099999999999</v>
      </c>
      <c r="M44" s="6">
        <v>262.23099999999999</v>
      </c>
      <c r="N44" s="6">
        <v>262.23099999999999</v>
      </c>
      <c r="O44" s="6">
        <v>262.23099999999999</v>
      </c>
      <c r="P44" s="6">
        <v>0</v>
      </c>
      <c r="Q44" s="4" t="s">
        <v>26</v>
      </c>
      <c r="R44" s="4">
        <v>0</v>
      </c>
      <c r="S44" s="6">
        <v>0</v>
      </c>
      <c r="T44" s="6">
        <v>21</v>
      </c>
      <c r="U44" s="6">
        <v>70</v>
      </c>
      <c r="V44" s="6">
        <f>IF(ISERROR(VLOOKUP($S$44,'TAR FIN'!$A$1:$O$88,15,0)),0,VLOOKUP($S$44,'TAR FIN'!$A$1:$O$88,15,0))</f>
        <v>0</v>
      </c>
      <c r="W44" s="6">
        <f>IF(ISERROR(VLOOKUP($T$44,'TAR FIN'!$A$1:$O$88,15,0)),0,VLOOKUP($T$44,'TAR FIN'!$A$1:$O$88,15,0))</f>
        <v>73.790000000000006</v>
      </c>
      <c r="X44" s="6">
        <f>IF(ISERROR(VLOOKUP($U$44,'TAR FIN'!$A$1:$O$88,15,0)),0,VLOOKUP($U$44,'TAR FIN'!$A$1:$O$88,15,0))</f>
        <v>266.70999999999998</v>
      </c>
      <c r="Y44" s="6"/>
      <c r="Z44" s="6">
        <f ca="1">('TUSD BE'!$AM$12+'TUSD BF_350'!$AM$12+'TUSD CVA'!$AM$12)*1</f>
        <v>83.275517807559041</v>
      </c>
      <c r="AA44" s="6">
        <f ca="1">('TE BE'!$AB$6+'TE BF_350'!$AB$6+'TE CVA'!$AB$6)*1</f>
        <v>197.6895725142987</v>
      </c>
      <c r="AB44" s="6">
        <f>$K$44*$V$44</f>
        <v>0</v>
      </c>
      <c r="AC44" s="6">
        <f>$M$44*$W$44</f>
        <v>19350.02549</v>
      </c>
      <c r="AD44" s="6">
        <f>$O$44*$X$44</f>
        <v>69939.630009999993</v>
      </c>
      <c r="AE44" s="6">
        <f>$K$44*$Y$44</f>
        <v>0</v>
      </c>
      <c r="AF44" s="6">
        <f ca="1">$M$44*$Z$44</f>
        <v>21837.422310194015</v>
      </c>
      <c r="AG44" s="6">
        <f ca="1">$O$44*$AA$44</f>
        <v>51840.334289997059</v>
      </c>
    </row>
    <row r="45" spans="1:33" ht="11.25" customHeight="1" x14ac:dyDescent="0.25">
      <c r="A45" s="4" t="s">
        <v>21</v>
      </c>
      <c r="B45" s="4" t="s">
        <v>38</v>
      </c>
      <c r="C45" s="4" t="s">
        <v>39</v>
      </c>
      <c r="D45" s="4" t="s">
        <v>40</v>
      </c>
      <c r="E45" s="4" t="s">
        <v>25</v>
      </c>
      <c r="F45" s="4" t="s">
        <v>25</v>
      </c>
      <c r="G45" s="4" t="s">
        <v>25</v>
      </c>
      <c r="H45" s="4" t="s">
        <v>34</v>
      </c>
      <c r="I45" s="5">
        <v>44621</v>
      </c>
      <c r="J45" s="6">
        <v>0</v>
      </c>
      <c r="K45" s="6">
        <v>0</v>
      </c>
      <c r="L45" s="6">
        <v>293.43700000000001</v>
      </c>
      <c r="M45" s="6">
        <v>293.43700000000001</v>
      </c>
      <c r="N45" s="6">
        <v>293.43700000000001</v>
      </c>
      <c r="O45" s="6">
        <v>293.43700000000001</v>
      </c>
      <c r="P45" s="6">
        <v>0</v>
      </c>
      <c r="Q45" s="4" t="s">
        <v>26</v>
      </c>
      <c r="R45" s="4">
        <v>0</v>
      </c>
      <c r="S45" s="6">
        <v>0</v>
      </c>
      <c r="T45" s="6">
        <v>21</v>
      </c>
      <c r="U45" s="6">
        <v>70</v>
      </c>
      <c r="V45" s="6">
        <f>IF(ISERROR(VLOOKUP($S$45,'TAR FIN'!$A$1:$O$88,15,0)),0,VLOOKUP($S$45,'TAR FIN'!$A$1:$O$88,15,0))</f>
        <v>0</v>
      </c>
      <c r="W45" s="6">
        <f>IF(ISERROR(VLOOKUP($T$45,'TAR FIN'!$A$1:$O$88,15,0)),0,VLOOKUP($T$45,'TAR FIN'!$A$1:$O$88,15,0))</f>
        <v>73.790000000000006</v>
      </c>
      <c r="X45" s="6">
        <f>IF(ISERROR(VLOOKUP($U$45,'TAR FIN'!$A$1:$O$88,15,0)),0,VLOOKUP($U$45,'TAR FIN'!$A$1:$O$88,15,0))</f>
        <v>266.70999999999998</v>
      </c>
      <c r="Y45" s="6"/>
      <c r="Z45" s="6">
        <f ca="1">('TUSD BE'!$AM$12+'TUSD BF_350'!$AM$12+'TUSD CVA'!$AM$12)*1</f>
        <v>83.275517807559041</v>
      </c>
      <c r="AA45" s="6">
        <f ca="1">('TE BE'!$AB$6+'TE BF_350'!$AB$6+'TE CVA'!$AB$6)*1</f>
        <v>197.6895725142987</v>
      </c>
      <c r="AB45" s="6">
        <f>$K$45*$V$45</f>
        <v>0</v>
      </c>
      <c r="AC45" s="6">
        <f>$M$45*$W$45</f>
        <v>21652.716230000002</v>
      </c>
      <c r="AD45" s="6">
        <f>$O$45*$X$45</f>
        <v>78262.582269999999</v>
      </c>
      <c r="AE45" s="6">
        <f>$K$45*$Y$45</f>
        <v>0</v>
      </c>
      <c r="AF45" s="6">
        <f ca="1">$M$45*$Z$45</f>
        <v>24436.118118896702</v>
      </c>
      <c r="AG45" s="6">
        <f ca="1">$O$45*$AA$45</f>
        <v>58009.435089878272</v>
      </c>
    </row>
    <row r="46" spans="1:33" ht="11.25" customHeight="1" x14ac:dyDescent="0.25">
      <c r="A46" s="4" t="s">
        <v>21</v>
      </c>
      <c r="B46" s="4" t="s">
        <v>38</v>
      </c>
      <c r="C46" s="4" t="s">
        <v>39</v>
      </c>
      <c r="D46" s="4" t="s">
        <v>40</v>
      </c>
      <c r="E46" s="4" t="s">
        <v>25</v>
      </c>
      <c r="F46" s="4" t="s">
        <v>25</v>
      </c>
      <c r="G46" s="4" t="s">
        <v>25</v>
      </c>
      <c r="H46" s="4" t="s">
        <v>34</v>
      </c>
      <c r="I46" s="5">
        <v>44652</v>
      </c>
      <c r="J46" s="6">
        <v>0</v>
      </c>
      <c r="K46" s="6">
        <v>0</v>
      </c>
      <c r="L46" s="6">
        <v>227.185</v>
      </c>
      <c r="M46" s="6">
        <v>227.185</v>
      </c>
      <c r="N46" s="6">
        <v>227.185</v>
      </c>
      <c r="O46" s="6">
        <v>227.185</v>
      </c>
      <c r="P46" s="6">
        <v>0</v>
      </c>
      <c r="Q46" s="4" t="s">
        <v>26</v>
      </c>
      <c r="R46" s="4">
        <v>0</v>
      </c>
      <c r="S46" s="6">
        <v>0</v>
      </c>
      <c r="T46" s="6">
        <v>21</v>
      </c>
      <c r="U46" s="6">
        <v>70</v>
      </c>
      <c r="V46" s="6">
        <f>IF(ISERROR(VLOOKUP($S$46,'TAR FIN'!$A$1:$O$88,15,0)),0,VLOOKUP($S$46,'TAR FIN'!$A$1:$O$88,15,0))</f>
        <v>0</v>
      </c>
      <c r="W46" s="6">
        <f>IF(ISERROR(VLOOKUP($T$46,'TAR FIN'!$A$1:$O$88,15,0)),0,VLOOKUP($T$46,'TAR FIN'!$A$1:$O$88,15,0))</f>
        <v>73.790000000000006</v>
      </c>
      <c r="X46" s="6">
        <f>IF(ISERROR(VLOOKUP($U$46,'TAR FIN'!$A$1:$O$88,15,0)),0,VLOOKUP($U$46,'TAR FIN'!$A$1:$O$88,15,0))</f>
        <v>266.70999999999998</v>
      </c>
      <c r="Y46" s="6"/>
      <c r="Z46" s="6">
        <f ca="1">('TUSD BE'!$AM$12+'TUSD BF_350'!$AM$12+'TUSD CVA'!$AM$12)*1</f>
        <v>83.275517807559041</v>
      </c>
      <c r="AA46" s="6">
        <f ca="1">('TE BE'!$AB$6+'TE BF_350'!$AB$6+'TE CVA'!$AB$6)*1</f>
        <v>197.6895725142987</v>
      </c>
      <c r="AB46" s="6">
        <f>$K$46*$V$46</f>
        <v>0</v>
      </c>
      <c r="AC46" s="6">
        <f>$M$46*$W$46</f>
        <v>16763.981150000003</v>
      </c>
      <c r="AD46" s="6">
        <f>$O$46*$X$46</f>
        <v>60592.511349999993</v>
      </c>
      <c r="AE46" s="6">
        <f>$K$46*$Y$46</f>
        <v>0</v>
      </c>
      <c r="AF46" s="6">
        <f ca="1">$M$46*$Z$46</f>
        <v>18918.948513110299</v>
      </c>
      <c r="AG46" s="6">
        <f ca="1">$O$46*$AA$46</f>
        <v>44912.105531660949</v>
      </c>
    </row>
    <row r="47" spans="1:33" ht="11.25" customHeight="1" x14ac:dyDescent="0.25">
      <c r="A47" s="4" t="s">
        <v>21</v>
      </c>
      <c r="B47" s="4" t="s">
        <v>38</v>
      </c>
      <c r="C47" s="4" t="s">
        <v>39</v>
      </c>
      <c r="D47" s="4" t="s">
        <v>40</v>
      </c>
      <c r="E47" s="4" t="s">
        <v>25</v>
      </c>
      <c r="F47" s="4" t="s">
        <v>25</v>
      </c>
      <c r="G47" s="4" t="s">
        <v>25</v>
      </c>
      <c r="H47" s="4" t="s">
        <v>34</v>
      </c>
      <c r="I47" s="5">
        <v>44682</v>
      </c>
      <c r="J47" s="6">
        <v>0</v>
      </c>
      <c r="K47" s="6">
        <v>0</v>
      </c>
      <c r="L47" s="6">
        <v>200.93700000000001</v>
      </c>
      <c r="M47" s="6">
        <v>200.93700000000001</v>
      </c>
      <c r="N47" s="6">
        <v>200.93700000000001</v>
      </c>
      <c r="O47" s="6">
        <v>200.93700000000001</v>
      </c>
      <c r="P47" s="6">
        <v>0</v>
      </c>
      <c r="Q47" s="4" t="s">
        <v>26</v>
      </c>
      <c r="R47" s="4">
        <v>0</v>
      </c>
      <c r="S47" s="6">
        <v>0</v>
      </c>
      <c r="T47" s="6">
        <v>21</v>
      </c>
      <c r="U47" s="6">
        <v>70</v>
      </c>
      <c r="V47" s="6">
        <f>IF(ISERROR(VLOOKUP($S$47,'TAR FIN'!$A$1:$O$88,15,0)),0,VLOOKUP($S$47,'TAR FIN'!$A$1:$O$88,15,0))</f>
        <v>0</v>
      </c>
      <c r="W47" s="6">
        <f>IF(ISERROR(VLOOKUP($T$47,'TAR FIN'!$A$1:$O$88,15,0)),0,VLOOKUP($T$47,'TAR FIN'!$A$1:$O$88,15,0))</f>
        <v>73.790000000000006</v>
      </c>
      <c r="X47" s="6">
        <f>IF(ISERROR(VLOOKUP($U$47,'TAR FIN'!$A$1:$O$88,15,0)),0,VLOOKUP($U$47,'TAR FIN'!$A$1:$O$88,15,0))</f>
        <v>266.70999999999998</v>
      </c>
      <c r="Y47" s="6"/>
      <c r="Z47" s="6">
        <f ca="1">('TUSD BE'!$AM$12+'TUSD BF_350'!$AM$12+'TUSD CVA'!$AM$12)*1</f>
        <v>83.275517807559041</v>
      </c>
      <c r="AA47" s="6">
        <f ca="1">('TE BE'!$AB$6+'TE BF_350'!$AB$6+'TE CVA'!$AB$6)*1</f>
        <v>197.6895725142987</v>
      </c>
      <c r="AB47" s="6">
        <f>$K$47*$V$47</f>
        <v>0</v>
      </c>
      <c r="AC47" s="6">
        <f>$M$47*$W$47</f>
        <v>14827.141230000003</v>
      </c>
      <c r="AD47" s="6">
        <f>$O$47*$X$47</f>
        <v>53591.907269999996</v>
      </c>
      <c r="AE47" s="6">
        <f>$K$47*$Y$47</f>
        <v>0</v>
      </c>
      <c r="AF47" s="6">
        <f ca="1">$M$47*$Z$47</f>
        <v>16733.132721697493</v>
      </c>
      <c r="AG47" s="6">
        <f ca="1">$O$47*$AA$47</f>
        <v>39723.149632305642</v>
      </c>
    </row>
    <row r="48" spans="1:33" ht="11.25" customHeight="1" x14ac:dyDescent="0.25">
      <c r="A48" s="4" t="s">
        <v>21</v>
      </c>
      <c r="B48" s="4" t="s">
        <v>38</v>
      </c>
      <c r="C48" s="4" t="s">
        <v>39</v>
      </c>
      <c r="D48" s="4" t="s">
        <v>40</v>
      </c>
      <c r="E48" s="4" t="s">
        <v>25</v>
      </c>
      <c r="F48" s="4" t="s">
        <v>25</v>
      </c>
      <c r="G48" s="4" t="s">
        <v>25</v>
      </c>
      <c r="H48" s="4" t="s">
        <v>34</v>
      </c>
      <c r="I48" s="5">
        <v>44713</v>
      </c>
      <c r="J48" s="6">
        <v>0</v>
      </c>
      <c r="K48" s="6">
        <v>0</v>
      </c>
      <c r="L48" s="6">
        <v>181.31399999999999</v>
      </c>
      <c r="M48" s="6">
        <v>181.31399999999999</v>
      </c>
      <c r="N48" s="6">
        <v>181.31399999999999</v>
      </c>
      <c r="O48" s="6">
        <v>181.31399999999999</v>
      </c>
      <c r="P48" s="6">
        <v>0</v>
      </c>
      <c r="Q48" s="4" t="s">
        <v>26</v>
      </c>
      <c r="R48" s="4">
        <v>0</v>
      </c>
      <c r="S48" s="6">
        <v>0</v>
      </c>
      <c r="T48" s="6">
        <v>21</v>
      </c>
      <c r="U48" s="6">
        <v>70</v>
      </c>
      <c r="V48" s="6">
        <f>IF(ISERROR(VLOOKUP($S$48,'TAR FIN'!$A$1:$O$88,15,0)),0,VLOOKUP($S$48,'TAR FIN'!$A$1:$O$88,15,0))</f>
        <v>0</v>
      </c>
      <c r="W48" s="6">
        <f>IF(ISERROR(VLOOKUP($T$48,'TAR FIN'!$A$1:$O$88,15,0)),0,VLOOKUP($T$48,'TAR FIN'!$A$1:$O$88,15,0))</f>
        <v>73.790000000000006</v>
      </c>
      <c r="X48" s="6">
        <f>IF(ISERROR(VLOOKUP($U$48,'TAR FIN'!$A$1:$O$88,15,0)),0,VLOOKUP($U$48,'TAR FIN'!$A$1:$O$88,15,0))</f>
        <v>266.70999999999998</v>
      </c>
      <c r="Y48" s="6"/>
      <c r="Z48" s="6">
        <f ca="1">('TUSD BE'!$AM$12+'TUSD BF_350'!$AM$12+'TUSD CVA'!$AM$12)*1</f>
        <v>83.275517807559041</v>
      </c>
      <c r="AA48" s="6">
        <f ca="1">('TE BE'!$AB$6+'TE BF_350'!$AB$6+'TE CVA'!$AB$6)*1</f>
        <v>197.6895725142987</v>
      </c>
      <c r="AB48" s="6">
        <f>$K$48*$V$48</f>
        <v>0</v>
      </c>
      <c r="AC48" s="6">
        <f>$M$48*$W$48</f>
        <v>13379.16006</v>
      </c>
      <c r="AD48" s="6">
        <f>$O$48*$X$48</f>
        <v>48358.256939999992</v>
      </c>
      <c r="AE48" s="6">
        <f>$K$48*$Y$48</f>
        <v>0</v>
      </c>
      <c r="AF48" s="6">
        <f ca="1">$M$48*$Z$48</f>
        <v>15099.017235759758</v>
      </c>
      <c r="AG48" s="6">
        <f ca="1">$O$48*$AA$48</f>
        <v>35843.887150857554</v>
      </c>
    </row>
    <row r="49" spans="1:33" ht="11.25" customHeight="1" x14ac:dyDescent="0.25">
      <c r="A49" s="4" t="s">
        <v>55</v>
      </c>
      <c r="B49" s="4" t="s">
        <v>38</v>
      </c>
      <c r="C49" s="4" t="s">
        <v>39</v>
      </c>
      <c r="D49" s="4" t="s">
        <v>40</v>
      </c>
      <c r="E49" s="4" t="s">
        <v>25</v>
      </c>
      <c r="F49" s="4" t="s">
        <v>25</v>
      </c>
      <c r="G49" s="4" t="s">
        <v>25</v>
      </c>
      <c r="H49" s="4" t="s">
        <v>34</v>
      </c>
      <c r="I49" s="5">
        <v>44743</v>
      </c>
      <c r="J49" s="6">
        <v>0</v>
      </c>
      <c r="K49" s="6">
        <v>0</v>
      </c>
      <c r="L49" s="6">
        <v>181.31399999999999</v>
      </c>
      <c r="M49" s="6">
        <v>181.31399999999999</v>
      </c>
      <c r="N49" s="6">
        <v>181.31399999999999</v>
      </c>
      <c r="O49" s="6">
        <v>181.31399999999999</v>
      </c>
      <c r="P49" s="6">
        <v>0</v>
      </c>
      <c r="Q49" s="4" t="s">
        <v>26</v>
      </c>
      <c r="R49" s="4">
        <v>0</v>
      </c>
      <c r="S49" s="6">
        <v>0</v>
      </c>
      <c r="T49" s="6">
        <v>21</v>
      </c>
      <c r="U49" s="6">
        <v>70</v>
      </c>
      <c r="V49" s="6">
        <f>IF(ISERROR(VLOOKUP($S$49,'TAR FIN'!$A$1:$O$88,15,0)),0,VLOOKUP($S$49,'TAR FIN'!$A$1:$O$88,15,0))</f>
        <v>0</v>
      </c>
      <c r="W49" s="6">
        <f>IF(ISERROR(VLOOKUP($T$49,'TAR FIN'!$A$1:$O$88,15,0)),0,VLOOKUP($T$49,'TAR FIN'!$A$1:$O$88,15,0))</f>
        <v>73.790000000000006</v>
      </c>
      <c r="X49" s="6">
        <f>IF(ISERROR(VLOOKUP($U$49,'TAR FIN'!$A$1:$O$88,15,0)),0,VLOOKUP($U$49,'TAR FIN'!$A$1:$O$88,15,0))</f>
        <v>266.70999999999998</v>
      </c>
      <c r="Y49" s="6"/>
      <c r="Z49" s="6">
        <f ca="1">('TUSD BE'!$AM$12+'TUSD BF_350'!$AM$12+'TUSD CVA'!$AM$12)*1</f>
        <v>83.275517807559041</v>
      </c>
      <c r="AA49" s="6">
        <f ca="1">('TE BE'!$AB$6+'TE BF_350'!$AB$6+'TE CVA'!$AB$6)*1</f>
        <v>197.6895725142987</v>
      </c>
      <c r="AB49" s="6">
        <f>$K$49*$V$49</f>
        <v>0</v>
      </c>
      <c r="AC49" s="6">
        <f>$M$49*$W$49</f>
        <v>13379.16006</v>
      </c>
      <c r="AD49" s="6">
        <f>$O$49*$X$49</f>
        <v>48358.256939999992</v>
      </c>
      <c r="AE49" s="6">
        <f>$K$49*$Y$49</f>
        <v>0</v>
      </c>
      <c r="AF49" s="6">
        <f ca="1">$M$49*$Z$49</f>
        <v>15099.017235759758</v>
      </c>
      <c r="AG49" s="6">
        <f ca="1">$O$49*$AA$49</f>
        <v>35843.887150857554</v>
      </c>
    </row>
    <row r="50" spans="1:33" ht="11.25" customHeight="1" x14ac:dyDescent="0.25">
      <c r="A50" s="4" t="s">
        <v>21</v>
      </c>
      <c r="B50" s="4" t="s">
        <v>38</v>
      </c>
      <c r="C50" s="4" t="s">
        <v>39</v>
      </c>
      <c r="D50" s="4" t="s">
        <v>40</v>
      </c>
      <c r="E50" s="4" t="s">
        <v>25</v>
      </c>
      <c r="F50" s="4" t="s">
        <v>25</v>
      </c>
      <c r="G50" s="4" t="s">
        <v>25</v>
      </c>
      <c r="H50" s="4" t="s">
        <v>25</v>
      </c>
      <c r="I50" s="5">
        <v>44409</v>
      </c>
      <c r="J50" s="6">
        <v>957</v>
      </c>
      <c r="K50" s="6">
        <v>957</v>
      </c>
      <c r="L50" s="6">
        <v>0</v>
      </c>
      <c r="M50" s="6">
        <v>0</v>
      </c>
      <c r="N50" s="6">
        <v>0</v>
      </c>
      <c r="O50" s="6">
        <v>0</v>
      </c>
      <c r="P50" s="6">
        <v>9</v>
      </c>
      <c r="Q50" s="4" t="s">
        <v>26</v>
      </c>
      <c r="R50" s="4">
        <v>0</v>
      </c>
      <c r="S50" s="6">
        <v>15</v>
      </c>
      <c r="T50" s="6">
        <v>0</v>
      </c>
      <c r="U50" s="6">
        <v>0</v>
      </c>
      <c r="V50" s="6">
        <f>IF(ISERROR(VLOOKUP($S$50,'TAR FIN'!$A$1:$O$88,15,0)),0,VLOOKUP($S$50,'TAR FIN'!$A$1:$O$88,15,0))</f>
        <v>17.190000000000001</v>
      </c>
      <c r="W50" s="6">
        <f>IF(ISERROR(VLOOKUP($T$50,'TAR FIN'!$A$1:$O$88,15,0)),0,VLOOKUP($T$50,'TAR FIN'!$A$1:$O$88,15,0))</f>
        <v>0</v>
      </c>
      <c r="X50" s="6">
        <f>IF(ISERROR(VLOOKUP($U$50,'TAR FIN'!$A$1:$O$88,15,0)),0,VLOOKUP($U$50,'TAR FIN'!$A$1:$O$88,15,0))</f>
        <v>0</v>
      </c>
      <c r="Y50" s="6">
        <f ca="1">('TUSD BE'!$AM$10+'TUSD BF_350'!$AM$10+'TUSD CVA'!$AM$10)*1</f>
        <v>13.66046481326768</v>
      </c>
      <c r="Z50" s="6"/>
      <c r="AA50" s="6"/>
      <c r="AB50" s="6">
        <f>$K$50*$V$50</f>
        <v>16450.830000000002</v>
      </c>
      <c r="AC50" s="6">
        <f>$M$50*$W$50</f>
        <v>0</v>
      </c>
      <c r="AD50" s="6">
        <f>$O$50*$X$50</f>
        <v>0</v>
      </c>
      <c r="AE50" s="6">
        <f ca="1">$K$50*$Y$50</f>
        <v>13073.06482629717</v>
      </c>
      <c r="AF50" s="6">
        <f>$M$50*$Z$50</f>
        <v>0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38</v>
      </c>
      <c r="C51" s="4" t="s">
        <v>39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25</v>
      </c>
      <c r="I51" s="5">
        <v>44440</v>
      </c>
      <c r="J51" s="6">
        <v>955</v>
      </c>
      <c r="K51" s="6">
        <v>955</v>
      </c>
      <c r="L51" s="6">
        <v>0</v>
      </c>
      <c r="M51" s="6">
        <v>0</v>
      </c>
      <c r="N51" s="6">
        <v>0</v>
      </c>
      <c r="O51" s="6">
        <v>0</v>
      </c>
      <c r="P51" s="6">
        <v>9</v>
      </c>
      <c r="Q51" s="4" t="s">
        <v>26</v>
      </c>
      <c r="R51" s="4">
        <v>0</v>
      </c>
      <c r="S51" s="6">
        <v>15</v>
      </c>
      <c r="T51" s="6">
        <v>0</v>
      </c>
      <c r="U51" s="6">
        <v>0</v>
      </c>
      <c r="V51" s="6">
        <f>IF(ISERROR(VLOOKUP($S$51,'TAR FIN'!$A$1:$O$88,15,0)),0,VLOOKUP($S$51,'TAR FIN'!$A$1:$O$88,15,0))</f>
        <v>17.190000000000001</v>
      </c>
      <c r="W51" s="6">
        <f>IF(ISERROR(VLOOKUP($T$51,'TAR FIN'!$A$1:$O$88,15,0)),0,VLOOKUP($T$51,'TAR FIN'!$A$1:$O$88,15,0))</f>
        <v>0</v>
      </c>
      <c r="X51" s="6">
        <f>IF(ISERROR(VLOOKUP($U$51,'TAR FIN'!$A$1:$O$88,15,0)),0,VLOOKUP($U$51,'TAR FIN'!$A$1:$O$88,15,0))</f>
        <v>0</v>
      </c>
      <c r="Y51" s="6">
        <f ca="1">('TUSD BE'!$AM$10+'TUSD BF_350'!$AM$10+'TUSD CVA'!$AM$10)*1</f>
        <v>13.66046481326768</v>
      </c>
      <c r="Z51" s="6"/>
      <c r="AA51" s="6"/>
      <c r="AB51" s="6">
        <f>$K$51*$V$51</f>
        <v>16416.45</v>
      </c>
      <c r="AC51" s="6">
        <f>$M$51*$W$51</f>
        <v>0</v>
      </c>
      <c r="AD51" s="6">
        <f>$O$51*$X$51</f>
        <v>0</v>
      </c>
      <c r="AE51" s="6">
        <f ca="1">$K$51*$Y$51</f>
        <v>13045.743896670634</v>
      </c>
      <c r="AF51" s="6">
        <f>$M$51*$Z$51</f>
        <v>0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38</v>
      </c>
      <c r="C52" s="4" t="s">
        <v>39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25</v>
      </c>
      <c r="I52" s="5">
        <v>44470</v>
      </c>
      <c r="J52" s="6">
        <v>1196</v>
      </c>
      <c r="K52" s="6">
        <v>1196</v>
      </c>
      <c r="L52" s="6">
        <v>0</v>
      </c>
      <c r="M52" s="6">
        <v>0</v>
      </c>
      <c r="N52" s="6">
        <v>0</v>
      </c>
      <c r="O52" s="6">
        <v>0</v>
      </c>
      <c r="P52" s="6">
        <v>9</v>
      </c>
      <c r="Q52" s="4" t="s">
        <v>26</v>
      </c>
      <c r="R52" s="4">
        <v>0</v>
      </c>
      <c r="S52" s="6">
        <v>15</v>
      </c>
      <c r="T52" s="6">
        <v>0</v>
      </c>
      <c r="U52" s="6">
        <v>0</v>
      </c>
      <c r="V52" s="6">
        <f>IF(ISERROR(VLOOKUP($S$52,'TAR FIN'!$A$1:$O$88,15,0)),0,VLOOKUP($S$52,'TAR FIN'!$A$1:$O$88,15,0))</f>
        <v>17.190000000000001</v>
      </c>
      <c r="W52" s="6">
        <f>IF(ISERROR(VLOOKUP($T$52,'TAR FIN'!$A$1:$O$88,15,0)),0,VLOOKUP($T$52,'TAR FIN'!$A$1:$O$88,15,0))</f>
        <v>0</v>
      </c>
      <c r="X52" s="6">
        <f>IF(ISERROR(VLOOKUP($U$52,'TAR FIN'!$A$1:$O$88,15,0)),0,VLOOKUP($U$52,'TAR FIN'!$A$1:$O$88,15,0))</f>
        <v>0</v>
      </c>
      <c r="Y52" s="6">
        <f ca="1">('TUSD BE'!$AM$10+'TUSD BF_350'!$AM$10+'TUSD CVA'!$AM$10)*1</f>
        <v>13.66046481326768</v>
      </c>
      <c r="Z52" s="6"/>
      <c r="AA52" s="6"/>
      <c r="AB52" s="6">
        <f>$K$52*$V$52</f>
        <v>20559.240000000002</v>
      </c>
      <c r="AC52" s="6">
        <f>$M$52*$W$52</f>
        <v>0</v>
      </c>
      <c r="AD52" s="6">
        <f>$O$52*$X$52</f>
        <v>0</v>
      </c>
      <c r="AE52" s="6">
        <f ca="1">$K$52*$Y$52</f>
        <v>16337.915916668146</v>
      </c>
      <c r="AF52" s="6">
        <f>$M$52*$Z$52</f>
        <v>0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38</v>
      </c>
      <c r="C53" s="4" t="s">
        <v>39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25</v>
      </c>
      <c r="I53" s="5">
        <v>44501</v>
      </c>
      <c r="J53" s="6">
        <v>1105</v>
      </c>
      <c r="K53" s="6">
        <v>1105</v>
      </c>
      <c r="L53" s="6">
        <v>0</v>
      </c>
      <c r="M53" s="6">
        <v>0</v>
      </c>
      <c r="N53" s="6">
        <v>0</v>
      </c>
      <c r="O53" s="6">
        <v>0</v>
      </c>
      <c r="P53" s="6">
        <v>9</v>
      </c>
      <c r="Q53" s="4" t="s">
        <v>26</v>
      </c>
      <c r="R53" s="4">
        <v>0</v>
      </c>
      <c r="S53" s="6">
        <v>15</v>
      </c>
      <c r="T53" s="6">
        <v>0</v>
      </c>
      <c r="U53" s="6">
        <v>0</v>
      </c>
      <c r="V53" s="6">
        <f>IF(ISERROR(VLOOKUP($S$53,'TAR FIN'!$A$1:$O$88,15,0)),0,VLOOKUP($S$53,'TAR FIN'!$A$1:$O$88,15,0))</f>
        <v>17.190000000000001</v>
      </c>
      <c r="W53" s="6">
        <f>IF(ISERROR(VLOOKUP($T$53,'TAR FIN'!$A$1:$O$88,15,0)),0,VLOOKUP($T$53,'TAR FIN'!$A$1:$O$88,15,0))</f>
        <v>0</v>
      </c>
      <c r="X53" s="6">
        <f>IF(ISERROR(VLOOKUP($U$53,'TAR FIN'!$A$1:$O$88,15,0)),0,VLOOKUP($U$53,'TAR FIN'!$A$1:$O$88,15,0))</f>
        <v>0</v>
      </c>
      <c r="Y53" s="6">
        <f ca="1">('TUSD BE'!$AM$10+'TUSD BF_350'!$AM$10+'TUSD CVA'!$AM$10)*1</f>
        <v>13.66046481326768</v>
      </c>
      <c r="Z53" s="6"/>
      <c r="AA53" s="6"/>
      <c r="AB53" s="6">
        <f>$K$53*$V$53</f>
        <v>18994.95</v>
      </c>
      <c r="AC53" s="6">
        <f>$M$53*$W$53</f>
        <v>0</v>
      </c>
      <c r="AD53" s="6">
        <f>$O$53*$X$53</f>
        <v>0</v>
      </c>
      <c r="AE53" s="6">
        <f ca="1">$K$53*$Y$53</f>
        <v>15094.813618660786</v>
      </c>
      <c r="AF53" s="6">
        <f>$M$53*$Z$53</f>
        <v>0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38</v>
      </c>
      <c r="C54" s="4" t="s">
        <v>39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25</v>
      </c>
      <c r="I54" s="5">
        <v>44531</v>
      </c>
      <c r="J54" s="6">
        <v>1006</v>
      </c>
      <c r="K54" s="6">
        <v>1006</v>
      </c>
      <c r="L54" s="6">
        <v>0</v>
      </c>
      <c r="M54" s="6">
        <v>0</v>
      </c>
      <c r="N54" s="6">
        <v>0</v>
      </c>
      <c r="O54" s="6">
        <v>0</v>
      </c>
      <c r="P54" s="6">
        <v>9</v>
      </c>
      <c r="Q54" s="4" t="s">
        <v>26</v>
      </c>
      <c r="R54" s="4">
        <v>0</v>
      </c>
      <c r="S54" s="6">
        <v>15</v>
      </c>
      <c r="T54" s="6">
        <v>0</v>
      </c>
      <c r="U54" s="6">
        <v>0</v>
      </c>
      <c r="V54" s="6">
        <f>IF(ISERROR(VLOOKUP($S$54,'TAR FIN'!$A$1:$O$88,15,0)),0,VLOOKUP($S$54,'TAR FIN'!$A$1:$O$88,15,0))</f>
        <v>17.190000000000001</v>
      </c>
      <c r="W54" s="6">
        <f>IF(ISERROR(VLOOKUP($T$54,'TAR FIN'!$A$1:$O$88,15,0)),0,VLOOKUP($T$54,'TAR FIN'!$A$1:$O$88,15,0))</f>
        <v>0</v>
      </c>
      <c r="X54" s="6">
        <f>IF(ISERROR(VLOOKUP($U$54,'TAR FIN'!$A$1:$O$88,15,0)),0,VLOOKUP($U$54,'TAR FIN'!$A$1:$O$88,15,0))</f>
        <v>0</v>
      </c>
      <c r="Y54" s="6">
        <f ca="1">('TUSD BE'!$AM$10+'TUSD BF_350'!$AM$10+'TUSD CVA'!$AM$10)*1</f>
        <v>13.66046481326768</v>
      </c>
      <c r="Z54" s="6"/>
      <c r="AA54" s="6"/>
      <c r="AB54" s="6">
        <f>$K$54*$V$54</f>
        <v>17293.140000000003</v>
      </c>
      <c r="AC54" s="6">
        <f>$M$54*$W$54</f>
        <v>0</v>
      </c>
      <c r="AD54" s="6">
        <f>$O$54*$X$54</f>
        <v>0</v>
      </c>
      <c r="AE54" s="6">
        <f ca="1">$K$54*$Y$54</f>
        <v>13742.427602147287</v>
      </c>
      <c r="AF54" s="6">
        <f>$M$54*$Z$54</f>
        <v>0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38</v>
      </c>
      <c r="C55" s="4" t="s">
        <v>39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25</v>
      </c>
      <c r="I55" s="5">
        <v>44562</v>
      </c>
      <c r="J55" s="6">
        <v>1017</v>
      </c>
      <c r="K55" s="6">
        <v>1017</v>
      </c>
      <c r="L55" s="6">
        <v>0</v>
      </c>
      <c r="M55" s="6">
        <v>0</v>
      </c>
      <c r="N55" s="6">
        <v>0</v>
      </c>
      <c r="O55" s="6">
        <v>0</v>
      </c>
      <c r="P55" s="6">
        <v>9</v>
      </c>
      <c r="Q55" s="4" t="s">
        <v>26</v>
      </c>
      <c r="R55" s="4">
        <v>0</v>
      </c>
      <c r="S55" s="6">
        <v>15</v>
      </c>
      <c r="T55" s="6">
        <v>0</v>
      </c>
      <c r="U55" s="6">
        <v>0</v>
      </c>
      <c r="V55" s="6">
        <f>IF(ISERROR(VLOOKUP($S$55,'TAR FIN'!$A$1:$O$88,15,0)),0,VLOOKUP($S$55,'TAR FIN'!$A$1:$O$88,15,0))</f>
        <v>17.190000000000001</v>
      </c>
      <c r="W55" s="6">
        <f>IF(ISERROR(VLOOKUP($T$55,'TAR FIN'!$A$1:$O$88,15,0)),0,VLOOKUP($T$55,'TAR FIN'!$A$1:$O$88,15,0))</f>
        <v>0</v>
      </c>
      <c r="X55" s="6">
        <f>IF(ISERROR(VLOOKUP($U$55,'TAR FIN'!$A$1:$O$88,15,0)),0,VLOOKUP($U$55,'TAR FIN'!$A$1:$O$88,15,0))</f>
        <v>0</v>
      </c>
      <c r="Y55" s="6">
        <f ca="1">('TUSD BE'!$AM$10+'TUSD BF_350'!$AM$10+'TUSD CVA'!$AM$10)*1</f>
        <v>13.66046481326768</v>
      </c>
      <c r="Z55" s="6"/>
      <c r="AA55" s="6"/>
      <c r="AB55" s="6">
        <f>$K$55*$V$55</f>
        <v>17482.23</v>
      </c>
      <c r="AC55" s="6">
        <f>$M$55*$W$55</f>
        <v>0</v>
      </c>
      <c r="AD55" s="6">
        <f>$O$55*$X$55</f>
        <v>0</v>
      </c>
      <c r="AE55" s="6">
        <f ca="1">$K$55*$Y$55</f>
        <v>13892.69271509323</v>
      </c>
      <c r="AF55" s="6">
        <f>$M$55*$Z$55</f>
        <v>0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38</v>
      </c>
      <c r="C56" s="4" t="s">
        <v>39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25</v>
      </c>
      <c r="I56" s="5">
        <v>44593</v>
      </c>
      <c r="J56" s="6">
        <v>1181</v>
      </c>
      <c r="K56" s="6">
        <v>1181</v>
      </c>
      <c r="L56" s="6">
        <v>0</v>
      </c>
      <c r="M56" s="6">
        <v>0</v>
      </c>
      <c r="N56" s="6">
        <v>0</v>
      </c>
      <c r="O56" s="6">
        <v>0</v>
      </c>
      <c r="P56" s="6">
        <v>9</v>
      </c>
      <c r="Q56" s="4" t="s">
        <v>26</v>
      </c>
      <c r="R56" s="4">
        <v>0</v>
      </c>
      <c r="S56" s="6">
        <v>15</v>
      </c>
      <c r="T56" s="6">
        <v>0</v>
      </c>
      <c r="U56" s="6">
        <v>0</v>
      </c>
      <c r="V56" s="6">
        <f>IF(ISERROR(VLOOKUP($S$56,'TAR FIN'!$A$1:$O$88,15,0)),0,VLOOKUP($S$56,'TAR FIN'!$A$1:$O$88,15,0))</f>
        <v>17.190000000000001</v>
      </c>
      <c r="W56" s="6">
        <f>IF(ISERROR(VLOOKUP($T$56,'TAR FIN'!$A$1:$O$88,15,0)),0,VLOOKUP($T$56,'TAR FIN'!$A$1:$O$88,15,0))</f>
        <v>0</v>
      </c>
      <c r="X56" s="6">
        <f>IF(ISERROR(VLOOKUP($U$56,'TAR FIN'!$A$1:$O$88,15,0)),0,VLOOKUP($U$56,'TAR FIN'!$A$1:$O$88,15,0))</f>
        <v>0</v>
      </c>
      <c r="Y56" s="6">
        <f ca="1">('TUSD BE'!$AM$10+'TUSD BF_350'!$AM$10+'TUSD CVA'!$AM$10)*1</f>
        <v>13.66046481326768</v>
      </c>
      <c r="Z56" s="6"/>
      <c r="AA56" s="6"/>
      <c r="AB56" s="6">
        <f>$K$56*$V$56</f>
        <v>20301.390000000003</v>
      </c>
      <c r="AC56" s="6">
        <f>$M$56*$W$56</f>
        <v>0</v>
      </c>
      <c r="AD56" s="6">
        <f>$O$56*$X$56</f>
        <v>0</v>
      </c>
      <c r="AE56" s="6">
        <f ca="1">$K$56*$Y$56</f>
        <v>16133.008944469129</v>
      </c>
      <c r="AF56" s="6">
        <f>$M$56*$Z$56</f>
        <v>0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38</v>
      </c>
      <c r="C57" s="4" t="s">
        <v>39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25</v>
      </c>
      <c r="I57" s="5">
        <v>44621</v>
      </c>
      <c r="J57" s="6">
        <v>1171</v>
      </c>
      <c r="K57" s="6">
        <v>1171</v>
      </c>
      <c r="L57" s="6">
        <v>0</v>
      </c>
      <c r="M57" s="6">
        <v>0</v>
      </c>
      <c r="N57" s="6">
        <v>0</v>
      </c>
      <c r="O57" s="6">
        <v>0</v>
      </c>
      <c r="P57" s="6">
        <v>8</v>
      </c>
      <c r="Q57" s="4" t="s">
        <v>26</v>
      </c>
      <c r="R57" s="4">
        <v>0</v>
      </c>
      <c r="S57" s="6">
        <v>15</v>
      </c>
      <c r="T57" s="6">
        <v>0</v>
      </c>
      <c r="U57" s="6">
        <v>0</v>
      </c>
      <c r="V57" s="6">
        <f>IF(ISERROR(VLOOKUP($S$57,'TAR FIN'!$A$1:$O$88,15,0)),0,VLOOKUP($S$57,'TAR FIN'!$A$1:$O$88,15,0))</f>
        <v>17.190000000000001</v>
      </c>
      <c r="W57" s="6">
        <f>IF(ISERROR(VLOOKUP($T$57,'TAR FIN'!$A$1:$O$88,15,0)),0,VLOOKUP($T$57,'TAR FIN'!$A$1:$O$88,15,0))</f>
        <v>0</v>
      </c>
      <c r="X57" s="6">
        <f>IF(ISERROR(VLOOKUP($U$57,'TAR FIN'!$A$1:$O$88,15,0)),0,VLOOKUP($U$57,'TAR FIN'!$A$1:$O$88,15,0))</f>
        <v>0</v>
      </c>
      <c r="Y57" s="6">
        <f ca="1">('TUSD BE'!$AM$10+'TUSD BF_350'!$AM$10+'TUSD CVA'!$AM$10)*1</f>
        <v>13.66046481326768</v>
      </c>
      <c r="Z57" s="6"/>
      <c r="AA57" s="6"/>
      <c r="AB57" s="6">
        <f>$K$57*$V$57</f>
        <v>20129.490000000002</v>
      </c>
      <c r="AC57" s="6">
        <f>$M$57*$W$57</f>
        <v>0</v>
      </c>
      <c r="AD57" s="6">
        <f>$O$57*$X$57</f>
        <v>0</v>
      </c>
      <c r="AE57" s="6">
        <f ca="1">$K$57*$Y$57</f>
        <v>15996.404296336454</v>
      </c>
      <c r="AF57" s="6">
        <f>$M$57*$Z$57</f>
        <v>0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38</v>
      </c>
      <c r="C58" s="4" t="s">
        <v>39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25</v>
      </c>
      <c r="I58" s="5">
        <v>44652</v>
      </c>
      <c r="J58" s="6">
        <v>1188</v>
      </c>
      <c r="K58" s="6">
        <v>1188</v>
      </c>
      <c r="L58" s="6">
        <v>0</v>
      </c>
      <c r="M58" s="6">
        <v>0</v>
      </c>
      <c r="N58" s="6">
        <v>0</v>
      </c>
      <c r="O58" s="6">
        <v>0</v>
      </c>
      <c r="P58" s="6">
        <v>8</v>
      </c>
      <c r="Q58" s="4" t="s">
        <v>26</v>
      </c>
      <c r="R58" s="4">
        <v>0</v>
      </c>
      <c r="S58" s="6">
        <v>15</v>
      </c>
      <c r="T58" s="6">
        <v>0</v>
      </c>
      <c r="U58" s="6">
        <v>0</v>
      </c>
      <c r="V58" s="6">
        <f>IF(ISERROR(VLOOKUP($S$58,'TAR FIN'!$A$1:$O$88,15,0)),0,VLOOKUP($S$58,'TAR FIN'!$A$1:$O$88,15,0))</f>
        <v>17.190000000000001</v>
      </c>
      <c r="W58" s="6">
        <f>IF(ISERROR(VLOOKUP($T$58,'TAR FIN'!$A$1:$O$88,15,0)),0,VLOOKUP($T$58,'TAR FIN'!$A$1:$O$88,15,0))</f>
        <v>0</v>
      </c>
      <c r="X58" s="6">
        <f>IF(ISERROR(VLOOKUP($U$58,'TAR FIN'!$A$1:$O$88,15,0)),0,VLOOKUP($U$58,'TAR FIN'!$A$1:$O$88,15,0))</f>
        <v>0</v>
      </c>
      <c r="Y58" s="6">
        <f ca="1">('TUSD BE'!$AM$10+'TUSD BF_350'!$AM$10+'TUSD CVA'!$AM$10)*1</f>
        <v>13.66046481326768</v>
      </c>
      <c r="Z58" s="6"/>
      <c r="AA58" s="6"/>
      <c r="AB58" s="6">
        <f>$K$58*$V$58</f>
        <v>20421.72</v>
      </c>
      <c r="AC58" s="6">
        <f>$M$58*$W$58</f>
        <v>0</v>
      </c>
      <c r="AD58" s="6">
        <f>$O$58*$X$58</f>
        <v>0</v>
      </c>
      <c r="AE58" s="6">
        <f ca="1">$K$58*$Y$58</f>
        <v>16228.632198162004</v>
      </c>
      <c r="AF58" s="6">
        <f>$M$58*$Z$58</f>
        <v>0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38</v>
      </c>
      <c r="C59" s="4" t="s">
        <v>39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25</v>
      </c>
      <c r="I59" s="5">
        <v>44682</v>
      </c>
      <c r="J59" s="6">
        <v>952</v>
      </c>
      <c r="K59" s="6">
        <v>952</v>
      </c>
      <c r="L59" s="6">
        <v>0</v>
      </c>
      <c r="M59" s="6">
        <v>0</v>
      </c>
      <c r="N59" s="6">
        <v>0</v>
      </c>
      <c r="O59" s="6">
        <v>0</v>
      </c>
      <c r="P59" s="6">
        <v>8</v>
      </c>
      <c r="Q59" s="4" t="s">
        <v>26</v>
      </c>
      <c r="R59" s="4">
        <v>0</v>
      </c>
      <c r="S59" s="6">
        <v>15</v>
      </c>
      <c r="T59" s="6">
        <v>0</v>
      </c>
      <c r="U59" s="6">
        <v>0</v>
      </c>
      <c r="V59" s="6">
        <f>IF(ISERROR(VLOOKUP($S$59,'TAR FIN'!$A$1:$O$88,15,0)),0,VLOOKUP($S$59,'TAR FIN'!$A$1:$O$88,15,0))</f>
        <v>17.190000000000001</v>
      </c>
      <c r="W59" s="6">
        <f>IF(ISERROR(VLOOKUP($T$59,'TAR FIN'!$A$1:$O$88,15,0)),0,VLOOKUP($T$59,'TAR FIN'!$A$1:$O$88,15,0))</f>
        <v>0</v>
      </c>
      <c r="X59" s="6">
        <f>IF(ISERROR(VLOOKUP($U$59,'TAR FIN'!$A$1:$O$88,15,0)),0,VLOOKUP($U$59,'TAR FIN'!$A$1:$O$88,15,0))</f>
        <v>0</v>
      </c>
      <c r="Y59" s="6">
        <f ca="1">('TUSD BE'!$AM$10+'TUSD BF_350'!$AM$10+'TUSD CVA'!$AM$10)*1</f>
        <v>13.66046481326768</v>
      </c>
      <c r="Z59" s="6"/>
      <c r="AA59" s="6"/>
      <c r="AB59" s="6">
        <f>$K$59*$V$59</f>
        <v>16364.880000000001</v>
      </c>
      <c r="AC59" s="6">
        <f>$M$59*$W$59</f>
        <v>0</v>
      </c>
      <c r="AD59" s="6">
        <f>$O$59*$X$59</f>
        <v>0</v>
      </c>
      <c r="AE59" s="6">
        <f ca="1">$K$59*$Y$59</f>
        <v>13004.762502230831</v>
      </c>
      <c r="AF59" s="6">
        <f>$M$59*$Z$59</f>
        <v>0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38</v>
      </c>
      <c r="C60" s="4" t="s">
        <v>39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25</v>
      </c>
      <c r="I60" s="5">
        <v>44713</v>
      </c>
      <c r="J60" s="6">
        <v>882</v>
      </c>
      <c r="K60" s="6">
        <v>882</v>
      </c>
      <c r="L60" s="6">
        <v>0</v>
      </c>
      <c r="M60" s="6">
        <v>0</v>
      </c>
      <c r="N60" s="6">
        <v>0</v>
      </c>
      <c r="O60" s="6">
        <v>0</v>
      </c>
      <c r="P60" s="6">
        <v>8</v>
      </c>
      <c r="Q60" s="4" t="s">
        <v>26</v>
      </c>
      <c r="R60" s="4">
        <v>0</v>
      </c>
      <c r="S60" s="6">
        <v>15</v>
      </c>
      <c r="T60" s="6">
        <v>0</v>
      </c>
      <c r="U60" s="6">
        <v>0</v>
      </c>
      <c r="V60" s="6">
        <f>IF(ISERROR(VLOOKUP($S$60,'TAR FIN'!$A$1:$O$88,15,0)),0,VLOOKUP($S$60,'TAR FIN'!$A$1:$O$88,15,0))</f>
        <v>17.190000000000001</v>
      </c>
      <c r="W60" s="6">
        <f>IF(ISERROR(VLOOKUP($T$60,'TAR FIN'!$A$1:$O$88,15,0)),0,VLOOKUP($T$60,'TAR FIN'!$A$1:$O$88,15,0))</f>
        <v>0</v>
      </c>
      <c r="X60" s="6">
        <f>IF(ISERROR(VLOOKUP($U$60,'TAR FIN'!$A$1:$O$88,15,0)),0,VLOOKUP($U$60,'TAR FIN'!$A$1:$O$88,15,0))</f>
        <v>0</v>
      </c>
      <c r="Y60" s="6">
        <f ca="1">('TUSD BE'!$AM$10+'TUSD BF_350'!$AM$10+'TUSD CVA'!$AM$10)*1</f>
        <v>13.66046481326768</v>
      </c>
      <c r="Z60" s="6"/>
      <c r="AA60" s="6"/>
      <c r="AB60" s="6">
        <f>$K$60*$V$60</f>
        <v>15161.580000000002</v>
      </c>
      <c r="AC60" s="6">
        <f>$M$60*$W$60</f>
        <v>0</v>
      </c>
      <c r="AD60" s="6">
        <f>$O$60*$X$60</f>
        <v>0</v>
      </c>
      <c r="AE60" s="6">
        <f ca="1">$K$60*$Y$60</f>
        <v>12048.529965302094</v>
      </c>
      <c r="AF60" s="6">
        <f>$M$60*$Z$60</f>
        <v>0</v>
      </c>
      <c r="AG60" s="6">
        <f>$O$60*$AA$60</f>
        <v>0</v>
      </c>
    </row>
    <row r="61" spans="1:33" ht="11.25" customHeight="1" x14ac:dyDescent="0.25">
      <c r="A61" s="4" t="s">
        <v>55</v>
      </c>
      <c r="B61" s="4" t="s">
        <v>38</v>
      </c>
      <c r="C61" s="4" t="s">
        <v>39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25</v>
      </c>
      <c r="I61" s="5">
        <v>44743</v>
      </c>
      <c r="J61" s="6">
        <v>882</v>
      </c>
      <c r="K61" s="6">
        <v>882</v>
      </c>
      <c r="L61" s="6">
        <v>0</v>
      </c>
      <c r="M61" s="6">
        <v>0</v>
      </c>
      <c r="N61" s="6">
        <v>0</v>
      </c>
      <c r="O61" s="6">
        <v>0</v>
      </c>
      <c r="P61" s="6">
        <v>8</v>
      </c>
      <c r="Q61" s="4" t="s">
        <v>26</v>
      </c>
      <c r="R61" s="4">
        <v>0</v>
      </c>
      <c r="S61" s="6">
        <v>15</v>
      </c>
      <c r="T61" s="6">
        <v>0</v>
      </c>
      <c r="U61" s="6">
        <v>0</v>
      </c>
      <c r="V61" s="6">
        <f>IF(ISERROR(VLOOKUP($S$61,'TAR FIN'!$A$1:$O$88,15,0)),0,VLOOKUP($S$61,'TAR FIN'!$A$1:$O$88,15,0))</f>
        <v>17.190000000000001</v>
      </c>
      <c r="W61" s="6">
        <f>IF(ISERROR(VLOOKUP($T$61,'TAR FIN'!$A$1:$O$88,15,0)),0,VLOOKUP($T$61,'TAR FIN'!$A$1:$O$88,15,0))</f>
        <v>0</v>
      </c>
      <c r="X61" s="6">
        <f>IF(ISERROR(VLOOKUP($U$61,'TAR FIN'!$A$1:$O$88,15,0)),0,VLOOKUP($U$61,'TAR FIN'!$A$1:$O$88,15,0))</f>
        <v>0</v>
      </c>
      <c r="Y61" s="6">
        <f ca="1">('TUSD BE'!$AM$10+'TUSD BF_350'!$AM$10+'TUSD CVA'!$AM$10)*1</f>
        <v>13.66046481326768</v>
      </c>
      <c r="Z61" s="6"/>
      <c r="AA61" s="6"/>
      <c r="AB61" s="6">
        <f>$K$61*$V$61</f>
        <v>15161.580000000002</v>
      </c>
      <c r="AC61" s="6">
        <f>$M$61*$W$61</f>
        <v>0</v>
      </c>
      <c r="AD61" s="6">
        <f>$O$61*$X$61</f>
        <v>0</v>
      </c>
      <c r="AE61" s="6">
        <f ca="1">$K$61*$Y$61</f>
        <v>12048.529965302094</v>
      </c>
      <c r="AF61" s="6">
        <f>$M$61*$Z$61</f>
        <v>0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38</v>
      </c>
      <c r="C62" s="4" t="s">
        <v>39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33</v>
      </c>
      <c r="I62" s="5">
        <v>44409</v>
      </c>
      <c r="J62" s="6">
        <v>0</v>
      </c>
      <c r="K62" s="6">
        <v>0</v>
      </c>
      <c r="L62" s="6">
        <v>13.484999999999999</v>
      </c>
      <c r="M62" s="6">
        <v>13.484999999999999</v>
      </c>
      <c r="N62" s="6">
        <v>13.484999999999999</v>
      </c>
      <c r="O62" s="6">
        <v>13.484999999999999</v>
      </c>
      <c r="P62" s="6">
        <v>0</v>
      </c>
      <c r="Q62" s="4" t="s">
        <v>26</v>
      </c>
      <c r="R62" s="4">
        <v>0</v>
      </c>
      <c r="S62" s="6">
        <v>0</v>
      </c>
      <c r="T62" s="6">
        <v>18</v>
      </c>
      <c r="U62" s="6">
        <v>69</v>
      </c>
      <c r="V62" s="6">
        <f>IF(ISERROR(VLOOKUP($S$62,'TAR FIN'!$A$1:$O$88,15,0)),0,VLOOKUP($S$62,'TAR FIN'!$A$1:$O$88,15,0))</f>
        <v>0</v>
      </c>
      <c r="W62" s="6">
        <f>IF(ISERROR(VLOOKUP($T$62,'TAR FIN'!$A$1:$O$88,15,0)),0,VLOOKUP($T$62,'TAR FIN'!$A$1:$O$88,15,0))</f>
        <v>1295.8499999999999</v>
      </c>
      <c r="X62" s="6">
        <f>IF(ISERROR(VLOOKUP($U$62,'TAR FIN'!$A$1:$O$88,15,0)),0,VLOOKUP($U$62,'TAR FIN'!$A$1:$O$88,15,0))</f>
        <v>434.95</v>
      </c>
      <c r="Y62" s="6"/>
      <c r="Z62" s="6">
        <f ca="1">('TUSD BE'!$AM$11+'TUSD BF_350'!$AM$11+'TUSD CVA'!$AM$11)*1</f>
        <v>1048.5801557334262</v>
      </c>
      <c r="AA62" s="6">
        <f ca="1">('TE BE'!$AB$5+'TE BF_350'!$AB$5+'TE CVA'!$AB$5)*1</f>
        <v>316.97983140624547</v>
      </c>
      <c r="AB62" s="6">
        <f>$K$62*$V$62</f>
        <v>0</v>
      </c>
      <c r="AC62" s="6">
        <f>$M$62*$W$62</f>
        <v>17474.537249999998</v>
      </c>
      <c r="AD62" s="6">
        <f>$O$62*$X$62</f>
        <v>5865.3007499999994</v>
      </c>
      <c r="AE62" s="6">
        <f>$K$62*$Y$62</f>
        <v>0</v>
      </c>
      <c r="AF62" s="6">
        <f ca="1">$M$62*$Z$62</f>
        <v>14140.103400065251</v>
      </c>
      <c r="AG62" s="6">
        <f ca="1">$O$62*$AA$62</f>
        <v>4274.4730265132202</v>
      </c>
    </row>
    <row r="63" spans="1:33" ht="11.25" customHeight="1" x14ac:dyDescent="0.25">
      <c r="A63" s="4" t="s">
        <v>21</v>
      </c>
      <c r="B63" s="4" t="s">
        <v>38</v>
      </c>
      <c r="C63" s="4" t="s">
        <v>39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33</v>
      </c>
      <c r="I63" s="5">
        <v>44440</v>
      </c>
      <c r="J63" s="6">
        <v>0</v>
      </c>
      <c r="K63" s="6">
        <v>0</v>
      </c>
      <c r="L63" s="6">
        <v>13.756</v>
      </c>
      <c r="M63" s="6">
        <v>13.756</v>
      </c>
      <c r="N63" s="6">
        <v>13.756</v>
      </c>
      <c r="O63" s="6">
        <v>13.756</v>
      </c>
      <c r="P63" s="6">
        <v>0</v>
      </c>
      <c r="Q63" s="4" t="s">
        <v>26</v>
      </c>
      <c r="R63" s="4">
        <v>0</v>
      </c>
      <c r="S63" s="6">
        <v>0</v>
      </c>
      <c r="T63" s="6">
        <v>18</v>
      </c>
      <c r="U63" s="6">
        <v>69</v>
      </c>
      <c r="V63" s="6">
        <f>IF(ISERROR(VLOOKUP($S$63,'TAR FIN'!$A$1:$O$88,15,0)),0,VLOOKUP($S$63,'TAR FIN'!$A$1:$O$88,15,0))</f>
        <v>0</v>
      </c>
      <c r="W63" s="6">
        <f>IF(ISERROR(VLOOKUP($T$63,'TAR FIN'!$A$1:$O$88,15,0)),0,VLOOKUP($T$63,'TAR FIN'!$A$1:$O$88,15,0))</f>
        <v>1295.8499999999999</v>
      </c>
      <c r="X63" s="6">
        <f>IF(ISERROR(VLOOKUP($U$63,'TAR FIN'!$A$1:$O$88,15,0)),0,VLOOKUP($U$63,'TAR FIN'!$A$1:$O$88,15,0))</f>
        <v>434.95</v>
      </c>
      <c r="Y63" s="6"/>
      <c r="Z63" s="6">
        <f ca="1">('TUSD BE'!$AM$11+'TUSD BF_350'!$AM$11+'TUSD CVA'!$AM$11)*1</f>
        <v>1048.5801557334262</v>
      </c>
      <c r="AA63" s="6">
        <f ca="1">('TE BE'!$AB$5+'TE BF_350'!$AB$5+'TE CVA'!$AB$5)*1</f>
        <v>316.97983140624547</v>
      </c>
      <c r="AB63" s="6">
        <f>$K$63*$V$63</f>
        <v>0</v>
      </c>
      <c r="AC63" s="6">
        <f>$M$63*$W$63</f>
        <v>17825.712599999999</v>
      </c>
      <c r="AD63" s="6">
        <f>$O$63*$X$63</f>
        <v>5983.1722</v>
      </c>
      <c r="AE63" s="6">
        <f>$K$63*$Y$63</f>
        <v>0</v>
      </c>
      <c r="AF63" s="6">
        <f ca="1">$M$63*$Z$63</f>
        <v>14424.26862226901</v>
      </c>
      <c r="AG63" s="6">
        <f ca="1">$O$63*$AA$63</f>
        <v>4360.3745608243125</v>
      </c>
    </row>
    <row r="64" spans="1:33" ht="11.25" customHeight="1" x14ac:dyDescent="0.25">
      <c r="A64" s="4" t="s">
        <v>21</v>
      </c>
      <c r="B64" s="4" t="s">
        <v>38</v>
      </c>
      <c r="C64" s="4" t="s">
        <v>39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33</v>
      </c>
      <c r="I64" s="5">
        <v>44470</v>
      </c>
      <c r="J64" s="6">
        <v>0</v>
      </c>
      <c r="K64" s="6">
        <v>0</v>
      </c>
      <c r="L64" s="6">
        <v>20.298999999999999</v>
      </c>
      <c r="M64" s="6">
        <v>20.298999999999999</v>
      </c>
      <c r="N64" s="6">
        <v>20.298999999999999</v>
      </c>
      <c r="O64" s="6">
        <v>20.298999999999999</v>
      </c>
      <c r="P64" s="6">
        <v>0</v>
      </c>
      <c r="Q64" s="4" t="s">
        <v>26</v>
      </c>
      <c r="R64" s="4">
        <v>0</v>
      </c>
      <c r="S64" s="6">
        <v>0</v>
      </c>
      <c r="T64" s="6">
        <v>18</v>
      </c>
      <c r="U64" s="6">
        <v>69</v>
      </c>
      <c r="V64" s="6">
        <f>IF(ISERROR(VLOOKUP($S$64,'TAR FIN'!$A$1:$O$88,15,0)),0,VLOOKUP($S$64,'TAR FIN'!$A$1:$O$88,15,0))</f>
        <v>0</v>
      </c>
      <c r="W64" s="6">
        <f>IF(ISERROR(VLOOKUP($T$64,'TAR FIN'!$A$1:$O$88,15,0)),0,VLOOKUP($T$64,'TAR FIN'!$A$1:$O$88,15,0))</f>
        <v>1295.8499999999999</v>
      </c>
      <c r="X64" s="6">
        <f>IF(ISERROR(VLOOKUP($U$64,'TAR FIN'!$A$1:$O$88,15,0)),0,VLOOKUP($U$64,'TAR FIN'!$A$1:$O$88,15,0))</f>
        <v>434.95</v>
      </c>
      <c r="Y64" s="6"/>
      <c r="Z64" s="6">
        <f ca="1">('TUSD BE'!$AM$11+'TUSD BF_350'!$AM$11+'TUSD CVA'!$AM$11)*1</f>
        <v>1048.5801557334262</v>
      </c>
      <c r="AA64" s="6">
        <f ca="1">('TE BE'!$AB$5+'TE BF_350'!$AB$5+'TE CVA'!$AB$5)*1</f>
        <v>316.97983140624547</v>
      </c>
      <c r="AB64" s="6">
        <f>$K$64*$V$64</f>
        <v>0</v>
      </c>
      <c r="AC64" s="6">
        <f>$M$64*$W$64</f>
        <v>26304.459149999999</v>
      </c>
      <c r="AD64" s="6">
        <f>$O$64*$X$64</f>
        <v>8829.0500499999998</v>
      </c>
      <c r="AE64" s="6">
        <f>$K$64*$Y$64</f>
        <v>0</v>
      </c>
      <c r="AF64" s="6">
        <f ca="1">$M$64*$Z$64</f>
        <v>21285.128581232817</v>
      </c>
      <c r="AG64" s="6">
        <f ca="1">$O$64*$AA$64</f>
        <v>6434.3735977153765</v>
      </c>
    </row>
    <row r="65" spans="1:33" ht="11.25" customHeight="1" x14ac:dyDescent="0.25">
      <c r="A65" s="4" t="s">
        <v>21</v>
      </c>
      <c r="B65" s="4" t="s">
        <v>38</v>
      </c>
      <c r="C65" s="4" t="s">
        <v>39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33</v>
      </c>
      <c r="I65" s="5">
        <v>44501</v>
      </c>
      <c r="J65" s="6">
        <v>0</v>
      </c>
      <c r="K65" s="6">
        <v>0</v>
      </c>
      <c r="L65" s="6">
        <v>13.86</v>
      </c>
      <c r="M65" s="6">
        <v>13.86</v>
      </c>
      <c r="N65" s="6">
        <v>13.86</v>
      </c>
      <c r="O65" s="6">
        <v>13.86</v>
      </c>
      <c r="P65" s="6">
        <v>0</v>
      </c>
      <c r="Q65" s="4" t="s">
        <v>26</v>
      </c>
      <c r="R65" s="4">
        <v>0</v>
      </c>
      <c r="S65" s="6">
        <v>0</v>
      </c>
      <c r="T65" s="6">
        <v>18</v>
      </c>
      <c r="U65" s="6">
        <v>69</v>
      </c>
      <c r="V65" s="6">
        <f>IF(ISERROR(VLOOKUP($S$65,'TAR FIN'!$A$1:$O$88,15,0)),0,VLOOKUP($S$65,'TAR FIN'!$A$1:$O$88,15,0))</f>
        <v>0</v>
      </c>
      <c r="W65" s="6">
        <f>IF(ISERROR(VLOOKUP($T$65,'TAR FIN'!$A$1:$O$88,15,0)),0,VLOOKUP($T$65,'TAR FIN'!$A$1:$O$88,15,0))</f>
        <v>1295.8499999999999</v>
      </c>
      <c r="X65" s="6">
        <f>IF(ISERROR(VLOOKUP($U$65,'TAR FIN'!$A$1:$O$88,15,0)),0,VLOOKUP($U$65,'TAR FIN'!$A$1:$O$88,15,0))</f>
        <v>434.95</v>
      </c>
      <c r="Y65" s="6"/>
      <c r="Z65" s="6">
        <f ca="1">('TUSD BE'!$AM$11+'TUSD BF_350'!$AM$11+'TUSD CVA'!$AM$11)*1</f>
        <v>1048.5801557334262</v>
      </c>
      <c r="AA65" s="6">
        <f ca="1">('TE BE'!$AB$5+'TE BF_350'!$AB$5+'TE CVA'!$AB$5)*1</f>
        <v>316.97983140624547</v>
      </c>
      <c r="AB65" s="6">
        <f>$K$65*$V$65</f>
        <v>0</v>
      </c>
      <c r="AC65" s="6">
        <f>$M$65*$W$65</f>
        <v>17960.481</v>
      </c>
      <c r="AD65" s="6">
        <f>$O$65*$X$65</f>
        <v>6028.4069999999992</v>
      </c>
      <c r="AE65" s="6">
        <f>$K$65*$Y$65</f>
        <v>0</v>
      </c>
      <c r="AF65" s="6">
        <f ca="1">$M$65*$Z$65</f>
        <v>14533.320958465287</v>
      </c>
      <c r="AG65" s="6">
        <f ca="1">$O$65*$AA$65</f>
        <v>4393.3404632905622</v>
      </c>
    </row>
    <row r="66" spans="1:33" ht="11.25" customHeight="1" x14ac:dyDescent="0.25">
      <c r="A66" s="4" t="s">
        <v>21</v>
      </c>
      <c r="B66" s="4" t="s">
        <v>38</v>
      </c>
      <c r="C66" s="4" t="s">
        <v>39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33</v>
      </c>
      <c r="I66" s="5">
        <v>44531</v>
      </c>
      <c r="J66" s="6">
        <v>0</v>
      </c>
      <c r="K66" s="6">
        <v>0</v>
      </c>
      <c r="L66" s="6">
        <v>18.306999999999999</v>
      </c>
      <c r="M66" s="6">
        <v>18.306999999999999</v>
      </c>
      <c r="N66" s="6">
        <v>18.306999999999999</v>
      </c>
      <c r="O66" s="6">
        <v>18.306999999999999</v>
      </c>
      <c r="P66" s="6">
        <v>0</v>
      </c>
      <c r="Q66" s="4" t="s">
        <v>26</v>
      </c>
      <c r="R66" s="4">
        <v>0</v>
      </c>
      <c r="S66" s="6">
        <v>0</v>
      </c>
      <c r="T66" s="6">
        <v>18</v>
      </c>
      <c r="U66" s="6">
        <v>69</v>
      </c>
      <c r="V66" s="6">
        <f>IF(ISERROR(VLOOKUP($S$66,'TAR FIN'!$A$1:$O$88,15,0)),0,VLOOKUP($S$66,'TAR FIN'!$A$1:$O$88,15,0))</f>
        <v>0</v>
      </c>
      <c r="W66" s="6">
        <f>IF(ISERROR(VLOOKUP($T$66,'TAR FIN'!$A$1:$O$88,15,0)),0,VLOOKUP($T$66,'TAR FIN'!$A$1:$O$88,15,0))</f>
        <v>1295.8499999999999</v>
      </c>
      <c r="X66" s="6">
        <f>IF(ISERROR(VLOOKUP($U$66,'TAR FIN'!$A$1:$O$88,15,0)),0,VLOOKUP($U$66,'TAR FIN'!$A$1:$O$88,15,0))</f>
        <v>434.95</v>
      </c>
      <c r="Y66" s="6"/>
      <c r="Z66" s="6">
        <f ca="1">('TUSD BE'!$AM$11+'TUSD BF_350'!$AM$11+'TUSD CVA'!$AM$11)*1</f>
        <v>1048.5801557334262</v>
      </c>
      <c r="AA66" s="6">
        <f ca="1">('TE BE'!$AB$5+'TE BF_350'!$AB$5+'TE CVA'!$AB$5)*1</f>
        <v>316.97983140624547</v>
      </c>
      <c r="AB66" s="6">
        <f>$K$66*$V$66</f>
        <v>0</v>
      </c>
      <c r="AC66" s="6">
        <f>$M$66*$W$66</f>
        <v>23723.125949999998</v>
      </c>
      <c r="AD66" s="6">
        <f>$O$66*$X$66</f>
        <v>7962.6296499999989</v>
      </c>
      <c r="AE66" s="6">
        <f>$K$66*$Y$66</f>
        <v>0</v>
      </c>
      <c r="AF66" s="6">
        <f ca="1">$M$66*$Z$66</f>
        <v>19196.356911011833</v>
      </c>
      <c r="AG66" s="6">
        <f ca="1">$O$66*$AA$66</f>
        <v>5802.9497735541354</v>
      </c>
    </row>
    <row r="67" spans="1:33" ht="11.25" customHeight="1" x14ac:dyDescent="0.25">
      <c r="A67" s="4" t="s">
        <v>21</v>
      </c>
      <c r="B67" s="4" t="s">
        <v>38</v>
      </c>
      <c r="C67" s="4" t="s">
        <v>39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33</v>
      </c>
      <c r="I67" s="5">
        <v>44562</v>
      </c>
      <c r="J67" s="6">
        <v>0</v>
      </c>
      <c r="K67" s="6">
        <v>0</v>
      </c>
      <c r="L67" s="6">
        <v>16.87</v>
      </c>
      <c r="M67" s="6">
        <v>16.87</v>
      </c>
      <c r="N67" s="6">
        <v>16.87</v>
      </c>
      <c r="O67" s="6">
        <v>16.87</v>
      </c>
      <c r="P67" s="6">
        <v>0</v>
      </c>
      <c r="Q67" s="4" t="s">
        <v>26</v>
      </c>
      <c r="R67" s="4">
        <v>0</v>
      </c>
      <c r="S67" s="6">
        <v>0</v>
      </c>
      <c r="T67" s="6">
        <v>18</v>
      </c>
      <c r="U67" s="6">
        <v>69</v>
      </c>
      <c r="V67" s="6">
        <f>IF(ISERROR(VLOOKUP($S$67,'TAR FIN'!$A$1:$O$88,15,0)),0,VLOOKUP($S$67,'TAR FIN'!$A$1:$O$88,15,0))</f>
        <v>0</v>
      </c>
      <c r="W67" s="6">
        <f>IF(ISERROR(VLOOKUP($T$67,'TAR FIN'!$A$1:$O$88,15,0)),0,VLOOKUP($T$67,'TAR FIN'!$A$1:$O$88,15,0))</f>
        <v>1295.8499999999999</v>
      </c>
      <c r="X67" s="6">
        <f>IF(ISERROR(VLOOKUP($U$67,'TAR FIN'!$A$1:$O$88,15,0)),0,VLOOKUP($U$67,'TAR FIN'!$A$1:$O$88,15,0))</f>
        <v>434.95</v>
      </c>
      <c r="Y67" s="6"/>
      <c r="Z67" s="6">
        <f ca="1">('TUSD BE'!$AM$11+'TUSD BF_350'!$AM$11+'TUSD CVA'!$AM$11)*1</f>
        <v>1048.5801557334262</v>
      </c>
      <c r="AA67" s="6">
        <f ca="1">('TE BE'!$AB$5+'TE BF_350'!$AB$5+'TE CVA'!$AB$5)*1</f>
        <v>316.97983140624547</v>
      </c>
      <c r="AB67" s="6">
        <f>$K$67*$V$67</f>
        <v>0</v>
      </c>
      <c r="AC67" s="6">
        <f>$M$67*$W$67</f>
        <v>21860.9895</v>
      </c>
      <c r="AD67" s="6">
        <f>$O$67*$X$67</f>
        <v>7337.6064999999999</v>
      </c>
      <c r="AE67" s="6">
        <f>$K$67*$Y$67</f>
        <v>0</v>
      </c>
      <c r="AF67" s="6">
        <f ca="1">$M$67*$Z$67</f>
        <v>17689.547227222902</v>
      </c>
      <c r="AG67" s="6">
        <f ca="1">$O$67*$AA$67</f>
        <v>5347.4497558233616</v>
      </c>
    </row>
    <row r="68" spans="1:33" ht="11.25" customHeight="1" x14ac:dyDescent="0.25">
      <c r="A68" s="4" t="s">
        <v>21</v>
      </c>
      <c r="B68" s="4" t="s">
        <v>38</v>
      </c>
      <c r="C68" s="4" t="s">
        <v>39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33</v>
      </c>
      <c r="I68" s="5">
        <v>44593</v>
      </c>
      <c r="J68" s="6">
        <v>0</v>
      </c>
      <c r="K68" s="6">
        <v>0</v>
      </c>
      <c r="L68" s="6">
        <v>16.728000000000002</v>
      </c>
      <c r="M68" s="6">
        <v>16.728000000000002</v>
      </c>
      <c r="N68" s="6">
        <v>16.728000000000002</v>
      </c>
      <c r="O68" s="6">
        <v>16.728000000000002</v>
      </c>
      <c r="P68" s="6">
        <v>0</v>
      </c>
      <c r="Q68" s="4" t="s">
        <v>26</v>
      </c>
      <c r="R68" s="4">
        <v>0</v>
      </c>
      <c r="S68" s="6">
        <v>0</v>
      </c>
      <c r="T68" s="6">
        <v>18</v>
      </c>
      <c r="U68" s="6">
        <v>69</v>
      </c>
      <c r="V68" s="6">
        <f>IF(ISERROR(VLOOKUP($S$68,'TAR FIN'!$A$1:$O$88,15,0)),0,VLOOKUP($S$68,'TAR FIN'!$A$1:$O$88,15,0))</f>
        <v>0</v>
      </c>
      <c r="W68" s="6">
        <f>IF(ISERROR(VLOOKUP($T$68,'TAR FIN'!$A$1:$O$88,15,0)),0,VLOOKUP($T$68,'TAR FIN'!$A$1:$O$88,15,0))</f>
        <v>1295.8499999999999</v>
      </c>
      <c r="X68" s="6">
        <f>IF(ISERROR(VLOOKUP($U$68,'TAR FIN'!$A$1:$O$88,15,0)),0,VLOOKUP($U$68,'TAR FIN'!$A$1:$O$88,15,0))</f>
        <v>434.95</v>
      </c>
      <c r="Y68" s="6"/>
      <c r="Z68" s="6">
        <f ca="1">('TUSD BE'!$AM$11+'TUSD BF_350'!$AM$11+'TUSD CVA'!$AM$11)*1</f>
        <v>1048.5801557334262</v>
      </c>
      <c r="AA68" s="6">
        <f ca="1">('TE BE'!$AB$5+'TE BF_350'!$AB$5+'TE CVA'!$AB$5)*1</f>
        <v>316.97983140624547</v>
      </c>
      <c r="AB68" s="6">
        <f>$K$68*$V$68</f>
        <v>0</v>
      </c>
      <c r="AC68" s="6">
        <f>$M$68*$W$68</f>
        <v>21676.978800000001</v>
      </c>
      <c r="AD68" s="6">
        <f>$O$68*$X$68</f>
        <v>7275.8436000000002</v>
      </c>
      <c r="AE68" s="6">
        <f>$K$68*$Y$68</f>
        <v>0</v>
      </c>
      <c r="AF68" s="6">
        <f ca="1">$M$68*$Z$68</f>
        <v>17540.648845108753</v>
      </c>
      <c r="AG68" s="6">
        <f ca="1">$O$68*$AA$68</f>
        <v>5302.438619763675</v>
      </c>
    </row>
    <row r="69" spans="1:33" ht="11.25" customHeight="1" x14ac:dyDescent="0.25">
      <c r="A69" s="4" t="s">
        <v>21</v>
      </c>
      <c r="B69" s="4" t="s">
        <v>38</v>
      </c>
      <c r="C69" s="4" t="s">
        <v>39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33</v>
      </c>
      <c r="I69" s="5">
        <v>44621</v>
      </c>
      <c r="J69" s="6">
        <v>0</v>
      </c>
      <c r="K69" s="6">
        <v>0</v>
      </c>
      <c r="L69" s="6">
        <v>19.248999999999999</v>
      </c>
      <c r="M69" s="6">
        <v>19.248999999999999</v>
      </c>
      <c r="N69" s="6">
        <v>19.248999999999999</v>
      </c>
      <c r="O69" s="6">
        <v>19.248999999999999</v>
      </c>
      <c r="P69" s="6">
        <v>0</v>
      </c>
      <c r="Q69" s="4" t="s">
        <v>26</v>
      </c>
      <c r="R69" s="4">
        <v>0</v>
      </c>
      <c r="S69" s="6">
        <v>0</v>
      </c>
      <c r="T69" s="6">
        <v>18</v>
      </c>
      <c r="U69" s="6">
        <v>69</v>
      </c>
      <c r="V69" s="6">
        <f>IF(ISERROR(VLOOKUP($S$69,'TAR FIN'!$A$1:$O$88,15,0)),0,VLOOKUP($S$69,'TAR FIN'!$A$1:$O$88,15,0))</f>
        <v>0</v>
      </c>
      <c r="W69" s="6">
        <f>IF(ISERROR(VLOOKUP($T$69,'TAR FIN'!$A$1:$O$88,15,0)),0,VLOOKUP($T$69,'TAR FIN'!$A$1:$O$88,15,0))</f>
        <v>1295.8499999999999</v>
      </c>
      <c r="X69" s="6">
        <f>IF(ISERROR(VLOOKUP($U$69,'TAR FIN'!$A$1:$O$88,15,0)),0,VLOOKUP($U$69,'TAR FIN'!$A$1:$O$88,15,0))</f>
        <v>434.95</v>
      </c>
      <c r="Y69" s="6"/>
      <c r="Z69" s="6">
        <f ca="1">('TUSD BE'!$AM$11+'TUSD BF_350'!$AM$11+'TUSD CVA'!$AM$11)*1</f>
        <v>1048.5801557334262</v>
      </c>
      <c r="AA69" s="6">
        <f ca="1">('TE BE'!$AB$5+'TE BF_350'!$AB$5+'TE CVA'!$AB$5)*1</f>
        <v>316.97983140624547</v>
      </c>
      <c r="AB69" s="6">
        <f>$K$69*$V$69</f>
        <v>0</v>
      </c>
      <c r="AC69" s="6">
        <f>$M$69*$W$69</f>
        <v>24943.816649999997</v>
      </c>
      <c r="AD69" s="6">
        <f>$O$69*$X$69</f>
        <v>8372.3525499999996</v>
      </c>
      <c r="AE69" s="6">
        <f>$K$69*$Y$69</f>
        <v>0</v>
      </c>
      <c r="AF69" s="6">
        <f ca="1">$M$69*$Z$69</f>
        <v>20184.119417712718</v>
      </c>
      <c r="AG69" s="6">
        <f ca="1">$O$69*$AA$69</f>
        <v>6101.5447747388189</v>
      </c>
    </row>
    <row r="70" spans="1:33" ht="11.25" customHeight="1" x14ac:dyDescent="0.25">
      <c r="A70" s="4" t="s">
        <v>21</v>
      </c>
      <c r="B70" s="4" t="s">
        <v>38</v>
      </c>
      <c r="C70" s="4" t="s">
        <v>39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33</v>
      </c>
      <c r="I70" s="5">
        <v>44652</v>
      </c>
      <c r="J70" s="6">
        <v>0</v>
      </c>
      <c r="K70" s="6">
        <v>0</v>
      </c>
      <c r="L70" s="6">
        <v>12.563000000000001</v>
      </c>
      <c r="M70" s="6">
        <v>12.563000000000001</v>
      </c>
      <c r="N70" s="6">
        <v>12.563000000000001</v>
      </c>
      <c r="O70" s="6">
        <v>12.563000000000001</v>
      </c>
      <c r="P70" s="6">
        <v>0</v>
      </c>
      <c r="Q70" s="4" t="s">
        <v>26</v>
      </c>
      <c r="R70" s="4">
        <v>0</v>
      </c>
      <c r="S70" s="6">
        <v>0</v>
      </c>
      <c r="T70" s="6">
        <v>18</v>
      </c>
      <c r="U70" s="6">
        <v>69</v>
      </c>
      <c r="V70" s="6">
        <f>IF(ISERROR(VLOOKUP($S$70,'TAR FIN'!$A$1:$O$88,15,0)),0,VLOOKUP($S$70,'TAR FIN'!$A$1:$O$88,15,0))</f>
        <v>0</v>
      </c>
      <c r="W70" s="6">
        <f>IF(ISERROR(VLOOKUP($T$70,'TAR FIN'!$A$1:$O$88,15,0)),0,VLOOKUP($T$70,'TAR FIN'!$A$1:$O$88,15,0))</f>
        <v>1295.8499999999999</v>
      </c>
      <c r="X70" s="6">
        <f>IF(ISERROR(VLOOKUP($U$70,'TAR FIN'!$A$1:$O$88,15,0)),0,VLOOKUP($U$70,'TAR FIN'!$A$1:$O$88,15,0))</f>
        <v>434.95</v>
      </c>
      <c r="Y70" s="6"/>
      <c r="Z70" s="6">
        <f ca="1">('TUSD BE'!$AM$11+'TUSD BF_350'!$AM$11+'TUSD CVA'!$AM$11)*1</f>
        <v>1048.5801557334262</v>
      </c>
      <c r="AA70" s="6">
        <f ca="1">('TE BE'!$AB$5+'TE BF_350'!$AB$5+'TE CVA'!$AB$5)*1</f>
        <v>316.97983140624547</v>
      </c>
      <c r="AB70" s="6">
        <f>$K$70*$V$70</f>
        <v>0</v>
      </c>
      <c r="AC70" s="6">
        <f>$M$70*$W$70</f>
        <v>16279.76355</v>
      </c>
      <c r="AD70" s="6">
        <f>$O$70*$X$70</f>
        <v>5464.2768500000002</v>
      </c>
      <c r="AE70" s="6">
        <f>$K$70*$Y$70</f>
        <v>0</v>
      </c>
      <c r="AF70" s="6">
        <f ca="1">$M$70*$Z$70</f>
        <v>13173.312496479033</v>
      </c>
      <c r="AG70" s="6">
        <f ca="1">$O$70*$AA$70</f>
        <v>3982.2176219566618</v>
      </c>
    </row>
    <row r="71" spans="1:33" ht="11.25" customHeight="1" x14ac:dyDescent="0.25">
      <c r="A71" s="4" t="s">
        <v>21</v>
      </c>
      <c r="B71" s="4" t="s">
        <v>38</v>
      </c>
      <c r="C71" s="4" t="s">
        <v>39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33</v>
      </c>
      <c r="I71" s="5">
        <v>44682</v>
      </c>
      <c r="J71" s="6">
        <v>0</v>
      </c>
      <c r="K71" s="6">
        <v>0</v>
      </c>
      <c r="L71" s="6">
        <v>13.327999999999999</v>
      </c>
      <c r="M71" s="6">
        <v>13.327999999999999</v>
      </c>
      <c r="N71" s="6">
        <v>13.327999999999999</v>
      </c>
      <c r="O71" s="6">
        <v>13.327999999999999</v>
      </c>
      <c r="P71" s="6">
        <v>0</v>
      </c>
      <c r="Q71" s="4" t="s">
        <v>26</v>
      </c>
      <c r="R71" s="4">
        <v>0</v>
      </c>
      <c r="S71" s="6">
        <v>0</v>
      </c>
      <c r="T71" s="6">
        <v>18</v>
      </c>
      <c r="U71" s="6">
        <v>69</v>
      </c>
      <c r="V71" s="6">
        <f>IF(ISERROR(VLOOKUP($S$71,'TAR FIN'!$A$1:$O$88,15,0)),0,VLOOKUP($S$71,'TAR FIN'!$A$1:$O$88,15,0))</f>
        <v>0</v>
      </c>
      <c r="W71" s="6">
        <f>IF(ISERROR(VLOOKUP($T$71,'TAR FIN'!$A$1:$O$88,15,0)),0,VLOOKUP($T$71,'TAR FIN'!$A$1:$O$88,15,0))</f>
        <v>1295.8499999999999</v>
      </c>
      <c r="X71" s="6">
        <f>IF(ISERROR(VLOOKUP($U$71,'TAR FIN'!$A$1:$O$88,15,0)),0,VLOOKUP($U$71,'TAR FIN'!$A$1:$O$88,15,0))</f>
        <v>434.95</v>
      </c>
      <c r="Y71" s="6"/>
      <c r="Z71" s="6">
        <f ca="1">('TUSD BE'!$AM$11+'TUSD BF_350'!$AM$11+'TUSD CVA'!$AM$11)*1</f>
        <v>1048.5801557334262</v>
      </c>
      <c r="AA71" s="6">
        <f ca="1">('TE BE'!$AB$5+'TE BF_350'!$AB$5+'TE CVA'!$AB$5)*1</f>
        <v>316.97983140624547</v>
      </c>
      <c r="AB71" s="6">
        <f>$K$71*$V$71</f>
        <v>0</v>
      </c>
      <c r="AC71" s="6">
        <f>$M$71*$W$71</f>
        <v>17271.088799999998</v>
      </c>
      <c r="AD71" s="6">
        <f>$O$71*$X$71</f>
        <v>5797.0135999999993</v>
      </c>
      <c r="AE71" s="6">
        <f>$K$71*$Y$71</f>
        <v>0</v>
      </c>
      <c r="AF71" s="6">
        <f ca="1">$M$71*$Z$71</f>
        <v>13975.476315615104</v>
      </c>
      <c r="AG71" s="6">
        <f ca="1">$O$71*$AA$71</f>
        <v>4224.7071929824397</v>
      </c>
    </row>
    <row r="72" spans="1:33" ht="11.25" customHeight="1" x14ac:dyDescent="0.25">
      <c r="A72" s="4" t="s">
        <v>21</v>
      </c>
      <c r="B72" s="4" t="s">
        <v>38</v>
      </c>
      <c r="C72" s="4" t="s">
        <v>39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33</v>
      </c>
      <c r="I72" s="5">
        <v>44713</v>
      </c>
      <c r="J72" s="6">
        <v>0</v>
      </c>
      <c r="K72" s="6">
        <v>0</v>
      </c>
      <c r="L72" s="6">
        <v>12.855</v>
      </c>
      <c r="M72" s="6">
        <v>12.855</v>
      </c>
      <c r="N72" s="6">
        <v>12.855</v>
      </c>
      <c r="O72" s="6">
        <v>12.855</v>
      </c>
      <c r="P72" s="6">
        <v>0</v>
      </c>
      <c r="Q72" s="4" t="s">
        <v>26</v>
      </c>
      <c r="R72" s="4">
        <v>0</v>
      </c>
      <c r="S72" s="6">
        <v>0</v>
      </c>
      <c r="T72" s="6">
        <v>18</v>
      </c>
      <c r="U72" s="6">
        <v>69</v>
      </c>
      <c r="V72" s="6">
        <f>IF(ISERROR(VLOOKUP($S$72,'TAR FIN'!$A$1:$O$88,15,0)),0,VLOOKUP($S$72,'TAR FIN'!$A$1:$O$88,15,0))</f>
        <v>0</v>
      </c>
      <c r="W72" s="6">
        <f>IF(ISERROR(VLOOKUP($T$72,'TAR FIN'!$A$1:$O$88,15,0)),0,VLOOKUP($T$72,'TAR FIN'!$A$1:$O$88,15,0))</f>
        <v>1295.8499999999999</v>
      </c>
      <c r="X72" s="6">
        <f>IF(ISERROR(VLOOKUP($U$72,'TAR FIN'!$A$1:$O$88,15,0)),0,VLOOKUP($U$72,'TAR FIN'!$A$1:$O$88,15,0))</f>
        <v>434.95</v>
      </c>
      <c r="Y72" s="6"/>
      <c r="Z72" s="6">
        <f ca="1">('TUSD BE'!$AM$11+'TUSD BF_350'!$AM$11+'TUSD CVA'!$AM$11)*1</f>
        <v>1048.5801557334262</v>
      </c>
      <c r="AA72" s="6">
        <f ca="1">('TE BE'!$AB$5+'TE BF_350'!$AB$5+'TE CVA'!$AB$5)*1</f>
        <v>316.97983140624547</v>
      </c>
      <c r="AB72" s="6">
        <f>$K$72*$V$72</f>
        <v>0</v>
      </c>
      <c r="AC72" s="6">
        <f>$M$72*$W$72</f>
        <v>16658.151750000001</v>
      </c>
      <c r="AD72" s="6">
        <f>$O$72*$X$72</f>
        <v>5591.2822500000002</v>
      </c>
      <c r="AE72" s="6">
        <f>$K$72*$Y$72</f>
        <v>0</v>
      </c>
      <c r="AF72" s="6">
        <f ca="1">$M$72*$Z$72</f>
        <v>13479.497901953195</v>
      </c>
      <c r="AG72" s="6">
        <f ca="1">$O$72*$AA$72</f>
        <v>4074.7757327272857</v>
      </c>
    </row>
    <row r="73" spans="1:33" ht="11.25" customHeight="1" x14ac:dyDescent="0.25">
      <c r="A73" s="4" t="s">
        <v>55</v>
      </c>
      <c r="B73" s="4" t="s">
        <v>38</v>
      </c>
      <c r="C73" s="4" t="s">
        <v>39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33</v>
      </c>
      <c r="I73" s="5">
        <v>44743</v>
      </c>
      <c r="J73" s="6">
        <v>0</v>
      </c>
      <c r="K73" s="6">
        <v>0</v>
      </c>
      <c r="L73" s="6">
        <v>12.855</v>
      </c>
      <c r="M73" s="6">
        <v>12.855</v>
      </c>
      <c r="N73" s="6">
        <v>12.855</v>
      </c>
      <c r="O73" s="6">
        <v>12.855</v>
      </c>
      <c r="P73" s="6">
        <v>0</v>
      </c>
      <c r="Q73" s="4" t="s">
        <v>26</v>
      </c>
      <c r="R73" s="4">
        <v>0</v>
      </c>
      <c r="S73" s="6">
        <v>0</v>
      </c>
      <c r="T73" s="6">
        <v>18</v>
      </c>
      <c r="U73" s="6">
        <v>69</v>
      </c>
      <c r="V73" s="6">
        <f>IF(ISERROR(VLOOKUP($S$73,'TAR FIN'!$A$1:$O$88,15,0)),0,VLOOKUP($S$73,'TAR FIN'!$A$1:$O$88,15,0))</f>
        <v>0</v>
      </c>
      <c r="W73" s="6">
        <f>IF(ISERROR(VLOOKUP($T$73,'TAR FIN'!$A$1:$O$88,15,0)),0,VLOOKUP($T$73,'TAR FIN'!$A$1:$O$88,15,0))</f>
        <v>1295.8499999999999</v>
      </c>
      <c r="X73" s="6">
        <f>IF(ISERROR(VLOOKUP($U$73,'TAR FIN'!$A$1:$O$88,15,0)),0,VLOOKUP($U$73,'TAR FIN'!$A$1:$O$88,15,0))</f>
        <v>434.95</v>
      </c>
      <c r="Y73" s="6"/>
      <c r="Z73" s="6">
        <f ca="1">('TUSD BE'!$AM$11+'TUSD BF_350'!$AM$11+'TUSD CVA'!$AM$11)*1</f>
        <v>1048.5801557334262</v>
      </c>
      <c r="AA73" s="6">
        <f ca="1">('TE BE'!$AB$5+'TE BF_350'!$AB$5+'TE CVA'!$AB$5)*1</f>
        <v>316.97983140624547</v>
      </c>
      <c r="AB73" s="6">
        <f>$K$73*$V$73</f>
        <v>0</v>
      </c>
      <c r="AC73" s="6">
        <f>$M$73*$W$73</f>
        <v>16658.151750000001</v>
      </c>
      <c r="AD73" s="6">
        <f>$O$73*$X$73</f>
        <v>5591.2822500000002</v>
      </c>
      <c r="AE73" s="6">
        <f>$K$73*$Y$73</f>
        <v>0</v>
      </c>
      <c r="AF73" s="6">
        <f ca="1">$M$73*$Z$73</f>
        <v>13479.497901953195</v>
      </c>
      <c r="AG73" s="6">
        <f ca="1">$O$73*$AA$73</f>
        <v>4074.7757327272857</v>
      </c>
    </row>
    <row r="74" spans="1:33" ht="11.25" customHeight="1" x14ac:dyDescent="0.25">
      <c r="A74" s="4" t="s">
        <v>21</v>
      </c>
      <c r="B74" s="4" t="s">
        <v>38</v>
      </c>
      <c r="C74" s="4" t="s">
        <v>39</v>
      </c>
      <c r="D74" s="4" t="s">
        <v>37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44409</v>
      </c>
      <c r="J74" s="6">
        <v>0</v>
      </c>
      <c r="K74" s="6">
        <v>0</v>
      </c>
      <c r="L74" s="6">
        <v>303.74400000000003</v>
      </c>
      <c r="M74" s="6">
        <v>303.74400000000003</v>
      </c>
      <c r="N74" s="6">
        <v>303.74400000000003</v>
      </c>
      <c r="O74" s="6">
        <v>303.74400000000003</v>
      </c>
      <c r="P74" s="6">
        <v>0</v>
      </c>
      <c r="Q74" s="4" t="s">
        <v>26</v>
      </c>
      <c r="R74" s="4">
        <v>0</v>
      </c>
      <c r="S74" s="6">
        <v>0</v>
      </c>
      <c r="T74" s="6">
        <v>21</v>
      </c>
      <c r="U74" s="6">
        <v>70</v>
      </c>
      <c r="V74" s="6">
        <f>IF(ISERROR(VLOOKUP($S$74,'TAR FIN'!$A$1:$O$88,15,0)),0,VLOOKUP($S$74,'TAR FIN'!$A$1:$O$88,15,0))</f>
        <v>0</v>
      </c>
      <c r="W74" s="6">
        <f>IF(ISERROR(VLOOKUP($T$74,'TAR FIN'!$A$1:$O$88,15,0)),0,VLOOKUP($T$74,'TAR FIN'!$A$1:$O$88,15,0))</f>
        <v>73.790000000000006</v>
      </c>
      <c r="X74" s="6">
        <f>IF(ISERROR(VLOOKUP($U$74,'TAR FIN'!$A$1:$O$88,15,0)),0,VLOOKUP($U$74,'TAR FIN'!$A$1:$O$88,15,0))</f>
        <v>266.70999999999998</v>
      </c>
      <c r="Y74" s="6"/>
      <c r="Z74" s="6">
        <f ca="1">('TUSD BE'!$AM$12+'TUSD BF_350'!$AM$12+'TUSD CVA'!$AM$12)*1</f>
        <v>83.275517807559041</v>
      </c>
      <c r="AA74" s="6">
        <f ca="1">('TE BE'!$AB$6+'TE BF_350'!$AB$6+'TE CVA'!$AB$6)*1</f>
        <v>197.6895725142987</v>
      </c>
      <c r="AB74" s="6">
        <f>$K$74*$V$74</f>
        <v>0</v>
      </c>
      <c r="AC74" s="6">
        <f>$M$74*$W$74</f>
        <v>22413.269760000003</v>
      </c>
      <c r="AD74" s="6">
        <f>$O$74*$X$74</f>
        <v>81011.562239999999</v>
      </c>
      <c r="AE74" s="6">
        <f>$K$74*$Y$74</f>
        <v>0</v>
      </c>
      <c r="AF74" s="6">
        <f ca="1">$M$74*$Z$74</f>
        <v>25294.438880939215</v>
      </c>
      <c r="AG74" s="6">
        <f ca="1">$O$74*$AA$74</f>
        <v>60047.021513783147</v>
      </c>
    </row>
    <row r="75" spans="1:33" ht="11.25" customHeight="1" x14ac:dyDescent="0.25">
      <c r="A75" s="4" t="s">
        <v>21</v>
      </c>
      <c r="B75" s="4" t="s">
        <v>38</v>
      </c>
      <c r="C75" s="4" t="s">
        <v>39</v>
      </c>
      <c r="D75" s="4" t="s">
        <v>37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44440</v>
      </c>
      <c r="J75" s="6">
        <v>0</v>
      </c>
      <c r="K75" s="6">
        <v>0</v>
      </c>
      <c r="L75" s="6">
        <v>289.48399999999998</v>
      </c>
      <c r="M75" s="6">
        <v>289.48399999999998</v>
      </c>
      <c r="N75" s="6">
        <v>289.48399999999998</v>
      </c>
      <c r="O75" s="6">
        <v>289.48399999999998</v>
      </c>
      <c r="P75" s="6">
        <v>0</v>
      </c>
      <c r="Q75" s="4" t="s">
        <v>26</v>
      </c>
      <c r="R75" s="4">
        <v>0</v>
      </c>
      <c r="S75" s="6">
        <v>0</v>
      </c>
      <c r="T75" s="6">
        <v>21</v>
      </c>
      <c r="U75" s="6">
        <v>70</v>
      </c>
      <c r="V75" s="6">
        <f>IF(ISERROR(VLOOKUP($S$75,'TAR FIN'!$A$1:$O$88,15,0)),0,VLOOKUP($S$75,'TAR FIN'!$A$1:$O$88,15,0))</f>
        <v>0</v>
      </c>
      <c r="W75" s="6">
        <f>IF(ISERROR(VLOOKUP($T$75,'TAR FIN'!$A$1:$O$88,15,0)),0,VLOOKUP($T$75,'TAR FIN'!$A$1:$O$88,15,0))</f>
        <v>73.790000000000006</v>
      </c>
      <c r="X75" s="6">
        <f>IF(ISERROR(VLOOKUP($U$75,'TAR FIN'!$A$1:$O$88,15,0)),0,VLOOKUP($U$75,'TAR FIN'!$A$1:$O$88,15,0))</f>
        <v>266.70999999999998</v>
      </c>
      <c r="Y75" s="6"/>
      <c r="Z75" s="6">
        <f ca="1">('TUSD BE'!$AM$12+'TUSD BF_350'!$AM$12+'TUSD CVA'!$AM$12)*1</f>
        <v>83.275517807559041</v>
      </c>
      <c r="AA75" s="6">
        <f ca="1">('TE BE'!$AB$6+'TE BF_350'!$AB$6+'TE CVA'!$AB$6)*1</f>
        <v>197.6895725142987</v>
      </c>
      <c r="AB75" s="6">
        <f>$K$75*$V$75</f>
        <v>0</v>
      </c>
      <c r="AC75" s="6">
        <f>$M$75*$W$75</f>
        <v>21361.024359999999</v>
      </c>
      <c r="AD75" s="6">
        <f>$O$75*$X$75</f>
        <v>77208.277639999986</v>
      </c>
      <c r="AE75" s="6">
        <f>$K$75*$Y$75</f>
        <v>0</v>
      </c>
      <c r="AF75" s="6">
        <f ca="1">$M$75*$Z$75</f>
        <v>24106.929997003419</v>
      </c>
      <c r="AG75" s="6">
        <f ca="1">$O$75*$AA$75</f>
        <v>57227.968209729239</v>
      </c>
    </row>
    <row r="76" spans="1:33" ht="11.25" customHeight="1" x14ac:dyDescent="0.25">
      <c r="A76" s="4" t="s">
        <v>21</v>
      </c>
      <c r="B76" s="4" t="s">
        <v>38</v>
      </c>
      <c r="C76" s="4" t="s">
        <v>39</v>
      </c>
      <c r="D76" s="4" t="s">
        <v>37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44470</v>
      </c>
      <c r="J76" s="6">
        <v>0</v>
      </c>
      <c r="K76" s="6">
        <v>0</v>
      </c>
      <c r="L76" s="6">
        <v>272.87900000000002</v>
      </c>
      <c r="M76" s="6">
        <v>272.87900000000002</v>
      </c>
      <c r="N76" s="6">
        <v>272.87900000000002</v>
      </c>
      <c r="O76" s="6">
        <v>272.87900000000002</v>
      </c>
      <c r="P76" s="6">
        <v>0</v>
      </c>
      <c r="Q76" s="4" t="s">
        <v>26</v>
      </c>
      <c r="R76" s="4">
        <v>0</v>
      </c>
      <c r="S76" s="6">
        <v>0</v>
      </c>
      <c r="T76" s="6">
        <v>21</v>
      </c>
      <c r="U76" s="6">
        <v>70</v>
      </c>
      <c r="V76" s="6">
        <f>IF(ISERROR(VLOOKUP($S$76,'TAR FIN'!$A$1:$O$88,15,0)),0,VLOOKUP($S$76,'TAR FIN'!$A$1:$O$88,15,0))</f>
        <v>0</v>
      </c>
      <c r="W76" s="6">
        <f>IF(ISERROR(VLOOKUP($T$76,'TAR FIN'!$A$1:$O$88,15,0)),0,VLOOKUP($T$76,'TAR FIN'!$A$1:$O$88,15,0))</f>
        <v>73.790000000000006</v>
      </c>
      <c r="X76" s="6">
        <f>IF(ISERROR(VLOOKUP($U$76,'TAR FIN'!$A$1:$O$88,15,0)),0,VLOOKUP($U$76,'TAR FIN'!$A$1:$O$88,15,0))</f>
        <v>266.70999999999998</v>
      </c>
      <c r="Y76" s="6"/>
      <c r="Z76" s="6">
        <f ca="1">('TUSD BE'!$AM$12+'TUSD BF_350'!$AM$12+'TUSD CVA'!$AM$12)*1</f>
        <v>83.275517807559041</v>
      </c>
      <c r="AA76" s="6">
        <f ca="1">('TE BE'!$AB$6+'TE BF_350'!$AB$6+'TE CVA'!$AB$6)*1</f>
        <v>197.6895725142987</v>
      </c>
      <c r="AB76" s="6">
        <f>$K$76*$V$76</f>
        <v>0</v>
      </c>
      <c r="AC76" s="6">
        <f>$M$76*$W$76</f>
        <v>20135.741410000002</v>
      </c>
      <c r="AD76" s="6">
        <f>$O$76*$X$76</f>
        <v>72779.558090000006</v>
      </c>
      <c r="AE76" s="6">
        <f>$K$76*$Y$76</f>
        <v>0</v>
      </c>
      <c r="AF76" s="6">
        <f ca="1">$M$76*$Z$76</f>
        <v>22724.140023808905</v>
      </c>
      <c r="AG76" s="6">
        <f ca="1">$O$76*$AA$76</f>
        <v>53945.332858129317</v>
      </c>
    </row>
    <row r="77" spans="1:33" ht="11.25" customHeight="1" x14ac:dyDescent="0.25">
      <c r="A77" s="4" t="s">
        <v>21</v>
      </c>
      <c r="B77" s="4" t="s">
        <v>38</v>
      </c>
      <c r="C77" s="4" t="s">
        <v>39</v>
      </c>
      <c r="D77" s="4" t="s">
        <v>37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44501</v>
      </c>
      <c r="J77" s="6">
        <v>0</v>
      </c>
      <c r="K77" s="6">
        <v>0</v>
      </c>
      <c r="L77" s="6">
        <v>281.43900000000002</v>
      </c>
      <c r="M77" s="6">
        <v>281.43900000000002</v>
      </c>
      <c r="N77" s="6">
        <v>281.43900000000002</v>
      </c>
      <c r="O77" s="6">
        <v>281.43900000000002</v>
      </c>
      <c r="P77" s="6">
        <v>0</v>
      </c>
      <c r="Q77" s="4" t="s">
        <v>26</v>
      </c>
      <c r="R77" s="4">
        <v>0</v>
      </c>
      <c r="S77" s="6">
        <v>0</v>
      </c>
      <c r="T77" s="6">
        <v>21</v>
      </c>
      <c r="U77" s="6">
        <v>70</v>
      </c>
      <c r="V77" s="6">
        <f>IF(ISERROR(VLOOKUP($S$77,'TAR FIN'!$A$1:$O$88,15,0)),0,VLOOKUP($S$77,'TAR FIN'!$A$1:$O$88,15,0))</f>
        <v>0</v>
      </c>
      <c r="W77" s="6">
        <f>IF(ISERROR(VLOOKUP($T$77,'TAR FIN'!$A$1:$O$88,15,0)),0,VLOOKUP($T$77,'TAR FIN'!$A$1:$O$88,15,0))</f>
        <v>73.790000000000006</v>
      </c>
      <c r="X77" s="6">
        <f>IF(ISERROR(VLOOKUP($U$77,'TAR FIN'!$A$1:$O$88,15,0)),0,VLOOKUP($U$77,'TAR FIN'!$A$1:$O$88,15,0))</f>
        <v>266.70999999999998</v>
      </c>
      <c r="Y77" s="6"/>
      <c r="Z77" s="6">
        <f ca="1">('TUSD BE'!$AM$12+'TUSD BF_350'!$AM$12+'TUSD CVA'!$AM$12)*1</f>
        <v>83.275517807559041</v>
      </c>
      <c r="AA77" s="6">
        <f ca="1">('TE BE'!$AB$6+'TE BF_350'!$AB$6+'TE CVA'!$AB$6)*1</f>
        <v>197.6895725142987</v>
      </c>
      <c r="AB77" s="6">
        <f>$K$77*$V$77</f>
        <v>0</v>
      </c>
      <c r="AC77" s="6">
        <f>$M$77*$W$77</f>
        <v>20767.383810000003</v>
      </c>
      <c r="AD77" s="6">
        <f>$O$77*$X$77</f>
        <v>75062.595690000002</v>
      </c>
      <c r="AE77" s="6">
        <f>$K$77*$Y$77</f>
        <v>0</v>
      </c>
      <c r="AF77" s="6">
        <f ca="1">$M$77*$Z$77</f>
        <v>23436.97845624161</v>
      </c>
      <c r="AG77" s="6">
        <f ca="1">$O$77*$AA$77</f>
        <v>55637.555598851715</v>
      </c>
    </row>
    <row r="78" spans="1:33" ht="11.25" customHeight="1" x14ac:dyDescent="0.25">
      <c r="A78" s="4" t="s">
        <v>21</v>
      </c>
      <c r="B78" s="4" t="s">
        <v>38</v>
      </c>
      <c r="C78" s="4" t="s">
        <v>39</v>
      </c>
      <c r="D78" s="4" t="s">
        <v>37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44531</v>
      </c>
      <c r="J78" s="6">
        <v>0</v>
      </c>
      <c r="K78" s="6">
        <v>0</v>
      </c>
      <c r="L78" s="6">
        <v>267.35599999999999</v>
      </c>
      <c r="M78" s="6">
        <v>267.35599999999999</v>
      </c>
      <c r="N78" s="6">
        <v>267.35599999999999</v>
      </c>
      <c r="O78" s="6">
        <v>267.35599999999999</v>
      </c>
      <c r="P78" s="6">
        <v>0</v>
      </c>
      <c r="Q78" s="4" t="s">
        <v>26</v>
      </c>
      <c r="R78" s="4">
        <v>0</v>
      </c>
      <c r="S78" s="6">
        <v>0</v>
      </c>
      <c r="T78" s="6">
        <v>21</v>
      </c>
      <c r="U78" s="6">
        <v>70</v>
      </c>
      <c r="V78" s="6">
        <f>IF(ISERROR(VLOOKUP($S$78,'TAR FIN'!$A$1:$O$88,15,0)),0,VLOOKUP($S$78,'TAR FIN'!$A$1:$O$88,15,0))</f>
        <v>0</v>
      </c>
      <c r="W78" s="6">
        <f>IF(ISERROR(VLOOKUP($T$78,'TAR FIN'!$A$1:$O$88,15,0)),0,VLOOKUP($T$78,'TAR FIN'!$A$1:$O$88,15,0))</f>
        <v>73.790000000000006</v>
      </c>
      <c r="X78" s="6">
        <f>IF(ISERROR(VLOOKUP($U$78,'TAR FIN'!$A$1:$O$88,15,0)),0,VLOOKUP($U$78,'TAR FIN'!$A$1:$O$88,15,0))</f>
        <v>266.70999999999998</v>
      </c>
      <c r="Y78" s="6"/>
      <c r="Z78" s="6">
        <f ca="1">('TUSD BE'!$AM$12+'TUSD BF_350'!$AM$12+'TUSD CVA'!$AM$12)*1</f>
        <v>83.275517807559041</v>
      </c>
      <c r="AA78" s="6">
        <f ca="1">('TE BE'!$AB$6+'TE BF_350'!$AB$6+'TE CVA'!$AB$6)*1</f>
        <v>197.6895725142987</v>
      </c>
      <c r="AB78" s="6">
        <f>$K$78*$V$78</f>
        <v>0</v>
      </c>
      <c r="AC78" s="6">
        <f>$M$78*$W$78</f>
        <v>19728.199240000002</v>
      </c>
      <c r="AD78" s="6">
        <f>$O$78*$X$78</f>
        <v>71306.518759999992</v>
      </c>
      <c r="AE78" s="6">
        <f>$K$78*$Y$78</f>
        <v>0</v>
      </c>
      <c r="AF78" s="6">
        <f ca="1">$M$78*$Z$78</f>
        <v>22264.209338957753</v>
      </c>
      <c r="AG78" s="6">
        <f ca="1">$O$78*$AA$78</f>
        <v>52853.493349132841</v>
      </c>
    </row>
    <row r="79" spans="1:33" ht="11.25" customHeight="1" x14ac:dyDescent="0.25">
      <c r="A79" s="4" t="s">
        <v>21</v>
      </c>
      <c r="B79" s="4" t="s">
        <v>38</v>
      </c>
      <c r="C79" s="4" t="s">
        <v>39</v>
      </c>
      <c r="D79" s="4" t="s">
        <v>37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0</v>
      </c>
      <c r="K79" s="6">
        <v>0</v>
      </c>
      <c r="L79" s="6">
        <v>243.958</v>
      </c>
      <c r="M79" s="6">
        <v>243.958</v>
      </c>
      <c r="N79" s="6">
        <v>243.958</v>
      </c>
      <c r="O79" s="6">
        <v>243.958</v>
      </c>
      <c r="P79" s="6">
        <v>0</v>
      </c>
      <c r="Q79" s="4" t="s">
        <v>26</v>
      </c>
      <c r="R79" s="4">
        <v>0</v>
      </c>
      <c r="S79" s="6">
        <v>0</v>
      </c>
      <c r="T79" s="6">
        <v>21</v>
      </c>
      <c r="U79" s="6">
        <v>70</v>
      </c>
      <c r="V79" s="6">
        <f>IF(ISERROR(VLOOKUP($S$79,'TAR FIN'!$A$1:$O$88,15,0)),0,VLOOKUP($S$79,'TAR FIN'!$A$1:$O$88,15,0))</f>
        <v>0</v>
      </c>
      <c r="W79" s="6">
        <f>IF(ISERROR(VLOOKUP($T$79,'TAR FIN'!$A$1:$O$88,15,0)),0,VLOOKUP($T$79,'TAR FIN'!$A$1:$O$88,15,0))</f>
        <v>73.790000000000006</v>
      </c>
      <c r="X79" s="6">
        <f>IF(ISERROR(VLOOKUP($U$79,'TAR FIN'!$A$1:$O$88,15,0)),0,VLOOKUP($U$79,'TAR FIN'!$A$1:$O$88,15,0))</f>
        <v>266.70999999999998</v>
      </c>
      <c r="Y79" s="6"/>
      <c r="Z79" s="6">
        <f ca="1">('TUSD BE'!$AM$12+'TUSD BF_350'!$AM$12+'TUSD CVA'!$AM$12)*1</f>
        <v>83.275517807559041</v>
      </c>
      <c r="AA79" s="6">
        <f ca="1">('TE BE'!$AB$6+'TE BF_350'!$AB$6+'TE CVA'!$AB$6)*1</f>
        <v>197.6895725142987</v>
      </c>
      <c r="AB79" s="6">
        <f>$K$79*$V$79</f>
        <v>0</v>
      </c>
      <c r="AC79" s="6">
        <f>$M$79*$W$79</f>
        <v>18001.660820000001</v>
      </c>
      <c r="AD79" s="6">
        <f>$O$79*$X$79</f>
        <v>65066.038179999996</v>
      </c>
      <c r="AE79" s="6">
        <f>$K$79*$Y$79</f>
        <v>0</v>
      </c>
      <c r="AF79" s="6">
        <f ca="1">$M$79*$Z$79</f>
        <v>20315.728773296487</v>
      </c>
      <c r="AG79" s="6">
        <f ca="1">$O$79*$AA$79</f>
        <v>48227.952731443285</v>
      </c>
    </row>
    <row r="80" spans="1:33" ht="11.25" customHeight="1" x14ac:dyDescent="0.25">
      <c r="A80" s="4" t="s">
        <v>21</v>
      </c>
      <c r="B80" s="4" t="s">
        <v>38</v>
      </c>
      <c r="C80" s="4" t="s">
        <v>39</v>
      </c>
      <c r="D80" s="4" t="s">
        <v>37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0</v>
      </c>
      <c r="K80" s="6">
        <v>0</v>
      </c>
      <c r="L80" s="6">
        <v>279.60899999999998</v>
      </c>
      <c r="M80" s="6">
        <v>279.60899999999998</v>
      </c>
      <c r="N80" s="6">
        <v>279.60899999999998</v>
      </c>
      <c r="O80" s="6">
        <v>279.60899999999998</v>
      </c>
      <c r="P80" s="6">
        <v>0</v>
      </c>
      <c r="Q80" s="4" t="s">
        <v>26</v>
      </c>
      <c r="R80" s="4">
        <v>0</v>
      </c>
      <c r="S80" s="6">
        <v>0</v>
      </c>
      <c r="T80" s="6">
        <v>21</v>
      </c>
      <c r="U80" s="6">
        <v>70</v>
      </c>
      <c r="V80" s="6">
        <f>IF(ISERROR(VLOOKUP($S$80,'TAR FIN'!$A$1:$O$88,15,0)),0,VLOOKUP($S$80,'TAR FIN'!$A$1:$O$88,15,0))</f>
        <v>0</v>
      </c>
      <c r="W80" s="6">
        <f>IF(ISERROR(VLOOKUP($T$80,'TAR FIN'!$A$1:$O$88,15,0)),0,VLOOKUP($T$80,'TAR FIN'!$A$1:$O$88,15,0))</f>
        <v>73.790000000000006</v>
      </c>
      <c r="X80" s="6">
        <f>IF(ISERROR(VLOOKUP($U$80,'TAR FIN'!$A$1:$O$88,15,0)),0,VLOOKUP($U$80,'TAR FIN'!$A$1:$O$88,15,0))</f>
        <v>266.70999999999998</v>
      </c>
      <c r="Y80" s="6"/>
      <c r="Z80" s="6">
        <f ca="1">('TUSD BE'!$AM$12+'TUSD BF_350'!$AM$12+'TUSD CVA'!$AM$12)*1</f>
        <v>83.275517807559041</v>
      </c>
      <c r="AA80" s="6">
        <f ca="1">('TE BE'!$AB$6+'TE BF_350'!$AB$6+'TE CVA'!$AB$6)*1</f>
        <v>197.6895725142987</v>
      </c>
      <c r="AB80" s="6">
        <f>$K$80*$V$80</f>
        <v>0</v>
      </c>
      <c r="AC80" s="6">
        <f>$M$80*$W$80</f>
        <v>20632.348109999999</v>
      </c>
      <c r="AD80" s="6">
        <f>$O$80*$X$80</f>
        <v>74574.51638999999</v>
      </c>
      <c r="AE80" s="6">
        <f>$K$80*$Y$80</f>
        <v>0</v>
      </c>
      <c r="AF80" s="6">
        <f ca="1">$M$80*$Z$80</f>
        <v>23284.584258653773</v>
      </c>
      <c r="AG80" s="6">
        <f ca="1">$O$80*$AA$80</f>
        <v>55275.78368115054</v>
      </c>
    </row>
    <row r="81" spans="1:33" ht="11.25" customHeight="1" x14ac:dyDescent="0.25">
      <c r="A81" s="4" t="s">
        <v>21</v>
      </c>
      <c r="B81" s="4" t="s">
        <v>38</v>
      </c>
      <c r="C81" s="4" t="s">
        <v>39</v>
      </c>
      <c r="D81" s="4" t="s">
        <v>37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44621</v>
      </c>
      <c r="J81" s="6">
        <v>0</v>
      </c>
      <c r="K81" s="6">
        <v>0</v>
      </c>
      <c r="L81" s="6">
        <v>312.495</v>
      </c>
      <c r="M81" s="6">
        <v>312.495</v>
      </c>
      <c r="N81" s="6">
        <v>312.495</v>
      </c>
      <c r="O81" s="6">
        <v>312.495</v>
      </c>
      <c r="P81" s="6">
        <v>0</v>
      </c>
      <c r="Q81" s="4" t="s">
        <v>26</v>
      </c>
      <c r="R81" s="4">
        <v>0</v>
      </c>
      <c r="S81" s="6">
        <v>0</v>
      </c>
      <c r="T81" s="6">
        <v>21</v>
      </c>
      <c r="U81" s="6">
        <v>70</v>
      </c>
      <c r="V81" s="6">
        <f>IF(ISERROR(VLOOKUP($S$81,'TAR FIN'!$A$1:$O$88,15,0)),0,VLOOKUP($S$81,'TAR FIN'!$A$1:$O$88,15,0))</f>
        <v>0</v>
      </c>
      <c r="W81" s="6">
        <f>IF(ISERROR(VLOOKUP($T$81,'TAR FIN'!$A$1:$O$88,15,0)),0,VLOOKUP($T$81,'TAR FIN'!$A$1:$O$88,15,0))</f>
        <v>73.790000000000006</v>
      </c>
      <c r="X81" s="6">
        <f>IF(ISERROR(VLOOKUP($U$81,'TAR FIN'!$A$1:$O$88,15,0)),0,VLOOKUP($U$81,'TAR FIN'!$A$1:$O$88,15,0))</f>
        <v>266.70999999999998</v>
      </c>
      <c r="Y81" s="6"/>
      <c r="Z81" s="6">
        <f ca="1">('TUSD BE'!$AM$12+'TUSD BF_350'!$AM$12+'TUSD CVA'!$AM$12)*1</f>
        <v>83.275517807559041</v>
      </c>
      <c r="AA81" s="6">
        <f ca="1">('TE BE'!$AB$6+'TE BF_350'!$AB$6+'TE CVA'!$AB$6)*1</f>
        <v>197.6895725142987</v>
      </c>
      <c r="AB81" s="6">
        <f>$K$81*$V$81</f>
        <v>0</v>
      </c>
      <c r="AC81" s="6">
        <f>$M$81*$W$81</f>
        <v>23059.006050000004</v>
      </c>
      <c r="AD81" s="6">
        <f>$O$81*$X$81</f>
        <v>83345.54144999999</v>
      </c>
      <c r="AE81" s="6">
        <f>$K$81*$Y$81</f>
        <v>0</v>
      </c>
      <c r="AF81" s="6">
        <f ca="1">$M$81*$Z$81</f>
        <v>26023.182937273163</v>
      </c>
      <c r="AG81" s="6">
        <f ca="1">$O$81*$AA$81</f>
        <v>61777.002962855775</v>
      </c>
    </row>
    <row r="82" spans="1:33" ht="11.25" customHeight="1" x14ac:dyDescent="0.25">
      <c r="A82" s="4" t="s">
        <v>21</v>
      </c>
      <c r="B82" s="4" t="s">
        <v>38</v>
      </c>
      <c r="C82" s="4" t="s">
        <v>39</v>
      </c>
      <c r="D82" s="4" t="s">
        <v>37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44652</v>
      </c>
      <c r="J82" s="6">
        <v>0</v>
      </c>
      <c r="K82" s="6">
        <v>0</v>
      </c>
      <c r="L82" s="6">
        <v>284.56400000000002</v>
      </c>
      <c r="M82" s="6">
        <v>284.56400000000002</v>
      </c>
      <c r="N82" s="6">
        <v>284.56400000000002</v>
      </c>
      <c r="O82" s="6">
        <v>284.56400000000002</v>
      </c>
      <c r="P82" s="6">
        <v>0</v>
      </c>
      <c r="Q82" s="4" t="s">
        <v>26</v>
      </c>
      <c r="R82" s="4">
        <v>0</v>
      </c>
      <c r="S82" s="6">
        <v>0</v>
      </c>
      <c r="T82" s="6">
        <v>21</v>
      </c>
      <c r="U82" s="6">
        <v>70</v>
      </c>
      <c r="V82" s="6">
        <f>IF(ISERROR(VLOOKUP($S$82,'TAR FIN'!$A$1:$O$88,15,0)),0,VLOOKUP($S$82,'TAR FIN'!$A$1:$O$88,15,0))</f>
        <v>0</v>
      </c>
      <c r="W82" s="6">
        <f>IF(ISERROR(VLOOKUP($T$82,'TAR FIN'!$A$1:$O$88,15,0)),0,VLOOKUP($T$82,'TAR FIN'!$A$1:$O$88,15,0))</f>
        <v>73.790000000000006</v>
      </c>
      <c r="X82" s="6">
        <f>IF(ISERROR(VLOOKUP($U$82,'TAR FIN'!$A$1:$O$88,15,0)),0,VLOOKUP($U$82,'TAR FIN'!$A$1:$O$88,15,0))</f>
        <v>266.70999999999998</v>
      </c>
      <c r="Y82" s="6"/>
      <c r="Z82" s="6">
        <f ca="1">('TUSD BE'!$AM$12+'TUSD BF_350'!$AM$12+'TUSD CVA'!$AM$12)*1</f>
        <v>83.275517807559041</v>
      </c>
      <c r="AA82" s="6">
        <f ca="1">('TE BE'!$AB$6+'TE BF_350'!$AB$6+'TE CVA'!$AB$6)*1</f>
        <v>197.6895725142987</v>
      </c>
      <c r="AB82" s="6">
        <f>$K$82*$V$82</f>
        <v>0</v>
      </c>
      <c r="AC82" s="6">
        <f>$M$82*$W$82</f>
        <v>20997.977560000003</v>
      </c>
      <c r="AD82" s="6">
        <f>$O$82*$X$82</f>
        <v>75896.064440000002</v>
      </c>
      <c r="AE82" s="6">
        <f>$K$82*$Y$82</f>
        <v>0</v>
      </c>
      <c r="AF82" s="6">
        <f ca="1">$M$82*$Z$82</f>
        <v>23697.214449390234</v>
      </c>
      <c r="AG82" s="6">
        <f ca="1">$O$82*$AA$82</f>
        <v>56255.335512958904</v>
      </c>
    </row>
    <row r="83" spans="1:33" ht="11.25" customHeight="1" x14ac:dyDescent="0.25">
      <c r="A83" s="4" t="s">
        <v>21</v>
      </c>
      <c r="B83" s="4" t="s">
        <v>38</v>
      </c>
      <c r="C83" s="4" t="s">
        <v>39</v>
      </c>
      <c r="D83" s="4" t="s">
        <v>37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44682</v>
      </c>
      <c r="J83" s="6">
        <v>0</v>
      </c>
      <c r="K83" s="6">
        <v>0</v>
      </c>
      <c r="L83" s="6">
        <v>324.16500000000002</v>
      </c>
      <c r="M83" s="6">
        <v>324.16500000000002</v>
      </c>
      <c r="N83" s="6">
        <v>324.16500000000002</v>
      </c>
      <c r="O83" s="6">
        <v>324.16500000000002</v>
      </c>
      <c r="P83" s="6">
        <v>0</v>
      </c>
      <c r="Q83" s="4" t="s">
        <v>26</v>
      </c>
      <c r="R83" s="4">
        <v>0</v>
      </c>
      <c r="S83" s="6">
        <v>0</v>
      </c>
      <c r="T83" s="6">
        <v>21</v>
      </c>
      <c r="U83" s="6">
        <v>70</v>
      </c>
      <c r="V83" s="6">
        <f>IF(ISERROR(VLOOKUP($S$83,'TAR FIN'!$A$1:$O$88,15,0)),0,VLOOKUP($S$83,'TAR FIN'!$A$1:$O$88,15,0))</f>
        <v>0</v>
      </c>
      <c r="W83" s="6">
        <f>IF(ISERROR(VLOOKUP($T$83,'TAR FIN'!$A$1:$O$88,15,0)),0,VLOOKUP($T$83,'TAR FIN'!$A$1:$O$88,15,0))</f>
        <v>73.790000000000006</v>
      </c>
      <c r="X83" s="6">
        <f>IF(ISERROR(VLOOKUP($U$83,'TAR FIN'!$A$1:$O$88,15,0)),0,VLOOKUP($U$83,'TAR FIN'!$A$1:$O$88,15,0))</f>
        <v>266.70999999999998</v>
      </c>
      <c r="Y83" s="6"/>
      <c r="Z83" s="6">
        <f ca="1">('TUSD BE'!$AM$12+'TUSD BF_350'!$AM$12+'TUSD CVA'!$AM$12)*1</f>
        <v>83.275517807559041</v>
      </c>
      <c r="AA83" s="6">
        <f ca="1">('TE BE'!$AB$6+'TE BF_350'!$AB$6+'TE CVA'!$AB$6)*1</f>
        <v>197.6895725142987</v>
      </c>
      <c r="AB83" s="6">
        <f>$K$83*$V$83</f>
        <v>0</v>
      </c>
      <c r="AC83" s="6">
        <f>$M$83*$W$83</f>
        <v>23920.135350000004</v>
      </c>
      <c r="AD83" s="6">
        <f>$O$83*$X$83</f>
        <v>86458.047149999999</v>
      </c>
      <c r="AE83" s="6">
        <f>$K$83*$Y$83</f>
        <v>0</v>
      </c>
      <c r="AF83" s="6">
        <f ca="1">$M$83*$Z$83</f>
        <v>26995.008230087376</v>
      </c>
      <c r="AG83" s="6">
        <f ca="1">$O$83*$AA$83</f>
        <v>64084.040274097642</v>
      </c>
    </row>
    <row r="84" spans="1:33" ht="11.25" customHeight="1" x14ac:dyDescent="0.25">
      <c r="A84" s="4" t="s">
        <v>21</v>
      </c>
      <c r="B84" s="4" t="s">
        <v>38</v>
      </c>
      <c r="C84" s="4" t="s">
        <v>39</v>
      </c>
      <c r="D84" s="4" t="s">
        <v>37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44713</v>
      </c>
      <c r="J84" s="6">
        <v>0</v>
      </c>
      <c r="K84" s="6">
        <v>0</v>
      </c>
      <c r="L84" s="6">
        <v>287.36500000000001</v>
      </c>
      <c r="M84" s="6">
        <v>287.36500000000001</v>
      </c>
      <c r="N84" s="6">
        <v>287.36500000000001</v>
      </c>
      <c r="O84" s="6">
        <v>287.36500000000001</v>
      </c>
      <c r="P84" s="6">
        <v>0</v>
      </c>
      <c r="Q84" s="4" t="s">
        <v>26</v>
      </c>
      <c r="R84" s="4">
        <v>0</v>
      </c>
      <c r="S84" s="6">
        <v>0</v>
      </c>
      <c r="T84" s="6">
        <v>21</v>
      </c>
      <c r="U84" s="6">
        <v>70</v>
      </c>
      <c r="V84" s="6">
        <f>IF(ISERROR(VLOOKUP($S$84,'TAR FIN'!$A$1:$O$88,15,0)),0,VLOOKUP($S$84,'TAR FIN'!$A$1:$O$88,15,0))</f>
        <v>0</v>
      </c>
      <c r="W84" s="6">
        <f>IF(ISERROR(VLOOKUP($T$84,'TAR FIN'!$A$1:$O$88,15,0)),0,VLOOKUP($T$84,'TAR FIN'!$A$1:$O$88,15,0))</f>
        <v>73.790000000000006</v>
      </c>
      <c r="X84" s="6">
        <f>IF(ISERROR(VLOOKUP($U$84,'TAR FIN'!$A$1:$O$88,15,0)),0,VLOOKUP($U$84,'TAR FIN'!$A$1:$O$88,15,0))</f>
        <v>266.70999999999998</v>
      </c>
      <c r="Y84" s="6"/>
      <c r="Z84" s="6">
        <f ca="1">('TUSD BE'!$AM$12+'TUSD BF_350'!$AM$12+'TUSD CVA'!$AM$12)*1</f>
        <v>83.275517807559041</v>
      </c>
      <c r="AA84" s="6">
        <f ca="1">('TE BE'!$AB$6+'TE BF_350'!$AB$6+'TE CVA'!$AB$6)*1</f>
        <v>197.6895725142987</v>
      </c>
      <c r="AB84" s="6">
        <f>$K$84*$V$84</f>
        <v>0</v>
      </c>
      <c r="AC84" s="6">
        <f>$M$84*$W$84</f>
        <v>21204.663350000003</v>
      </c>
      <c r="AD84" s="6">
        <f>$O$84*$X$84</f>
        <v>76643.119149999999</v>
      </c>
      <c r="AE84" s="6">
        <f>$K$84*$Y$84</f>
        <v>0</v>
      </c>
      <c r="AF84" s="6">
        <f ca="1">$M$84*$Z$84</f>
        <v>23930.469174769205</v>
      </c>
      <c r="AG84" s="6">
        <f ca="1">$O$84*$AA$84</f>
        <v>56809.064005571447</v>
      </c>
    </row>
    <row r="85" spans="1:33" ht="11.25" customHeight="1" x14ac:dyDescent="0.25">
      <c r="A85" s="4" t="s">
        <v>55</v>
      </c>
      <c r="B85" s="4" t="s">
        <v>38</v>
      </c>
      <c r="C85" s="4" t="s">
        <v>39</v>
      </c>
      <c r="D85" s="4" t="s">
        <v>37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44743</v>
      </c>
      <c r="J85" s="6">
        <v>0</v>
      </c>
      <c r="K85" s="6">
        <v>0</v>
      </c>
      <c r="L85" s="6">
        <v>287.36500000000001</v>
      </c>
      <c r="M85" s="6">
        <v>287.36500000000001</v>
      </c>
      <c r="N85" s="6">
        <v>287.36500000000001</v>
      </c>
      <c r="O85" s="6">
        <v>287.36500000000001</v>
      </c>
      <c r="P85" s="6">
        <v>0</v>
      </c>
      <c r="Q85" s="4" t="s">
        <v>26</v>
      </c>
      <c r="R85" s="4">
        <v>0</v>
      </c>
      <c r="S85" s="6">
        <v>0</v>
      </c>
      <c r="T85" s="6">
        <v>21</v>
      </c>
      <c r="U85" s="6">
        <v>70</v>
      </c>
      <c r="V85" s="6">
        <f>IF(ISERROR(VLOOKUP($S$85,'TAR FIN'!$A$1:$O$88,15,0)),0,VLOOKUP($S$85,'TAR FIN'!$A$1:$O$88,15,0))</f>
        <v>0</v>
      </c>
      <c r="W85" s="6">
        <f>IF(ISERROR(VLOOKUP($T$85,'TAR FIN'!$A$1:$O$88,15,0)),0,VLOOKUP($T$85,'TAR FIN'!$A$1:$O$88,15,0))</f>
        <v>73.790000000000006</v>
      </c>
      <c r="X85" s="6">
        <f>IF(ISERROR(VLOOKUP($U$85,'TAR FIN'!$A$1:$O$88,15,0)),0,VLOOKUP($U$85,'TAR FIN'!$A$1:$O$88,15,0))</f>
        <v>266.70999999999998</v>
      </c>
      <c r="Y85" s="6"/>
      <c r="Z85" s="6">
        <f ca="1">('TUSD BE'!$AM$12+'TUSD BF_350'!$AM$12+'TUSD CVA'!$AM$12)*1</f>
        <v>83.275517807559041</v>
      </c>
      <c r="AA85" s="6">
        <f ca="1">('TE BE'!$AB$6+'TE BF_350'!$AB$6+'TE CVA'!$AB$6)*1</f>
        <v>197.6895725142987</v>
      </c>
      <c r="AB85" s="6">
        <f>$K$85*$V$85</f>
        <v>0</v>
      </c>
      <c r="AC85" s="6">
        <f>$M$85*$W$85</f>
        <v>21204.663350000003</v>
      </c>
      <c r="AD85" s="6">
        <f>$O$85*$X$85</f>
        <v>76643.119149999999</v>
      </c>
      <c r="AE85" s="6">
        <f>$K$85*$Y$85</f>
        <v>0</v>
      </c>
      <c r="AF85" s="6">
        <f ca="1">$M$85*$Z$85</f>
        <v>23930.469174769205</v>
      </c>
      <c r="AG85" s="6">
        <f ca="1">$O$85*$AA$85</f>
        <v>56809.064005571447</v>
      </c>
    </row>
    <row r="86" spans="1:33" ht="11.25" customHeight="1" x14ac:dyDescent="0.25">
      <c r="A86" s="4" t="s">
        <v>21</v>
      </c>
      <c r="B86" s="4" t="s">
        <v>38</v>
      </c>
      <c r="C86" s="4" t="s">
        <v>39</v>
      </c>
      <c r="D86" s="4" t="s">
        <v>37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44409</v>
      </c>
      <c r="J86" s="6">
        <v>1735</v>
      </c>
      <c r="K86" s="6">
        <v>1735</v>
      </c>
      <c r="L86" s="6">
        <v>0</v>
      </c>
      <c r="M86" s="6">
        <v>0</v>
      </c>
      <c r="N86" s="6">
        <v>0</v>
      </c>
      <c r="O86" s="6">
        <v>0</v>
      </c>
      <c r="P86" s="6">
        <v>10</v>
      </c>
      <c r="Q86" s="4" t="s">
        <v>26</v>
      </c>
      <c r="R86" s="4">
        <v>0</v>
      </c>
      <c r="S86" s="6">
        <v>15</v>
      </c>
      <c r="T86" s="6">
        <v>0</v>
      </c>
      <c r="U86" s="6">
        <v>0</v>
      </c>
      <c r="V86" s="6">
        <f>IF(ISERROR(VLOOKUP($S$86,'TAR FIN'!$A$1:$O$88,15,0)),0,VLOOKUP($S$86,'TAR FIN'!$A$1:$O$88,15,0))</f>
        <v>17.190000000000001</v>
      </c>
      <c r="W86" s="6">
        <f>IF(ISERROR(VLOOKUP($T$86,'TAR FIN'!$A$1:$O$88,15,0)),0,VLOOKUP($T$86,'TAR FIN'!$A$1:$O$88,15,0))</f>
        <v>0</v>
      </c>
      <c r="X86" s="6">
        <f>IF(ISERROR(VLOOKUP($U$86,'TAR FIN'!$A$1:$O$88,15,0)),0,VLOOKUP($U$86,'TAR FIN'!$A$1:$O$88,15,0))</f>
        <v>0</v>
      </c>
      <c r="Y86" s="6">
        <f ca="1">('TUSD BE'!$AM$10+'TUSD BF_350'!$AM$10+'TUSD CVA'!$AM$10)*1</f>
        <v>13.66046481326768</v>
      </c>
      <c r="Z86" s="6"/>
      <c r="AA86" s="6"/>
      <c r="AB86" s="6">
        <f>$K$86*$V$86</f>
        <v>29824.65</v>
      </c>
      <c r="AC86" s="6">
        <f>$M$86*$W$86</f>
        <v>0</v>
      </c>
      <c r="AD86" s="6">
        <f>$O$86*$X$86</f>
        <v>0</v>
      </c>
      <c r="AE86" s="6">
        <f ca="1">$K$86*$Y$86</f>
        <v>23700.906451019426</v>
      </c>
      <c r="AF86" s="6">
        <f>$M$86*$Z$86</f>
        <v>0</v>
      </c>
      <c r="AG86" s="6">
        <f>$O$86*$AA$86</f>
        <v>0</v>
      </c>
    </row>
    <row r="87" spans="1:33" ht="11.25" customHeight="1" x14ac:dyDescent="0.25">
      <c r="A87" s="4" t="s">
        <v>21</v>
      </c>
      <c r="B87" s="4" t="s">
        <v>38</v>
      </c>
      <c r="C87" s="4" t="s">
        <v>39</v>
      </c>
      <c r="D87" s="4" t="s">
        <v>37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44440</v>
      </c>
      <c r="J87" s="6">
        <v>1718</v>
      </c>
      <c r="K87" s="6">
        <v>1718</v>
      </c>
      <c r="L87" s="6">
        <v>0</v>
      </c>
      <c r="M87" s="6">
        <v>0</v>
      </c>
      <c r="N87" s="6">
        <v>0</v>
      </c>
      <c r="O87" s="6">
        <v>0</v>
      </c>
      <c r="P87" s="6">
        <v>10</v>
      </c>
      <c r="Q87" s="4" t="s">
        <v>26</v>
      </c>
      <c r="R87" s="4">
        <v>0</v>
      </c>
      <c r="S87" s="6">
        <v>15</v>
      </c>
      <c r="T87" s="6">
        <v>0</v>
      </c>
      <c r="U87" s="6">
        <v>0</v>
      </c>
      <c r="V87" s="6">
        <f>IF(ISERROR(VLOOKUP($S$87,'TAR FIN'!$A$1:$O$88,15,0)),0,VLOOKUP($S$87,'TAR FIN'!$A$1:$O$88,15,0))</f>
        <v>17.190000000000001</v>
      </c>
      <c r="W87" s="6">
        <f>IF(ISERROR(VLOOKUP($T$87,'TAR FIN'!$A$1:$O$88,15,0)),0,VLOOKUP($T$87,'TAR FIN'!$A$1:$O$88,15,0))</f>
        <v>0</v>
      </c>
      <c r="X87" s="6">
        <f>IF(ISERROR(VLOOKUP($U$87,'TAR FIN'!$A$1:$O$88,15,0)),0,VLOOKUP($U$87,'TAR FIN'!$A$1:$O$88,15,0))</f>
        <v>0</v>
      </c>
      <c r="Y87" s="6">
        <f ca="1">('TUSD BE'!$AM$10+'TUSD BF_350'!$AM$10+'TUSD CVA'!$AM$10)*1</f>
        <v>13.66046481326768</v>
      </c>
      <c r="Z87" s="6"/>
      <c r="AA87" s="6"/>
      <c r="AB87" s="6">
        <f>$K$87*$V$87</f>
        <v>29532.420000000002</v>
      </c>
      <c r="AC87" s="6">
        <f>$M$87*$W$87</f>
        <v>0</v>
      </c>
      <c r="AD87" s="6">
        <f>$O$87*$X$87</f>
        <v>0</v>
      </c>
      <c r="AE87" s="6">
        <f ca="1">$K$87*$Y$87</f>
        <v>23468.678549193875</v>
      </c>
      <c r="AF87" s="6">
        <f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38</v>
      </c>
      <c r="C88" s="4" t="s">
        <v>39</v>
      </c>
      <c r="D88" s="4" t="s">
        <v>37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44470</v>
      </c>
      <c r="J88" s="6">
        <v>1701</v>
      </c>
      <c r="K88" s="6">
        <v>1701</v>
      </c>
      <c r="L88" s="6">
        <v>0</v>
      </c>
      <c r="M88" s="6">
        <v>0</v>
      </c>
      <c r="N88" s="6">
        <v>0</v>
      </c>
      <c r="O88" s="6">
        <v>0</v>
      </c>
      <c r="P88" s="6">
        <v>10</v>
      </c>
      <c r="Q88" s="4" t="s">
        <v>26</v>
      </c>
      <c r="R88" s="4">
        <v>0</v>
      </c>
      <c r="S88" s="6">
        <v>15</v>
      </c>
      <c r="T88" s="6">
        <v>0</v>
      </c>
      <c r="U88" s="6">
        <v>0</v>
      </c>
      <c r="V88" s="6">
        <f>IF(ISERROR(VLOOKUP($S$88,'TAR FIN'!$A$1:$O$88,15,0)),0,VLOOKUP($S$88,'TAR FIN'!$A$1:$O$88,15,0))</f>
        <v>17.190000000000001</v>
      </c>
      <c r="W88" s="6">
        <f>IF(ISERROR(VLOOKUP($T$88,'TAR FIN'!$A$1:$O$88,15,0)),0,VLOOKUP($T$88,'TAR FIN'!$A$1:$O$88,15,0))</f>
        <v>0</v>
      </c>
      <c r="X88" s="6">
        <f>IF(ISERROR(VLOOKUP($U$88,'TAR FIN'!$A$1:$O$88,15,0)),0,VLOOKUP($U$88,'TAR FIN'!$A$1:$O$88,15,0))</f>
        <v>0</v>
      </c>
      <c r="Y88" s="6">
        <f ca="1">('TUSD BE'!$AM$10+'TUSD BF_350'!$AM$10+'TUSD CVA'!$AM$10)*1</f>
        <v>13.66046481326768</v>
      </c>
      <c r="Z88" s="6"/>
      <c r="AA88" s="6"/>
      <c r="AB88" s="6">
        <f>$K$88*$V$88</f>
        <v>29240.190000000002</v>
      </c>
      <c r="AC88" s="6">
        <f>$M$88*$W$88</f>
        <v>0</v>
      </c>
      <c r="AD88" s="6">
        <f>$O$88*$X$88</f>
        <v>0</v>
      </c>
      <c r="AE88" s="6">
        <f ca="1">$K$88*$Y$88</f>
        <v>23236.450647368325</v>
      </c>
      <c r="AF88" s="6">
        <f>$M$88*$Z$88</f>
        <v>0</v>
      </c>
      <c r="AG88" s="6">
        <f>$O$88*$AA$88</f>
        <v>0</v>
      </c>
    </row>
    <row r="89" spans="1:33" ht="11.25" customHeight="1" x14ac:dyDescent="0.25">
      <c r="A89" s="4" t="s">
        <v>21</v>
      </c>
      <c r="B89" s="4" t="s">
        <v>38</v>
      </c>
      <c r="C89" s="4" t="s">
        <v>39</v>
      </c>
      <c r="D89" s="4" t="s">
        <v>37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44501</v>
      </c>
      <c r="J89" s="6">
        <v>1707</v>
      </c>
      <c r="K89" s="6">
        <v>1707</v>
      </c>
      <c r="L89" s="6">
        <v>0</v>
      </c>
      <c r="M89" s="6">
        <v>0</v>
      </c>
      <c r="N89" s="6">
        <v>0</v>
      </c>
      <c r="O89" s="6">
        <v>0</v>
      </c>
      <c r="P89" s="6">
        <v>10</v>
      </c>
      <c r="Q89" s="4" t="s">
        <v>26</v>
      </c>
      <c r="R89" s="4">
        <v>0</v>
      </c>
      <c r="S89" s="6">
        <v>15</v>
      </c>
      <c r="T89" s="6">
        <v>0</v>
      </c>
      <c r="U89" s="6">
        <v>0</v>
      </c>
      <c r="V89" s="6">
        <f>IF(ISERROR(VLOOKUP($S$89,'TAR FIN'!$A$1:$O$88,15,0)),0,VLOOKUP($S$89,'TAR FIN'!$A$1:$O$88,15,0))</f>
        <v>17.190000000000001</v>
      </c>
      <c r="W89" s="6">
        <f>IF(ISERROR(VLOOKUP($T$89,'TAR FIN'!$A$1:$O$88,15,0)),0,VLOOKUP($T$89,'TAR FIN'!$A$1:$O$88,15,0))</f>
        <v>0</v>
      </c>
      <c r="X89" s="6">
        <f>IF(ISERROR(VLOOKUP($U$89,'TAR FIN'!$A$1:$O$88,15,0)),0,VLOOKUP($U$89,'TAR FIN'!$A$1:$O$88,15,0))</f>
        <v>0</v>
      </c>
      <c r="Y89" s="6">
        <f ca="1">('TUSD BE'!$AM$10+'TUSD BF_350'!$AM$10+'TUSD CVA'!$AM$10)*1</f>
        <v>13.66046481326768</v>
      </c>
      <c r="Z89" s="6"/>
      <c r="AA89" s="6"/>
      <c r="AB89" s="6">
        <f>$K$89*$V$89</f>
        <v>29343.33</v>
      </c>
      <c r="AC89" s="6">
        <f>$M$89*$W$89</f>
        <v>0</v>
      </c>
      <c r="AD89" s="6">
        <f>$O$89*$X$89</f>
        <v>0</v>
      </c>
      <c r="AE89" s="6">
        <f ca="1">$K$89*$Y$89</f>
        <v>23318.413436247931</v>
      </c>
      <c r="AF89" s="6">
        <f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38</v>
      </c>
      <c r="C90" s="4" t="s">
        <v>39</v>
      </c>
      <c r="D90" s="4" t="s">
        <v>37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44531</v>
      </c>
      <c r="J90" s="6">
        <v>1732</v>
      </c>
      <c r="K90" s="6">
        <v>1732</v>
      </c>
      <c r="L90" s="6">
        <v>0</v>
      </c>
      <c r="M90" s="6">
        <v>0</v>
      </c>
      <c r="N90" s="6">
        <v>0</v>
      </c>
      <c r="O90" s="6">
        <v>0</v>
      </c>
      <c r="P90" s="6">
        <v>10</v>
      </c>
      <c r="Q90" s="4" t="s">
        <v>26</v>
      </c>
      <c r="R90" s="4">
        <v>0</v>
      </c>
      <c r="S90" s="6">
        <v>15</v>
      </c>
      <c r="T90" s="6">
        <v>0</v>
      </c>
      <c r="U90" s="6">
        <v>0</v>
      </c>
      <c r="V90" s="6">
        <f>IF(ISERROR(VLOOKUP($S$90,'TAR FIN'!$A$1:$O$88,15,0)),0,VLOOKUP($S$90,'TAR FIN'!$A$1:$O$88,15,0))</f>
        <v>17.190000000000001</v>
      </c>
      <c r="W90" s="6">
        <f>IF(ISERROR(VLOOKUP($T$90,'TAR FIN'!$A$1:$O$88,15,0)),0,VLOOKUP($T$90,'TAR FIN'!$A$1:$O$88,15,0))</f>
        <v>0</v>
      </c>
      <c r="X90" s="6">
        <f>IF(ISERROR(VLOOKUP($U$90,'TAR FIN'!$A$1:$O$88,15,0)),0,VLOOKUP($U$90,'TAR FIN'!$A$1:$O$88,15,0))</f>
        <v>0</v>
      </c>
      <c r="Y90" s="6">
        <f ca="1">('TUSD BE'!$AM$10+'TUSD BF_350'!$AM$10+'TUSD CVA'!$AM$10)*1</f>
        <v>13.66046481326768</v>
      </c>
      <c r="Z90" s="6"/>
      <c r="AA90" s="6"/>
      <c r="AB90" s="6">
        <f>$K$90*$V$90</f>
        <v>29773.08</v>
      </c>
      <c r="AC90" s="6">
        <f>$M$90*$W$90</f>
        <v>0</v>
      </c>
      <c r="AD90" s="6">
        <f>$O$90*$X$90</f>
        <v>0</v>
      </c>
      <c r="AE90" s="6">
        <f ca="1">$K$90*$Y$90</f>
        <v>23659.925056579621</v>
      </c>
      <c r="AF90" s="6">
        <f>$M$90*$Z$90</f>
        <v>0</v>
      </c>
      <c r="AG90" s="6">
        <f>$O$90*$AA$90</f>
        <v>0</v>
      </c>
    </row>
    <row r="91" spans="1:33" ht="11.25" customHeight="1" x14ac:dyDescent="0.25">
      <c r="A91" s="4" t="s">
        <v>21</v>
      </c>
      <c r="B91" s="4" t="s">
        <v>38</v>
      </c>
      <c r="C91" s="4" t="s">
        <v>39</v>
      </c>
      <c r="D91" s="4" t="s">
        <v>37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44562</v>
      </c>
      <c r="J91" s="6">
        <v>1740</v>
      </c>
      <c r="K91" s="6">
        <v>1740</v>
      </c>
      <c r="L91" s="6">
        <v>0</v>
      </c>
      <c r="M91" s="6">
        <v>0</v>
      </c>
      <c r="N91" s="6">
        <v>0</v>
      </c>
      <c r="O91" s="6">
        <v>0</v>
      </c>
      <c r="P91" s="6">
        <v>10</v>
      </c>
      <c r="Q91" s="4" t="s">
        <v>26</v>
      </c>
      <c r="R91" s="4">
        <v>0</v>
      </c>
      <c r="S91" s="6">
        <v>15</v>
      </c>
      <c r="T91" s="6">
        <v>0</v>
      </c>
      <c r="U91" s="6">
        <v>0</v>
      </c>
      <c r="V91" s="6">
        <f>IF(ISERROR(VLOOKUP($S$91,'TAR FIN'!$A$1:$O$88,15,0)),0,VLOOKUP($S$91,'TAR FIN'!$A$1:$O$88,15,0))</f>
        <v>17.190000000000001</v>
      </c>
      <c r="W91" s="6">
        <f>IF(ISERROR(VLOOKUP($T$91,'TAR FIN'!$A$1:$O$88,15,0)),0,VLOOKUP($T$91,'TAR FIN'!$A$1:$O$88,15,0))</f>
        <v>0</v>
      </c>
      <c r="X91" s="6">
        <f>IF(ISERROR(VLOOKUP($U$91,'TAR FIN'!$A$1:$O$88,15,0)),0,VLOOKUP($U$91,'TAR FIN'!$A$1:$O$88,15,0))</f>
        <v>0</v>
      </c>
      <c r="Y91" s="6">
        <f ca="1">('TUSD BE'!$AM$10+'TUSD BF_350'!$AM$10+'TUSD CVA'!$AM$10)*1</f>
        <v>13.66046481326768</v>
      </c>
      <c r="Z91" s="6"/>
      <c r="AA91" s="6"/>
      <c r="AB91" s="6">
        <f>$K$91*$V$91</f>
        <v>29910.600000000002</v>
      </c>
      <c r="AC91" s="6">
        <f>$M$91*$W$91</f>
        <v>0</v>
      </c>
      <c r="AD91" s="6">
        <f>$O$91*$X$91</f>
        <v>0</v>
      </c>
      <c r="AE91" s="6">
        <f ca="1">$K$91*$Y$91</f>
        <v>23769.208775085765</v>
      </c>
      <c r="AF91" s="6">
        <f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38</v>
      </c>
      <c r="C92" s="4" t="s">
        <v>39</v>
      </c>
      <c r="D92" s="4" t="s">
        <v>37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44593</v>
      </c>
      <c r="J92" s="6">
        <v>1747</v>
      </c>
      <c r="K92" s="6">
        <v>1747</v>
      </c>
      <c r="L92" s="6">
        <v>0</v>
      </c>
      <c r="M92" s="6">
        <v>0</v>
      </c>
      <c r="N92" s="6">
        <v>0</v>
      </c>
      <c r="O92" s="6">
        <v>0</v>
      </c>
      <c r="P92" s="6">
        <v>10</v>
      </c>
      <c r="Q92" s="4" t="s">
        <v>26</v>
      </c>
      <c r="R92" s="4">
        <v>0</v>
      </c>
      <c r="S92" s="6">
        <v>15</v>
      </c>
      <c r="T92" s="6">
        <v>0</v>
      </c>
      <c r="U92" s="6">
        <v>0</v>
      </c>
      <c r="V92" s="6">
        <f>IF(ISERROR(VLOOKUP($S$92,'TAR FIN'!$A$1:$O$88,15,0)),0,VLOOKUP($S$92,'TAR FIN'!$A$1:$O$88,15,0))</f>
        <v>17.190000000000001</v>
      </c>
      <c r="W92" s="6">
        <f>IF(ISERROR(VLOOKUP($T$92,'TAR FIN'!$A$1:$O$88,15,0)),0,VLOOKUP($T$92,'TAR FIN'!$A$1:$O$88,15,0))</f>
        <v>0</v>
      </c>
      <c r="X92" s="6">
        <f>IF(ISERROR(VLOOKUP($U$92,'TAR FIN'!$A$1:$O$88,15,0)),0,VLOOKUP($U$92,'TAR FIN'!$A$1:$O$88,15,0))</f>
        <v>0</v>
      </c>
      <c r="Y92" s="6">
        <f ca="1">('TUSD BE'!$AM$10+'TUSD BF_350'!$AM$10+'TUSD CVA'!$AM$10)*1</f>
        <v>13.66046481326768</v>
      </c>
      <c r="Z92" s="6"/>
      <c r="AA92" s="6"/>
      <c r="AB92" s="6">
        <f>$K$92*$V$92</f>
        <v>30030.930000000004</v>
      </c>
      <c r="AC92" s="6">
        <f>$M$92*$W$92</f>
        <v>0</v>
      </c>
      <c r="AD92" s="6">
        <f>$O$92*$X$92</f>
        <v>0</v>
      </c>
      <c r="AE92" s="6">
        <f ca="1">$K$92*$Y$92</f>
        <v>23864.832028778637</v>
      </c>
      <c r="AF92" s="6">
        <f>$M$92*$Z$92</f>
        <v>0</v>
      </c>
      <c r="AG92" s="6">
        <f>$O$92*$AA$92</f>
        <v>0</v>
      </c>
    </row>
    <row r="93" spans="1:33" ht="11.25" customHeight="1" x14ac:dyDescent="0.25">
      <c r="A93" s="4" t="s">
        <v>21</v>
      </c>
      <c r="B93" s="4" t="s">
        <v>38</v>
      </c>
      <c r="C93" s="4" t="s">
        <v>39</v>
      </c>
      <c r="D93" s="4" t="s">
        <v>37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44621</v>
      </c>
      <c r="J93" s="6">
        <v>1748</v>
      </c>
      <c r="K93" s="6">
        <v>1748</v>
      </c>
      <c r="L93" s="6">
        <v>0</v>
      </c>
      <c r="M93" s="6">
        <v>0</v>
      </c>
      <c r="N93" s="6">
        <v>0</v>
      </c>
      <c r="O93" s="6">
        <v>0</v>
      </c>
      <c r="P93" s="6">
        <v>10</v>
      </c>
      <c r="Q93" s="4" t="s">
        <v>26</v>
      </c>
      <c r="R93" s="4">
        <v>0</v>
      </c>
      <c r="S93" s="6">
        <v>15</v>
      </c>
      <c r="T93" s="6">
        <v>0</v>
      </c>
      <c r="U93" s="6">
        <v>0</v>
      </c>
      <c r="V93" s="6">
        <f>IF(ISERROR(VLOOKUP($S$93,'TAR FIN'!$A$1:$O$88,15,0)),0,VLOOKUP($S$93,'TAR FIN'!$A$1:$O$88,15,0))</f>
        <v>17.190000000000001</v>
      </c>
      <c r="W93" s="6">
        <f>IF(ISERROR(VLOOKUP($T$93,'TAR FIN'!$A$1:$O$88,15,0)),0,VLOOKUP($T$93,'TAR FIN'!$A$1:$O$88,15,0))</f>
        <v>0</v>
      </c>
      <c r="X93" s="6">
        <f>IF(ISERROR(VLOOKUP($U$93,'TAR FIN'!$A$1:$O$88,15,0)),0,VLOOKUP($U$93,'TAR FIN'!$A$1:$O$88,15,0))</f>
        <v>0</v>
      </c>
      <c r="Y93" s="6">
        <f ca="1">('TUSD BE'!$AM$10+'TUSD BF_350'!$AM$10+'TUSD CVA'!$AM$10)*1</f>
        <v>13.66046481326768</v>
      </c>
      <c r="Z93" s="6"/>
      <c r="AA93" s="6"/>
      <c r="AB93" s="6">
        <f>$K$93*$V$93</f>
        <v>30048.120000000003</v>
      </c>
      <c r="AC93" s="6">
        <f>$M$93*$W$93</f>
        <v>0</v>
      </c>
      <c r="AD93" s="6">
        <f>$O$93*$X$93</f>
        <v>0</v>
      </c>
      <c r="AE93" s="6">
        <f ca="1">$K$93*$Y$93</f>
        <v>23878.492493591904</v>
      </c>
      <c r="AF93" s="6">
        <f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38</v>
      </c>
      <c r="C94" s="4" t="s">
        <v>39</v>
      </c>
      <c r="D94" s="4" t="s">
        <v>37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44652</v>
      </c>
      <c r="J94" s="6">
        <v>1724</v>
      </c>
      <c r="K94" s="6">
        <v>1724</v>
      </c>
      <c r="L94" s="6">
        <v>0</v>
      </c>
      <c r="M94" s="6">
        <v>0</v>
      </c>
      <c r="N94" s="6">
        <v>0</v>
      </c>
      <c r="O94" s="6">
        <v>0</v>
      </c>
      <c r="P94" s="6">
        <v>10</v>
      </c>
      <c r="Q94" s="4" t="s">
        <v>26</v>
      </c>
      <c r="R94" s="4">
        <v>0</v>
      </c>
      <c r="S94" s="6">
        <v>15</v>
      </c>
      <c r="T94" s="6">
        <v>0</v>
      </c>
      <c r="U94" s="6">
        <v>0</v>
      </c>
      <c r="V94" s="6">
        <f>IF(ISERROR(VLOOKUP($S$94,'TAR FIN'!$A$1:$O$88,15,0)),0,VLOOKUP($S$94,'TAR FIN'!$A$1:$O$88,15,0))</f>
        <v>17.190000000000001</v>
      </c>
      <c r="W94" s="6">
        <f>IF(ISERROR(VLOOKUP($T$94,'TAR FIN'!$A$1:$O$88,15,0)),0,VLOOKUP($T$94,'TAR FIN'!$A$1:$O$88,15,0))</f>
        <v>0</v>
      </c>
      <c r="X94" s="6">
        <f>IF(ISERROR(VLOOKUP($U$94,'TAR FIN'!$A$1:$O$88,15,0)),0,VLOOKUP($U$94,'TAR FIN'!$A$1:$O$88,15,0))</f>
        <v>0</v>
      </c>
      <c r="Y94" s="6">
        <f ca="1">('TUSD BE'!$AM$10+'TUSD BF_350'!$AM$10+'TUSD CVA'!$AM$10)*1</f>
        <v>13.66046481326768</v>
      </c>
      <c r="Z94" s="6"/>
      <c r="AA94" s="6"/>
      <c r="AB94" s="6">
        <f>$K$94*$V$94</f>
        <v>29635.56</v>
      </c>
      <c r="AC94" s="6">
        <f>$M$94*$W$94</f>
        <v>0</v>
      </c>
      <c r="AD94" s="6">
        <f>$O$94*$X$94</f>
        <v>0</v>
      </c>
      <c r="AE94" s="6">
        <f ca="1">$K$94*$Y$94</f>
        <v>23550.641338073481</v>
      </c>
      <c r="AF94" s="6">
        <f>$M$94*$Z$94</f>
        <v>0</v>
      </c>
      <c r="AG94" s="6">
        <f>$O$94*$AA$94</f>
        <v>0</v>
      </c>
    </row>
    <row r="95" spans="1:33" ht="11.25" customHeight="1" x14ac:dyDescent="0.25">
      <c r="A95" s="4" t="s">
        <v>21</v>
      </c>
      <c r="B95" s="4" t="s">
        <v>38</v>
      </c>
      <c r="C95" s="4" t="s">
        <v>39</v>
      </c>
      <c r="D95" s="4" t="s">
        <v>37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44682</v>
      </c>
      <c r="J95" s="6">
        <v>1734</v>
      </c>
      <c r="K95" s="6">
        <v>1734</v>
      </c>
      <c r="L95" s="6">
        <v>0</v>
      </c>
      <c r="M95" s="6">
        <v>0</v>
      </c>
      <c r="N95" s="6">
        <v>0</v>
      </c>
      <c r="O95" s="6">
        <v>0</v>
      </c>
      <c r="P95" s="6">
        <v>10</v>
      </c>
      <c r="Q95" s="4" t="s">
        <v>26</v>
      </c>
      <c r="R95" s="4">
        <v>0</v>
      </c>
      <c r="S95" s="6">
        <v>15</v>
      </c>
      <c r="T95" s="6">
        <v>0</v>
      </c>
      <c r="U95" s="6">
        <v>0</v>
      </c>
      <c r="V95" s="6">
        <f>IF(ISERROR(VLOOKUP($S$95,'TAR FIN'!$A$1:$O$88,15,0)),0,VLOOKUP($S$95,'TAR FIN'!$A$1:$O$88,15,0))</f>
        <v>17.190000000000001</v>
      </c>
      <c r="W95" s="6">
        <f>IF(ISERROR(VLOOKUP($T$95,'TAR FIN'!$A$1:$O$88,15,0)),0,VLOOKUP($T$95,'TAR FIN'!$A$1:$O$88,15,0))</f>
        <v>0</v>
      </c>
      <c r="X95" s="6">
        <f>IF(ISERROR(VLOOKUP($U$95,'TAR FIN'!$A$1:$O$88,15,0)),0,VLOOKUP($U$95,'TAR FIN'!$A$1:$O$88,15,0))</f>
        <v>0</v>
      </c>
      <c r="Y95" s="6">
        <f ca="1">('TUSD BE'!$AM$10+'TUSD BF_350'!$AM$10+'TUSD CVA'!$AM$10)*1</f>
        <v>13.66046481326768</v>
      </c>
      <c r="Z95" s="6"/>
      <c r="AA95" s="6"/>
      <c r="AB95" s="6">
        <f>$K$95*$V$95</f>
        <v>29807.460000000003</v>
      </c>
      <c r="AC95" s="6">
        <f>$M$95*$W$95</f>
        <v>0</v>
      </c>
      <c r="AD95" s="6">
        <f>$O$95*$X$95</f>
        <v>0</v>
      </c>
      <c r="AE95" s="6">
        <f ca="1">$K$95*$Y$95</f>
        <v>23687.245986206159</v>
      </c>
      <c r="AF95" s="6">
        <f>$M$95*$Z$95</f>
        <v>0</v>
      </c>
      <c r="AG95" s="6">
        <f>$O$95*$AA$95</f>
        <v>0</v>
      </c>
    </row>
    <row r="96" spans="1:33" ht="11.25" customHeight="1" x14ac:dyDescent="0.25">
      <c r="A96" s="4" t="s">
        <v>21</v>
      </c>
      <c r="B96" s="4" t="s">
        <v>38</v>
      </c>
      <c r="C96" s="4" t="s">
        <v>39</v>
      </c>
      <c r="D96" s="4" t="s">
        <v>37</v>
      </c>
      <c r="E96" s="4" t="s">
        <v>25</v>
      </c>
      <c r="F96" s="4" t="s">
        <v>25</v>
      </c>
      <c r="G96" s="4" t="s">
        <v>25</v>
      </c>
      <c r="H96" s="4" t="s">
        <v>25</v>
      </c>
      <c r="I96" s="5">
        <v>44713</v>
      </c>
      <c r="J96" s="6">
        <v>1748</v>
      </c>
      <c r="K96" s="6">
        <v>1748</v>
      </c>
      <c r="L96" s="6">
        <v>0</v>
      </c>
      <c r="M96" s="6">
        <v>0</v>
      </c>
      <c r="N96" s="6">
        <v>0</v>
      </c>
      <c r="O96" s="6">
        <v>0</v>
      </c>
      <c r="P96" s="6">
        <v>10</v>
      </c>
      <c r="Q96" s="4" t="s">
        <v>26</v>
      </c>
      <c r="R96" s="4">
        <v>0</v>
      </c>
      <c r="S96" s="6">
        <v>15</v>
      </c>
      <c r="T96" s="6">
        <v>0</v>
      </c>
      <c r="U96" s="6">
        <v>0</v>
      </c>
      <c r="V96" s="6">
        <f>IF(ISERROR(VLOOKUP($S$96,'TAR FIN'!$A$1:$O$88,15,0)),0,VLOOKUP($S$96,'TAR FIN'!$A$1:$O$88,15,0))</f>
        <v>17.190000000000001</v>
      </c>
      <c r="W96" s="6">
        <f>IF(ISERROR(VLOOKUP($T$96,'TAR FIN'!$A$1:$O$88,15,0)),0,VLOOKUP($T$96,'TAR FIN'!$A$1:$O$88,15,0))</f>
        <v>0</v>
      </c>
      <c r="X96" s="6">
        <f>IF(ISERROR(VLOOKUP($U$96,'TAR FIN'!$A$1:$O$88,15,0)),0,VLOOKUP($U$96,'TAR FIN'!$A$1:$O$88,15,0))</f>
        <v>0</v>
      </c>
      <c r="Y96" s="6">
        <f ca="1">('TUSD BE'!$AM$10+'TUSD BF_350'!$AM$10+'TUSD CVA'!$AM$10)*1</f>
        <v>13.66046481326768</v>
      </c>
      <c r="Z96" s="6"/>
      <c r="AA96" s="6"/>
      <c r="AB96" s="6">
        <f>$K$96*$V$96</f>
        <v>30048.120000000003</v>
      </c>
      <c r="AC96" s="6">
        <f>$M$96*$W$96</f>
        <v>0</v>
      </c>
      <c r="AD96" s="6">
        <f>$O$96*$X$96</f>
        <v>0</v>
      </c>
      <c r="AE96" s="6">
        <f ca="1">$K$96*$Y$96</f>
        <v>23878.492493591904</v>
      </c>
      <c r="AF96" s="6">
        <f>$M$96*$Z$96</f>
        <v>0</v>
      </c>
      <c r="AG96" s="6">
        <f>$O$96*$AA$96</f>
        <v>0</v>
      </c>
    </row>
    <row r="97" spans="1:33" ht="11.25" customHeight="1" x14ac:dyDescent="0.25">
      <c r="A97" s="4" t="s">
        <v>55</v>
      </c>
      <c r="B97" s="4" t="s">
        <v>38</v>
      </c>
      <c r="C97" s="4" t="s">
        <v>39</v>
      </c>
      <c r="D97" s="4" t="s">
        <v>37</v>
      </c>
      <c r="E97" s="4" t="s">
        <v>25</v>
      </c>
      <c r="F97" s="4" t="s">
        <v>25</v>
      </c>
      <c r="G97" s="4" t="s">
        <v>25</v>
      </c>
      <c r="H97" s="4" t="s">
        <v>25</v>
      </c>
      <c r="I97" s="5">
        <v>44743</v>
      </c>
      <c r="J97" s="6">
        <v>1748</v>
      </c>
      <c r="K97" s="6">
        <v>1748</v>
      </c>
      <c r="L97" s="6">
        <v>0</v>
      </c>
      <c r="M97" s="6">
        <v>0</v>
      </c>
      <c r="N97" s="6">
        <v>0</v>
      </c>
      <c r="O97" s="6">
        <v>0</v>
      </c>
      <c r="P97" s="6">
        <v>10</v>
      </c>
      <c r="Q97" s="4" t="s">
        <v>26</v>
      </c>
      <c r="R97" s="4">
        <v>0</v>
      </c>
      <c r="S97" s="6">
        <v>15</v>
      </c>
      <c r="T97" s="6">
        <v>0</v>
      </c>
      <c r="U97" s="6">
        <v>0</v>
      </c>
      <c r="V97" s="6">
        <f>IF(ISERROR(VLOOKUP($S$97,'TAR FIN'!$A$1:$O$88,15,0)),0,VLOOKUP($S$97,'TAR FIN'!$A$1:$O$88,15,0))</f>
        <v>17.190000000000001</v>
      </c>
      <c r="W97" s="6">
        <f>IF(ISERROR(VLOOKUP($T$97,'TAR FIN'!$A$1:$O$88,15,0)),0,VLOOKUP($T$97,'TAR FIN'!$A$1:$O$88,15,0))</f>
        <v>0</v>
      </c>
      <c r="X97" s="6">
        <f>IF(ISERROR(VLOOKUP($U$97,'TAR FIN'!$A$1:$O$88,15,0)),0,VLOOKUP($U$97,'TAR FIN'!$A$1:$O$88,15,0))</f>
        <v>0</v>
      </c>
      <c r="Y97" s="6">
        <f ca="1">('TUSD BE'!$AM$10+'TUSD BF_350'!$AM$10+'TUSD CVA'!$AM$10)*1</f>
        <v>13.66046481326768</v>
      </c>
      <c r="Z97" s="6"/>
      <c r="AA97" s="6"/>
      <c r="AB97" s="6">
        <f>$K$97*$V$97</f>
        <v>30048.120000000003</v>
      </c>
      <c r="AC97" s="6">
        <f>$M$97*$W$97</f>
        <v>0</v>
      </c>
      <c r="AD97" s="6">
        <f>$O$97*$X$97</f>
        <v>0</v>
      </c>
      <c r="AE97" s="6">
        <f ca="1">$K$97*$Y$97</f>
        <v>23878.492493591904</v>
      </c>
      <c r="AF97" s="6">
        <f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38</v>
      </c>
      <c r="C98" s="4" t="s">
        <v>39</v>
      </c>
      <c r="D98" s="4" t="s">
        <v>37</v>
      </c>
      <c r="E98" s="4" t="s">
        <v>25</v>
      </c>
      <c r="F98" s="4" t="s">
        <v>25</v>
      </c>
      <c r="G98" s="4" t="s">
        <v>25</v>
      </c>
      <c r="H98" s="4" t="s">
        <v>33</v>
      </c>
      <c r="I98" s="5">
        <v>44409</v>
      </c>
      <c r="J98" s="6">
        <v>0</v>
      </c>
      <c r="K98" s="6">
        <v>0</v>
      </c>
      <c r="L98" s="6">
        <v>6.9489999999999998</v>
      </c>
      <c r="M98" s="6">
        <v>6.9489999999999998</v>
      </c>
      <c r="N98" s="6">
        <v>6.9489999999999998</v>
      </c>
      <c r="O98" s="6">
        <v>6.9489999999999998</v>
      </c>
      <c r="P98" s="6">
        <v>0</v>
      </c>
      <c r="Q98" s="4" t="s">
        <v>26</v>
      </c>
      <c r="R98" s="4">
        <v>0</v>
      </c>
      <c r="S98" s="6">
        <v>0</v>
      </c>
      <c r="T98" s="6">
        <v>18</v>
      </c>
      <c r="U98" s="6">
        <v>69</v>
      </c>
      <c r="V98" s="6">
        <f>IF(ISERROR(VLOOKUP($S$98,'TAR FIN'!$A$1:$O$88,15,0)),0,VLOOKUP($S$98,'TAR FIN'!$A$1:$O$88,15,0))</f>
        <v>0</v>
      </c>
      <c r="W98" s="6">
        <f>IF(ISERROR(VLOOKUP($T$98,'TAR FIN'!$A$1:$O$88,15,0)),0,VLOOKUP($T$98,'TAR FIN'!$A$1:$O$88,15,0))</f>
        <v>1295.8499999999999</v>
      </c>
      <c r="X98" s="6">
        <f>IF(ISERROR(VLOOKUP($U$98,'TAR FIN'!$A$1:$O$88,15,0)),0,VLOOKUP($U$98,'TAR FIN'!$A$1:$O$88,15,0))</f>
        <v>434.95</v>
      </c>
      <c r="Y98" s="6"/>
      <c r="Z98" s="6">
        <f ca="1">('TUSD BE'!$AM$11+'TUSD BF_350'!$AM$11+'TUSD CVA'!$AM$11)*1</f>
        <v>1048.5801557334262</v>
      </c>
      <c r="AA98" s="6">
        <f ca="1">('TE BE'!$AB$5+'TE BF_350'!$AB$5+'TE CVA'!$AB$5)*1</f>
        <v>316.97983140624547</v>
      </c>
      <c r="AB98" s="6">
        <f>$K$98*$V$98</f>
        <v>0</v>
      </c>
      <c r="AC98" s="6">
        <f>$M$98*$W$98</f>
        <v>9004.8616499999989</v>
      </c>
      <c r="AD98" s="6">
        <f>$O$98*$X$98</f>
        <v>3022.4675499999998</v>
      </c>
      <c r="AE98" s="6">
        <f>$K$98*$Y$98</f>
        <v>0</v>
      </c>
      <c r="AF98" s="6">
        <f ca="1">$M$98*$Z$98</f>
        <v>7286.5835021915782</v>
      </c>
      <c r="AG98" s="6">
        <f ca="1">$O$98*$AA$98</f>
        <v>2202.6928484419996</v>
      </c>
    </row>
    <row r="99" spans="1:33" ht="11.25" customHeight="1" x14ac:dyDescent="0.25">
      <c r="A99" s="4" t="s">
        <v>21</v>
      </c>
      <c r="B99" s="4" t="s">
        <v>38</v>
      </c>
      <c r="C99" s="4" t="s">
        <v>39</v>
      </c>
      <c r="D99" s="4" t="s">
        <v>37</v>
      </c>
      <c r="E99" s="4" t="s">
        <v>25</v>
      </c>
      <c r="F99" s="4" t="s">
        <v>25</v>
      </c>
      <c r="G99" s="4" t="s">
        <v>25</v>
      </c>
      <c r="H99" s="4" t="s">
        <v>33</v>
      </c>
      <c r="I99" s="5">
        <v>44440</v>
      </c>
      <c r="J99" s="6">
        <v>0</v>
      </c>
      <c r="K99" s="6">
        <v>0</v>
      </c>
      <c r="L99" s="6">
        <v>5.7329999999999997</v>
      </c>
      <c r="M99" s="6">
        <v>5.7329999999999997</v>
      </c>
      <c r="N99" s="6">
        <v>5.7329999999999997</v>
      </c>
      <c r="O99" s="6">
        <v>5.7329999999999997</v>
      </c>
      <c r="P99" s="6">
        <v>0</v>
      </c>
      <c r="Q99" s="4" t="s">
        <v>26</v>
      </c>
      <c r="R99" s="4">
        <v>0</v>
      </c>
      <c r="S99" s="6">
        <v>0</v>
      </c>
      <c r="T99" s="6">
        <v>18</v>
      </c>
      <c r="U99" s="6">
        <v>69</v>
      </c>
      <c r="V99" s="6">
        <f>IF(ISERROR(VLOOKUP($S$99,'TAR FIN'!$A$1:$O$88,15,0)),0,VLOOKUP($S$99,'TAR FIN'!$A$1:$O$88,15,0))</f>
        <v>0</v>
      </c>
      <c r="W99" s="6">
        <f>IF(ISERROR(VLOOKUP($T$99,'TAR FIN'!$A$1:$O$88,15,0)),0,VLOOKUP($T$99,'TAR FIN'!$A$1:$O$88,15,0))</f>
        <v>1295.8499999999999</v>
      </c>
      <c r="X99" s="6">
        <f>IF(ISERROR(VLOOKUP($U$99,'TAR FIN'!$A$1:$O$88,15,0)),0,VLOOKUP($U$99,'TAR FIN'!$A$1:$O$88,15,0))</f>
        <v>434.95</v>
      </c>
      <c r="Y99" s="6"/>
      <c r="Z99" s="6">
        <f ca="1">('TUSD BE'!$AM$11+'TUSD BF_350'!$AM$11+'TUSD CVA'!$AM$11)*1</f>
        <v>1048.5801557334262</v>
      </c>
      <c r="AA99" s="6">
        <f ca="1">('TE BE'!$AB$5+'TE BF_350'!$AB$5+'TE CVA'!$AB$5)*1</f>
        <v>316.97983140624547</v>
      </c>
      <c r="AB99" s="6">
        <f>$K$99*$V$99</f>
        <v>0</v>
      </c>
      <c r="AC99" s="6">
        <f>$M$99*$W$99</f>
        <v>7429.1080499999989</v>
      </c>
      <c r="AD99" s="6">
        <f>$O$99*$X$99</f>
        <v>2493.56835</v>
      </c>
      <c r="AE99" s="6">
        <f>$K$99*$Y$99</f>
        <v>0</v>
      </c>
      <c r="AF99" s="6">
        <f ca="1">$M$99*$Z$99</f>
        <v>6011.5100328197323</v>
      </c>
      <c r="AG99" s="6">
        <f ca="1">$O$99*$AA$99</f>
        <v>1817.2453734520052</v>
      </c>
    </row>
    <row r="100" spans="1:33" ht="11.25" customHeight="1" x14ac:dyDescent="0.25">
      <c r="A100" s="4" t="s">
        <v>21</v>
      </c>
      <c r="B100" s="4" t="s">
        <v>38</v>
      </c>
      <c r="C100" s="4" t="s">
        <v>39</v>
      </c>
      <c r="D100" s="4" t="s">
        <v>37</v>
      </c>
      <c r="E100" s="4" t="s">
        <v>25</v>
      </c>
      <c r="F100" s="4" t="s">
        <v>25</v>
      </c>
      <c r="G100" s="4" t="s">
        <v>25</v>
      </c>
      <c r="H100" s="4" t="s">
        <v>33</v>
      </c>
      <c r="I100" s="5">
        <v>44470</v>
      </c>
      <c r="J100" s="6">
        <v>0</v>
      </c>
      <c r="K100" s="6">
        <v>0</v>
      </c>
      <c r="L100" s="6">
        <v>5.7930000000000001</v>
      </c>
      <c r="M100" s="6">
        <v>5.7930000000000001</v>
      </c>
      <c r="N100" s="6">
        <v>5.7930000000000001</v>
      </c>
      <c r="O100" s="6">
        <v>5.7930000000000001</v>
      </c>
      <c r="P100" s="6">
        <v>0</v>
      </c>
      <c r="Q100" s="4" t="s">
        <v>26</v>
      </c>
      <c r="R100" s="4">
        <v>0</v>
      </c>
      <c r="S100" s="6">
        <v>0</v>
      </c>
      <c r="T100" s="6">
        <v>18</v>
      </c>
      <c r="U100" s="6">
        <v>69</v>
      </c>
      <c r="V100" s="6">
        <f>IF(ISERROR(VLOOKUP($S$100,'TAR FIN'!$A$1:$O$88,15,0)),0,VLOOKUP($S$100,'TAR FIN'!$A$1:$O$88,15,0))</f>
        <v>0</v>
      </c>
      <c r="W100" s="6">
        <f>IF(ISERROR(VLOOKUP($T$100,'TAR FIN'!$A$1:$O$88,15,0)),0,VLOOKUP($T$100,'TAR FIN'!$A$1:$O$88,15,0))</f>
        <v>1295.8499999999999</v>
      </c>
      <c r="X100" s="6">
        <f>IF(ISERROR(VLOOKUP($U$100,'TAR FIN'!$A$1:$O$88,15,0)),0,VLOOKUP($U$100,'TAR FIN'!$A$1:$O$88,15,0))</f>
        <v>434.95</v>
      </c>
      <c r="Y100" s="6"/>
      <c r="Z100" s="6">
        <f ca="1">('TUSD BE'!$AM$11+'TUSD BF_350'!$AM$11+'TUSD CVA'!$AM$11)*1</f>
        <v>1048.5801557334262</v>
      </c>
      <c r="AA100" s="6">
        <f ca="1">('TE BE'!$AB$5+'TE BF_350'!$AB$5+'TE CVA'!$AB$5)*1</f>
        <v>316.97983140624547</v>
      </c>
      <c r="AB100" s="6">
        <f>$K$100*$V$100</f>
        <v>0</v>
      </c>
      <c r="AC100" s="6">
        <f>$M$100*$W$100</f>
        <v>7506.85905</v>
      </c>
      <c r="AD100" s="6">
        <f>$O$100*$X$100</f>
        <v>2519.6653500000002</v>
      </c>
      <c r="AE100" s="6">
        <f>$K$100*$Y$100</f>
        <v>0</v>
      </c>
      <c r="AF100" s="6">
        <f ca="1">$M$100*$Z$100</f>
        <v>6074.4248421637376</v>
      </c>
      <c r="AG100" s="6">
        <f ca="1">$O$100*$AA$100</f>
        <v>1836.2641633363801</v>
      </c>
    </row>
    <row r="101" spans="1:33" ht="11.25" customHeight="1" x14ac:dyDescent="0.25">
      <c r="A101" s="4" t="s">
        <v>21</v>
      </c>
      <c r="B101" s="4" t="s">
        <v>38</v>
      </c>
      <c r="C101" s="4" t="s">
        <v>39</v>
      </c>
      <c r="D101" s="4" t="s">
        <v>37</v>
      </c>
      <c r="E101" s="4" t="s">
        <v>25</v>
      </c>
      <c r="F101" s="4" t="s">
        <v>25</v>
      </c>
      <c r="G101" s="4" t="s">
        <v>25</v>
      </c>
      <c r="H101" s="4" t="s">
        <v>33</v>
      </c>
      <c r="I101" s="5">
        <v>44501</v>
      </c>
      <c r="J101" s="6">
        <v>0</v>
      </c>
      <c r="K101" s="6">
        <v>0</v>
      </c>
      <c r="L101" s="6">
        <v>5.2130000000000001</v>
      </c>
      <c r="M101" s="6">
        <v>5.2130000000000001</v>
      </c>
      <c r="N101" s="6">
        <v>5.2130000000000001</v>
      </c>
      <c r="O101" s="6">
        <v>5.2130000000000001</v>
      </c>
      <c r="P101" s="6">
        <v>0</v>
      </c>
      <c r="Q101" s="4" t="s">
        <v>26</v>
      </c>
      <c r="R101" s="4">
        <v>0</v>
      </c>
      <c r="S101" s="6">
        <v>0</v>
      </c>
      <c r="T101" s="6">
        <v>18</v>
      </c>
      <c r="U101" s="6">
        <v>69</v>
      </c>
      <c r="V101" s="6">
        <f>IF(ISERROR(VLOOKUP($S$101,'TAR FIN'!$A$1:$O$88,15,0)),0,VLOOKUP($S$101,'TAR FIN'!$A$1:$O$88,15,0))</f>
        <v>0</v>
      </c>
      <c r="W101" s="6">
        <f>IF(ISERROR(VLOOKUP($T$101,'TAR FIN'!$A$1:$O$88,15,0)),0,VLOOKUP($T$101,'TAR FIN'!$A$1:$O$88,15,0))</f>
        <v>1295.8499999999999</v>
      </c>
      <c r="X101" s="6">
        <f>IF(ISERROR(VLOOKUP($U$101,'TAR FIN'!$A$1:$O$88,15,0)),0,VLOOKUP($U$101,'TAR FIN'!$A$1:$O$88,15,0))</f>
        <v>434.95</v>
      </c>
      <c r="Y101" s="6"/>
      <c r="Z101" s="6">
        <f ca="1">('TUSD BE'!$AM$11+'TUSD BF_350'!$AM$11+'TUSD CVA'!$AM$11)*1</f>
        <v>1048.5801557334262</v>
      </c>
      <c r="AA101" s="6">
        <f ca="1">('TE BE'!$AB$5+'TE BF_350'!$AB$5+'TE CVA'!$AB$5)*1</f>
        <v>316.97983140624547</v>
      </c>
      <c r="AB101" s="6">
        <f>$K$101*$V$101</f>
        <v>0</v>
      </c>
      <c r="AC101" s="6">
        <f>$M$101*$W$101</f>
        <v>6755.2660499999993</v>
      </c>
      <c r="AD101" s="6">
        <f>$O$101*$X$101</f>
        <v>2267.39435</v>
      </c>
      <c r="AE101" s="6">
        <f>$K$101*$Y$101</f>
        <v>0</v>
      </c>
      <c r="AF101" s="6">
        <f ca="1">$M$101*$Z$101</f>
        <v>5466.2483518383506</v>
      </c>
      <c r="AG101" s="6">
        <f ca="1">$O$101*$AA$101</f>
        <v>1652.4158611207577</v>
      </c>
    </row>
    <row r="102" spans="1:33" ht="11.25" customHeight="1" x14ac:dyDescent="0.25">
      <c r="A102" s="4" t="s">
        <v>21</v>
      </c>
      <c r="B102" s="4" t="s">
        <v>38</v>
      </c>
      <c r="C102" s="4" t="s">
        <v>39</v>
      </c>
      <c r="D102" s="4" t="s">
        <v>37</v>
      </c>
      <c r="E102" s="4" t="s">
        <v>25</v>
      </c>
      <c r="F102" s="4" t="s">
        <v>25</v>
      </c>
      <c r="G102" s="4" t="s">
        <v>25</v>
      </c>
      <c r="H102" s="4" t="s">
        <v>33</v>
      </c>
      <c r="I102" s="5">
        <v>44531</v>
      </c>
      <c r="J102" s="6">
        <v>0</v>
      </c>
      <c r="K102" s="6">
        <v>0</v>
      </c>
      <c r="L102" s="6">
        <v>6.1479999999999997</v>
      </c>
      <c r="M102" s="6">
        <v>6.1479999999999997</v>
      </c>
      <c r="N102" s="6">
        <v>6.1479999999999997</v>
      </c>
      <c r="O102" s="6">
        <v>6.1479999999999997</v>
      </c>
      <c r="P102" s="6">
        <v>0</v>
      </c>
      <c r="Q102" s="4" t="s">
        <v>26</v>
      </c>
      <c r="R102" s="4">
        <v>0</v>
      </c>
      <c r="S102" s="6">
        <v>0</v>
      </c>
      <c r="T102" s="6">
        <v>18</v>
      </c>
      <c r="U102" s="6">
        <v>69</v>
      </c>
      <c r="V102" s="6">
        <f>IF(ISERROR(VLOOKUP($S$102,'TAR FIN'!$A$1:$O$88,15,0)),0,VLOOKUP($S$102,'TAR FIN'!$A$1:$O$88,15,0))</f>
        <v>0</v>
      </c>
      <c r="W102" s="6">
        <f>IF(ISERROR(VLOOKUP($T$102,'TAR FIN'!$A$1:$O$88,15,0)),0,VLOOKUP($T$102,'TAR FIN'!$A$1:$O$88,15,0))</f>
        <v>1295.8499999999999</v>
      </c>
      <c r="X102" s="6">
        <f>IF(ISERROR(VLOOKUP($U$102,'TAR FIN'!$A$1:$O$88,15,0)),0,VLOOKUP($U$102,'TAR FIN'!$A$1:$O$88,15,0))</f>
        <v>434.95</v>
      </c>
      <c r="Y102" s="6"/>
      <c r="Z102" s="6">
        <f ca="1">('TUSD BE'!$AM$11+'TUSD BF_350'!$AM$11+'TUSD CVA'!$AM$11)*1</f>
        <v>1048.5801557334262</v>
      </c>
      <c r="AA102" s="6">
        <f ca="1">('TE BE'!$AB$5+'TE BF_350'!$AB$5+'TE CVA'!$AB$5)*1</f>
        <v>316.97983140624547</v>
      </c>
      <c r="AB102" s="6">
        <f>$K$102*$V$102</f>
        <v>0</v>
      </c>
      <c r="AC102" s="6">
        <f>$M$102*$W$102</f>
        <v>7966.8857999999991</v>
      </c>
      <c r="AD102" s="6">
        <f>$O$102*$X$102</f>
        <v>2674.0726</v>
      </c>
      <c r="AE102" s="6">
        <f>$K$102*$Y$102</f>
        <v>0</v>
      </c>
      <c r="AF102" s="6">
        <f ca="1">$M$102*$Z$102</f>
        <v>6446.6707974491037</v>
      </c>
      <c r="AG102" s="6">
        <f ca="1">$O$102*$AA$102</f>
        <v>1948.792003485597</v>
      </c>
    </row>
    <row r="103" spans="1:33" ht="11.25" customHeight="1" x14ac:dyDescent="0.25">
      <c r="A103" s="4" t="s">
        <v>21</v>
      </c>
      <c r="B103" s="4" t="s">
        <v>38</v>
      </c>
      <c r="C103" s="4" t="s">
        <v>39</v>
      </c>
      <c r="D103" s="4" t="s">
        <v>37</v>
      </c>
      <c r="E103" s="4" t="s">
        <v>25</v>
      </c>
      <c r="F103" s="4" t="s">
        <v>25</v>
      </c>
      <c r="G103" s="4" t="s">
        <v>25</v>
      </c>
      <c r="H103" s="4" t="s">
        <v>33</v>
      </c>
      <c r="I103" s="5">
        <v>44562</v>
      </c>
      <c r="J103" s="6">
        <v>0</v>
      </c>
      <c r="K103" s="6">
        <v>0</v>
      </c>
      <c r="L103" s="6">
        <v>5.6349999999999998</v>
      </c>
      <c r="M103" s="6">
        <v>5.6349999999999998</v>
      </c>
      <c r="N103" s="6">
        <v>5.6349999999999998</v>
      </c>
      <c r="O103" s="6">
        <v>5.6349999999999998</v>
      </c>
      <c r="P103" s="6">
        <v>0</v>
      </c>
      <c r="Q103" s="4" t="s">
        <v>26</v>
      </c>
      <c r="R103" s="4">
        <v>0</v>
      </c>
      <c r="S103" s="6">
        <v>0</v>
      </c>
      <c r="T103" s="6">
        <v>18</v>
      </c>
      <c r="U103" s="6">
        <v>69</v>
      </c>
      <c r="V103" s="6">
        <f>IF(ISERROR(VLOOKUP($S$103,'TAR FIN'!$A$1:$O$88,15,0)),0,VLOOKUP($S$103,'TAR FIN'!$A$1:$O$88,15,0))</f>
        <v>0</v>
      </c>
      <c r="W103" s="6">
        <f>IF(ISERROR(VLOOKUP($T$103,'TAR FIN'!$A$1:$O$88,15,0)),0,VLOOKUP($T$103,'TAR FIN'!$A$1:$O$88,15,0))</f>
        <v>1295.8499999999999</v>
      </c>
      <c r="X103" s="6">
        <f>IF(ISERROR(VLOOKUP($U$103,'TAR FIN'!$A$1:$O$88,15,0)),0,VLOOKUP($U$103,'TAR FIN'!$A$1:$O$88,15,0))</f>
        <v>434.95</v>
      </c>
      <c r="Y103" s="6"/>
      <c r="Z103" s="6">
        <f ca="1">('TUSD BE'!$AM$11+'TUSD BF_350'!$AM$11+'TUSD CVA'!$AM$11)*1</f>
        <v>1048.5801557334262</v>
      </c>
      <c r="AA103" s="6">
        <f ca="1">('TE BE'!$AB$5+'TE BF_350'!$AB$5+'TE CVA'!$AB$5)*1</f>
        <v>316.97983140624547</v>
      </c>
      <c r="AB103" s="6">
        <f>$K$103*$V$103</f>
        <v>0</v>
      </c>
      <c r="AC103" s="6">
        <f>$M$103*$W$103</f>
        <v>7302.1147499999988</v>
      </c>
      <c r="AD103" s="6">
        <f>$O$103*$X$103</f>
        <v>2450.9432499999998</v>
      </c>
      <c r="AE103" s="6">
        <f>$K$103*$Y$103</f>
        <v>0</v>
      </c>
      <c r="AF103" s="6">
        <f ca="1">$M$103*$Z$103</f>
        <v>5908.7491775578565</v>
      </c>
      <c r="AG103" s="6">
        <f ca="1">$O$103*$AA$103</f>
        <v>1786.1813499741932</v>
      </c>
    </row>
    <row r="104" spans="1:33" ht="11.25" customHeight="1" x14ac:dyDescent="0.25">
      <c r="A104" s="4" t="s">
        <v>21</v>
      </c>
      <c r="B104" s="4" t="s">
        <v>38</v>
      </c>
      <c r="C104" s="4" t="s">
        <v>39</v>
      </c>
      <c r="D104" s="4" t="s">
        <v>37</v>
      </c>
      <c r="E104" s="4" t="s">
        <v>25</v>
      </c>
      <c r="F104" s="4" t="s">
        <v>25</v>
      </c>
      <c r="G104" s="4" t="s">
        <v>25</v>
      </c>
      <c r="H104" s="4" t="s">
        <v>33</v>
      </c>
      <c r="I104" s="5">
        <v>44593</v>
      </c>
      <c r="J104" s="6">
        <v>0</v>
      </c>
      <c r="K104" s="6">
        <v>0</v>
      </c>
      <c r="L104" s="6">
        <v>6.2969999999999997</v>
      </c>
      <c r="M104" s="6">
        <v>6.2969999999999997</v>
      </c>
      <c r="N104" s="6">
        <v>6.2969999999999997</v>
      </c>
      <c r="O104" s="6">
        <v>6.2969999999999997</v>
      </c>
      <c r="P104" s="6">
        <v>0</v>
      </c>
      <c r="Q104" s="4" t="s">
        <v>26</v>
      </c>
      <c r="R104" s="4">
        <v>0</v>
      </c>
      <c r="S104" s="6">
        <v>0</v>
      </c>
      <c r="T104" s="6">
        <v>18</v>
      </c>
      <c r="U104" s="6">
        <v>69</v>
      </c>
      <c r="V104" s="6">
        <f>IF(ISERROR(VLOOKUP($S$104,'TAR FIN'!$A$1:$O$88,15,0)),0,VLOOKUP($S$104,'TAR FIN'!$A$1:$O$88,15,0))</f>
        <v>0</v>
      </c>
      <c r="W104" s="6">
        <f>IF(ISERROR(VLOOKUP($T$104,'TAR FIN'!$A$1:$O$88,15,0)),0,VLOOKUP($T$104,'TAR FIN'!$A$1:$O$88,15,0))</f>
        <v>1295.8499999999999</v>
      </c>
      <c r="X104" s="6">
        <f>IF(ISERROR(VLOOKUP($U$104,'TAR FIN'!$A$1:$O$88,15,0)),0,VLOOKUP($U$104,'TAR FIN'!$A$1:$O$88,15,0))</f>
        <v>434.95</v>
      </c>
      <c r="Y104" s="6"/>
      <c r="Z104" s="6">
        <f ca="1">('TUSD BE'!$AM$11+'TUSD BF_350'!$AM$11+'TUSD CVA'!$AM$11)*1</f>
        <v>1048.5801557334262</v>
      </c>
      <c r="AA104" s="6">
        <f ca="1">('TE BE'!$AB$5+'TE BF_350'!$AB$5+'TE CVA'!$AB$5)*1</f>
        <v>316.97983140624547</v>
      </c>
      <c r="AB104" s="6">
        <f>$K$104*$V$104</f>
        <v>0</v>
      </c>
      <c r="AC104" s="6">
        <f>$M$104*$W$104</f>
        <v>8159.9674499999992</v>
      </c>
      <c r="AD104" s="6">
        <f>$O$104*$X$104</f>
        <v>2738.88015</v>
      </c>
      <c r="AE104" s="6">
        <f>$K$104*$Y$104</f>
        <v>0</v>
      </c>
      <c r="AF104" s="6">
        <f ca="1">$M$104*$Z$104</f>
        <v>6602.9092406533846</v>
      </c>
      <c r="AG104" s="6">
        <f ca="1">$O$104*$AA$104</f>
        <v>1996.0219983651275</v>
      </c>
    </row>
    <row r="105" spans="1:33" ht="11.25" customHeight="1" x14ac:dyDescent="0.25">
      <c r="A105" s="4" t="s">
        <v>21</v>
      </c>
      <c r="B105" s="4" t="s">
        <v>38</v>
      </c>
      <c r="C105" s="4" t="s">
        <v>39</v>
      </c>
      <c r="D105" s="4" t="s">
        <v>37</v>
      </c>
      <c r="E105" s="4" t="s">
        <v>25</v>
      </c>
      <c r="F105" s="4" t="s">
        <v>25</v>
      </c>
      <c r="G105" s="4" t="s">
        <v>25</v>
      </c>
      <c r="H105" s="4" t="s">
        <v>33</v>
      </c>
      <c r="I105" s="5">
        <v>44621</v>
      </c>
      <c r="J105" s="6">
        <v>0</v>
      </c>
      <c r="K105" s="6">
        <v>0</v>
      </c>
      <c r="L105" s="6">
        <v>6.0910000000000002</v>
      </c>
      <c r="M105" s="6">
        <v>6.0910000000000002</v>
      </c>
      <c r="N105" s="6">
        <v>6.0910000000000002</v>
      </c>
      <c r="O105" s="6">
        <v>6.0910000000000002</v>
      </c>
      <c r="P105" s="6">
        <v>0</v>
      </c>
      <c r="Q105" s="4" t="s">
        <v>26</v>
      </c>
      <c r="R105" s="4">
        <v>0</v>
      </c>
      <c r="S105" s="6">
        <v>0</v>
      </c>
      <c r="T105" s="6">
        <v>18</v>
      </c>
      <c r="U105" s="6">
        <v>69</v>
      </c>
      <c r="V105" s="6">
        <f>IF(ISERROR(VLOOKUP($S$105,'TAR FIN'!$A$1:$O$88,15,0)),0,VLOOKUP($S$105,'TAR FIN'!$A$1:$O$88,15,0))</f>
        <v>0</v>
      </c>
      <c r="W105" s="6">
        <f>IF(ISERROR(VLOOKUP($T$105,'TAR FIN'!$A$1:$O$88,15,0)),0,VLOOKUP($T$105,'TAR FIN'!$A$1:$O$88,15,0))</f>
        <v>1295.8499999999999</v>
      </c>
      <c r="X105" s="6">
        <f>IF(ISERROR(VLOOKUP($U$105,'TAR FIN'!$A$1:$O$88,15,0)),0,VLOOKUP($U$105,'TAR FIN'!$A$1:$O$88,15,0))</f>
        <v>434.95</v>
      </c>
      <c r="Y105" s="6"/>
      <c r="Z105" s="6">
        <f ca="1">('TUSD BE'!$AM$11+'TUSD BF_350'!$AM$11+'TUSD CVA'!$AM$11)*1</f>
        <v>1048.5801557334262</v>
      </c>
      <c r="AA105" s="6">
        <f ca="1">('TE BE'!$AB$5+'TE BF_350'!$AB$5+'TE CVA'!$AB$5)*1</f>
        <v>316.97983140624547</v>
      </c>
      <c r="AB105" s="6">
        <f>$K$105*$V$105</f>
        <v>0</v>
      </c>
      <c r="AC105" s="6">
        <f>$M$105*$W$105</f>
        <v>7893.0223499999993</v>
      </c>
      <c r="AD105" s="6">
        <f>$O$105*$X$105</f>
        <v>2649.2804500000002</v>
      </c>
      <c r="AE105" s="6">
        <f>$K$105*$Y$105</f>
        <v>0</v>
      </c>
      <c r="AF105" s="6">
        <f ca="1">$M$105*$Z$105</f>
        <v>6386.9017285722994</v>
      </c>
      <c r="AG105" s="6">
        <f ca="1">$O$105*$AA$105</f>
        <v>1930.7241530954411</v>
      </c>
    </row>
    <row r="106" spans="1:33" ht="11.25" customHeight="1" x14ac:dyDescent="0.25">
      <c r="A106" s="4" t="s">
        <v>21</v>
      </c>
      <c r="B106" s="4" t="s">
        <v>38</v>
      </c>
      <c r="C106" s="4" t="s">
        <v>39</v>
      </c>
      <c r="D106" s="4" t="s">
        <v>37</v>
      </c>
      <c r="E106" s="4" t="s">
        <v>25</v>
      </c>
      <c r="F106" s="4" t="s">
        <v>25</v>
      </c>
      <c r="G106" s="4" t="s">
        <v>25</v>
      </c>
      <c r="H106" s="4" t="s">
        <v>33</v>
      </c>
      <c r="I106" s="5">
        <v>44652</v>
      </c>
      <c r="J106" s="6">
        <v>0</v>
      </c>
      <c r="K106" s="6">
        <v>0</v>
      </c>
      <c r="L106" s="6">
        <v>4.9980000000000002</v>
      </c>
      <c r="M106" s="6">
        <v>4.9980000000000002</v>
      </c>
      <c r="N106" s="6">
        <v>4.9980000000000002</v>
      </c>
      <c r="O106" s="6">
        <v>4.9980000000000002</v>
      </c>
      <c r="P106" s="6">
        <v>0</v>
      </c>
      <c r="Q106" s="4" t="s">
        <v>26</v>
      </c>
      <c r="R106" s="4">
        <v>0</v>
      </c>
      <c r="S106" s="6">
        <v>0</v>
      </c>
      <c r="T106" s="6">
        <v>18</v>
      </c>
      <c r="U106" s="6">
        <v>69</v>
      </c>
      <c r="V106" s="6">
        <f>IF(ISERROR(VLOOKUP($S$106,'TAR FIN'!$A$1:$O$88,15,0)),0,VLOOKUP($S$106,'TAR FIN'!$A$1:$O$88,15,0))</f>
        <v>0</v>
      </c>
      <c r="W106" s="6">
        <f>IF(ISERROR(VLOOKUP($T$106,'TAR FIN'!$A$1:$O$88,15,0)),0,VLOOKUP($T$106,'TAR FIN'!$A$1:$O$88,15,0))</f>
        <v>1295.8499999999999</v>
      </c>
      <c r="X106" s="6">
        <f>IF(ISERROR(VLOOKUP($U$106,'TAR FIN'!$A$1:$O$88,15,0)),0,VLOOKUP($U$106,'TAR FIN'!$A$1:$O$88,15,0))</f>
        <v>434.95</v>
      </c>
      <c r="Y106" s="6"/>
      <c r="Z106" s="6">
        <f ca="1">('TUSD BE'!$AM$11+'TUSD BF_350'!$AM$11+'TUSD CVA'!$AM$11)*1</f>
        <v>1048.5801557334262</v>
      </c>
      <c r="AA106" s="6">
        <f ca="1">('TE BE'!$AB$5+'TE BF_350'!$AB$5+'TE CVA'!$AB$5)*1</f>
        <v>316.97983140624547</v>
      </c>
      <c r="AB106" s="6">
        <f>$K$106*$V$106</f>
        <v>0</v>
      </c>
      <c r="AC106" s="6">
        <f>$M$106*$W$106</f>
        <v>6476.6583000000001</v>
      </c>
      <c r="AD106" s="6">
        <f>$O$106*$X$106</f>
        <v>2173.8800999999999</v>
      </c>
      <c r="AE106" s="6">
        <f>$K$106*$Y$106</f>
        <v>0</v>
      </c>
      <c r="AF106" s="6">
        <f ca="1">$M$106*$Z$106</f>
        <v>5240.8036183556642</v>
      </c>
      <c r="AG106" s="6">
        <f ca="1">$O$106*$AA$106</f>
        <v>1584.2651973684149</v>
      </c>
    </row>
    <row r="107" spans="1:33" ht="11.25" customHeight="1" x14ac:dyDescent="0.25">
      <c r="A107" s="4" t="s">
        <v>21</v>
      </c>
      <c r="B107" s="4" t="s">
        <v>38</v>
      </c>
      <c r="C107" s="4" t="s">
        <v>39</v>
      </c>
      <c r="D107" s="4" t="s">
        <v>37</v>
      </c>
      <c r="E107" s="4" t="s">
        <v>25</v>
      </c>
      <c r="F107" s="4" t="s">
        <v>25</v>
      </c>
      <c r="G107" s="4" t="s">
        <v>25</v>
      </c>
      <c r="H107" s="4" t="s">
        <v>33</v>
      </c>
      <c r="I107" s="5">
        <v>44682</v>
      </c>
      <c r="J107" s="6">
        <v>0</v>
      </c>
      <c r="K107" s="6">
        <v>0</v>
      </c>
      <c r="L107" s="6">
        <v>5.8559999999999999</v>
      </c>
      <c r="M107" s="6">
        <v>5.8559999999999999</v>
      </c>
      <c r="N107" s="6">
        <v>5.8559999999999999</v>
      </c>
      <c r="O107" s="6">
        <v>5.8559999999999999</v>
      </c>
      <c r="P107" s="6">
        <v>0</v>
      </c>
      <c r="Q107" s="4" t="s">
        <v>26</v>
      </c>
      <c r="R107" s="4">
        <v>0</v>
      </c>
      <c r="S107" s="6">
        <v>0</v>
      </c>
      <c r="T107" s="6">
        <v>18</v>
      </c>
      <c r="U107" s="6">
        <v>69</v>
      </c>
      <c r="V107" s="6">
        <f>IF(ISERROR(VLOOKUP($S$107,'TAR FIN'!$A$1:$O$88,15,0)),0,VLOOKUP($S$107,'TAR FIN'!$A$1:$O$88,15,0))</f>
        <v>0</v>
      </c>
      <c r="W107" s="6">
        <f>IF(ISERROR(VLOOKUP($T$107,'TAR FIN'!$A$1:$O$88,15,0)),0,VLOOKUP($T$107,'TAR FIN'!$A$1:$O$88,15,0))</f>
        <v>1295.8499999999999</v>
      </c>
      <c r="X107" s="6">
        <f>IF(ISERROR(VLOOKUP($U$107,'TAR FIN'!$A$1:$O$88,15,0)),0,VLOOKUP($U$107,'TAR FIN'!$A$1:$O$88,15,0))</f>
        <v>434.95</v>
      </c>
      <c r="Y107" s="6"/>
      <c r="Z107" s="6">
        <f ca="1">('TUSD BE'!$AM$11+'TUSD BF_350'!$AM$11+'TUSD CVA'!$AM$11)*1</f>
        <v>1048.5801557334262</v>
      </c>
      <c r="AA107" s="6">
        <f ca="1">('TE BE'!$AB$5+'TE BF_350'!$AB$5+'TE CVA'!$AB$5)*1</f>
        <v>316.97983140624547</v>
      </c>
      <c r="AB107" s="6">
        <f>$K$107*$V$107</f>
        <v>0</v>
      </c>
      <c r="AC107" s="6">
        <f>$M$107*$W$107</f>
        <v>7588.4975999999997</v>
      </c>
      <c r="AD107" s="6">
        <f>$O$107*$X$107</f>
        <v>2547.0672</v>
      </c>
      <c r="AE107" s="6">
        <f>$K$107*$Y$107</f>
        <v>0</v>
      </c>
      <c r="AF107" s="6">
        <f ca="1">$M$107*$Z$107</f>
        <v>6140.4853919749439</v>
      </c>
      <c r="AG107" s="6">
        <f ca="1">$O$107*$AA$107</f>
        <v>1856.2338927149733</v>
      </c>
    </row>
    <row r="108" spans="1:33" ht="11.25" customHeight="1" x14ac:dyDescent="0.25">
      <c r="A108" s="4" t="s">
        <v>21</v>
      </c>
      <c r="B108" s="4" t="s">
        <v>38</v>
      </c>
      <c r="C108" s="4" t="s">
        <v>39</v>
      </c>
      <c r="D108" s="4" t="s">
        <v>37</v>
      </c>
      <c r="E108" s="4" t="s">
        <v>25</v>
      </c>
      <c r="F108" s="4" t="s">
        <v>25</v>
      </c>
      <c r="G108" s="4" t="s">
        <v>25</v>
      </c>
      <c r="H108" s="4" t="s">
        <v>33</v>
      </c>
      <c r="I108" s="5">
        <v>44713</v>
      </c>
      <c r="J108" s="6">
        <v>0</v>
      </c>
      <c r="K108" s="6">
        <v>0</v>
      </c>
      <c r="L108" s="6">
        <v>6.7539999999999996</v>
      </c>
      <c r="M108" s="6">
        <v>6.7539999999999996</v>
      </c>
      <c r="N108" s="6">
        <v>6.7539999999999996</v>
      </c>
      <c r="O108" s="6">
        <v>6.7539999999999996</v>
      </c>
      <c r="P108" s="6">
        <v>0</v>
      </c>
      <c r="Q108" s="4" t="s">
        <v>26</v>
      </c>
      <c r="R108" s="4">
        <v>0</v>
      </c>
      <c r="S108" s="6">
        <v>0</v>
      </c>
      <c r="T108" s="6">
        <v>18</v>
      </c>
      <c r="U108" s="6">
        <v>69</v>
      </c>
      <c r="V108" s="6">
        <f>IF(ISERROR(VLOOKUP($S$108,'TAR FIN'!$A$1:$O$88,15,0)),0,VLOOKUP($S$108,'TAR FIN'!$A$1:$O$88,15,0))</f>
        <v>0</v>
      </c>
      <c r="W108" s="6">
        <f>IF(ISERROR(VLOOKUP($T$108,'TAR FIN'!$A$1:$O$88,15,0)),0,VLOOKUP($T$108,'TAR FIN'!$A$1:$O$88,15,0))</f>
        <v>1295.8499999999999</v>
      </c>
      <c r="X108" s="6">
        <f>IF(ISERROR(VLOOKUP($U$108,'TAR FIN'!$A$1:$O$88,15,0)),0,VLOOKUP($U$108,'TAR FIN'!$A$1:$O$88,15,0))</f>
        <v>434.95</v>
      </c>
      <c r="Y108" s="6"/>
      <c r="Z108" s="6">
        <f ca="1">('TUSD BE'!$AM$11+'TUSD BF_350'!$AM$11+'TUSD CVA'!$AM$11)*1</f>
        <v>1048.5801557334262</v>
      </c>
      <c r="AA108" s="6">
        <f ca="1">('TE BE'!$AB$5+'TE BF_350'!$AB$5+'TE CVA'!$AB$5)*1</f>
        <v>316.97983140624547</v>
      </c>
      <c r="AB108" s="6">
        <f>$K$108*$V$108</f>
        <v>0</v>
      </c>
      <c r="AC108" s="6">
        <f>$M$108*$W$108</f>
        <v>8752.1708999999992</v>
      </c>
      <c r="AD108" s="6">
        <f>$O$108*$X$108</f>
        <v>2937.6522999999997</v>
      </c>
      <c r="AE108" s="6">
        <f>$K$108*$Y$108</f>
        <v>0</v>
      </c>
      <c r="AF108" s="6">
        <f ca="1">$M$108*$Z$108</f>
        <v>7082.1103718235599</v>
      </c>
      <c r="AG108" s="6">
        <f ca="1">$O$108*$AA$108</f>
        <v>2140.8817813177816</v>
      </c>
    </row>
    <row r="109" spans="1:33" ht="11.25" customHeight="1" x14ac:dyDescent="0.25">
      <c r="A109" s="4" t="s">
        <v>55</v>
      </c>
      <c r="B109" s="4" t="s">
        <v>38</v>
      </c>
      <c r="C109" s="4" t="s">
        <v>39</v>
      </c>
      <c r="D109" s="4" t="s">
        <v>37</v>
      </c>
      <c r="E109" s="4" t="s">
        <v>25</v>
      </c>
      <c r="F109" s="4" t="s">
        <v>25</v>
      </c>
      <c r="G109" s="4" t="s">
        <v>25</v>
      </c>
      <c r="H109" s="4" t="s">
        <v>33</v>
      </c>
      <c r="I109" s="5">
        <v>44743</v>
      </c>
      <c r="J109" s="6">
        <v>0</v>
      </c>
      <c r="K109" s="6">
        <v>0</v>
      </c>
      <c r="L109" s="6">
        <v>6.7539999999999996</v>
      </c>
      <c r="M109" s="6">
        <v>6.7539999999999996</v>
      </c>
      <c r="N109" s="6">
        <v>6.7539999999999996</v>
      </c>
      <c r="O109" s="6">
        <v>6.7539999999999996</v>
      </c>
      <c r="P109" s="6">
        <v>0</v>
      </c>
      <c r="Q109" s="4" t="s">
        <v>26</v>
      </c>
      <c r="R109" s="4">
        <v>0</v>
      </c>
      <c r="S109" s="6">
        <v>0</v>
      </c>
      <c r="T109" s="6">
        <v>18</v>
      </c>
      <c r="U109" s="6">
        <v>69</v>
      </c>
      <c r="V109" s="6">
        <f>IF(ISERROR(VLOOKUP($S$109,'TAR FIN'!$A$1:$O$88,15,0)),0,VLOOKUP($S$109,'TAR FIN'!$A$1:$O$88,15,0))</f>
        <v>0</v>
      </c>
      <c r="W109" s="6">
        <f>IF(ISERROR(VLOOKUP($T$109,'TAR FIN'!$A$1:$O$88,15,0)),0,VLOOKUP($T$109,'TAR FIN'!$A$1:$O$88,15,0))</f>
        <v>1295.8499999999999</v>
      </c>
      <c r="X109" s="6">
        <f>IF(ISERROR(VLOOKUP($U$109,'TAR FIN'!$A$1:$O$88,15,0)),0,VLOOKUP($U$109,'TAR FIN'!$A$1:$O$88,15,0))</f>
        <v>434.95</v>
      </c>
      <c r="Y109" s="6"/>
      <c r="Z109" s="6">
        <f ca="1">('TUSD BE'!$AM$11+'TUSD BF_350'!$AM$11+'TUSD CVA'!$AM$11)*1</f>
        <v>1048.5801557334262</v>
      </c>
      <c r="AA109" s="6">
        <f ca="1">('TE BE'!$AB$5+'TE BF_350'!$AB$5+'TE CVA'!$AB$5)*1</f>
        <v>316.97983140624547</v>
      </c>
      <c r="AB109" s="6">
        <f>$K$109*$V$109</f>
        <v>0</v>
      </c>
      <c r="AC109" s="6">
        <f>$M$109*$W$109</f>
        <v>8752.1708999999992</v>
      </c>
      <c r="AD109" s="6">
        <f>$O$109*$X$109</f>
        <v>2937.6522999999997</v>
      </c>
      <c r="AE109" s="6">
        <f>$K$109*$Y$109</f>
        <v>0</v>
      </c>
      <c r="AF109" s="6">
        <f ca="1">$M$109*$Z$109</f>
        <v>7082.1103718235599</v>
      </c>
      <c r="AG109" s="6">
        <f ca="1">$O$109*$AA$109</f>
        <v>2140.8817813177816</v>
      </c>
    </row>
    <row r="110" spans="1:33" ht="11.25" customHeight="1" x14ac:dyDescent="0.25">
      <c r="A110" s="4" t="s">
        <v>21</v>
      </c>
      <c r="B110" s="4" t="s">
        <v>38</v>
      </c>
      <c r="C110" s="4" t="s">
        <v>39</v>
      </c>
      <c r="D110" s="4" t="s">
        <v>43</v>
      </c>
      <c r="E110" s="4" t="s">
        <v>25</v>
      </c>
      <c r="F110" s="4" t="s">
        <v>25</v>
      </c>
      <c r="G110" s="4" t="s">
        <v>25</v>
      </c>
      <c r="H110" s="4" t="s">
        <v>34</v>
      </c>
      <c r="I110" s="5">
        <v>44409</v>
      </c>
      <c r="J110" s="6">
        <v>0</v>
      </c>
      <c r="K110" s="6">
        <v>0</v>
      </c>
      <c r="L110" s="6">
        <v>7.9420000000000002</v>
      </c>
      <c r="M110" s="6">
        <v>7.9420000000000002</v>
      </c>
      <c r="N110" s="6">
        <v>7.9420000000000002</v>
      </c>
      <c r="O110" s="6">
        <v>7.9420000000000002</v>
      </c>
      <c r="P110" s="6">
        <v>0</v>
      </c>
      <c r="Q110" s="4" t="s">
        <v>26</v>
      </c>
      <c r="R110" s="4">
        <v>0</v>
      </c>
      <c r="S110" s="6">
        <v>0</v>
      </c>
      <c r="T110" s="6">
        <v>21</v>
      </c>
      <c r="U110" s="6">
        <v>70</v>
      </c>
      <c r="V110" s="6">
        <f>IF(ISERROR(VLOOKUP($S$110,'TAR FIN'!$A$1:$O$88,15,0)),0,VLOOKUP($S$110,'TAR FIN'!$A$1:$O$88,15,0))</f>
        <v>0</v>
      </c>
      <c r="W110" s="6">
        <f>IF(ISERROR(VLOOKUP($T$110,'TAR FIN'!$A$1:$O$88,15,0)),0,VLOOKUP($T$110,'TAR FIN'!$A$1:$O$88,15,0))</f>
        <v>73.790000000000006</v>
      </c>
      <c r="X110" s="6">
        <f>IF(ISERROR(VLOOKUP($U$110,'TAR FIN'!$A$1:$O$88,15,0)),0,VLOOKUP($U$110,'TAR FIN'!$A$1:$O$88,15,0))</f>
        <v>266.70999999999998</v>
      </c>
      <c r="Y110" s="6"/>
      <c r="Z110" s="6">
        <f ca="1">('TUSD BE'!$AM$12+'TUSD BF_350'!$AM$12+'TUSD CVA'!$AM$12)*1</f>
        <v>83.275517807559041</v>
      </c>
      <c r="AA110" s="6">
        <f ca="1">('TE BE'!$AB$6+'TE BF_350'!$AB$6+'TE CVA'!$AB$6)*1</f>
        <v>197.6895725142987</v>
      </c>
      <c r="AB110" s="6">
        <f>$K$110*$V$110</f>
        <v>0</v>
      </c>
      <c r="AC110" s="6">
        <f>$M$110*$W$110</f>
        <v>586.04018000000008</v>
      </c>
      <c r="AD110" s="6">
        <f>$O$110*$X$110</f>
        <v>2118.2108199999998</v>
      </c>
      <c r="AE110" s="6">
        <f>$K$110*$Y$110</f>
        <v>0</v>
      </c>
      <c r="AF110" s="6">
        <f ca="1">$M$110*$Z$110</f>
        <v>661.37416242763391</v>
      </c>
      <c r="AG110" s="6">
        <f ca="1">$O$110*$AA$110</f>
        <v>1570.0505849085603</v>
      </c>
    </row>
    <row r="111" spans="1:33" ht="11.25" customHeight="1" x14ac:dyDescent="0.25">
      <c r="A111" s="4" t="s">
        <v>21</v>
      </c>
      <c r="B111" s="4" t="s">
        <v>38</v>
      </c>
      <c r="C111" s="4" t="s">
        <v>39</v>
      </c>
      <c r="D111" s="4" t="s">
        <v>43</v>
      </c>
      <c r="E111" s="4" t="s">
        <v>25</v>
      </c>
      <c r="F111" s="4" t="s">
        <v>25</v>
      </c>
      <c r="G111" s="4" t="s">
        <v>25</v>
      </c>
      <c r="H111" s="4" t="s">
        <v>34</v>
      </c>
      <c r="I111" s="5">
        <v>44440</v>
      </c>
      <c r="J111" s="6">
        <v>0</v>
      </c>
      <c r="K111" s="6">
        <v>0</v>
      </c>
      <c r="L111" s="6">
        <v>6.1440000000000001</v>
      </c>
      <c r="M111" s="6">
        <v>6.1440000000000001</v>
      </c>
      <c r="N111" s="6">
        <v>6.1440000000000001</v>
      </c>
      <c r="O111" s="6">
        <v>6.1440000000000001</v>
      </c>
      <c r="P111" s="6">
        <v>0</v>
      </c>
      <c r="Q111" s="4" t="s">
        <v>26</v>
      </c>
      <c r="R111" s="4">
        <v>0</v>
      </c>
      <c r="S111" s="6">
        <v>0</v>
      </c>
      <c r="T111" s="6">
        <v>21</v>
      </c>
      <c r="U111" s="6">
        <v>70</v>
      </c>
      <c r="V111" s="6">
        <f>IF(ISERROR(VLOOKUP($S$111,'TAR FIN'!$A$1:$O$88,15,0)),0,VLOOKUP($S$111,'TAR FIN'!$A$1:$O$88,15,0))</f>
        <v>0</v>
      </c>
      <c r="W111" s="6">
        <f>IF(ISERROR(VLOOKUP($T$111,'TAR FIN'!$A$1:$O$88,15,0)),0,VLOOKUP($T$111,'TAR FIN'!$A$1:$O$88,15,0))</f>
        <v>73.790000000000006</v>
      </c>
      <c r="X111" s="6">
        <f>IF(ISERROR(VLOOKUP($U$111,'TAR FIN'!$A$1:$O$88,15,0)),0,VLOOKUP($U$111,'TAR FIN'!$A$1:$O$88,15,0))</f>
        <v>266.70999999999998</v>
      </c>
      <c r="Y111" s="6"/>
      <c r="Z111" s="6">
        <f ca="1">('TUSD BE'!$AM$12+'TUSD BF_350'!$AM$12+'TUSD CVA'!$AM$12)*1</f>
        <v>83.275517807559041</v>
      </c>
      <c r="AA111" s="6">
        <f ca="1">('TE BE'!$AB$6+'TE BF_350'!$AB$6+'TE CVA'!$AB$6)*1</f>
        <v>197.6895725142987</v>
      </c>
      <c r="AB111" s="6">
        <f>$K$111*$V$111</f>
        <v>0</v>
      </c>
      <c r="AC111" s="6">
        <f>$M$111*$W$111</f>
        <v>453.36576000000002</v>
      </c>
      <c r="AD111" s="6">
        <f>$O$111*$X$111</f>
        <v>1638.66624</v>
      </c>
      <c r="AE111" s="6">
        <f>$K$111*$Y$111</f>
        <v>0</v>
      </c>
      <c r="AF111" s="6">
        <f ca="1">$M$111*$Z$111</f>
        <v>511.64478140964275</v>
      </c>
      <c r="AG111" s="6">
        <f ca="1">$O$111*$AA$111</f>
        <v>1214.6047335278513</v>
      </c>
    </row>
    <row r="112" spans="1:33" ht="11.25" customHeight="1" x14ac:dyDescent="0.25">
      <c r="A112" s="4" t="s">
        <v>21</v>
      </c>
      <c r="B112" s="4" t="s">
        <v>38</v>
      </c>
      <c r="C112" s="4" t="s">
        <v>39</v>
      </c>
      <c r="D112" s="4" t="s">
        <v>43</v>
      </c>
      <c r="E112" s="4" t="s">
        <v>25</v>
      </c>
      <c r="F112" s="4" t="s">
        <v>25</v>
      </c>
      <c r="G112" s="4" t="s">
        <v>25</v>
      </c>
      <c r="H112" s="4" t="s">
        <v>34</v>
      </c>
      <c r="I112" s="5">
        <v>44470</v>
      </c>
      <c r="J112" s="6">
        <v>0</v>
      </c>
      <c r="K112" s="6">
        <v>0</v>
      </c>
      <c r="L112" s="6">
        <v>5.9240000000000004</v>
      </c>
      <c r="M112" s="6">
        <v>5.9240000000000004</v>
      </c>
      <c r="N112" s="6">
        <v>5.9240000000000004</v>
      </c>
      <c r="O112" s="6">
        <v>5.9240000000000004</v>
      </c>
      <c r="P112" s="6">
        <v>0</v>
      </c>
      <c r="Q112" s="4" t="s">
        <v>26</v>
      </c>
      <c r="R112" s="4">
        <v>0</v>
      </c>
      <c r="S112" s="6">
        <v>0</v>
      </c>
      <c r="T112" s="6">
        <v>21</v>
      </c>
      <c r="U112" s="6">
        <v>70</v>
      </c>
      <c r="V112" s="6">
        <f>IF(ISERROR(VLOOKUP($S$112,'TAR FIN'!$A$1:$O$88,15,0)),0,VLOOKUP($S$112,'TAR FIN'!$A$1:$O$88,15,0))</f>
        <v>0</v>
      </c>
      <c r="W112" s="6">
        <f>IF(ISERROR(VLOOKUP($T$112,'TAR FIN'!$A$1:$O$88,15,0)),0,VLOOKUP($T$112,'TAR FIN'!$A$1:$O$88,15,0))</f>
        <v>73.790000000000006</v>
      </c>
      <c r="X112" s="6">
        <f>IF(ISERROR(VLOOKUP($U$112,'TAR FIN'!$A$1:$O$88,15,0)),0,VLOOKUP($U$112,'TAR FIN'!$A$1:$O$88,15,0))</f>
        <v>266.70999999999998</v>
      </c>
      <c r="Y112" s="6"/>
      <c r="Z112" s="6">
        <f ca="1">('TUSD BE'!$AM$12+'TUSD BF_350'!$AM$12+'TUSD CVA'!$AM$12)*1</f>
        <v>83.275517807559041</v>
      </c>
      <c r="AA112" s="6">
        <f ca="1">('TE BE'!$AB$6+'TE BF_350'!$AB$6+'TE CVA'!$AB$6)*1</f>
        <v>197.6895725142987</v>
      </c>
      <c r="AB112" s="6">
        <f>$K$112*$V$112</f>
        <v>0</v>
      </c>
      <c r="AC112" s="6">
        <f>$M$112*$W$112</f>
        <v>437.13196000000005</v>
      </c>
      <c r="AD112" s="6">
        <f>$O$112*$X$112</f>
        <v>1579.9900399999999</v>
      </c>
      <c r="AE112" s="6">
        <f>$K$112*$Y$112</f>
        <v>0</v>
      </c>
      <c r="AF112" s="6">
        <f ca="1">$M$112*$Z$112</f>
        <v>493.32416749197978</v>
      </c>
      <c r="AG112" s="6">
        <f ca="1">$O$112*$AA$112</f>
        <v>1171.1130275747055</v>
      </c>
    </row>
    <row r="113" spans="1:33" ht="11.25" customHeight="1" x14ac:dyDescent="0.25">
      <c r="A113" s="4" t="s">
        <v>21</v>
      </c>
      <c r="B113" s="4" t="s">
        <v>38</v>
      </c>
      <c r="C113" s="4" t="s">
        <v>39</v>
      </c>
      <c r="D113" s="4" t="s">
        <v>43</v>
      </c>
      <c r="E113" s="4" t="s">
        <v>25</v>
      </c>
      <c r="F113" s="4" t="s">
        <v>25</v>
      </c>
      <c r="G113" s="4" t="s">
        <v>25</v>
      </c>
      <c r="H113" s="4" t="s">
        <v>34</v>
      </c>
      <c r="I113" s="5">
        <v>44501</v>
      </c>
      <c r="J113" s="6">
        <v>0</v>
      </c>
      <c r="K113" s="6">
        <v>0</v>
      </c>
      <c r="L113" s="6">
        <v>8.7520000000000007</v>
      </c>
      <c r="M113" s="6">
        <v>8.7520000000000007</v>
      </c>
      <c r="N113" s="6">
        <v>8.7520000000000007</v>
      </c>
      <c r="O113" s="6">
        <v>8.7520000000000007</v>
      </c>
      <c r="P113" s="6">
        <v>0</v>
      </c>
      <c r="Q113" s="4" t="s">
        <v>26</v>
      </c>
      <c r="R113" s="4">
        <v>0</v>
      </c>
      <c r="S113" s="6">
        <v>0</v>
      </c>
      <c r="T113" s="6">
        <v>21</v>
      </c>
      <c r="U113" s="6">
        <v>70</v>
      </c>
      <c r="V113" s="6">
        <f>IF(ISERROR(VLOOKUP($S$113,'TAR FIN'!$A$1:$O$88,15,0)),0,VLOOKUP($S$113,'TAR FIN'!$A$1:$O$88,15,0))</f>
        <v>0</v>
      </c>
      <c r="W113" s="6">
        <f>IF(ISERROR(VLOOKUP($T$113,'TAR FIN'!$A$1:$O$88,15,0)),0,VLOOKUP($T$113,'TAR FIN'!$A$1:$O$88,15,0))</f>
        <v>73.790000000000006</v>
      </c>
      <c r="X113" s="6">
        <f>IF(ISERROR(VLOOKUP($U$113,'TAR FIN'!$A$1:$O$88,15,0)),0,VLOOKUP($U$113,'TAR FIN'!$A$1:$O$88,15,0))</f>
        <v>266.70999999999998</v>
      </c>
      <c r="Y113" s="6"/>
      <c r="Z113" s="6">
        <f ca="1">('TUSD BE'!$AM$12+'TUSD BF_350'!$AM$12+'TUSD CVA'!$AM$12)*1</f>
        <v>83.275517807559041</v>
      </c>
      <c r="AA113" s="6">
        <f ca="1">('TE BE'!$AB$6+'TE BF_350'!$AB$6+'TE CVA'!$AB$6)*1</f>
        <v>197.6895725142987</v>
      </c>
      <c r="AB113" s="6">
        <f>$K$113*$V$113</f>
        <v>0</v>
      </c>
      <c r="AC113" s="6">
        <f>$M$113*$W$113</f>
        <v>645.81008000000008</v>
      </c>
      <c r="AD113" s="6">
        <f>$O$113*$X$113</f>
        <v>2334.2459199999998</v>
      </c>
      <c r="AE113" s="6">
        <f>$K$113*$Y$113</f>
        <v>0</v>
      </c>
      <c r="AF113" s="6">
        <f ca="1">$M$113*$Z$113</f>
        <v>728.82733185175675</v>
      </c>
      <c r="AG113" s="6">
        <f ca="1">$O$113*$AA$113</f>
        <v>1730.1791386451423</v>
      </c>
    </row>
    <row r="114" spans="1:33" ht="11.25" customHeight="1" x14ac:dyDescent="0.25">
      <c r="A114" s="4" t="s">
        <v>21</v>
      </c>
      <c r="B114" s="4" t="s">
        <v>38</v>
      </c>
      <c r="C114" s="4" t="s">
        <v>39</v>
      </c>
      <c r="D114" s="4" t="s">
        <v>43</v>
      </c>
      <c r="E114" s="4" t="s">
        <v>25</v>
      </c>
      <c r="F114" s="4" t="s">
        <v>25</v>
      </c>
      <c r="G114" s="4" t="s">
        <v>25</v>
      </c>
      <c r="H114" s="4" t="s">
        <v>34</v>
      </c>
      <c r="I114" s="5">
        <v>44531</v>
      </c>
      <c r="J114" s="6">
        <v>0</v>
      </c>
      <c r="K114" s="6">
        <v>0</v>
      </c>
      <c r="L114" s="6">
        <v>8.3049999999999997</v>
      </c>
      <c r="M114" s="6">
        <v>8.3049999999999997</v>
      </c>
      <c r="N114" s="6">
        <v>8.3049999999999997</v>
      </c>
      <c r="O114" s="6">
        <v>8.3049999999999997</v>
      </c>
      <c r="P114" s="6">
        <v>0</v>
      </c>
      <c r="Q114" s="4" t="s">
        <v>26</v>
      </c>
      <c r="R114" s="4">
        <v>0</v>
      </c>
      <c r="S114" s="6">
        <v>0</v>
      </c>
      <c r="T114" s="6">
        <v>21</v>
      </c>
      <c r="U114" s="6">
        <v>70</v>
      </c>
      <c r="V114" s="6">
        <f>IF(ISERROR(VLOOKUP($S$114,'TAR FIN'!$A$1:$O$88,15,0)),0,VLOOKUP($S$114,'TAR FIN'!$A$1:$O$88,15,0))</f>
        <v>0</v>
      </c>
      <c r="W114" s="6">
        <f>IF(ISERROR(VLOOKUP($T$114,'TAR FIN'!$A$1:$O$88,15,0)),0,VLOOKUP($T$114,'TAR FIN'!$A$1:$O$88,15,0))</f>
        <v>73.790000000000006</v>
      </c>
      <c r="X114" s="6">
        <f>IF(ISERROR(VLOOKUP($U$114,'TAR FIN'!$A$1:$O$88,15,0)),0,VLOOKUP($U$114,'TAR FIN'!$A$1:$O$88,15,0))</f>
        <v>266.70999999999998</v>
      </c>
      <c r="Y114" s="6"/>
      <c r="Z114" s="6">
        <f ca="1">('TUSD BE'!$AM$12+'TUSD BF_350'!$AM$12+'TUSD CVA'!$AM$12)*1</f>
        <v>83.275517807559041</v>
      </c>
      <c r="AA114" s="6">
        <f ca="1">('TE BE'!$AB$6+'TE BF_350'!$AB$6+'TE CVA'!$AB$6)*1</f>
        <v>197.6895725142987</v>
      </c>
      <c r="AB114" s="6">
        <f>$K$114*$V$114</f>
        <v>0</v>
      </c>
      <c r="AC114" s="6">
        <f>$M$114*$W$114</f>
        <v>612.82595000000003</v>
      </c>
      <c r="AD114" s="6">
        <f>$O$114*$X$114</f>
        <v>2215.0265499999996</v>
      </c>
      <c r="AE114" s="6">
        <f>$K$114*$Y$114</f>
        <v>0</v>
      </c>
      <c r="AF114" s="6">
        <f ca="1">$M$114*$Z$114</f>
        <v>691.60317539177777</v>
      </c>
      <c r="AG114" s="6">
        <f ca="1">$O$114*$AA$114</f>
        <v>1641.8118997312506</v>
      </c>
    </row>
    <row r="115" spans="1:33" ht="11.25" customHeight="1" x14ac:dyDescent="0.25">
      <c r="A115" s="4" t="s">
        <v>21</v>
      </c>
      <c r="B115" s="4" t="s">
        <v>38</v>
      </c>
      <c r="C115" s="4" t="s">
        <v>39</v>
      </c>
      <c r="D115" s="4" t="s">
        <v>43</v>
      </c>
      <c r="E115" s="4" t="s">
        <v>25</v>
      </c>
      <c r="F115" s="4" t="s">
        <v>25</v>
      </c>
      <c r="G115" s="4" t="s">
        <v>25</v>
      </c>
      <c r="H115" s="4" t="s">
        <v>34</v>
      </c>
      <c r="I115" s="5">
        <v>44562</v>
      </c>
      <c r="J115" s="6">
        <v>0</v>
      </c>
      <c r="K115" s="6">
        <v>0</v>
      </c>
      <c r="L115" s="6">
        <v>8.02</v>
      </c>
      <c r="M115" s="6">
        <v>8.02</v>
      </c>
      <c r="N115" s="6">
        <v>8.02</v>
      </c>
      <c r="O115" s="6">
        <v>8.02</v>
      </c>
      <c r="P115" s="6">
        <v>0</v>
      </c>
      <c r="Q115" s="4" t="s">
        <v>26</v>
      </c>
      <c r="R115" s="4">
        <v>0</v>
      </c>
      <c r="S115" s="6">
        <v>0</v>
      </c>
      <c r="T115" s="6">
        <v>21</v>
      </c>
      <c r="U115" s="6">
        <v>70</v>
      </c>
      <c r="V115" s="6">
        <f>IF(ISERROR(VLOOKUP($S$115,'TAR FIN'!$A$1:$O$88,15,0)),0,VLOOKUP($S$115,'TAR FIN'!$A$1:$O$88,15,0))</f>
        <v>0</v>
      </c>
      <c r="W115" s="6">
        <f>IF(ISERROR(VLOOKUP($T$115,'TAR FIN'!$A$1:$O$88,15,0)),0,VLOOKUP($T$115,'TAR FIN'!$A$1:$O$88,15,0))</f>
        <v>73.790000000000006</v>
      </c>
      <c r="X115" s="6">
        <f>IF(ISERROR(VLOOKUP($U$115,'TAR FIN'!$A$1:$O$88,15,0)),0,VLOOKUP($U$115,'TAR FIN'!$A$1:$O$88,15,0))</f>
        <v>266.70999999999998</v>
      </c>
      <c r="Y115" s="6"/>
      <c r="Z115" s="6">
        <f ca="1">('TUSD BE'!$AM$12+'TUSD BF_350'!$AM$12+'TUSD CVA'!$AM$12)*1</f>
        <v>83.275517807559041</v>
      </c>
      <c r="AA115" s="6">
        <f ca="1">('TE BE'!$AB$6+'TE BF_350'!$AB$6+'TE CVA'!$AB$6)*1</f>
        <v>197.6895725142987</v>
      </c>
      <c r="AB115" s="6">
        <f>$K$115*$V$115</f>
        <v>0</v>
      </c>
      <c r="AC115" s="6">
        <f>$M$115*$W$115</f>
        <v>591.79579999999999</v>
      </c>
      <c r="AD115" s="6">
        <f>$O$115*$X$115</f>
        <v>2139.0141999999996</v>
      </c>
      <c r="AE115" s="6">
        <f>$K$115*$Y$115</f>
        <v>0</v>
      </c>
      <c r="AF115" s="6">
        <f ca="1">$M$115*$Z$115</f>
        <v>667.86965281662344</v>
      </c>
      <c r="AG115" s="6">
        <f ca="1">$O$115*$AA$115</f>
        <v>1585.4703715646756</v>
      </c>
    </row>
    <row r="116" spans="1:33" ht="11.25" customHeight="1" x14ac:dyDescent="0.25">
      <c r="A116" s="4" t="s">
        <v>21</v>
      </c>
      <c r="B116" s="4" t="s">
        <v>38</v>
      </c>
      <c r="C116" s="4" t="s">
        <v>39</v>
      </c>
      <c r="D116" s="4" t="s">
        <v>43</v>
      </c>
      <c r="E116" s="4" t="s">
        <v>25</v>
      </c>
      <c r="F116" s="4" t="s">
        <v>25</v>
      </c>
      <c r="G116" s="4" t="s">
        <v>25</v>
      </c>
      <c r="H116" s="4" t="s">
        <v>34</v>
      </c>
      <c r="I116" s="5">
        <v>44593</v>
      </c>
      <c r="J116" s="6">
        <v>0</v>
      </c>
      <c r="K116" s="6">
        <v>0</v>
      </c>
      <c r="L116" s="6">
        <v>9.1739999999999995</v>
      </c>
      <c r="M116" s="6">
        <v>9.1739999999999995</v>
      </c>
      <c r="N116" s="6">
        <v>9.1739999999999995</v>
      </c>
      <c r="O116" s="6">
        <v>9.1739999999999995</v>
      </c>
      <c r="P116" s="6">
        <v>0</v>
      </c>
      <c r="Q116" s="4" t="s">
        <v>26</v>
      </c>
      <c r="R116" s="4">
        <v>0</v>
      </c>
      <c r="S116" s="6">
        <v>0</v>
      </c>
      <c r="T116" s="6">
        <v>21</v>
      </c>
      <c r="U116" s="6">
        <v>70</v>
      </c>
      <c r="V116" s="6">
        <f>IF(ISERROR(VLOOKUP($S$116,'TAR FIN'!$A$1:$O$88,15,0)),0,VLOOKUP($S$116,'TAR FIN'!$A$1:$O$88,15,0))</f>
        <v>0</v>
      </c>
      <c r="W116" s="6">
        <f>IF(ISERROR(VLOOKUP($T$116,'TAR FIN'!$A$1:$O$88,15,0)),0,VLOOKUP($T$116,'TAR FIN'!$A$1:$O$88,15,0))</f>
        <v>73.790000000000006</v>
      </c>
      <c r="X116" s="6">
        <f>IF(ISERROR(VLOOKUP($U$116,'TAR FIN'!$A$1:$O$88,15,0)),0,VLOOKUP($U$116,'TAR FIN'!$A$1:$O$88,15,0))</f>
        <v>266.70999999999998</v>
      </c>
      <c r="Y116" s="6"/>
      <c r="Z116" s="6">
        <f ca="1">('TUSD BE'!$AM$12+'TUSD BF_350'!$AM$12+'TUSD CVA'!$AM$12)*1</f>
        <v>83.275517807559041</v>
      </c>
      <c r="AA116" s="6">
        <f ca="1">('TE BE'!$AB$6+'TE BF_350'!$AB$6+'TE CVA'!$AB$6)*1</f>
        <v>197.6895725142987</v>
      </c>
      <c r="AB116" s="6">
        <f>$K$116*$V$116</f>
        <v>0</v>
      </c>
      <c r="AC116" s="6">
        <f>$M$116*$W$116</f>
        <v>676.94946000000004</v>
      </c>
      <c r="AD116" s="6">
        <f>$O$116*$X$116</f>
        <v>2446.7975399999996</v>
      </c>
      <c r="AE116" s="6">
        <f>$K$116*$Y$116</f>
        <v>0</v>
      </c>
      <c r="AF116" s="6">
        <f ca="1">$M$116*$Z$116</f>
        <v>763.96960036654662</v>
      </c>
      <c r="AG116" s="6">
        <f ca="1">$O$116*$AA$116</f>
        <v>1813.6041382461763</v>
      </c>
    </row>
    <row r="117" spans="1:33" ht="11.25" customHeight="1" x14ac:dyDescent="0.25">
      <c r="A117" s="4" t="s">
        <v>21</v>
      </c>
      <c r="B117" s="4" t="s">
        <v>38</v>
      </c>
      <c r="C117" s="4" t="s">
        <v>39</v>
      </c>
      <c r="D117" s="4" t="s">
        <v>43</v>
      </c>
      <c r="E117" s="4" t="s">
        <v>25</v>
      </c>
      <c r="F117" s="4" t="s">
        <v>25</v>
      </c>
      <c r="G117" s="4" t="s">
        <v>25</v>
      </c>
      <c r="H117" s="4" t="s">
        <v>34</v>
      </c>
      <c r="I117" s="5">
        <v>44621</v>
      </c>
      <c r="J117" s="6">
        <v>0</v>
      </c>
      <c r="K117" s="6">
        <v>0</v>
      </c>
      <c r="L117" s="6">
        <v>7.5529999999999999</v>
      </c>
      <c r="M117" s="6">
        <v>7.5529999999999999</v>
      </c>
      <c r="N117" s="6">
        <v>7.5529999999999999</v>
      </c>
      <c r="O117" s="6">
        <v>7.5529999999999999</v>
      </c>
      <c r="P117" s="6">
        <v>0</v>
      </c>
      <c r="Q117" s="4" t="s">
        <v>26</v>
      </c>
      <c r="R117" s="4">
        <v>0</v>
      </c>
      <c r="S117" s="6">
        <v>0</v>
      </c>
      <c r="T117" s="6">
        <v>21</v>
      </c>
      <c r="U117" s="6">
        <v>70</v>
      </c>
      <c r="V117" s="6">
        <f>IF(ISERROR(VLOOKUP($S$117,'TAR FIN'!$A$1:$O$88,15,0)),0,VLOOKUP($S$117,'TAR FIN'!$A$1:$O$88,15,0))</f>
        <v>0</v>
      </c>
      <c r="W117" s="6">
        <f>IF(ISERROR(VLOOKUP($T$117,'TAR FIN'!$A$1:$O$88,15,0)),0,VLOOKUP($T$117,'TAR FIN'!$A$1:$O$88,15,0))</f>
        <v>73.790000000000006</v>
      </c>
      <c r="X117" s="6">
        <f>IF(ISERROR(VLOOKUP($U$117,'TAR FIN'!$A$1:$O$88,15,0)),0,VLOOKUP($U$117,'TAR FIN'!$A$1:$O$88,15,0))</f>
        <v>266.70999999999998</v>
      </c>
      <c r="Y117" s="6"/>
      <c r="Z117" s="6">
        <f ca="1">('TUSD BE'!$AM$12+'TUSD BF_350'!$AM$12+'TUSD CVA'!$AM$12)*1</f>
        <v>83.275517807559041</v>
      </c>
      <c r="AA117" s="6">
        <f ca="1">('TE BE'!$AB$6+'TE BF_350'!$AB$6+'TE CVA'!$AB$6)*1</f>
        <v>197.6895725142987</v>
      </c>
      <c r="AB117" s="6">
        <f>$K$117*$V$117</f>
        <v>0</v>
      </c>
      <c r="AC117" s="6">
        <f>$M$117*$W$117</f>
        <v>557.33587</v>
      </c>
      <c r="AD117" s="6">
        <f>$O$117*$X$117</f>
        <v>2014.4606299999998</v>
      </c>
      <c r="AE117" s="6">
        <f>$K$117*$Y$117</f>
        <v>0</v>
      </c>
      <c r="AF117" s="6">
        <f ca="1">$M$117*$Z$117</f>
        <v>628.97998600049345</v>
      </c>
      <c r="AG117" s="6">
        <f ca="1">$O$117*$AA$117</f>
        <v>1493.1493412004982</v>
      </c>
    </row>
    <row r="118" spans="1:33" ht="11.25" customHeight="1" x14ac:dyDescent="0.25">
      <c r="A118" s="4" t="s">
        <v>21</v>
      </c>
      <c r="B118" s="4" t="s">
        <v>38</v>
      </c>
      <c r="C118" s="4" t="s">
        <v>39</v>
      </c>
      <c r="D118" s="4" t="s">
        <v>43</v>
      </c>
      <c r="E118" s="4" t="s">
        <v>25</v>
      </c>
      <c r="F118" s="4" t="s">
        <v>25</v>
      </c>
      <c r="G118" s="4" t="s">
        <v>25</v>
      </c>
      <c r="H118" s="4" t="s">
        <v>34</v>
      </c>
      <c r="I118" s="5">
        <v>44652</v>
      </c>
      <c r="J118" s="6">
        <v>0</v>
      </c>
      <c r="K118" s="6">
        <v>0</v>
      </c>
      <c r="L118" s="6">
        <v>5.3319999999999999</v>
      </c>
      <c r="M118" s="6">
        <v>5.3319999999999999</v>
      </c>
      <c r="N118" s="6">
        <v>5.3319999999999999</v>
      </c>
      <c r="O118" s="6">
        <v>5.3319999999999999</v>
      </c>
      <c r="P118" s="6">
        <v>0</v>
      </c>
      <c r="Q118" s="4" t="s">
        <v>26</v>
      </c>
      <c r="R118" s="4">
        <v>0</v>
      </c>
      <c r="S118" s="6">
        <v>0</v>
      </c>
      <c r="T118" s="6">
        <v>21</v>
      </c>
      <c r="U118" s="6">
        <v>70</v>
      </c>
      <c r="V118" s="6">
        <f>IF(ISERROR(VLOOKUP($S$118,'TAR FIN'!$A$1:$O$88,15,0)),0,VLOOKUP($S$118,'TAR FIN'!$A$1:$O$88,15,0))</f>
        <v>0</v>
      </c>
      <c r="W118" s="6">
        <f>IF(ISERROR(VLOOKUP($T$118,'TAR FIN'!$A$1:$O$88,15,0)),0,VLOOKUP($T$118,'TAR FIN'!$A$1:$O$88,15,0))</f>
        <v>73.790000000000006</v>
      </c>
      <c r="X118" s="6">
        <f>IF(ISERROR(VLOOKUP($U$118,'TAR FIN'!$A$1:$O$88,15,0)),0,VLOOKUP($U$118,'TAR FIN'!$A$1:$O$88,15,0))</f>
        <v>266.70999999999998</v>
      </c>
      <c r="Y118" s="6"/>
      <c r="Z118" s="6">
        <f ca="1">('TUSD BE'!$AM$12+'TUSD BF_350'!$AM$12+'TUSD CVA'!$AM$12)*1</f>
        <v>83.275517807559041</v>
      </c>
      <c r="AA118" s="6">
        <f ca="1">('TE BE'!$AB$6+'TE BF_350'!$AB$6+'TE CVA'!$AB$6)*1</f>
        <v>197.6895725142987</v>
      </c>
      <c r="AB118" s="6">
        <f>$K$118*$V$118</f>
        <v>0</v>
      </c>
      <c r="AC118" s="6">
        <f>$M$118*$W$118</f>
        <v>393.44828000000001</v>
      </c>
      <c r="AD118" s="6">
        <f>$O$118*$X$118</f>
        <v>1422.0977199999998</v>
      </c>
      <c r="AE118" s="6">
        <f>$K$118*$Y$118</f>
        <v>0</v>
      </c>
      <c r="AF118" s="6">
        <f ca="1">$M$118*$Z$118</f>
        <v>444.0250609499048</v>
      </c>
      <c r="AG118" s="6">
        <f ca="1">$O$118*$AA$118</f>
        <v>1054.0808006462407</v>
      </c>
    </row>
    <row r="119" spans="1:33" ht="11.25" customHeight="1" x14ac:dyDescent="0.25">
      <c r="A119" s="4" t="s">
        <v>21</v>
      </c>
      <c r="B119" s="4" t="s">
        <v>38</v>
      </c>
      <c r="C119" s="4" t="s">
        <v>39</v>
      </c>
      <c r="D119" s="4" t="s">
        <v>43</v>
      </c>
      <c r="E119" s="4" t="s">
        <v>25</v>
      </c>
      <c r="F119" s="4" t="s">
        <v>25</v>
      </c>
      <c r="G119" s="4" t="s">
        <v>25</v>
      </c>
      <c r="H119" s="4" t="s">
        <v>34</v>
      </c>
      <c r="I119" s="5">
        <v>44682</v>
      </c>
      <c r="J119" s="6">
        <v>0</v>
      </c>
      <c r="K119" s="6">
        <v>0</v>
      </c>
      <c r="L119" s="6">
        <v>7.4889999999999999</v>
      </c>
      <c r="M119" s="6">
        <v>7.4889999999999999</v>
      </c>
      <c r="N119" s="6">
        <v>7.4889999999999999</v>
      </c>
      <c r="O119" s="6">
        <v>7.4889999999999999</v>
      </c>
      <c r="P119" s="6">
        <v>0</v>
      </c>
      <c r="Q119" s="4" t="s">
        <v>26</v>
      </c>
      <c r="R119" s="4">
        <v>0</v>
      </c>
      <c r="S119" s="6">
        <v>0</v>
      </c>
      <c r="T119" s="6">
        <v>21</v>
      </c>
      <c r="U119" s="6">
        <v>70</v>
      </c>
      <c r="V119" s="6">
        <f>IF(ISERROR(VLOOKUP($S$119,'TAR FIN'!$A$1:$O$88,15,0)),0,VLOOKUP($S$119,'TAR FIN'!$A$1:$O$88,15,0))</f>
        <v>0</v>
      </c>
      <c r="W119" s="6">
        <f>IF(ISERROR(VLOOKUP($T$119,'TAR FIN'!$A$1:$O$88,15,0)),0,VLOOKUP($T$119,'TAR FIN'!$A$1:$O$88,15,0))</f>
        <v>73.790000000000006</v>
      </c>
      <c r="X119" s="6">
        <f>IF(ISERROR(VLOOKUP($U$119,'TAR FIN'!$A$1:$O$88,15,0)),0,VLOOKUP($U$119,'TAR FIN'!$A$1:$O$88,15,0))</f>
        <v>266.70999999999998</v>
      </c>
      <c r="Y119" s="6"/>
      <c r="Z119" s="6">
        <f ca="1">('TUSD BE'!$AM$12+'TUSD BF_350'!$AM$12+'TUSD CVA'!$AM$12)*1</f>
        <v>83.275517807559041</v>
      </c>
      <c r="AA119" s="6">
        <f ca="1">('TE BE'!$AB$6+'TE BF_350'!$AB$6+'TE CVA'!$AB$6)*1</f>
        <v>197.6895725142987</v>
      </c>
      <c r="AB119" s="6">
        <f>$K$119*$V$119</f>
        <v>0</v>
      </c>
      <c r="AC119" s="6">
        <f>$M$119*$W$119</f>
        <v>552.61331000000007</v>
      </c>
      <c r="AD119" s="6">
        <f>$O$119*$X$119</f>
        <v>1997.3911899999998</v>
      </c>
      <c r="AE119" s="6">
        <f>$K$119*$Y$119</f>
        <v>0</v>
      </c>
      <c r="AF119" s="6">
        <f ca="1">$M$119*$Z$119</f>
        <v>623.65035286080968</v>
      </c>
      <c r="AG119" s="6">
        <f ca="1">$O$119*$AA$119</f>
        <v>1480.497208559583</v>
      </c>
    </row>
    <row r="120" spans="1:33" ht="11.25" customHeight="1" x14ac:dyDescent="0.25">
      <c r="A120" s="4" t="s">
        <v>21</v>
      </c>
      <c r="B120" s="4" t="s">
        <v>38</v>
      </c>
      <c r="C120" s="4" t="s">
        <v>39</v>
      </c>
      <c r="D120" s="4" t="s">
        <v>43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44713</v>
      </c>
      <c r="J120" s="6">
        <v>0</v>
      </c>
      <c r="K120" s="6">
        <v>0</v>
      </c>
      <c r="L120" s="6">
        <v>7.5709999999999997</v>
      </c>
      <c r="M120" s="6">
        <v>7.5709999999999997</v>
      </c>
      <c r="N120" s="6">
        <v>7.5709999999999997</v>
      </c>
      <c r="O120" s="6">
        <v>7.5709999999999997</v>
      </c>
      <c r="P120" s="6">
        <v>0</v>
      </c>
      <c r="Q120" s="4" t="s">
        <v>26</v>
      </c>
      <c r="R120" s="4">
        <v>0</v>
      </c>
      <c r="S120" s="6">
        <v>0</v>
      </c>
      <c r="T120" s="6">
        <v>21</v>
      </c>
      <c r="U120" s="6">
        <v>70</v>
      </c>
      <c r="V120" s="6">
        <f>IF(ISERROR(VLOOKUP($S$120,'TAR FIN'!$A$1:$O$88,15,0)),0,VLOOKUP($S$120,'TAR FIN'!$A$1:$O$88,15,0))</f>
        <v>0</v>
      </c>
      <c r="W120" s="6">
        <f>IF(ISERROR(VLOOKUP($T$120,'TAR FIN'!$A$1:$O$88,15,0)),0,VLOOKUP($T$120,'TAR FIN'!$A$1:$O$88,15,0))</f>
        <v>73.790000000000006</v>
      </c>
      <c r="X120" s="6">
        <f>IF(ISERROR(VLOOKUP($U$120,'TAR FIN'!$A$1:$O$88,15,0)),0,VLOOKUP($U$120,'TAR FIN'!$A$1:$O$88,15,0))</f>
        <v>266.70999999999998</v>
      </c>
      <c r="Y120" s="6"/>
      <c r="Z120" s="6">
        <f ca="1">('TUSD BE'!$AM$12+'TUSD BF_350'!$AM$12+'TUSD CVA'!$AM$12)*1</f>
        <v>83.275517807559041</v>
      </c>
      <c r="AA120" s="6">
        <f ca="1">('TE BE'!$AB$6+'TE BF_350'!$AB$6+'TE CVA'!$AB$6)*1</f>
        <v>197.6895725142987</v>
      </c>
      <c r="AB120" s="6">
        <f>$K$120*$V$120</f>
        <v>0</v>
      </c>
      <c r="AC120" s="6">
        <f>$M$120*$W$120</f>
        <v>558.66408999999999</v>
      </c>
      <c r="AD120" s="6">
        <f>$O$120*$X$120</f>
        <v>2019.2614099999998</v>
      </c>
      <c r="AE120" s="6">
        <f>$K$120*$Y$120</f>
        <v>0</v>
      </c>
      <c r="AF120" s="6">
        <f ca="1">$M$120*$Z$120</f>
        <v>630.47894532102953</v>
      </c>
      <c r="AG120" s="6">
        <f ca="1">$O$120*$AA$120</f>
        <v>1496.7077535057554</v>
      </c>
    </row>
    <row r="121" spans="1:33" ht="11.25" customHeight="1" x14ac:dyDescent="0.25">
      <c r="A121" s="4" t="s">
        <v>55</v>
      </c>
      <c r="B121" s="4" t="s">
        <v>38</v>
      </c>
      <c r="C121" s="4" t="s">
        <v>39</v>
      </c>
      <c r="D121" s="4" t="s">
        <v>43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44743</v>
      </c>
      <c r="J121" s="6">
        <v>0</v>
      </c>
      <c r="K121" s="6">
        <v>0</v>
      </c>
      <c r="L121" s="6">
        <v>7.5709999999999997</v>
      </c>
      <c r="M121" s="6">
        <v>7.5709999999999997</v>
      </c>
      <c r="N121" s="6">
        <v>7.5709999999999997</v>
      </c>
      <c r="O121" s="6">
        <v>7.5709999999999997</v>
      </c>
      <c r="P121" s="6">
        <v>0</v>
      </c>
      <c r="Q121" s="4" t="s">
        <v>26</v>
      </c>
      <c r="R121" s="4">
        <v>0</v>
      </c>
      <c r="S121" s="6">
        <v>0</v>
      </c>
      <c r="T121" s="6">
        <v>21</v>
      </c>
      <c r="U121" s="6">
        <v>70</v>
      </c>
      <c r="V121" s="6">
        <f>IF(ISERROR(VLOOKUP($S$121,'TAR FIN'!$A$1:$O$88,15,0)),0,VLOOKUP($S$121,'TAR FIN'!$A$1:$O$88,15,0))</f>
        <v>0</v>
      </c>
      <c r="W121" s="6">
        <f>IF(ISERROR(VLOOKUP($T$121,'TAR FIN'!$A$1:$O$88,15,0)),0,VLOOKUP($T$121,'TAR FIN'!$A$1:$O$88,15,0))</f>
        <v>73.790000000000006</v>
      </c>
      <c r="X121" s="6">
        <f>IF(ISERROR(VLOOKUP($U$121,'TAR FIN'!$A$1:$O$88,15,0)),0,VLOOKUP($U$121,'TAR FIN'!$A$1:$O$88,15,0))</f>
        <v>266.70999999999998</v>
      </c>
      <c r="Y121" s="6"/>
      <c r="Z121" s="6">
        <f ca="1">('TUSD BE'!$AM$12+'TUSD BF_350'!$AM$12+'TUSD CVA'!$AM$12)*1</f>
        <v>83.275517807559041</v>
      </c>
      <c r="AA121" s="6">
        <f ca="1">('TE BE'!$AB$6+'TE BF_350'!$AB$6+'TE CVA'!$AB$6)*1</f>
        <v>197.6895725142987</v>
      </c>
      <c r="AB121" s="6">
        <f>$K$121*$V$121</f>
        <v>0</v>
      </c>
      <c r="AC121" s="6">
        <f>$M$121*$W$121</f>
        <v>558.66408999999999</v>
      </c>
      <c r="AD121" s="6">
        <f>$O$121*$X$121</f>
        <v>2019.2614099999998</v>
      </c>
      <c r="AE121" s="6">
        <f>$K$121*$Y$121</f>
        <v>0</v>
      </c>
      <c r="AF121" s="6">
        <f ca="1">$M$121*$Z$121</f>
        <v>630.47894532102953</v>
      </c>
      <c r="AG121" s="6">
        <f ca="1">$O$121*$AA$121</f>
        <v>1496.7077535057554</v>
      </c>
    </row>
    <row r="122" spans="1:33" ht="11.25" customHeight="1" x14ac:dyDescent="0.25">
      <c r="A122" s="4" t="s">
        <v>21</v>
      </c>
      <c r="B122" s="4" t="s">
        <v>38</v>
      </c>
      <c r="C122" s="4" t="s">
        <v>39</v>
      </c>
      <c r="D122" s="4" t="s">
        <v>43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44409</v>
      </c>
      <c r="J122" s="6">
        <v>70</v>
      </c>
      <c r="K122" s="6">
        <v>70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4" t="s">
        <v>26</v>
      </c>
      <c r="R122" s="4">
        <v>0</v>
      </c>
      <c r="S122" s="6">
        <v>15</v>
      </c>
      <c r="T122" s="6">
        <v>0</v>
      </c>
      <c r="U122" s="6">
        <v>0</v>
      </c>
      <c r="V122" s="6">
        <f>IF(ISERROR(VLOOKUP($S$122,'TAR FIN'!$A$1:$O$88,15,0)),0,VLOOKUP($S$122,'TAR FIN'!$A$1:$O$88,15,0))</f>
        <v>17.190000000000001</v>
      </c>
      <c r="W122" s="6">
        <f>IF(ISERROR(VLOOKUP($T$122,'TAR FIN'!$A$1:$O$88,15,0)),0,VLOOKUP($T$122,'TAR FIN'!$A$1:$O$88,15,0))</f>
        <v>0</v>
      </c>
      <c r="X122" s="6">
        <f>IF(ISERROR(VLOOKUP($U$122,'TAR FIN'!$A$1:$O$88,15,0)),0,VLOOKUP($U$122,'TAR FIN'!$A$1:$O$88,15,0))</f>
        <v>0</v>
      </c>
      <c r="Y122" s="6">
        <f ca="1">('TUSD BE'!$AM$10+'TUSD BF_350'!$AM$10+'TUSD CVA'!$AM$10)*1</f>
        <v>13.66046481326768</v>
      </c>
      <c r="Z122" s="6"/>
      <c r="AA122" s="6"/>
      <c r="AB122" s="6">
        <f>$K$122*$V$122</f>
        <v>1203.3000000000002</v>
      </c>
      <c r="AC122" s="6">
        <f>$M$122*$W$122</f>
        <v>0</v>
      </c>
      <c r="AD122" s="6">
        <f>$O$122*$X$122</f>
        <v>0</v>
      </c>
      <c r="AE122" s="6">
        <f ca="1">$K$122*$Y$122</f>
        <v>956.23253692873755</v>
      </c>
      <c r="AF122" s="6">
        <f>$M$122*$Z$122</f>
        <v>0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38</v>
      </c>
      <c r="C123" s="4" t="s">
        <v>39</v>
      </c>
      <c r="D123" s="4" t="s">
        <v>43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44440</v>
      </c>
      <c r="J123" s="6">
        <v>70</v>
      </c>
      <c r="K123" s="6">
        <v>70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4" t="s">
        <v>26</v>
      </c>
      <c r="R123" s="4">
        <v>0</v>
      </c>
      <c r="S123" s="6">
        <v>15</v>
      </c>
      <c r="T123" s="6">
        <v>0</v>
      </c>
      <c r="U123" s="6">
        <v>0</v>
      </c>
      <c r="V123" s="6">
        <f>IF(ISERROR(VLOOKUP($S$123,'TAR FIN'!$A$1:$O$88,15,0)),0,VLOOKUP($S$123,'TAR FIN'!$A$1:$O$88,15,0))</f>
        <v>17.190000000000001</v>
      </c>
      <c r="W123" s="6">
        <f>IF(ISERROR(VLOOKUP($T$123,'TAR FIN'!$A$1:$O$88,15,0)),0,VLOOKUP($T$123,'TAR FIN'!$A$1:$O$88,15,0))</f>
        <v>0</v>
      </c>
      <c r="X123" s="6">
        <f>IF(ISERROR(VLOOKUP($U$123,'TAR FIN'!$A$1:$O$88,15,0)),0,VLOOKUP($U$123,'TAR FIN'!$A$1:$O$88,15,0))</f>
        <v>0</v>
      </c>
      <c r="Y123" s="6">
        <f ca="1">('TUSD BE'!$AM$10+'TUSD BF_350'!$AM$10+'TUSD CVA'!$AM$10)*1</f>
        <v>13.66046481326768</v>
      </c>
      <c r="Z123" s="6"/>
      <c r="AA123" s="6"/>
      <c r="AB123" s="6">
        <f>$K$123*$V$123</f>
        <v>1203.3000000000002</v>
      </c>
      <c r="AC123" s="6">
        <f>$M$123*$W$123</f>
        <v>0</v>
      </c>
      <c r="AD123" s="6">
        <f>$O$123*$X$123</f>
        <v>0</v>
      </c>
      <c r="AE123" s="6">
        <f ca="1">$K$123*$Y$123</f>
        <v>956.23253692873755</v>
      </c>
      <c r="AF123" s="6">
        <f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38</v>
      </c>
      <c r="C124" s="4" t="s">
        <v>39</v>
      </c>
      <c r="D124" s="4" t="s">
        <v>43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44470</v>
      </c>
      <c r="J124" s="6">
        <v>70</v>
      </c>
      <c r="K124" s="6">
        <v>70</v>
      </c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4" t="s">
        <v>26</v>
      </c>
      <c r="R124" s="4">
        <v>0</v>
      </c>
      <c r="S124" s="6">
        <v>15</v>
      </c>
      <c r="T124" s="6">
        <v>0</v>
      </c>
      <c r="U124" s="6">
        <v>0</v>
      </c>
      <c r="V124" s="6">
        <f>IF(ISERROR(VLOOKUP($S$124,'TAR FIN'!$A$1:$O$88,15,0)),0,VLOOKUP($S$124,'TAR FIN'!$A$1:$O$88,15,0))</f>
        <v>17.190000000000001</v>
      </c>
      <c r="W124" s="6">
        <f>IF(ISERROR(VLOOKUP($T$124,'TAR FIN'!$A$1:$O$88,15,0)),0,VLOOKUP($T$124,'TAR FIN'!$A$1:$O$88,15,0))</f>
        <v>0</v>
      </c>
      <c r="X124" s="6">
        <f>IF(ISERROR(VLOOKUP($U$124,'TAR FIN'!$A$1:$O$88,15,0)),0,VLOOKUP($U$124,'TAR FIN'!$A$1:$O$88,15,0))</f>
        <v>0</v>
      </c>
      <c r="Y124" s="6">
        <f ca="1">('TUSD BE'!$AM$10+'TUSD BF_350'!$AM$10+'TUSD CVA'!$AM$10)*1</f>
        <v>13.66046481326768</v>
      </c>
      <c r="Z124" s="6"/>
      <c r="AA124" s="6"/>
      <c r="AB124" s="6">
        <f>$K$124*$V$124</f>
        <v>1203.3000000000002</v>
      </c>
      <c r="AC124" s="6">
        <f>$M$124*$W$124</f>
        <v>0</v>
      </c>
      <c r="AD124" s="6">
        <f>$O$124*$X$124</f>
        <v>0</v>
      </c>
      <c r="AE124" s="6">
        <f ca="1">$K$124*$Y$124</f>
        <v>956.23253692873755</v>
      </c>
      <c r="AF124" s="6">
        <f>$M$124*$Z$124</f>
        <v>0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38</v>
      </c>
      <c r="C125" s="4" t="s">
        <v>39</v>
      </c>
      <c r="D125" s="4" t="s">
        <v>43</v>
      </c>
      <c r="E125" s="4" t="s">
        <v>25</v>
      </c>
      <c r="F125" s="4" t="s">
        <v>25</v>
      </c>
      <c r="G125" s="4" t="s">
        <v>25</v>
      </c>
      <c r="H125" s="4" t="s">
        <v>25</v>
      </c>
      <c r="I125" s="5">
        <v>44501</v>
      </c>
      <c r="J125" s="6">
        <v>70</v>
      </c>
      <c r="K125" s="6">
        <v>70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4" t="s">
        <v>26</v>
      </c>
      <c r="R125" s="4">
        <v>0</v>
      </c>
      <c r="S125" s="6">
        <v>15</v>
      </c>
      <c r="T125" s="6">
        <v>0</v>
      </c>
      <c r="U125" s="6">
        <v>0</v>
      </c>
      <c r="V125" s="6">
        <f>IF(ISERROR(VLOOKUP($S$125,'TAR FIN'!$A$1:$O$88,15,0)),0,VLOOKUP($S$125,'TAR FIN'!$A$1:$O$88,15,0))</f>
        <v>17.190000000000001</v>
      </c>
      <c r="W125" s="6">
        <f>IF(ISERROR(VLOOKUP($T$125,'TAR FIN'!$A$1:$O$88,15,0)),0,VLOOKUP($T$125,'TAR FIN'!$A$1:$O$88,15,0))</f>
        <v>0</v>
      </c>
      <c r="X125" s="6">
        <f>IF(ISERROR(VLOOKUP($U$125,'TAR FIN'!$A$1:$O$88,15,0)),0,VLOOKUP($U$125,'TAR FIN'!$A$1:$O$88,15,0))</f>
        <v>0</v>
      </c>
      <c r="Y125" s="6">
        <f ca="1">('TUSD BE'!$AM$10+'TUSD BF_350'!$AM$10+'TUSD CVA'!$AM$10)*1</f>
        <v>13.66046481326768</v>
      </c>
      <c r="Z125" s="6"/>
      <c r="AA125" s="6"/>
      <c r="AB125" s="6">
        <f>$K$125*$V$125</f>
        <v>1203.3000000000002</v>
      </c>
      <c r="AC125" s="6">
        <f>$M$125*$W$125</f>
        <v>0</v>
      </c>
      <c r="AD125" s="6">
        <f>$O$125*$X$125</f>
        <v>0</v>
      </c>
      <c r="AE125" s="6">
        <f ca="1">$K$125*$Y$125</f>
        <v>956.23253692873755</v>
      </c>
      <c r="AF125" s="6">
        <f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38</v>
      </c>
      <c r="C126" s="4" t="s">
        <v>39</v>
      </c>
      <c r="D126" s="4" t="s">
        <v>43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44531</v>
      </c>
      <c r="J126" s="6">
        <v>70</v>
      </c>
      <c r="K126" s="6">
        <v>70</v>
      </c>
      <c r="L126" s="6">
        <v>0</v>
      </c>
      <c r="M126" s="6">
        <v>0</v>
      </c>
      <c r="N126" s="6">
        <v>0</v>
      </c>
      <c r="O126" s="6">
        <v>0</v>
      </c>
      <c r="P126" s="6">
        <v>1</v>
      </c>
      <c r="Q126" s="4" t="s">
        <v>26</v>
      </c>
      <c r="R126" s="4">
        <v>0</v>
      </c>
      <c r="S126" s="6">
        <v>15</v>
      </c>
      <c r="T126" s="6">
        <v>0</v>
      </c>
      <c r="U126" s="6">
        <v>0</v>
      </c>
      <c r="V126" s="6">
        <f>IF(ISERROR(VLOOKUP($S$126,'TAR FIN'!$A$1:$O$88,15,0)),0,VLOOKUP($S$126,'TAR FIN'!$A$1:$O$88,15,0))</f>
        <v>17.190000000000001</v>
      </c>
      <c r="W126" s="6">
        <f>IF(ISERROR(VLOOKUP($T$126,'TAR FIN'!$A$1:$O$88,15,0)),0,VLOOKUP($T$126,'TAR FIN'!$A$1:$O$88,15,0))</f>
        <v>0</v>
      </c>
      <c r="X126" s="6">
        <f>IF(ISERROR(VLOOKUP($U$126,'TAR FIN'!$A$1:$O$88,15,0)),0,VLOOKUP($U$126,'TAR FIN'!$A$1:$O$88,15,0))</f>
        <v>0</v>
      </c>
      <c r="Y126" s="6">
        <f ca="1">('TUSD BE'!$AM$10+'TUSD BF_350'!$AM$10+'TUSD CVA'!$AM$10)*1</f>
        <v>13.66046481326768</v>
      </c>
      <c r="Z126" s="6"/>
      <c r="AA126" s="6"/>
      <c r="AB126" s="6">
        <f>$K$126*$V$126</f>
        <v>1203.3000000000002</v>
      </c>
      <c r="AC126" s="6">
        <f>$M$126*$W$126</f>
        <v>0</v>
      </c>
      <c r="AD126" s="6">
        <f>$O$126*$X$126</f>
        <v>0</v>
      </c>
      <c r="AE126" s="6">
        <f ca="1">$K$126*$Y$126</f>
        <v>956.23253692873755</v>
      </c>
      <c r="AF126" s="6">
        <f>$M$126*$Z$126</f>
        <v>0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38</v>
      </c>
      <c r="C127" s="4" t="s">
        <v>39</v>
      </c>
      <c r="D127" s="4" t="s">
        <v>43</v>
      </c>
      <c r="E127" s="4" t="s">
        <v>25</v>
      </c>
      <c r="F127" s="4" t="s">
        <v>25</v>
      </c>
      <c r="G127" s="4" t="s">
        <v>25</v>
      </c>
      <c r="H127" s="4" t="s">
        <v>25</v>
      </c>
      <c r="I127" s="5">
        <v>44562</v>
      </c>
      <c r="J127" s="6">
        <v>70</v>
      </c>
      <c r="K127" s="6">
        <v>70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4" t="s">
        <v>26</v>
      </c>
      <c r="R127" s="4">
        <v>0</v>
      </c>
      <c r="S127" s="6">
        <v>15</v>
      </c>
      <c r="T127" s="6">
        <v>0</v>
      </c>
      <c r="U127" s="6">
        <v>0</v>
      </c>
      <c r="V127" s="6">
        <f>IF(ISERROR(VLOOKUP($S$127,'TAR FIN'!$A$1:$O$88,15,0)),0,VLOOKUP($S$127,'TAR FIN'!$A$1:$O$88,15,0))</f>
        <v>17.190000000000001</v>
      </c>
      <c r="W127" s="6">
        <f>IF(ISERROR(VLOOKUP($T$127,'TAR FIN'!$A$1:$O$88,15,0)),0,VLOOKUP($T$127,'TAR FIN'!$A$1:$O$88,15,0))</f>
        <v>0</v>
      </c>
      <c r="X127" s="6">
        <f>IF(ISERROR(VLOOKUP($U$127,'TAR FIN'!$A$1:$O$88,15,0)),0,VLOOKUP($U$127,'TAR FIN'!$A$1:$O$88,15,0))</f>
        <v>0</v>
      </c>
      <c r="Y127" s="6">
        <f ca="1">('TUSD BE'!$AM$10+'TUSD BF_350'!$AM$10+'TUSD CVA'!$AM$10)*1</f>
        <v>13.66046481326768</v>
      </c>
      <c r="Z127" s="6"/>
      <c r="AA127" s="6"/>
      <c r="AB127" s="6">
        <f>$K$127*$V$127</f>
        <v>1203.3000000000002</v>
      </c>
      <c r="AC127" s="6">
        <f>$M$127*$W$127</f>
        <v>0</v>
      </c>
      <c r="AD127" s="6">
        <f>$O$127*$X$127</f>
        <v>0</v>
      </c>
      <c r="AE127" s="6">
        <f ca="1">$K$127*$Y$127</f>
        <v>956.23253692873755</v>
      </c>
      <c r="AF127" s="6">
        <f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38</v>
      </c>
      <c r="C128" s="4" t="s">
        <v>39</v>
      </c>
      <c r="D128" s="4" t="s">
        <v>43</v>
      </c>
      <c r="E128" s="4" t="s">
        <v>25</v>
      </c>
      <c r="F128" s="4" t="s">
        <v>25</v>
      </c>
      <c r="G128" s="4" t="s">
        <v>25</v>
      </c>
      <c r="H128" s="4" t="s">
        <v>25</v>
      </c>
      <c r="I128" s="5">
        <v>44593</v>
      </c>
      <c r="J128" s="6">
        <v>100</v>
      </c>
      <c r="K128" s="6">
        <v>100</v>
      </c>
      <c r="L128" s="6">
        <v>0</v>
      </c>
      <c r="M128" s="6">
        <v>0</v>
      </c>
      <c r="N128" s="6">
        <v>0</v>
      </c>
      <c r="O128" s="6">
        <v>0</v>
      </c>
      <c r="P128" s="6">
        <v>1</v>
      </c>
      <c r="Q128" s="4" t="s">
        <v>26</v>
      </c>
      <c r="R128" s="4">
        <v>0</v>
      </c>
      <c r="S128" s="6">
        <v>15</v>
      </c>
      <c r="T128" s="6">
        <v>0</v>
      </c>
      <c r="U128" s="6">
        <v>0</v>
      </c>
      <c r="V128" s="6">
        <f>IF(ISERROR(VLOOKUP($S$128,'TAR FIN'!$A$1:$O$88,15,0)),0,VLOOKUP($S$128,'TAR FIN'!$A$1:$O$88,15,0))</f>
        <v>17.190000000000001</v>
      </c>
      <c r="W128" s="6">
        <f>IF(ISERROR(VLOOKUP($T$128,'TAR FIN'!$A$1:$O$88,15,0)),0,VLOOKUP($T$128,'TAR FIN'!$A$1:$O$88,15,0))</f>
        <v>0</v>
      </c>
      <c r="X128" s="6">
        <f>IF(ISERROR(VLOOKUP($U$128,'TAR FIN'!$A$1:$O$88,15,0)),0,VLOOKUP($U$128,'TAR FIN'!$A$1:$O$88,15,0))</f>
        <v>0</v>
      </c>
      <c r="Y128" s="6">
        <f ca="1">('TUSD BE'!$AM$10+'TUSD BF_350'!$AM$10+'TUSD CVA'!$AM$10)*1</f>
        <v>13.66046481326768</v>
      </c>
      <c r="Z128" s="6"/>
      <c r="AA128" s="6"/>
      <c r="AB128" s="6">
        <f>$K$128*$V$128</f>
        <v>1719.0000000000002</v>
      </c>
      <c r="AC128" s="6">
        <f>$M$128*$W$128</f>
        <v>0</v>
      </c>
      <c r="AD128" s="6">
        <f>$O$128*$X$128</f>
        <v>0</v>
      </c>
      <c r="AE128" s="6">
        <f ca="1">$K$128*$Y$128</f>
        <v>1366.0464813267681</v>
      </c>
      <c r="AF128" s="6">
        <f>$M$128*$Z$128</f>
        <v>0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38</v>
      </c>
      <c r="C129" s="4" t="s">
        <v>39</v>
      </c>
      <c r="D129" s="4" t="s">
        <v>43</v>
      </c>
      <c r="E129" s="4" t="s">
        <v>25</v>
      </c>
      <c r="F129" s="4" t="s">
        <v>25</v>
      </c>
      <c r="G129" s="4" t="s">
        <v>25</v>
      </c>
      <c r="H129" s="4" t="s">
        <v>25</v>
      </c>
      <c r="I129" s="5">
        <v>44621</v>
      </c>
      <c r="J129" s="6">
        <v>70</v>
      </c>
      <c r="K129" s="6">
        <v>70</v>
      </c>
      <c r="L129" s="6">
        <v>0</v>
      </c>
      <c r="M129" s="6">
        <v>0</v>
      </c>
      <c r="N129" s="6">
        <v>0</v>
      </c>
      <c r="O129" s="6">
        <v>0</v>
      </c>
      <c r="P129" s="6">
        <v>1</v>
      </c>
      <c r="Q129" s="4" t="s">
        <v>26</v>
      </c>
      <c r="R129" s="4">
        <v>0</v>
      </c>
      <c r="S129" s="6">
        <v>15</v>
      </c>
      <c r="T129" s="6">
        <v>0</v>
      </c>
      <c r="U129" s="6">
        <v>0</v>
      </c>
      <c r="V129" s="6">
        <f>IF(ISERROR(VLOOKUP($S$129,'TAR FIN'!$A$1:$O$88,15,0)),0,VLOOKUP($S$129,'TAR FIN'!$A$1:$O$88,15,0))</f>
        <v>17.190000000000001</v>
      </c>
      <c r="W129" s="6">
        <f>IF(ISERROR(VLOOKUP($T$129,'TAR FIN'!$A$1:$O$88,15,0)),0,VLOOKUP($T$129,'TAR FIN'!$A$1:$O$88,15,0))</f>
        <v>0</v>
      </c>
      <c r="X129" s="6">
        <f>IF(ISERROR(VLOOKUP($U$129,'TAR FIN'!$A$1:$O$88,15,0)),0,VLOOKUP($U$129,'TAR FIN'!$A$1:$O$88,15,0))</f>
        <v>0</v>
      </c>
      <c r="Y129" s="6">
        <f ca="1">('TUSD BE'!$AM$10+'TUSD BF_350'!$AM$10+'TUSD CVA'!$AM$10)*1</f>
        <v>13.66046481326768</v>
      </c>
      <c r="Z129" s="6"/>
      <c r="AA129" s="6"/>
      <c r="AB129" s="6">
        <f>$K$129*$V$129</f>
        <v>1203.3000000000002</v>
      </c>
      <c r="AC129" s="6">
        <f>$M$129*$W$129</f>
        <v>0</v>
      </c>
      <c r="AD129" s="6">
        <f>$O$129*$X$129</f>
        <v>0</v>
      </c>
      <c r="AE129" s="6">
        <f ca="1">$K$129*$Y$129</f>
        <v>956.23253692873755</v>
      </c>
      <c r="AF129" s="6">
        <f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38</v>
      </c>
      <c r="C130" s="4" t="s">
        <v>39</v>
      </c>
      <c r="D130" s="4" t="s">
        <v>43</v>
      </c>
      <c r="E130" s="4" t="s">
        <v>25</v>
      </c>
      <c r="F130" s="4" t="s">
        <v>25</v>
      </c>
      <c r="G130" s="4" t="s">
        <v>25</v>
      </c>
      <c r="H130" s="4" t="s">
        <v>25</v>
      </c>
      <c r="I130" s="5">
        <v>44652</v>
      </c>
      <c r="J130" s="6">
        <v>70</v>
      </c>
      <c r="K130" s="6">
        <v>70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4" t="s">
        <v>26</v>
      </c>
      <c r="R130" s="4">
        <v>0</v>
      </c>
      <c r="S130" s="6">
        <v>15</v>
      </c>
      <c r="T130" s="6">
        <v>0</v>
      </c>
      <c r="U130" s="6">
        <v>0</v>
      </c>
      <c r="V130" s="6">
        <f>IF(ISERROR(VLOOKUP($S$130,'TAR FIN'!$A$1:$O$88,15,0)),0,VLOOKUP($S$130,'TAR FIN'!$A$1:$O$88,15,0))</f>
        <v>17.190000000000001</v>
      </c>
      <c r="W130" s="6">
        <f>IF(ISERROR(VLOOKUP($T$130,'TAR FIN'!$A$1:$O$88,15,0)),0,VLOOKUP($T$130,'TAR FIN'!$A$1:$O$88,15,0))</f>
        <v>0</v>
      </c>
      <c r="X130" s="6">
        <f>IF(ISERROR(VLOOKUP($U$130,'TAR FIN'!$A$1:$O$88,15,0)),0,VLOOKUP($U$130,'TAR FIN'!$A$1:$O$88,15,0))</f>
        <v>0</v>
      </c>
      <c r="Y130" s="6">
        <f ca="1">('TUSD BE'!$AM$10+'TUSD BF_350'!$AM$10+'TUSD CVA'!$AM$10)*1</f>
        <v>13.66046481326768</v>
      </c>
      <c r="Z130" s="6"/>
      <c r="AA130" s="6"/>
      <c r="AB130" s="6">
        <f>$K$130*$V$130</f>
        <v>1203.3000000000002</v>
      </c>
      <c r="AC130" s="6">
        <f>$M$130*$W$130</f>
        <v>0</v>
      </c>
      <c r="AD130" s="6">
        <f>$O$130*$X$130</f>
        <v>0</v>
      </c>
      <c r="AE130" s="6">
        <f ca="1">$K$130*$Y$130</f>
        <v>956.23253692873755</v>
      </c>
      <c r="AF130" s="6">
        <f>$M$130*$Z$130</f>
        <v>0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38</v>
      </c>
      <c r="C131" s="4" t="s">
        <v>39</v>
      </c>
      <c r="D131" s="4" t="s">
        <v>43</v>
      </c>
      <c r="E131" s="4" t="s">
        <v>25</v>
      </c>
      <c r="F131" s="4" t="s">
        <v>25</v>
      </c>
      <c r="G131" s="4" t="s">
        <v>25</v>
      </c>
      <c r="H131" s="4" t="s">
        <v>25</v>
      </c>
      <c r="I131" s="5">
        <v>44682</v>
      </c>
      <c r="J131" s="6">
        <v>70</v>
      </c>
      <c r="K131" s="6">
        <v>70</v>
      </c>
      <c r="L131" s="6">
        <v>0</v>
      </c>
      <c r="M131" s="6">
        <v>0</v>
      </c>
      <c r="N131" s="6">
        <v>0</v>
      </c>
      <c r="O131" s="6">
        <v>0</v>
      </c>
      <c r="P131" s="6">
        <v>1</v>
      </c>
      <c r="Q131" s="4" t="s">
        <v>26</v>
      </c>
      <c r="R131" s="4">
        <v>0</v>
      </c>
      <c r="S131" s="6">
        <v>15</v>
      </c>
      <c r="T131" s="6">
        <v>0</v>
      </c>
      <c r="U131" s="6">
        <v>0</v>
      </c>
      <c r="V131" s="6">
        <f>IF(ISERROR(VLOOKUP($S$131,'TAR FIN'!$A$1:$O$88,15,0)),0,VLOOKUP($S$131,'TAR FIN'!$A$1:$O$88,15,0))</f>
        <v>17.190000000000001</v>
      </c>
      <c r="W131" s="6">
        <f>IF(ISERROR(VLOOKUP($T$131,'TAR FIN'!$A$1:$O$88,15,0)),0,VLOOKUP($T$131,'TAR FIN'!$A$1:$O$88,15,0))</f>
        <v>0</v>
      </c>
      <c r="X131" s="6">
        <f>IF(ISERROR(VLOOKUP($U$131,'TAR FIN'!$A$1:$O$88,15,0)),0,VLOOKUP($U$131,'TAR FIN'!$A$1:$O$88,15,0))</f>
        <v>0</v>
      </c>
      <c r="Y131" s="6">
        <f ca="1">('TUSD BE'!$AM$10+'TUSD BF_350'!$AM$10+'TUSD CVA'!$AM$10)*1</f>
        <v>13.66046481326768</v>
      </c>
      <c r="Z131" s="6"/>
      <c r="AA131" s="6"/>
      <c r="AB131" s="6">
        <f>$K$131*$V$131</f>
        <v>1203.3000000000002</v>
      </c>
      <c r="AC131" s="6">
        <f>$M$131*$W$131</f>
        <v>0</v>
      </c>
      <c r="AD131" s="6">
        <f>$O$131*$X$131</f>
        <v>0</v>
      </c>
      <c r="AE131" s="6">
        <f ca="1">$K$131*$Y$131</f>
        <v>956.23253692873755</v>
      </c>
      <c r="AF131" s="6">
        <f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38</v>
      </c>
      <c r="C132" s="4" t="s">
        <v>39</v>
      </c>
      <c r="D132" s="4" t="s">
        <v>43</v>
      </c>
      <c r="E132" s="4" t="s">
        <v>25</v>
      </c>
      <c r="F132" s="4" t="s">
        <v>25</v>
      </c>
      <c r="G132" s="4" t="s">
        <v>25</v>
      </c>
      <c r="H132" s="4" t="s">
        <v>25</v>
      </c>
      <c r="I132" s="5">
        <v>44713</v>
      </c>
      <c r="J132" s="6">
        <v>70</v>
      </c>
      <c r="K132" s="6">
        <v>70</v>
      </c>
      <c r="L132" s="6">
        <v>0</v>
      </c>
      <c r="M132" s="6">
        <v>0</v>
      </c>
      <c r="N132" s="6">
        <v>0</v>
      </c>
      <c r="O132" s="6">
        <v>0</v>
      </c>
      <c r="P132" s="6">
        <v>1</v>
      </c>
      <c r="Q132" s="4" t="s">
        <v>26</v>
      </c>
      <c r="R132" s="4">
        <v>0</v>
      </c>
      <c r="S132" s="6">
        <v>15</v>
      </c>
      <c r="T132" s="6">
        <v>0</v>
      </c>
      <c r="U132" s="6">
        <v>0</v>
      </c>
      <c r="V132" s="6">
        <f>IF(ISERROR(VLOOKUP($S$132,'TAR FIN'!$A$1:$O$88,15,0)),0,VLOOKUP($S$132,'TAR FIN'!$A$1:$O$88,15,0))</f>
        <v>17.190000000000001</v>
      </c>
      <c r="W132" s="6">
        <f>IF(ISERROR(VLOOKUP($T$132,'TAR FIN'!$A$1:$O$88,15,0)),0,VLOOKUP($T$132,'TAR FIN'!$A$1:$O$88,15,0))</f>
        <v>0</v>
      </c>
      <c r="X132" s="6">
        <f>IF(ISERROR(VLOOKUP($U$132,'TAR FIN'!$A$1:$O$88,15,0)),0,VLOOKUP($U$132,'TAR FIN'!$A$1:$O$88,15,0))</f>
        <v>0</v>
      </c>
      <c r="Y132" s="6">
        <f ca="1">('TUSD BE'!$AM$10+'TUSD BF_350'!$AM$10+'TUSD CVA'!$AM$10)*1</f>
        <v>13.66046481326768</v>
      </c>
      <c r="Z132" s="6"/>
      <c r="AA132" s="6"/>
      <c r="AB132" s="6">
        <f>$K$132*$V$132</f>
        <v>1203.3000000000002</v>
      </c>
      <c r="AC132" s="6">
        <f>$M$132*$W$132</f>
        <v>0</v>
      </c>
      <c r="AD132" s="6">
        <f>$O$132*$X$132</f>
        <v>0</v>
      </c>
      <c r="AE132" s="6">
        <f ca="1">$K$132*$Y$132</f>
        <v>956.23253692873755</v>
      </c>
      <c r="AF132" s="6">
        <f>$M$132*$Z$132</f>
        <v>0</v>
      </c>
      <c r="AG132" s="6">
        <f>$O$132*$AA$132</f>
        <v>0</v>
      </c>
    </row>
    <row r="133" spans="1:33" ht="11.25" customHeight="1" x14ac:dyDescent="0.25">
      <c r="A133" s="4" t="s">
        <v>55</v>
      </c>
      <c r="B133" s="4" t="s">
        <v>38</v>
      </c>
      <c r="C133" s="4" t="s">
        <v>39</v>
      </c>
      <c r="D133" s="4" t="s">
        <v>43</v>
      </c>
      <c r="E133" s="4" t="s">
        <v>25</v>
      </c>
      <c r="F133" s="4" t="s">
        <v>25</v>
      </c>
      <c r="G133" s="4" t="s">
        <v>25</v>
      </c>
      <c r="H133" s="4" t="s">
        <v>25</v>
      </c>
      <c r="I133" s="5">
        <v>44743</v>
      </c>
      <c r="J133" s="6">
        <v>70</v>
      </c>
      <c r="K133" s="6">
        <v>70</v>
      </c>
      <c r="L133" s="6">
        <v>0</v>
      </c>
      <c r="M133" s="6">
        <v>0</v>
      </c>
      <c r="N133" s="6">
        <v>0</v>
      </c>
      <c r="O133" s="6">
        <v>0</v>
      </c>
      <c r="P133" s="6">
        <v>1</v>
      </c>
      <c r="Q133" s="4" t="s">
        <v>26</v>
      </c>
      <c r="R133" s="4">
        <v>0</v>
      </c>
      <c r="S133" s="6">
        <v>15</v>
      </c>
      <c r="T133" s="6">
        <v>0</v>
      </c>
      <c r="U133" s="6">
        <v>0</v>
      </c>
      <c r="V133" s="6">
        <f>IF(ISERROR(VLOOKUP($S$133,'TAR FIN'!$A$1:$O$88,15,0)),0,VLOOKUP($S$133,'TAR FIN'!$A$1:$O$88,15,0))</f>
        <v>17.190000000000001</v>
      </c>
      <c r="W133" s="6">
        <f>IF(ISERROR(VLOOKUP($T$133,'TAR FIN'!$A$1:$O$88,15,0)),0,VLOOKUP($T$133,'TAR FIN'!$A$1:$O$88,15,0))</f>
        <v>0</v>
      </c>
      <c r="X133" s="6">
        <f>IF(ISERROR(VLOOKUP($U$133,'TAR FIN'!$A$1:$O$88,15,0)),0,VLOOKUP($U$133,'TAR FIN'!$A$1:$O$88,15,0))</f>
        <v>0</v>
      </c>
      <c r="Y133" s="6">
        <f ca="1">('TUSD BE'!$AM$10+'TUSD BF_350'!$AM$10+'TUSD CVA'!$AM$10)*1</f>
        <v>13.66046481326768</v>
      </c>
      <c r="Z133" s="6"/>
      <c r="AA133" s="6"/>
      <c r="AB133" s="6">
        <f>$K$133*$V$133</f>
        <v>1203.3000000000002</v>
      </c>
      <c r="AC133" s="6">
        <f>$M$133*$W$133</f>
        <v>0</v>
      </c>
      <c r="AD133" s="6">
        <f>$O$133*$X$133</f>
        <v>0</v>
      </c>
      <c r="AE133" s="6">
        <f ca="1">$K$133*$Y$133</f>
        <v>956.23253692873755</v>
      </c>
      <c r="AF133" s="6">
        <f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38</v>
      </c>
      <c r="C134" s="4" t="s">
        <v>39</v>
      </c>
      <c r="D134" s="4" t="s">
        <v>43</v>
      </c>
      <c r="E134" s="4" t="s">
        <v>25</v>
      </c>
      <c r="F134" s="4" t="s">
        <v>25</v>
      </c>
      <c r="G134" s="4" t="s">
        <v>25</v>
      </c>
      <c r="H134" s="4" t="s">
        <v>33</v>
      </c>
      <c r="I134" s="5">
        <v>44409</v>
      </c>
      <c r="J134" s="6">
        <v>0</v>
      </c>
      <c r="K134" s="6">
        <v>0</v>
      </c>
      <c r="L134" s="6">
        <v>0.80200000000000005</v>
      </c>
      <c r="M134" s="6">
        <v>0.80200000000000005</v>
      </c>
      <c r="N134" s="6">
        <v>0.80200000000000005</v>
      </c>
      <c r="O134" s="6">
        <v>0.80200000000000005</v>
      </c>
      <c r="P134" s="6">
        <v>0</v>
      </c>
      <c r="Q134" s="4" t="s">
        <v>26</v>
      </c>
      <c r="R134" s="4">
        <v>0</v>
      </c>
      <c r="S134" s="6">
        <v>0</v>
      </c>
      <c r="T134" s="6">
        <v>18</v>
      </c>
      <c r="U134" s="6">
        <v>69</v>
      </c>
      <c r="V134" s="6">
        <f>IF(ISERROR(VLOOKUP($S$134,'TAR FIN'!$A$1:$O$88,15,0)),0,VLOOKUP($S$134,'TAR FIN'!$A$1:$O$88,15,0))</f>
        <v>0</v>
      </c>
      <c r="W134" s="6">
        <f>IF(ISERROR(VLOOKUP($T$134,'TAR FIN'!$A$1:$O$88,15,0)),0,VLOOKUP($T$134,'TAR FIN'!$A$1:$O$88,15,0))</f>
        <v>1295.8499999999999</v>
      </c>
      <c r="X134" s="6">
        <f>IF(ISERROR(VLOOKUP($U$134,'TAR FIN'!$A$1:$O$88,15,0)),0,VLOOKUP($U$134,'TAR FIN'!$A$1:$O$88,15,0))</f>
        <v>434.95</v>
      </c>
      <c r="Y134" s="6"/>
      <c r="Z134" s="6">
        <f ca="1">('TUSD BE'!$AM$11+'TUSD BF_350'!$AM$11+'TUSD CVA'!$AM$11)*1</f>
        <v>1048.5801557334262</v>
      </c>
      <c r="AA134" s="6">
        <f ca="1">('TE BE'!$AB$5+'TE BF_350'!$AB$5+'TE CVA'!$AB$5)*1</f>
        <v>316.97983140624547</v>
      </c>
      <c r="AB134" s="6">
        <f>$K$134*$V$134</f>
        <v>0</v>
      </c>
      <c r="AC134" s="6">
        <f>$M$134*$W$134</f>
        <v>1039.2717</v>
      </c>
      <c r="AD134" s="6">
        <f>$O$134*$X$134</f>
        <v>348.82990000000001</v>
      </c>
      <c r="AE134" s="6">
        <f>$K$134*$Y$134</f>
        <v>0</v>
      </c>
      <c r="AF134" s="6">
        <f ca="1">$M$134*$Z$134</f>
        <v>840.96128489820785</v>
      </c>
      <c r="AG134" s="6">
        <f ca="1">$O$134*$AA$134</f>
        <v>254.21782478780887</v>
      </c>
    </row>
    <row r="135" spans="1:33" ht="11.25" customHeight="1" x14ac:dyDescent="0.25">
      <c r="A135" s="4" t="s">
        <v>21</v>
      </c>
      <c r="B135" s="4" t="s">
        <v>38</v>
      </c>
      <c r="C135" s="4" t="s">
        <v>39</v>
      </c>
      <c r="D135" s="4" t="s">
        <v>43</v>
      </c>
      <c r="E135" s="4" t="s">
        <v>25</v>
      </c>
      <c r="F135" s="4" t="s">
        <v>25</v>
      </c>
      <c r="G135" s="4" t="s">
        <v>25</v>
      </c>
      <c r="H135" s="4" t="s">
        <v>33</v>
      </c>
      <c r="I135" s="5">
        <v>44440</v>
      </c>
      <c r="J135" s="6">
        <v>0</v>
      </c>
      <c r="K135" s="6">
        <v>0</v>
      </c>
      <c r="L135" s="6">
        <v>0.61099999999999999</v>
      </c>
      <c r="M135" s="6">
        <v>0.61099999999999999</v>
      </c>
      <c r="N135" s="6">
        <v>0.61099999999999999</v>
      </c>
      <c r="O135" s="6">
        <v>0.61099999999999999</v>
      </c>
      <c r="P135" s="6">
        <v>0</v>
      </c>
      <c r="Q135" s="4" t="s">
        <v>26</v>
      </c>
      <c r="R135" s="4">
        <v>0</v>
      </c>
      <c r="S135" s="6">
        <v>0</v>
      </c>
      <c r="T135" s="6">
        <v>18</v>
      </c>
      <c r="U135" s="6">
        <v>69</v>
      </c>
      <c r="V135" s="6">
        <f>IF(ISERROR(VLOOKUP($S$135,'TAR FIN'!$A$1:$O$88,15,0)),0,VLOOKUP($S$135,'TAR FIN'!$A$1:$O$88,15,0))</f>
        <v>0</v>
      </c>
      <c r="W135" s="6">
        <f>IF(ISERROR(VLOOKUP($T$135,'TAR FIN'!$A$1:$O$88,15,0)),0,VLOOKUP($T$135,'TAR FIN'!$A$1:$O$88,15,0))</f>
        <v>1295.8499999999999</v>
      </c>
      <c r="X135" s="6">
        <f>IF(ISERROR(VLOOKUP($U$135,'TAR FIN'!$A$1:$O$88,15,0)),0,VLOOKUP($U$135,'TAR FIN'!$A$1:$O$88,15,0))</f>
        <v>434.95</v>
      </c>
      <c r="Y135" s="6"/>
      <c r="Z135" s="6">
        <f ca="1">('TUSD BE'!$AM$11+'TUSD BF_350'!$AM$11+'TUSD CVA'!$AM$11)*1</f>
        <v>1048.5801557334262</v>
      </c>
      <c r="AA135" s="6">
        <f ca="1">('TE BE'!$AB$5+'TE BF_350'!$AB$5+'TE CVA'!$AB$5)*1</f>
        <v>316.97983140624547</v>
      </c>
      <c r="AB135" s="6">
        <f>$K$135*$V$135</f>
        <v>0</v>
      </c>
      <c r="AC135" s="6">
        <f>$M$135*$W$135</f>
        <v>791.76434999999992</v>
      </c>
      <c r="AD135" s="6">
        <f>$O$135*$X$135</f>
        <v>265.75444999999996</v>
      </c>
      <c r="AE135" s="6">
        <f>$K$135*$Y$135</f>
        <v>0</v>
      </c>
      <c r="AF135" s="6">
        <f ca="1">$M$135*$Z$135</f>
        <v>640.68247515312339</v>
      </c>
      <c r="AG135" s="6">
        <f ca="1">$O$135*$AA$135</f>
        <v>193.67467698921598</v>
      </c>
    </row>
    <row r="136" spans="1:33" ht="11.25" customHeight="1" x14ac:dyDescent="0.25">
      <c r="A136" s="4" t="s">
        <v>21</v>
      </c>
      <c r="B136" s="4" t="s">
        <v>38</v>
      </c>
      <c r="C136" s="4" t="s">
        <v>39</v>
      </c>
      <c r="D136" s="4" t="s">
        <v>43</v>
      </c>
      <c r="E136" s="4" t="s">
        <v>25</v>
      </c>
      <c r="F136" s="4" t="s">
        <v>25</v>
      </c>
      <c r="G136" s="4" t="s">
        <v>25</v>
      </c>
      <c r="H136" s="4" t="s">
        <v>33</v>
      </c>
      <c r="I136" s="5">
        <v>44470</v>
      </c>
      <c r="J136" s="6">
        <v>0</v>
      </c>
      <c r="K136" s="6">
        <v>0</v>
      </c>
      <c r="L136" s="6">
        <v>0.59399999999999997</v>
      </c>
      <c r="M136" s="6">
        <v>0.59399999999999997</v>
      </c>
      <c r="N136" s="6">
        <v>0.59399999999999997</v>
      </c>
      <c r="O136" s="6">
        <v>0.59399999999999997</v>
      </c>
      <c r="P136" s="6">
        <v>0</v>
      </c>
      <c r="Q136" s="4" t="s">
        <v>26</v>
      </c>
      <c r="R136" s="4">
        <v>0</v>
      </c>
      <c r="S136" s="6">
        <v>0</v>
      </c>
      <c r="T136" s="6">
        <v>18</v>
      </c>
      <c r="U136" s="6">
        <v>69</v>
      </c>
      <c r="V136" s="6">
        <f>IF(ISERROR(VLOOKUP($S$136,'TAR FIN'!$A$1:$O$88,15,0)),0,VLOOKUP($S$136,'TAR FIN'!$A$1:$O$88,15,0))</f>
        <v>0</v>
      </c>
      <c r="W136" s="6">
        <f>IF(ISERROR(VLOOKUP($T$136,'TAR FIN'!$A$1:$O$88,15,0)),0,VLOOKUP($T$136,'TAR FIN'!$A$1:$O$88,15,0))</f>
        <v>1295.8499999999999</v>
      </c>
      <c r="X136" s="6">
        <f>IF(ISERROR(VLOOKUP($U$136,'TAR FIN'!$A$1:$O$88,15,0)),0,VLOOKUP($U$136,'TAR FIN'!$A$1:$O$88,15,0))</f>
        <v>434.95</v>
      </c>
      <c r="Y136" s="6"/>
      <c r="Z136" s="6">
        <f ca="1">('TUSD BE'!$AM$11+'TUSD BF_350'!$AM$11+'TUSD CVA'!$AM$11)*1</f>
        <v>1048.5801557334262</v>
      </c>
      <c r="AA136" s="6">
        <f ca="1">('TE BE'!$AB$5+'TE BF_350'!$AB$5+'TE CVA'!$AB$5)*1</f>
        <v>316.97983140624547</v>
      </c>
      <c r="AB136" s="6">
        <f>$K$136*$V$136</f>
        <v>0</v>
      </c>
      <c r="AC136" s="6">
        <f>$M$136*$W$136</f>
        <v>769.73489999999993</v>
      </c>
      <c r="AD136" s="6">
        <f>$O$136*$X$136</f>
        <v>258.3603</v>
      </c>
      <c r="AE136" s="6">
        <f>$K$136*$Y$136</f>
        <v>0</v>
      </c>
      <c r="AF136" s="6">
        <f ca="1">$M$136*$Z$136</f>
        <v>622.85661250565511</v>
      </c>
      <c r="AG136" s="6">
        <f ca="1">$O$136*$AA$136</f>
        <v>188.2860198553098</v>
      </c>
    </row>
    <row r="137" spans="1:33" ht="11.25" customHeight="1" x14ac:dyDescent="0.25">
      <c r="A137" s="4" t="s">
        <v>21</v>
      </c>
      <c r="B137" s="4" t="s">
        <v>38</v>
      </c>
      <c r="C137" s="4" t="s">
        <v>39</v>
      </c>
      <c r="D137" s="4" t="s">
        <v>43</v>
      </c>
      <c r="E137" s="4" t="s">
        <v>25</v>
      </c>
      <c r="F137" s="4" t="s">
        <v>25</v>
      </c>
      <c r="G137" s="4" t="s">
        <v>25</v>
      </c>
      <c r="H137" s="4" t="s">
        <v>33</v>
      </c>
      <c r="I137" s="5">
        <v>44501</v>
      </c>
      <c r="J137" s="6">
        <v>0</v>
      </c>
      <c r="K137" s="6">
        <v>0</v>
      </c>
      <c r="L137" s="6">
        <v>0.72</v>
      </c>
      <c r="M137" s="6">
        <v>0.72</v>
      </c>
      <c r="N137" s="6">
        <v>0.72</v>
      </c>
      <c r="O137" s="6">
        <v>0.72</v>
      </c>
      <c r="P137" s="6">
        <v>0</v>
      </c>
      <c r="Q137" s="4" t="s">
        <v>26</v>
      </c>
      <c r="R137" s="4">
        <v>0</v>
      </c>
      <c r="S137" s="6">
        <v>0</v>
      </c>
      <c r="T137" s="6">
        <v>18</v>
      </c>
      <c r="U137" s="6">
        <v>69</v>
      </c>
      <c r="V137" s="6">
        <f>IF(ISERROR(VLOOKUP($S$137,'TAR FIN'!$A$1:$O$88,15,0)),0,VLOOKUP($S$137,'TAR FIN'!$A$1:$O$88,15,0))</f>
        <v>0</v>
      </c>
      <c r="W137" s="6">
        <f>IF(ISERROR(VLOOKUP($T$137,'TAR FIN'!$A$1:$O$88,15,0)),0,VLOOKUP($T$137,'TAR FIN'!$A$1:$O$88,15,0))</f>
        <v>1295.8499999999999</v>
      </c>
      <c r="X137" s="6">
        <f>IF(ISERROR(VLOOKUP($U$137,'TAR FIN'!$A$1:$O$88,15,0)),0,VLOOKUP($U$137,'TAR FIN'!$A$1:$O$88,15,0))</f>
        <v>434.95</v>
      </c>
      <c r="Y137" s="6"/>
      <c r="Z137" s="6">
        <f ca="1">('TUSD BE'!$AM$11+'TUSD BF_350'!$AM$11+'TUSD CVA'!$AM$11)*1</f>
        <v>1048.5801557334262</v>
      </c>
      <c r="AA137" s="6">
        <f ca="1">('TE BE'!$AB$5+'TE BF_350'!$AB$5+'TE CVA'!$AB$5)*1</f>
        <v>316.97983140624547</v>
      </c>
      <c r="AB137" s="6">
        <f>$K$137*$V$137</f>
        <v>0</v>
      </c>
      <c r="AC137" s="6">
        <f>$M$137*$W$137</f>
        <v>933.01199999999994</v>
      </c>
      <c r="AD137" s="6">
        <f>$O$137*$X$137</f>
        <v>313.16399999999999</v>
      </c>
      <c r="AE137" s="6">
        <f>$K$137*$Y$137</f>
        <v>0</v>
      </c>
      <c r="AF137" s="6">
        <f ca="1">$M$137*$Z$137</f>
        <v>754.97771212806686</v>
      </c>
      <c r="AG137" s="6">
        <f ca="1">$O$137*$AA$137</f>
        <v>228.22547861249672</v>
      </c>
    </row>
    <row r="138" spans="1:33" ht="11.25" customHeight="1" x14ac:dyDescent="0.25">
      <c r="A138" s="4" t="s">
        <v>21</v>
      </c>
      <c r="B138" s="4" t="s">
        <v>38</v>
      </c>
      <c r="C138" s="4" t="s">
        <v>39</v>
      </c>
      <c r="D138" s="4" t="s">
        <v>43</v>
      </c>
      <c r="E138" s="4" t="s">
        <v>25</v>
      </c>
      <c r="F138" s="4" t="s">
        <v>25</v>
      </c>
      <c r="G138" s="4" t="s">
        <v>25</v>
      </c>
      <c r="H138" s="4" t="s">
        <v>33</v>
      </c>
      <c r="I138" s="5">
        <v>44531</v>
      </c>
      <c r="J138" s="6">
        <v>0</v>
      </c>
      <c r="K138" s="6">
        <v>0</v>
      </c>
      <c r="L138" s="6">
        <v>0.77300000000000002</v>
      </c>
      <c r="M138" s="6">
        <v>0.77300000000000002</v>
      </c>
      <c r="N138" s="6">
        <v>0.77300000000000002</v>
      </c>
      <c r="O138" s="6">
        <v>0.77300000000000002</v>
      </c>
      <c r="P138" s="6">
        <v>0</v>
      </c>
      <c r="Q138" s="4" t="s">
        <v>26</v>
      </c>
      <c r="R138" s="4">
        <v>0</v>
      </c>
      <c r="S138" s="6">
        <v>0</v>
      </c>
      <c r="T138" s="6">
        <v>18</v>
      </c>
      <c r="U138" s="6">
        <v>69</v>
      </c>
      <c r="V138" s="6">
        <f>IF(ISERROR(VLOOKUP($S$138,'TAR FIN'!$A$1:$O$88,15,0)),0,VLOOKUP($S$138,'TAR FIN'!$A$1:$O$88,15,0))</f>
        <v>0</v>
      </c>
      <c r="W138" s="6">
        <f>IF(ISERROR(VLOOKUP($T$138,'TAR FIN'!$A$1:$O$88,15,0)),0,VLOOKUP($T$138,'TAR FIN'!$A$1:$O$88,15,0))</f>
        <v>1295.8499999999999</v>
      </c>
      <c r="X138" s="6">
        <f>IF(ISERROR(VLOOKUP($U$138,'TAR FIN'!$A$1:$O$88,15,0)),0,VLOOKUP($U$138,'TAR FIN'!$A$1:$O$88,15,0))</f>
        <v>434.95</v>
      </c>
      <c r="Y138" s="6"/>
      <c r="Z138" s="6">
        <f ca="1">('TUSD BE'!$AM$11+'TUSD BF_350'!$AM$11+'TUSD CVA'!$AM$11)*1</f>
        <v>1048.5801557334262</v>
      </c>
      <c r="AA138" s="6">
        <f ca="1">('TE BE'!$AB$5+'TE BF_350'!$AB$5+'TE CVA'!$AB$5)*1</f>
        <v>316.97983140624547</v>
      </c>
      <c r="AB138" s="6">
        <f>$K$138*$V$138</f>
        <v>0</v>
      </c>
      <c r="AC138" s="6">
        <f>$M$138*$W$138</f>
        <v>1001.69205</v>
      </c>
      <c r="AD138" s="6">
        <f>$O$138*$X$138</f>
        <v>336.21634999999998</v>
      </c>
      <c r="AE138" s="6">
        <f>$K$138*$Y$138</f>
        <v>0</v>
      </c>
      <c r="AF138" s="6">
        <f ca="1">$M$138*$Z$138</f>
        <v>810.55246038193843</v>
      </c>
      <c r="AG138" s="6">
        <f ca="1">$O$138*$AA$138</f>
        <v>245.02540967702774</v>
      </c>
    </row>
    <row r="139" spans="1:33" ht="11.25" customHeight="1" x14ac:dyDescent="0.25">
      <c r="A139" s="4" t="s">
        <v>21</v>
      </c>
      <c r="B139" s="4" t="s">
        <v>38</v>
      </c>
      <c r="C139" s="4" t="s">
        <v>39</v>
      </c>
      <c r="D139" s="4" t="s">
        <v>43</v>
      </c>
      <c r="E139" s="4" t="s">
        <v>25</v>
      </c>
      <c r="F139" s="4" t="s">
        <v>25</v>
      </c>
      <c r="G139" s="4" t="s">
        <v>25</v>
      </c>
      <c r="H139" s="4" t="s">
        <v>33</v>
      </c>
      <c r="I139" s="5">
        <v>44562</v>
      </c>
      <c r="J139" s="6">
        <v>0</v>
      </c>
      <c r="K139" s="6">
        <v>0</v>
      </c>
      <c r="L139" s="6">
        <v>0.74099999999999999</v>
      </c>
      <c r="M139" s="6">
        <v>0.74099999999999999</v>
      </c>
      <c r="N139" s="6">
        <v>0.74099999999999999</v>
      </c>
      <c r="O139" s="6">
        <v>0.74099999999999999</v>
      </c>
      <c r="P139" s="6">
        <v>0</v>
      </c>
      <c r="Q139" s="4" t="s">
        <v>26</v>
      </c>
      <c r="R139" s="4">
        <v>0</v>
      </c>
      <c r="S139" s="6">
        <v>0</v>
      </c>
      <c r="T139" s="6">
        <v>18</v>
      </c>
      <c r="U139" s="6">
        <v>69</v>
      </c>
      <c r="V139" s="6">
        <f>IF(ISERROR(VLOOKUP($S$139,'TAR FIN'!$A$1:$O$88,15,0)),0,VLOOKUP($S$139,'TAR FIN'!$A$1:$O$88,15,0))</f>
        <v>0</v>
      </c>
      <c r="W139" s="6">
        <f>IF(ISERROR(VLOOKUP($T$139,'TAR FIN'!$A$1:$O$88,15,0)),0,VLOOKUP($T$139,'TAR FIN'!$A$1:$O$88,15,0))</f>
        <v>1295.8499999999999</v>
      </c>
      <c r="X139" s="6">
        <f>IF(ISERROR(VLOOKUP($U$139,'TAR FIN'!$A$1:$O$88,15,0)),0,VLOOKUP($U$139,'TAR FIN'!$A$1:$O$88,15,0))</f>
        <v>434.95</v>
      </c>
      <c r="Y139" s="6"/>
      <c r="Z139" s="6">
        <f ca="1">('TUSD BE'!$AM$11+'TUSD BF_350'!$AM$11+'TUSD CVA'!$AM$11)*1</f>
        <v>1048.5801557334262</v>
      </c>
      <c r="AA139" s="6">
        <f ca="1">('TE BE'!$AB$5+'TE BF_350'!$AB$5+'TE CVA'!$AB$5)*1</f>
        <v>316.97983140624547</v>
      </c>
      <c r="AB139" s="6">
        <f>$K$139*$V$139</f>
        <v>0</v>
      </c>
      <c r="AC139" s="6">
        <f>$M$139*$W$139</f>
        <v>960.22484999999995</v>
      </c>
      <c r="AD139" s="6">
        <f>$O$139*$X$139</f>
        <v>322.29795000000001</v>
      </c>
      <c r="AE139" s="6">
        <f>$K$139*$Y$139</f>
        <v>0</v>
      </c>
      <c r="AF139" s="6">
        <f ca="1">$M$139*$Z$139</f>
        <v>776.99789539846881</v>
      </c>
      <c r="AG139" s="6">
        <f ca="1">$O$139*$AA$139</f>
        <v>234.8820550720279</v>
      </c>
    </row>
    <row r="140" spans="1:33" ht="11.25" customHeight="1" x14ac:dyDescent="0.25">
      <c r="A140" s="4" t="s">
        <v>21</v>
      </c>
      <c r="B140" s="4" t="s">
        <v>38</v>
      </c>
      <c r="C140" s="4" t="s">
        <v>39</v>
      </c>
      <c r="D140" s="4" t="s">
        <v>43</v>
      </c>
      <c r="E140" s="4" t="s">
        <v>25</v>
      </c>
      <c r="F140" s="4" t="s">
        <v>25</v>
      </c>
      <c r="G140" s="4" t="s">
        <v>25</v>
      </c>
      <c r="H140" s="4" t="s">
        <v>33</v>
      </c>
      <c r="I140" s="5">
        <v>44593</v>
      </c>
      <c r="J140" s="6">
        <v>0</v>
      </c>
      <c r="K140" s="6">
        <v>0</v>
      </c>
      <c r="L140" s="6">
        <v>0.89</v>
      </c>
      <c r="M140" s="6">
        <v>0.89</v>
      </c>
      <c r="N140" s="6">
        <v>0.89</v>
      </c>
      <c r="O140" s="6">
        <v>0.89</v>
      </c>
      <c r="P140" s="6">
        <v>0</v>
      </c>
      <c r="Q140" s="4" t="s">
        <v>26</v>
      </c>
      <c r="R140" s="4">
        <v>0</v>
      </c>
      <c r="S140" s="6">
        <v>0</v>
      </c>
      <c r="T140" s="6">
        <v>18</v>
      </c>
      <c r="U140" s="6">
        <v>69</v>
      </c>
      <c r="V140" s="6">
        <f>IF(ISERROR(VLOOKUP($S$140,'TAR FIN'!$A$1:$O$88,15,0)),0,VLOOKUP($S$140,'TAR FIN'!$A$1:$O$88,15,0))</f>
        <v>0</v>
      </c>
      <c r="W140" s="6">
        <f>IF(ISERROR(VLOOKUP($T$140,'TAR FIN'!$A$1:$O$88,15,0)),0,VLOOKUP($T$140,'TAR FIN'!$A$1:$O$88,15,0))</f>
        <v>1295.8499999999999</v>
      </c>
      <c r="X140" s="6">
        <f>IF(ISERROR(VLOOKUP($U$140,'TAR FIN'!$A$1:$O$88,15,0)),0,VLOOKUP($U$140,'TAR FIN'!$A$1:$O$88,15,0))</f>
        <v>434.95</v>
      </c>
      <c r="Y140" s="6"/>
      <c r="Z140" s="6">
        <f ca="1">('TUSD BE'!$AM$11+'TUSD BF_350'!$AM$11+'TUSD CVA'!$AM$11)*1</f>
        <v>1048.5801557334262</v>
      </c>
      <c r="AA140" s="6">
        <f ca="1">('TE BE'!$AB$5+'TE BF_350'!$AB$5+'TE CVA'!$AB$5)*1</f>
        <v>316.97983140624547</v>
      </c>
      <c r="AB140" s="6">
        <f>$K$140*$V$140</f>
        <v>0</v>
      </c>
      <c r="AC140" s="6">
        <f>$M$140*$W$140</f>
        <v>1153.3064999999999</v>
      </c>
      <c r="AD140" s="6">
        <f>$O$140*$X$140</f>
        <v>387.10550000000001</v>
      </c>
      <c r="AE140" s="6">
        <f>$K$140*$Y$140</f>
        <v>0</v>
      </c>
      <c r="AF140" s="6">
        <f ca="1">$M$140*$Z$140</f>
        <v>933.23633860274936</v>
      </c>
      <c r="AG140" s="6">
        <f ca="1">$O$140*$AA$140</f>
        <v>282.11204995155845</v>
      </c>
    </row>
    <row r="141" spans="1:33" ht="11.25" customHeight="1" x14ac:dyDescent="0.25">
      <c r="A141" s="4" t="s">
        <v>21</v>
      </c>
      <c r="B141" s="4" t="s">
        <v>38</v>
      </c>
      <c r="C141" s="4" t="s">
        <v>39</v>
      </c>
      <c r="D141" s="4" t="s">
        <v>43</v>
      </c>
      <c r="E141" s="4" t="s">
        <v>25</v>
      </c>
      <c r="F141" s="4" t="s">
        <v>25</v>
      </c>
      <c r="G141" s="4" t="s">
        <v>25</v>
      </c>
      <c r="H141" s="4" t="s">
        <v>33</v>
      </c>
      <c r="I141" s="5">
        <v>44621</v>
      </c>
      <c r="J141" s="6">
        <v>0</v>
      </c>
      <c r="K141" s="6">
        <v>0</v>
      </c>
      <c r="L141" s="6">
        <v>0.70899999999999996</v>
      </c>
      <c r="M141" s="6">
        <v>0.70899999999999996</v>
      </c>
      <c r="N141" s="6">
        <v>0.70899999999999996</v>
      </c>
      <c r="O141" s="6">
        <v>0.70899999999999996</v>
      </c>
      <c r="P141" s="6">
        <v>0</v>
      </c>
      <c r="Q141" s="4" t="s">
        <v>26</v>
      </c>
      <c r="R141" s="4">
        <v>0</v>
      </c>
      <c r="S141" s="6">
        <v>0</v>
      </c>
      <c r="T141" s="6">
        <v>18</v>
      </c>
      <c r="U141" s="6">
        <v>69</v>
      </c>
      <c r="V141" s="6">
        <f>IF(ISERROR(VLOOKUP($S$141,'TAR FIN'!$A$1:$O$88,15,0)),0,VLOOKUP($S$141,'TAR FIN'!$A$1:$O$88,15,0))</f>
        <v>0</v>
      </c>
      <c r="W141" s="6">
        <f>IF(ISERROR(VLOOKUP($T$141,'TAR FIN'!$A$1:$O$88,15,0)),0,VLOOKUP($T$141,'TAR FIN'!$A$1:$O$88,15,0))</f>
        <v>1295.8499999999999</v>
      </c>
      <c r="X141" s="6">
        <f>IF(ISERROR(VLOOKUP($U$141,'TAR FIN'!$A$1:$O$88,15,0)),0,VLOOKUP($U$141,'TAR FIN'!$A$1:$O$88,15,0))</f>
        <v>434.95</v>
      </c>
      <c r="Y141" s="6"/>
      <c r="Z141" s="6">
        <f ca="1">('TUSD BE'!$AM$11+'TUSD BF_350'!$AM$11+'TUSD CVA'!$AM$11)*1</f>
        <v>1048.5801557334262</v>
      </c>
      <c r="AA141" s="6">
        <f ca="1">('TE BE'!$AB$5+'TE BF_350'!$AB$5+'TE CVA'!$AB$5)*1</f>
        <v>316.97983140624547</v>
      </c>
      <c r="AB141" s="6">
        <f>$K$141*$V$141</f>
        <v>0</v>
      </c>
      <c r="AC141" s="6">
        <f>$M$141*$W$141</f>
        <v>918.7576499999999</v>
      </c>
      <c r="AD141" s="6">
        <f>$O$141*$X$141</f>
        <v>308.37954999999999</v>
      </c>
      <c r="AE141" s="6">
        <f>$K$141*$Y$141</f>
        <v>0</v>
      </c>
      <c r="AF141" s="6">
        <f ca="1">$M$141*$Z$141</f>
        <v>743.44333041499908</v>
      </c>
      <c r="AG141" s="6">
        <f ca="1">$O$141*$AA$141</f>
        <v>224.73870046702802</v>
      </c>
    </row>
    <row r="142" spans="1:33" ht="11.25" customHeight="1" x14ac:dyDescent="0.25">
      <c r="A142" s="4" t="s">
        <v>21</v>
      </c>
      <c r="B142" s="4" t="s">
        <v>38</v>
      </c>
      <c r="C142" s="4" t="s">
        <v>39</v>
      </c>
      <c r="D142" s="4" t="s">
        <v>43</v>
      </c>
      <c r="E142" s="4" t="s">
        <v>25</v>
      </c>
      <c r="F142" s="4" t="s">
        <v>25</v>
      </c>
      <c r="G142" s="4" t="s">
        <v>25</v>
      </c>
      <c r="H142" s="4" t="s">
        <v>33</v>
      </c>
      <c r="I142" s="5">
        <v>44652</v>
      </c>
      <c r="J142" s="6">
        <v>0</v>
      </c>
      <c r="K142" s="6">
        <v>0</v>
      </c>
      <c r="L142" s="6">
        <v>0.49099999999999999</v>
      </c>
      <c r="M142" s="6">
        <v>0.49099999999999999</v>
      </c>
      <c r="N142" s="6">
        <v>0.49099999999999999</v>
      </c>
      <c r="O142" s="6">
        <v>0.49099999999999999</v>
      </c>
      <c r="P142" s="6">
        <v>0</v>
      </c>
      <c r="Q142" s="4" t="s">
        <v>26</v>
      </c>
      <c r="R142" s="4">
        <v>0</v>
      </c>
      <c r="S142" s="6">
        <v>0</v>
      </c>
      <c r="T142" s="6">
        <v>18</v>
      </c>
      <c r="U142" s="6">
        <v>69</v>
      </c>
      <c r="V142" s="6">
        <f>IF(ISERROR(VLOOKUP($S$142,'TAR FIN'!$A$1:$O$88,15,0)),0,VLOOKUP($S$142,'TAR FIN'!$A$1:$O$88,15,0))</f>
        <v>0</v>
      </c>
      <c r="W142" s="6">
        <f>IF(ISERROR(VLOOKUP($T$142,'TAR FIN'!$A$1:$O$88,15,0)),0,VLOOKUP($T$142,'TAR FIN'!$A$1:$O$88,15,0))</f>
        <v>1295.8499999999999</v>
      </c>
      <c r="X142" s="6">
        <f>IF(ISERROR(VLOOKUP($U$142,'TAR FIN'!$A$1:$O$88,15,0)),0,VLOOKUP($U$142,'TAR FIN'!$A$1:$O$88,15,0))</f>
        <v>434.95</v>
      </c>
      <c r="Y142" s="6"/>
      <c r="Z142" s="6">
        <f ca="1">('TUSD BE'!$AM$11+'TUSD BF_350'!$AM$11+'TUSD CVA'!$AM$11)*1</f>
        <v>1048.5801557334262</v>
      </c>
      <c r="AA142" s="6">
        <f ca="1">('TE BE'!$AB$5+'TE BF_350'!$AB$5+'TE CVA'!$AB$5)*1</f>
        <v>316.97983140624547</v>
      </c>
      <c r="AB142" s="6">
        <f>$K$142*$V$142</f>
        <v>0</v>
      </c>
      <c r="AC142" s="6">
        <f>$M$142*$W$142</f>
        <v>636.26234999999997</v>
      </c>
      <c r="AD142" s="6">
        <f>$O$142*$X$142</f>
        <v>213.56045</v>
      </c>
      <c r="AE142" s="6">
        <f>$K$142*$Y$142</f>
        <v>0</v>
      </c>
      <c r="AF142" s="6">
        <f ca="1">$M$142*$Z$142</f>
        <v>514.85285646511227</v>
      </c>
      <c r="AG142" s="6">
        <f ca="1">$O$142*$AA$142</f>
        <v>155.63709722046653</v>
      </c>
    </row>
    <row r="143" spans="1:33" ht="11.25" customHeight="1" x14ac:dyDescent="0.25">
      <c r="A143" s="4" t="s">
        <v>21</v>
      </c>
      <c r="B143" s="4" t="s">
        <v>38</v>
      </c>
      <c r="C143" s="4" t="s">
        <v>39</v>
      </c>
      <c r="D143" s="4" t="s">
        <v>43</v>
      </c>
      <c r="E143" s="4" t="s">
        <v>25</v>
      </c>
      <c r="F143" s="4" t="s">
        <v>25</v>
      </c>
      <c r="G143" s="4" t="s">
        <v>25</v>
      </c>
      <c r="H143" s="4" t="s">
        <v>33</v>
      </c>
      <c r="I143" s="5">
        <v>44682</v>
      </c>
      <c r="J143" s="6">
        <v>0</v>
      </c>
      <c r="K143" s="6">
        <v>0</v>
      </c>
      <c r="L143" s="6">
        <v>0.73699999999999999</v>
      </c>
      <c r="M143" s="6">
        <v>0.73699999999999999</v>
      </c>
      <c r="N143" s="6">
        <v>0.73699999999999999</v>
      </c>
      <c r="O143" s="6">
        <v>0.73699999999999999</v>
      </c>
      <c r="P143" s="6">
        <v>0</v>
      </c>
      <c r="Q143" s="4" t="s">
        <v>26</v>
      </c>
      <c r="R143" s="4">
        <v>0</v>
      </c>
      <c r="S143" s="6">
        <v>0</v>
      </c>
      <c r="T143" s="6">
        <v>18</v>
      </c>
      <c r="U143" s="6">
        <v>69</v>
      </c>
      <c r="V143" s="6">
        <f>IF(ISERROR(VLOOKUP($S$143,'TAR FIN'!$A$1:$O$88,15,0)),0,VLOOKUP($S$143,'TAR FIN'!$A$1:$O$88,15,0))</f>
        <v>0</v>
      </c>
      <c r="W143" s="6">
        <f>IF(ISERROR(VLOOKUP($T$143,'TAR FIN'!$A$1:$O$88,15,0)),0,VLOOKUP($T$143,'TAR FIN'!$A$1:$O$88,15,0))</f>
        <v>1295.8499999999999</v>
      </c>
      <c r="X143" s="6">
        <f>IF(ISERROR(VLOOKUP($U$143,'TAR FIN'!$A$1:$O$88,15,0)),0,VLOOKUP($U$143,'TAR FIN'!$A$1:$O$88,15,0))</f>
        <v>434.95</v>
      </c>
      <c r="Y143" s="6"/>
      <c r="Z143" s="6">
        <f ca="1">('TUSD BE'!$AM$11+'TUSD BF_350'!$AM$11+'TUSD CVA'!$AM$11)*1</f>
        <v>1048.5801557334262</v>
      </c>
      <c r="AA143" s="6">
        <f ca="1">('TE BE'!$AB$5+'TE BF_350'!$AB$5+'TE CVA'!$AB$5)*1</f>
        <v>316.97983140624547</v>
      </c>
      <c r="AB143" s="6">
        <f>$K$143*$V$143</f>
        <v>0</v>
      </c>
      <c r="AC143" s="6">
        <f>$M$143*$W$143</f>
        <v>955.04144999999994</v>
      </c>
      <c r="AD143" s="6">
        <f>$O$143*$X$143</f>
        <v>320.55815000000001</v>
      </c>
      <c r="AE143" s="6">
        <f>$K$143*$Y$143</f>
        <v>0</v>
      </c>
      <c r="AF143" s="6">
        <f ca="1">$M$143*$Z$143</f>
        <v>772.80357477553514</v>
      </c>
      <c r="AG143" s="6">
        <f ca="1">$O$143*$AA$143</f>
        <v>233.61413574640289</v>
      </c>
    </row>
    <row r="144" spans="1:33" ht="11.25" customHeight="1" x14ac:dyDescent="0.25">
      <c r="A144" s="4" t="s">
        <v>21</v>
      </c>
      <c r="B144" s="4" t="s">
        <v>38</v>
      </c>
      <c r="C144" s="4" t="s">
        <v>39</v>
      </c>
      <c r="D144" s="4" t="s">
        <v>43</v>
      </c>
      <c r="E144" s="4" t="s">
        <v>25</v>
      </c>
      <c r="F144" s="4" t="s">
        <v>25</v>
      </c>
      <c r="G144" s="4" t="s">
        <v>25</v>
      </c>
      <c r="H144" s="4" t="s">
        <v>33</v>
      </c>
      <c r="I144" s="5">
        <v>44713</v>
      </c>
      <c r="J144" s="6">
        <v>0</v>
      </c>
      <c r="K144" s="6">
        <v>0</v>
      </c>
      <c r="L144" s="6">
        <v>0.69099999999999995</v>
      </c>
      <c r="M144" s="6">
        <v>0.69099999999999995</v>
      </c>
      <c r="N144" s="6">
        <v>0.69099999999999995</v>
      </c>
      <c r="O144" s="6">
        <v>0.69099999999999995</v>
      </c>
      <c r="P144" s="6">
        <v>0</v>
      </c>
      <c r="Q144" s="4" t="s">
        <v>26</v>
      </c>
      <c r="R144" s="4">
        <v>0</v>
      </c>
      <c r="S144" s="6">
        <v>0</v>
      </c>
      <c r="T144" s="6">
        <v>18</v>
      </c>
      <c r="U144" s="6">
        <v>69</v>
      </c>
      <c r="V144" s="6">
        <f>IF(ISERROR(VLOOKUP($S$144,'TAR FIN'!$A$1:$O$88,15,0)),0,VLOOKUP($S$144,'TAR FIN'!$A$1:$O$88,15,0))</f>
        <v>0</v>
      </c>
      <c r="W144" s="6">
        <f>IF(ISERROR(VLOOKUP($T$144,'TAR FIN'!$A$1:$O$88,15,0)),0,VLOOKUP($T$144,'TAR FIN'!$A$1:$O$88,15,0))</f>
        <v>1295.8499999999999</v>
      </c>
      <c r="X144" s="6">
        <f>IF(ISERROR(VLOOKUP($U$144,'TAR FIN'!$A$1:$O$88,15,0)),0,VLOOKUP($U$144,'TAR FIN'!$A$1:$O$88,15,0))</f>
        <v>434.95</v>
      </c>
      <c r="Y144" s="6"/>
      <c r="Z144" s="6">
        <f ca="1">('TUSD BE'!$AM$11+'TUSD BF_350'!$AM$11+'TUSD CVA'!$AM$11)*1</f>
        <v>1048.5801557334262</v>
      </c>
      <c r="AA144" s="6">
        <f ca="1">('TE BE'!$AB$5+'TE BF_350'!$AB$5+'TE CVA'!$AB$5)*1</f>
        <v>316.97983140624547</v>
      </c>
      <c r="AB144" s="6">
        <f>$K$144*$V$144</f>
        <v>0</v>
      </c>
      <c r="AC144" s="6">
        <f>$M$144*$W$144</f>
        <v>895.43234999999981</v>
      </c>
      <c r="AD144" s="6">
        <f>$O$144*$X$144</f>
        <v>300.55044999999996</v>
      </c>
      <c r="AE144" s="6">
        <f>$K$144*$Y$144</f>
        <v>0</v>
      </c>
      <c r="AF144" s="6">
        <f ca="1">$M$144*$Z$144</f>
        <v>724.56888761179744</v>
      </c>
      <c r="AG144" s="6">
        <f ca="1">$O$144*$AA$144</f>
        <v>219.03306350171559</v>
      </c>
    </row>
    <row r="145" spans="1:33" ht="11.25" customHeight="1" x14ac:dyDescent="0.25">
      <c r="A145" s="4" t="s">
        <v>55</v>
      </c>
      <c r="B145" s="4" t="s">
        <v>38</v>
      </c>
      <c r="C145" s="4" t="s">
        <v>39</v>
      </c>
      <c r="D145" s="4" t="s">
        <v>43</v>
      </c>
      <c r="E145" s="4" t="s">
        <v>25</v>
      </c>
      <c r="F145" s="4" t="s">
        <v>25</v>
      </c>
      <c r="G145" s="4" t="s">
        <v>25</v>
      </c>
      <c r="H145" s="4" t="s">
        <v>33</v>
      </c>
      <c r="I145" s="5">
        <v>44743</v>
      </c>
      <c r="J145" s="6">
        <v>0</v>
      </c>
      <c r="K145" s="6">
        <v>0</v>
      </c>
      <c r="L145" s="6">
        <v>0.69099999999999995</v>
      </c>
      <c r="M145" s="6">
        <v>0.69099999999999995</v>
      </c>
      <c r="N145" s="6">
        <v>0.69099999999999995</v>
      </c>
      <c r="O145" s="6">
        <v>0.69099999999999995</v>
      </c>
      <c r="P145" s="6">
        <v>0</v>
      </c>
      <c r="Q145" s="4" t="s">
        <v>26</v>
      </c>
      <c r="R145" s="4">
        <v>0</v>
      </c>
      <c r="S145" s="6">
        <v>0</v>
      </c>
      <c r="T145" s="6">
        <v>18</v>
      </c>
      <c r="U145" s="6">
        <v>69</v>
      </c>
      <c r="V145" s="6">
        <f>IF(ISERROR(VLOOKUP($S$145,'TAR FIN'!$A$1:$O$88,15,0)),0,VLOOKUP($S$145,'TAR FIN'!$A$1:$O$88,15,0))</f>
        <v>0</v>
      </c>
      <c r="W145" s="6">
        <f>IF(ISERROR(VLOOKUP($T$145,'TAR FIN'!$A$1:$O$88,15,0)),0,VLOOKUP($T$145,'TAR FIN'!$A$1:$O$88,15,0))</f>
        <v>1295.8499999999999</v>
      </c>
      <c r="X145" s="6">
        <f>IF(ISERROR(VLOOKUP($U$145,'TAR FIN'!$A$1:$O$88,15,0)),0,VLOOKUP($U$145,'TAR FIN'!$A$1:$O$88,15,0))</f>
        <v>434.95</v>
      </c>
      <c r="Y145" s="6"/>
      <c r="Z145" s="6">
        <f ca="1">('TUSD BE'!$AM$11+'TUSD BF_350'!$AM$11+'TUSD CVA'!$AM$11)*1</f>
        <v>1048.5801557334262</v>
      </c>
      <c r="AA145" s="6">
        <f ca="1">('TE BE'!$AB$5+'TE BF_350'!$AB$5+'TE CVA'!$AB$5)*1</f>
        <v>316.97983140624547</v>
      </c>
      <c r="AB145" s="6">
        <f>$K$145*$V$145</f>
        <v>0</v>
      </c>
      <c r="AC145" s="6">
        <f>$M$145*$W$145</f>
        <v>895.43234999999981</v>
      </c>
      <c r="AD145" s="6">
        <f>$O$145*$X$145</f>
        <v>300.55044999999996</v>
      </c>
      <c r="AE145" s="6">
        <f>$K$145*$Y$145</f>
        <v>0</v>
      </c>
      <c r="AF145" s="6">
        <f ca="1">$M$145*$Z$145</f>
        <v>724.56888761179744</v>
      </c>
      <c r="AG145" s="6">
        <f ca="1">$O$145*$AA$145</f>
        <v>219.03306350171559</v>
      </c>
    </row>
    <row r="146" spans="1:33" ht="11.25" customHeight="1" x14ac:dyDescent="0.25">
      <c r="A146" s="4" t="s">
        <v>21</v>
      </c>
      <c r="B146" s="4" t="s">
        <v>38</v>
      </c>
      <c r="C146" s="4" t="s">
        <v>39</v>
      </c>
      <c r="D146" s="4" t="s">
        <v>47</v>
      </c>
      <c r="E146" s="4" t="s">
        <v>48</v>
      </c>
      <c r="F146" s="4" t="s">
        <v>25</v>
      </c>
      <c r="G146" s="4" t="s">
        <v>25</v>
      </c>
      <c r="H146" s="4" t="s">
        <v>34</v>
      </c>
      <c r="I146" s="5">
        <v>44409</v>
      </c>
      <c r="J146" s="6">
        <v>0</v>
      </c>
      <c r="K146" s="58">
        <v>0</v>
      </c>
      <c r="L146" s="6">
        <v>91.888999999999996</v>
      </c>
      <c r="M146" s="58">
        <v>91.888999999999996</v>
      </c>
      <c r="N146" s="6">
        <v>91.888999999999996</v>
      </c>
      <c r="O146" s="58">
        <v>91.888999999999996</v>
      </c>
      <c r="P146" s="6">
        <v>0</v>
      </c>
      <c r="Q146" s="4" t="s">
        <v>26</v>
      </c>
      <c r="R146" s="4">
        <v>0</v>
      </c>
      <c r="S146" s="6">
        <v>0</v>
      </c>
      <c r="T146" s="6">
        <v>21</v>
      </c>
      <c r="U146" s="6">
        <v>70</v>
      </c>
      <c r="V146" s="58">
        <f>IF(ISERROR(VLOOKUP($S$146,'TAR FIN'!$A$1:$O$88,15,0)),0,VLOOKUP($S$146,'TAR FIN'!$A$1:$O$88,15,0))</f>
        <v>0</v>
      </c>
      <c r="W146" s="58">
        <f>IF(ISERROR(VLOOKUP($T$146,'TAR FIN'!$A$1:$O$88,15,0)),0,VLOOKUP($T$146,'TAR FIN'!$A$1:$O$88,15,0))*(1-0.06)</f>
        <v>69.3626</v>
      </c>
      <c r="X146" s="58">
        <f>IF(ISERROR(VLOOKUP($U$146,'TAR FIN'!$A$1:$O$88,15,0)),0,VLOOKUP($U$146,'TAR FIN'!$A$1:$O$88,15,0))*(1-0.06)</f>
        <v>250.70739999999998</v>
      </c>
      <c r="Y146" s="58"/>
      <c r="Z146" s="58">
        <f ca="1">('TUSD BE'!$AM$12+'TUSD BF_350'!$AM$12+'TUSD CVA'!$AM$12)*1*(1-0.03)</f>
        <v>80.777252273332266</v>
      </c>
      <c r="AA146" s="58">
        <f ca="1">('TE BE'!$AB$6+'TE BF_350'!$AB$6+'TE CVA'!$AB$6)*1*(1-0.03)</f>
        <v>191.75888533886973</v>
      </c>
      <c r="AB146" s="6">
        <f>$K$146*$V$146</f>
        <v>0</v>
      </c>
      <c r="AC146" s="6">
        <f>$M$146*$W$146</f>
        <v>6373.6599514</v>
      </c>
      <c r="AD146" s="6">
        <f>$O$146*$X$146</f>
        <v>23037.252278599997</v>
      </c>
      <c r="AE146" s="6">
        <f>$K$146*$Y$146</f>
        <v>0</v>
      </c>
      <c r="AF146" s="6">
        <f ca="1">$M$146*$Z$146</f>
        <v>7422.5409341442282</v>
      </c>
      <c r="AG146" s="6">
        <f ca="1">$O$146*$AA$146</f>
        <v>17620.5322149034</v>
      </c>
    </row>
    <row r="147" spans="1:33" ht="11.25" customHeight="1" x14ac:dyDescent="0.25">
      <c r="A147" s="4" t="s">
        <v>21</v>
      </c>
      <c r="B147" s="4" t="s">
        <v>38</v>
      </c>
      <c r="C147" s="4" t="s">
        <v>39</v>
      </c>
      <c r="D147" s="4" t="s">
        <v>47</v>
      </c>
      <c r="E147" s="4" t="s">
        <v>48</v>
      </c>
      <c r="F147" s="4" t="s">
        <v>25</v>
      </c>
      <c r="G147" s="4" t="s">
        <v>25</v>
      </c>
      <c r="H147" s="4" t="s">
        <v>34</v>
      </c>
      <c r="I147" s="5">
        <v>44440</v>
      </c>
      <c r="J147" s="6">
        <v>0</v>
      </c>
      <c r="K147" s="58">
        <v>0</v>
      </c>
      <c r="L147" s="6">
        <v>105.346</v>
      </c>
      <c r="M147" s="58">
        <v>105.346</v>
      </c>
      <c r="N147" s="6">
        <v>105.346</v>
      </c>
      <c r="O147" s="58">
        <v>105.346</v>
      </c>
      <c r="P147" s="6">
        <v>0</v>
      </c>
      <c r="Q147" s="4" t="s">
        <v>26</v>
      </c>
      <c r="R147" s="4">
        <v>0</v>
      </c>
      <c r="S147" s="6">
        <v>0</v>
      </c>
      <c r="T147" s="6">
        <v>21</v>
      </c>
      <c r="U147" s="6">
        <v>70</v>
      </c>
      <c r="V147" s="58">
        <f>IF(ISERROR(VLOOKUP($S$147,'TAR FIN'!$A$1:$O$88,15,0)),0,VLOOKUP($S$147,'TAR FIN'!$A$1:$O$88,15,0))</f>
        <v>0</v>
      </c>
      <c r="W147" s="58">
        <f>IF(ISERROR(VLOOKUP($T$147,'TAR FIN'!$A$1:$O$88,15,0)),0,VLOOKUP($T$147,'TAR FIN'!$A$1:$O$88,15,0))*(1-0.06)</f>
        <v>69.3626</v>
      </c>
      <c r="X147" s="58">
        <f>IF(ISERROR(VLOOKUP($U$147,'TAR FIN'!$A$1:$O$88,15,0)),0,VLOOKUP($U$147,'TAR FIN'!$A$1:$O$88,15,0))*(1-0.06)</f>
        <v>250.70739999999998</v>
      </c>
      <c r="Y147" s="58"/>
      <c r="Z147" s="58">
        <f ca="1">('TUSD BE'!$AM$12+'TUSD BF_350'!$AM$12+'TUSD CVA'!$AM$12)*1*(1-0.03)</f>
        <v>80.777252273332266</v>
      </c>
      <c r="AA147" s="58">
        <f ca="1">('TE BE'!$AB$6+'TE BF_350'!$AB$6+'TE CVA'!$AB$6)*1*(1-0.03)</f>
        <v>191.75888533886973</v>
      </c>
      <c r="AB147" s="6">
        <f>$K$147*$V$147</f>
        <v>0</v>
      </c>
      <c r="AC147" s="6">
        <f>$M$147*$W$147</f>
        <v>7307.0724596</v>
      </c>
      <c r="AD147" s="6">
        <f>$O$147*$X$147</f>
        <v>26411.021760399999</v>
      </c>
      <c r="AE147" s="6">
        <f>$K$147*$Y$147</f>
        <v>0</v>
      </c>
      <c r="AF147" s="6">
        <f ca="1">$M$147*$Z$147</f>
        <v>8509.5604179864604</v>
      </c>
      <c r="AG147" s="6">
        <f ca="1">$O$147*$AA$147</f>
        <v>20201.031534908572</v>
      </c>
    </row>
    <row r="148" spans="1:33" ht="11.25" customHeight="1" x14ac:dyDescent="0.25">
      <c r="A148" s="4" t="s">
        <v>21</v>
      </c>
      <c r="B148" s="4" t="s">
        <v>38</v>
      </c>
      <c r="C148" s="4" t="s">
        <v>39</v>
      </c>
      <c r="D148" s="4" t="s">
        <v>47</v>
      </c>
      <c r="E148" s="4" t="s">
        <v>48</v>
      </c>
      <c r="F148" s="4" t="s">
        <v>25</v>
      </c>
      <c r="G148" s="4" t="s">
        <v>25</v>
      </c>
      <c r="H148" s="4" t="s">
        <v>34</v>
      </c>
      <c r="I148" s="5">
        <v>44470</v>
      </c>
      <c r="J148" s="6">
        <v>0</v>
      </c>
      <c r="K148" s="58">
        <v>0</v>
      </c>
      <c r="L148" s="6">
        <v>91.350999999999999</v>
      </c>
      <c r="M148" s="58">
        <v>91.350999999999999</v>
      </c>
      <c r="N148" s="6">
        <v>91.350999999999999</v>
      </c>
      <c r="O148" s="58">
        <v>91.350999999999999</v>
      </c>
      <c r="P148" s="6">
        <v>0</v>
      </c>
      <c r="Q148" s="4" t="s">
        <v>26</v>
      </c>
      <c r="R148" s="4">
        <v>0</v>
      </c>
      <c r="S148" s="6">
        <v>0</v>
      </c>
      <c r="T148" s="6">
        <v>21</v>
      </c>
      <c r="U148" s="6">
        <v>70</v>
      </c>
      <c r="V148" s="58">
        <f>IF(ISERROR(VLOOKUP($S$148,'TAR FIN'!$A$1:$O$88,15,0)),0,VLOOKUP($S$148,'TAR FIN'!$A$1:$O$88,15,0))</f>
        <v>0</v>
      </c>
      <c r="W148" s="58">
        <f>IF(ISERROR(VLOOKUP($T$148,'TAR FIN'!$A$1:$O$88,15,0)),0,VLOOKUP($T$148,'TAR FIN'!$A$1:$O$88,15,0))*(1-0.06)</f>
        <v>69.3626</v>
      </c>
      <c r="X148" s="58">
        <f>IF(ISERROR(VLOOKUP($U$148,'TAR FIN'!$A$1:$O$88,15,0)),0,VLOOKUP($U$148,'TAR FIN'!$A$1:$O$88,15,0))*(1-0.06)</f>
        <v>250.70739999999998</v>
      </c>
      <c r="Y148" s="58"/>
      <c r="Z148" s="58">
        <f ca="1">('TUSD BE'!$AM$12+'TUSD BF_350'!$AM$12+'TUSD CVA'!$AM$12)*1*(1-0.03)</f>
        <v>80.777252273332266</v>
      </c>
      <c r="AA148" s="58">
        <f ca="1">('TE BE'!$AB$6+'TE BF_350'!$AB$6+'TE CVA'!$AB$6)*1*(1-0.03)</f>
        <v>191.75888533886973</v>
      </c>
      <c r="AB148" s="6">
        <f>$K$148*$V$148</f>
        <v>0</v>
      </c>
      <c r="AC148" s="6">
        <f>$M$148*$W$148</f>
        <v>6336.3428726000002</v>
      </c>
      <c r="AD148" s="6">
        <f>$O$148*$X$148</f>
        <v>22902.371697399998</v>
      </c>
      <c r="AE148" s="6">
        <f>$K$148*$Y$148</f>
        <v>0</v>
      </c>
      <c r="AF148" s="6">
        <f ca="1">$M$148*$Z$148</f>
        <v>7379.0827724211758</v>
      </c>
      <c r="AG148" s="6">
        <f ca="1">$O$148*$AA$148</f>
        <v>17517.365934591089</v>
      </c>
    </row>
    <row r="149" spans="1:33" ht="11.25" customHeight="1" x14ac:dyDescent="0.25">
      <c r="A149" s="4" t="s">
        <v>21</v>
      </c>
      <c r="B149" s="4" t="s">
        <v>38</v>
      </c>
      <c r="C149" s="4" t="s">
        <v>39</v>
      </c>
      <c r="D149" s="4" t="s">
        <v>47</v>
      </c>
      <c r="E149" s="4" t="s">
        <v>48</v>
      </c>
      <c r="F149" s="4" t="s">
        <v>25</v>
      </c>
      <c r="G149" s="4" t="s">
        <v>25</v>
      </c>
      <c r="H149" s="4" t="s">
        <v>34</v>
      </c>
      <c r="I149" s="5">
        <v>44501</v>
      </c>
      <c r="J149" s="6">
        <v>0</v>
      </c>
      <c r="K149" s="58">
        <v>0</v>
      </c>
      <c r="L149" s="6">
        <v>104.70699999999999</v>
      </c>
      <c r="M149" s="58">
        <v>104.70699999999999</v>
      </c>
      <c r="N149" s="6">
        <v>104.70699999999999</v>
      </c>
      <c r="O149" s="58">
        <v>104.70699999999999</v>
      </c>
      <c r="P149" s="6">
        <v>0</v>
      </c>
      <c r="Q149" s="4" t="s">
        <v>26</v>
      </c>
      <c r="R149" s="4">
        <v>0</v>
      </c>
      <c r="S149" s="6">
        <v>0</v>
      </c>
      <c r="T149" s="6">
        <v>21</v>
      </c>
      <c r="U149" s="6">
        <v>70</v>
      </c>
      <c r="V149" s="58">
        <f>IF(ISERROR(VLOOKUP($S$149,'TAR FIN'!$A$1:$O$88,15,0)),0,VLOOKUP($S$149,'TAR FIN'!$A$1:$O$88,15,0))</f>
        <v>0</v>
      </c>
      <c r="W149" s="58">
        <f>IF(ISERROR(VLOOKUP($T$149,'TAR FIN'!$A$1:$O$88,15,0)),0,VLOOKUP($T$149,'TAR FIN'!$A$1:$O$88,15,0))*(1-0.06)</f>
        <v>69.3626</v>
      </c>
      <c r="X149" s="58">
        <f>IF(ISERROR(VLOOKUP($U$149,'TAR FIN'!$A$1:$O$88,15,0)),0,VLOOKUP($U$149,'TAR FIN'!$A$1:$O$88,15,0))*(1-0.06)</f>
        <v>250.70739999999998</v>
      </c>
      <c r="Y149" s="58"/>
      <c r="Z149" s="58">
        <f ca="1">('TUSD BE'!$AM$12+'TUSD BF_350'!$AM$12+'TUSD CVA'!$AM$12)*1*(1-0.03)</f>
        <v>80.777252273332266</v>
      </c>
      <c r="AA149" s="58">
        <f ca="1">('TE BE'!$AB$6+'TE BF_350'!$AB$6+'TE CVA'!$AB$6)*1*(1-0.03)</f>
        <v>191.75888533886973</v>
      </c>
      <c r="AB149" s="6">
        <f>$K$149*$V$149</f>
        <v>0</v>
      </c>
      <c r="AC149" s="6">
        <f>$M$149*$W$149</f>
        <v>7262.7497581999996</v>
      </c>
      <c r="AD149" s="6">
        <f>$O$149*$X$149</f>
        <v>26250.819731799995</v>
      </c>
      <c r="AE149" s="6">
        <f>$K$149*$Y$149</f>
        <v>0</v>
      </c>
      <c r="AF149" s="6">
        <f ca="1">$M$149*$Z$149</f>
        <v>8457.9437537838003</v>
      </c>
      <c r="AG149" s="6">
        <f ca="1">$O$149*$AA$149</f>
        <v>20078.497607177032</v>
      </c>
    </row>
    <row r="150" spans="1:33" ht="11.25" customHeight="1" x14ac:dyDescent="0.25">
      <c r="A150" s="4" t="s">
        <v>21</v>
      </c>
      <c r="B150" s="4" t="s">
        <v>38</v>
      </c>
      <c r="C150" s="4" t="s">
        <v>39</v>
      </c>
      <c r="D150" s="4" t="s">
        <v>47</v>
      </c>
      <c r="E150" s="4" t="s">
        <v>48</v>
      </c>
      <c r="F150" s="4" t="s">
        <v>25</v>
      </c>
      <c r="G150" s="4" t="s">
        <v>25</v>
      </c>
      <c r="H150" s="4" t="s">
        <v>34</v>
      </c>
      <c r="I150" s="5">
        <v>44531</v>
      </c>
      <c r="J150" s="6">
        <v>0</v>
      </c>
      <c r="K150" s="58">
        <v>0</v>
      </c>
      <c r="L150" s="6">
        <v>120.598</v>
      </c>
      <c r="M150" s="58">
        <v>120.598</v>
      </c>
      <c r="N150" s="6">
        <v>120.598</v>
      </c>
      <c r="O150" s="58">
        <v>120.598</v>
      </c>
      <c r="P150" s="6">
        <v>0</v>
      </c>
      <c r="Q150" s="4" t="s">
        <v>26</v>
      </c>
      <c r="R150" s="4">
        <v>0</v>
      </c>
      <c r="S150" s="6">
        <v>0</v>
      </c>
      <c r="T150" s="6">
        <v>21</v>
      </c>
      <c r="U150" s="6">
        <v>70</v>
      </c>
      <c r="V150" s="58">
        <f>IF(ISERROR(VLOOKUP($S$150,'TAR FIN'!$A$1:$O$88,15,0)),0,VLOOKUP($S$150,'TAR FIN'!$A$1:$O$88,15,0))</f>
        <v>0</v>
      </c>
      <c r="W150" s="58">
        <f>IF(ISERROR(VLOOKUP($T$150,'TAR FIN'!$A$1:$O$88,15,0)),0,VLOOKUP($T$150,'TAR FIN'!$A$1:$O$88,15,0))*(1-0.06)</f>
        <v>69.3626</v>
      </c>
      <c r="X150" s="58">
        <f>IF(ISERROR(VLOOKUP($U$150,'TAR FIN'!$A$1:$O$88,15,0)),0,VLOOKUP($U$150,'TAR FIN'!$A$1:$O$88,15,0))*(1-0.06)</f>
        <v>250.70739999999998</v>
      </c>
      <c r="Y150" s="58"/>
      <c r="Z150" s="58">
        <f ca="1">('TUSD BE'!$AM$12+'TUSD BF_350'!$AM$12+'TUSD CVA'!$AM$12)*1*(1-0.03)</f>
        <v>80.777252273332266</v>
      </c>
      <c r="AA150" s="58">
        <f ca="1">('TE BE'!$AB$6+'TE BF_350'!$AB$6+'TE CVA'!$AB$6)*1*(1-0.03)</f>
        <v>191.75888533886973</v>
      </c>
      <c r="AB150" s="6">
        <f>$K$150*$V$150</f>
        <v>0</v>
      </c>
      <c r="AC150" s="6">
        <f>$M$150*$W$150</f>
        <v>8364.9908348000008</v>
      </c>
      <c r="AD150" s="6">
        <f>$O$150*$X$150</f>
        <v>30234.811025199997</v>
      </c>
      <c r="AE150" s="6">
        <f>$K$150*$Y$150</f>
        <v>0</v>
      </c>
      <c r="AF150" s="6">
        <f ca="1">$M$150*$Z$150</f>
        <v>9741.5750696593241</v>
      </c>
      <c r="AG150" s="6">
        <f ca="1">$O$150*$AA$150</f>
        <v>23125.738054097012</v>
      </c>
    </row>
    <row r="151" spans="1:33" ht="11.25" customHeight="1" x14ac:dyDescent="0.25">
      <c r="A151" s="4" t="s">
        <v>21</v>
      </c>
      <c r="B151" s="4" t="s">
        <v>38</v>
      </c>
      <c r="C151" s="4" t="s">
        <v>39</v>
      </c>
      <c r="D151" s="4" t="s">
        <v>47</v>
      </c>
      <c r="E151" s="4" t="s">
        <v>48</v>
      </c>
      <c r="F151" s="4" t="s">
        <v>25</v>
      </c>
      <c r="G151" s="4" t="s">
        <v>25</v>
      </c>
      <c r="H151" s="4" t="s">
        <v>34</v>
      </c>
      <c r="I151" s="5">
        <v>44562</v>
      </c>
      <c r="J151" s="6">
        <v>0</v>
      </c>
      <c r="K151" s="58">
        <v>0</v>
      </c>
      <c r="L151" s="6">
        <v>111.91200000000001</v>
      </c>
      <c r="M151" s="58">
        <v>111.91200000000001</v>
      </c>
      <c r="N151" s="6">
        <v>111.91200000000001</v>
      </c>
      <c r="O151" s="58">
        <v>111.91200000000001</v>
      </c>
      <c r="P151" s="6">
        <v>0</v>
      </c>
      <c r="Q151" s="4" t="s">
        <v>26</v>
      </c>
      <c r="R151" s="4">
        <v>0</v>
      </c>
      <c r="S151" s="6">
        <v>0</v>
      </c>
      <c r="T151" s="6">
        <v>21</v>
      </c>
      <c r="U151" s="6">
        <v>70</v>
      </c>
      <c r="V151" s="58">
        <f>IF(ISERROR(VLOOKUP($S$151,'TAR FIN'!$A$1:$O$88,15,0)),0,VLOOKUP($S$151,'TAR FIN'!$A$1:$O$88,15,0))</f>
        <v>0</v>
      </c>
      <c r="W151" s="58">
        <f>IF(ISERROR(VLOOKUP($T$151,'TAR FIN'!$A$1:$O$88,15,0)),0,VLOOKUP($T$151,'TAR FIN'!$A$1:$O$88,15,0))*(1-0.06)</f>
        <v>69.3626</v>
      </c>
      <c r="X151" s="58">
        <f>IF(ISERROR(VLOOKUP($U$151,'TAR FIN'!$A$1:$O$88,15,0)),0,VLOOKUP($U$151,'TAR FIN'!$A$1:$O$88,15,0))*(1-0.06)</f>
        <v>250.70739999999998</v>
      </c>
      <c r="Y151" s="58"/>
      <c r="Z151" s="58">
        <f ca="1">('TUSD BE'!$AM$12+'TUSD BF_350'!$AM$12+'TUSD CVA'!$AM$12)*1*(1-0.03)</f>
        <v>80.777252273332266</v>
      </c>
      <c r="AA151" s="58">
        <f ca="1">('TE BE'!$AB$6+'TE BF_350'!$AB$6+'TE CVA'!$AB$6)*1*(1-0.03)</f>
        <v>191.75888533886973</v>
      </c>
      <c r="AB151" s="6">
        <f>$K$151*$V$151</f>
        <v>0</v>
      </c>
      <c r="AC151" s="6">
        <f>$M$151*$W$151</f>
        <v>7762.5072912000005</v>
      </c>
      <c r="AD151" s="6">
        <f>$O$151*$X$151</f>
        <v>28057.1665488</v>
      </c>
      <c r="AE151" s="6">
        <f>$K$151*$Y$151</f>
        <v>0</v>
      </c>
      <c r="AF151" s="6">
        <f ca="1">$M$151*$Z$151</f>
        <v>9039.9438564131615</v>
      </c>
      <c r="AG151" s="6">
        <f ca="1">$O$151*$AA$151</f>
        <v>21460.120376043589</v>
      </c>
    </row>
    <row r="152" spans="1:33" ht="11.25" customHeight="1" x14ac:dyDescent="0.25">
      <c r="A152" s="4" t="s">
        <v>21</v>
      </c>
      <c r="B152" s="4" t="s">
        <v>38</v>
      </c>
      <c r="C152" s="4" t="s">
        <v>39</v>
      </c>
      <c r="D152" s="4" t="s">
        <v>47</v>
      </c>
      <c r="E152" s="4" t="s">
        <v>48</v>
      </c>
      <c r="F152" s="4" t="s">
        <v>25</v>
      </c>
      <c r="G152" s="4" t="s">
        <v>25</v>
      </c>
      <c r="H152" s="4" t="s">
        <v>34</v>
      </c>
      <c r="I152" s="5">
        <v>44593</v>
      </c>
      <c r="J152" s="6">
        <v>0</v>
      </c>
      <c r="K152" s="58">
        <v>0</v>
      </c>
      <c r="L152" s="6">
        <v>101.56</v>
      </c>
      <c r="M152" s="58">
        <v>101.56</v>
      </c>
      <c r="N152" s="6">
        <v>101.56</v>
      </c>
      <c r="O152" s="58">
        <v>101.56</v>
      </c>
      <c r="P152" s="6">
        <v>0</v>
      </c>
      <c r="Q152" s="4" t="s">
        <v>26</v>
      </c>
      <c r="R152" s="4">
        <v>0</v>
      </c>
      <c r="S152" s="6">
        <v>0</v>
      </c>
      <c r="T152" s="6">
        <v>21</v>
      </c>
      <c r="U152" s="6">
        <v>70</v>
      </c>
      <c r="V152" s="58">
        <f>IF(ISERROR(VLOOKUP($S$152,'TAR FIN'!$A$1:$O$88,15,0)),0,VLOOKUP($S$152,'TAR FIN'!$A$1:$O$88,15,0))</f>
        <v>0</v>
      </c>
      <c r="W152" s="58">
        <f>IF(ISERROR(VLOOKUP($T$152,'TAR FIN'!$A$1:$O$88,15,0)),0,VLOOKUP($T$152,'TAR FIN'!$A$1:$O$88,15,0))*(1-0.06)</f>
        <v>69.3626</v>
      </c>
      <c r="X152" s="58">
        <f>IF(ISERROR(VLOOKUP($U$152,'TAR FIN'!$A$1:$O$88,15,0)),0,VLOOKUP($U$152,'TAR FIN'!$A$1:$O$88,15,0))*(1-0.06)</f>
        <v>250.70739999999998</v>
      </c>
      <c r="Y152" s="58"/>
      <c r="Z152" s="58">
        <f ca="1">('TUSD BE'!$AM$12+'TUSD BF_350'!$AM$12+'TUSD CVA'!$AM$12)*1*(1-0.03)</f>
        <v>80.777252273332266</v>
      </c>
      <c r="AA152" s="58">
        <f ca="1">('TE BE'!$AB$6+'TE BF_350'!$AB$6+'TE CVA'!$AB$6)*1*(1-0.03)</f>
        <v>191.75888533886973</v>
      </c>
      <c r="AB152" s="6">
        <f>$K$152*$V$152</f>
        <v>0</v>
      </c>
      <c r="AC152" s="6">
        <f>$M$152*$W$152</f>
        <v>7044.4656560000003</v>
      </c>
      <c r="AD152" s="6">
        <f>$O$152*$X$152</f>
        <v>25461.843543999999</v>
      </c>
      <c r="AE152" s="6">
        <f>$K$152*$Y$152</f>
        <v>0</v>
      </c>
      <c r="AF152" s="6">
        <f ca="1">$M$152*$Z$152</f>
        <v>8203.7377408796256</v>
      </c>
      <c r="AG152" s="6">
        <f ca="1">$O$152*$AA$152</f>
        <v>19475.032395015609</v>
      </c>
    </row>
    <row r="153" spans="1:33" ht="11.25" customHeight="1" x14ac:dyDescent="0.25">
      <c r="A153" s="4" t="s">
        <v>21</v>
      </c>
      <c r="B153" s="4" t="s">
        <v>38</v>
      </c>
      <c r="C153" s="4" t="s">
        <v>39</v>
      </c>
      <c r="D153" s="4" t="s">
        <v>47</v>
      </c>
      <c r="E153" s="4" t="s">
        <v>48</v>
      </c>
      <c r="F153" s="4" t="s">
        <v>25</v>
      </c>
      <c r="G153" s="4" t="s">
        <v>25</v>
      </c>
      <c r="H153" s="4" t="s">
        <v>34</v>
      </c>
      <c r="I153" s="5">
        <v>44621</v>
      </c>
      <c r="J153" s="6">
        <v>0</v>
      </c>
      <c r="K153" s="58">
        <v>0</v>
      </c>
      <c r="L153" s="6">
        <v>116.85</v>
      </c>
      <c r="M153" s="58">
        <v>116.85</v>
      </c>
      <c r="N153" s="6">
        <v>116.85</v>
      </c>
      <c r="O153" s="58">
        <v>116.85</v>
      </c>
      <c r="P153" s="6">
        <v>0</v>
      </c>
      <c r="Q153" s="4" t="s">
        <v>26</v>
      </c>
      <c r="R153" s="4">
        <v>0</v>
      </c>
      <c r="S153" s="6">
        <v>0</v>
      </c>
      <c r="T153" s="6">
        <v>21</v>
      </c>
      <c r="U153" s="6">
        <v>70</v>
      </c>
      <c r="V153" s="58">
        <f>IF(ISERROR(VLOOKUP($S$153,'TAR FIN'!$A$1:$O$88,15,0)),0,VLOOKUP($S$153,'TAR FIN'!$A$1:$O$88,15,0))</f>
        <v>0</v>
      </c>
      <c r="W153" s="58">
        <f>IF(ISERROR(VLOOKUP($T$153,'TAR FIN'!$A$1:$O$88,15,0)),0,VLOOKUP($T$153,'TAR FIN'!$A$1:$O$88,15,0))*(1-0.06)</f>
        <v>69.3626</v>
      </c>
      <c r="X153" s="58">
        <f>IF(ISERROR(VLOOKUP($U$153,'TAR FIN'!$A$1:$O$88,15,0)),0,VLOOKUP($U$153,'TAR FIN'!$A$1:$O$88,15,0))*(1-0.06)</f>
        <v>250.70739999999998</v>
      </c>
      <c r="Y153" s="58"/>
      <c r="Z153" s="58">
        <f ca="1">('TUSD BE'!$AM$12+'TUSD BF_350'!$AM$12+'TUSD CVA'!$AM$12)*1*(1-0.03)</f>
        <v>80.777252273332266</v>
      </c>
      <c r="AA153" s="58">
        <f ca="1">('TE BE'!$AB$6+'TE BF_350'!$AB$6+'TE CVA'!$AB$6)*1*(1-0.03)</f>
        <v>191.75888533886973</v>
      </c>
      <c r="AB153" s="6">
        <f>$K$153*$V$153</f>
        <v>0</v>
      </c>
      <c r="AC153" s="6">
        <f>$M$153*$W$153</f>
        <v>8105.0198099999998</v>
      </c>
      <c r="AD153" s="6">
        <f>$O$153*$X$153</f>
        <v>29295.159689999997</v>
      </c>
      <c r="AE153" s="6">
        <f>$K$153*$Y$153</f>
        <v>0</v>
      </c>
      <c r="AF153" s="6">
        <f ca="1">$M$153*$Z$153</f>
        <v>9438.8219281388756</v>
      </c>
      <c r="AG153" s="6">
        <f ca="1">$O$153*$AA$153</f>
        <v>22407.025751846926</v>
      </c>
    </row>
    <row r="154" spans="1:33" ht="11.25" customHeight="1" x14ac:dyDescent="0.25">
      <c r="A154" s="4" t="s">
        <v>21</v>
      </c>
      <c r="B154" s="4" t="s">
        <v>38</v>
      </c>
      <c r="C154" s="4" t="s">
        <v>39</v>
      </c>
      <c r="D154" s="4" t="s">
        <v>47</v>
      </c>
      <c r="E154" s="4" t="s">
        <v>48</v>
      </c>
      <c r="F154" s="4" t="s">
        <v>25</v>
      </c>
      <c r="G154" s="4" t="s">
        <v>25</v>
      </c>
      <c r="H154" s="4" t="s">
        <v>34</v>
      </c>
      <c r="I154" s="5">
        <v>44652</v>
      </c>
      <c r="J154" s="6">
        <v>0</v>
      </c>
      <c r="K154" s="58">
        <v>0</v>
      </c>
      <c r="L154" s="6">
        <v>105.839</v>
      </c>
      <c r="M154" s="58">
        <v>105.839</v>
      </c>
      <c r="N154" s="6">
        <v>105.839</v>
      </c>
      <c r="O154" s="58">
        <v>105.839</v>
      </c>
      <c r="P154" s="6">
        <v>0</v>
      </c>
      <c r="Q154" s="4" t="s">
        <v>26</v>
      </c>
      <c r="R154" s="4">
        <v>0</v>
      </c>
      <c r="S154" s="6">
        <v>0</v>
      </c>
      <c r="T154" s="6">
        <v>21</v>
      </c>
      <c r="U154" s="6">
        <v>70</v>
      </c>
      <c r="V154" s="58">
        <f>IF(ISERROR(VLOOKUP($S$154,'TAR FIN'!$A$1:$O$88,15,0)),0,VLOOKUP($S$154,'TAR FIN'!$A$1:$O$88,15,0))</f>
        <v>0</v>
      </c>
      <c r="W154" s="58">
        <f>IF(ISERROR(VLOOKUP($T$154,'TAR FIN'!$A$1:$O$88,15,0)),0,VLOOKUP($T$154,'TAR FIN'!$A$1:$O$88,15,0))*(1-0.06)</f>
        <v>69.3626</v>
      </c>
      <c r="X154" s="58">
        <f>IF(ISERROR(VLOOKUP($U$154,'TAR FIN'!$A$1:$O$88,15,0)),0,VLOOKUP($U$154,'TAR FIN'!$A$1:$O$88,15,0))*(1-0.06)</f>
        <v>250.70739999999998</v>
      </c>
      <c r="Y154" s="58"/>
      <c r="Z154" s="58">
        <f ca="1">('TUSD BE'!$AM$12+'TUSD BF_350'!$AM$12+'TUSD CVA'!$AM$12)*1*(1-0.03)</f>
        <v>80.777252273332266</v>
      </c>
      <c r="AA154" s="58">
        <f ca="1">('TE BE'!$AB$6+'TE BF_350'!$AB$6+'TE CVA'!$AB$6)*1*(1-0.03)</f>
        <v>191.75888533886973</v>
      </c>
      <c r="AB154" s="6">
        <f>$K$154*$V$154</f>
        <v>0</v>
      </c>
      <c r="AC154" s="6">
        <f>$M$154*$W$154</f>
        <v>7341.2682213999997</v>
      </c>
      <c r="AD154" s="6">
        <f>$O$154*$X$154</f>
        <v>26534.620508599997</v>
      </c>
      <c r="AE154" s="6">
        <f>$K$154*$Y$154</f>
        <v>0</v>
      </c>
      <c r="AF154" s="6">
        <f ca="1">$M$154*$Z$154</f>
        <v>8549.3836033572134</v>
      </c>
      <c r="AG154" s="6">
        <f ca="1">$O$154*$AA$154</f>
        <v>20295.568665380633</v>
      </c>
    </row>
    <row r="155" spans="1:33" ht="11.25" customHeight="1" x14ac:dyDescent="0.25">
      <c r="A155" s="4" t="s">
        <v>21</v>
      </c>
      <c r="B155" s="4" t="s">
        <v>38</v>
      </c>
      <c r="C155" s="4" t="s">
        <v>39</v>
      </c>
      <c r="D155" s="4" t="s">
        <v>47</v>
      </c>
      <c r="E155" s="4" t="s">
        <v>48</v>
      </c>
      <c r="F155" s="4" t="s">
        <v>25</v>
      </c>
      <c r="G155" s="4" t="s">
        <v>25</v>
      </c>
      <c r="H155" s="4" t="s">
        <v>34</v>
      </c>
      <c r="I155" s="5">
        <v>44682</v>
      </c>
      <c r="J155" s="6">
        <v>0</v>
      </c>
      <c r="K155" s="58">
        <v>0</v>
      </c>
      <c r="L155" s="6">
        <v>110.95099999999999</v>
      </c>
      <c r="M155" s="58">
        <v>110.95099999999999</v>
      </c>
      <c r="N155" s="6">
        <v>110.95099999999999</v>
      </c>
      <c r="O155" s="58">
        <v>110.95099999999999</v>
      </c>
      <c r="P155" s="6">
        <v>0</v>
      </c>
      <c r="Q155" s="4" t="s">
        <v>26</v>
      </c>
      <c r="R155" s="4">
        <v>0</v>
      </c>
      <c r="S155" s="6">
        <v>0</v>
      </c>
      <c r="T155" s="6">
        <v>21</v>
      </c>
      <c r="U155" s="6">
        <v>70</v>
      </c>
      <c r="V155" s="58">
        <f>IF(ISERROR(VLOOKUP($S$155,'TAR FIN'!$A$1:$O$88,15,0)),0,VLOOKUP($S$155,'TAR FIN'!$A$1:$O$88,15,0))</f>
        <v>0</v>
      </c>
      <c r="W155" s="58">
        <f>IF(ISERROR(VLOOKUP($T$155,'TAR FIN'!$A$1:$O$88,15,0)),0,VLOOKUP($T$155,'TAR FIN'!$A$1:$O$88,15,0))*(1-0.06)</f>
        <v>69.3626</v>
      </c>
      <c r="X155" s="58">
        <f>IF(ISERROR(VLOOKUP($U$155,'TAR FIN'!$A$1:$O$88,15,0)),0,VLOOKUP($U$155,'TAR FIN'!$A$1:$O$88,15,0))*(1-0.06)</f>
        <v>250.70739999999998</v>
      </c>
      <c r="Y155" s="58"/>
      <c r="Z155" s="58">
        <f ca="1">('TUSD BE'!$AM$12+'TUSD BF_350'!$AM$12+'TUSD CVA'!$AM$12)*1*(1-0.03)</f>
        <v>80.777252273332266</v>
      </c>
      <c r="AA155" s="58">
        <f ca="1">('TE BE'!$AB$6+'TE BF_350'!$AB$6+'TE CVA'!$AB$6)*1*(1-0.03)</f>
        <v>191.75888533886973</v>
      </c>
      <c r="AB155" s="6">
        <f>$K$155*$V$155</f>
        <v>0</v>
      </c>
      <c r="AC155" s="6">
        <f>$M$155*$W$155</f>
        <v>7695.8498325999999</v>
      </c>
      <c r="AD155" s="6">
        <f>$O$155*$X$155</f>
        <v>27816.236737399995</v>
      </c>
      <c r="AE155" s="6">
        <f>$K$155*$Y$155</f>
        <v>0</v>
      </c>
      <c r="AF155" s="6">
        <f ca="1">$M$155*$Z$155</f>
        <v>8962.3169169784869</v>
      </c>
      <c r="AG155" s="6">
        <f ca="1">$O$155*$AA$155</f>
        <v>21275.840087232933</v>
      </c>
    </row>
    <row r="156" spans="1:33" ht="11.25" customHeight="1" x14ac:dyDescent="0.25">
      <c r="A156" s="4" t="s">
        <v>21</v>
      </c>
      <c r="B156" s="4" t="s">
        <v>38</v>
      </c>
      <c r="C156" s="4" t="s">
        <v>39</v>
      </c>
      <c r="D156" s="4" t="s">
        <v>47</v>
      </c>
      <c r="E156" s="4" t="s">
        <v>48</v>
      </c>
      <c r="F156" s="4" t="s">
        <v>25</v>
      </c>
      <c r="G156" s="4" t="s">
        <v>25</v>
      </c>
      <c r="H156" s="4" t="s">
        <v>34</v>
      </c>
      <c r="I156" s="5">
        <v>44713</v>
      </c>
      <c r="J156" s="6">
        <v>0</v>
      </c>
      <c r="K156" s="58">
        <v>0</v>
      </c>
      <c r="L156" s="6">
        <v>106.52</v>
      </c>
      <c r="M156" s="58">
        <v>106.52</v>
      </c>
      <c r="N156" s="6">
        <v>106.52</v>
      </c>
      <c r="O156" s="58">
        <v>106.52</v>
      </c>
      <c r="P156" s="6">
        <v>0</v>
      </c>
      <c r="Q156" s="4" t="s">
        <v>26</v>
      </c>
      <c r="R156" s="4">
        <v>0</v>
      </c>
      <c r="S156" s="6">
        <v>0</v>
      </c>
      <c r="T156" s="6">
        <v>21</v>
      </c>
      <c r="U156" s="6">
        <v>70</v>
      </c>
      <c r="V156" s="58">
        <f>IF(ISERROR(VLOOKUP($S$156,'TAR FIN'!$A$1:$O$88,15,0)),0,VLOOKUP($S$156,'TAR FIN'!$A$1:$O$88,15,0))</f>
        <v>0</v>
      </c>
      <c r="W156" s="58">
        <f>IF(ISERROR(VLOOKUP($T$156,'TAR FIN'!$A$1:$O$88,15,0)),0,VLOOKUP($T$156,'TAR FIN'!$A$1:$O$88,15,0))*(1-0.06)</f>
        <v>69.3626</v>
      </c>
      <c r="X156" s="58">
        <f>IF(ISERROR(VLOOKUP($U$156,'TAR FIN'!$A$1:$O$88,15,0)),0,VLOOKUP($U$156,'TAR FIN'!$A$1:$O$88,15,0))*(1-0.06)</f>
        <v>250.70739999999998</v>
      </c>
      <c r="Y156" s="58"/>
      <c r="Z156" s="58">
        <f ca="1">('TUSD BE'!$AM$12+'TUSD BF_350'!$AM$12+'TUSD CVA'!$AM$12)*1*(1-0.03)</f>
        <v>80.777252273332266</v>
      </c>
      <c r="AA156" s="58">
        <f ca="1">('TE BE'!$AB$6+'TE BF_350'!$AB$6+'TE CVA'!$AB$6)*1*(1-0.03)</f>
        <v>191.75888533886973</v>
      </c>
      <c r="AB156" s="6">
        <f>$K$156*$V$156</f>
        <v>0</v>
      </c>
      <c r="AC156" s="6">
        <f>$M$156*$W$156</f>
        <v>7388.5041519999995</v>
      </c>
      <c r="AD156" s="6">
        <f>$O$156*$X$156</f>
        <v>26705.352247999996</v>
      </c>
      <c r="AE156" s="6">
        <f>$K$156*$Y$156</f>
        <v>0</v>
      </c>
      <c r="AF156" s="6">
        <f ca="1">$M$156*$Z$156</f>
        <v>8604.392912155352</v>
      </c>
      <c r="AG156" s="6">
        <f ca="1">$O$156*$AA$156</f>
        <v>20426.156466296405</v>
      </c>
    </row>
    <row r="157" spans="1:33" ht="11.25" customHeight="1" x14ac:dyDescent="0.25">
      <c r="A157" s="4" t="s">
        <v>55</v>
      </c>
      <c r="B157" s="4" t="s">
        <v>38</v>
      </c>
      <c r="C157" s="4" t="s">
        <v>39</v>
      </c>
      <c r="D157" s="4" t="s">
        <v>47</v>
      </c>
      <c r="E157" s="4" t="s">
        <v>48</v>
      </c>
      <c r="F157" s="4" t="s">
        <v>25</v>
      </c>
      <c r="G157" s="4" t="s">
        <v>25</v>
      </c>
      <c r="H157" s="4" t="s">
        <v>34</v>
      </c>
      <c r="I157" s="5">
        <v>44743</v>
      </c>
      <c r="J157" s="6">
        <v>0</v>
      </c>
      <c r="K157" s="58">
        <v>0</v>
      </c>
      <c r="L157" s="6">
        <v>106.52</v>
      </c>
      <c r="M157" s="58">
        <v>106.52</v>
      </c>
      <c r="N157" s="6">
        <v>106.52</v>
      </c>
      <c r="O157" s="58">
        <v>106.52</v>
      </c>
      <c r="P157" s="6">
        <v>0</v>
      </c>
      <c r="Q157" s="4" t="s">
        <v>26</v>
      </c>
      <c r="R157" s="4">
        <v>0</v>
      </c>
      <c r="S157" s="6">
        <v>0</v>
      </c>
      <c r="T157" s="6">
        <v>21</v>
      </c>
      <c r="U157" s="6">
        <v>70</v>
      </c>
      <c r="V157" s="58">
        <f>IF(ISERROR(VLOOKUP($S$157,'TAR FIN'!$A$1:$O$88,15,0)),0,VLOOKUP($S$157,'TAR FIN'!$A$1:$O$88,15,0))</f>
        <v>0</v>
      </c>
      <c r="W157" s="58">
        <f>IF(ISERROR(VLOOKUP($T$157,'TAR FIN'!$A$1:$O$88,15,0)),0,VLOOKUP($T$157,'TAR FIN'!$A$1:$O$88,15,0))*(1-0.06)</f>
        <v>69.3626</v>
      </c>
      <c r="X157" s="58">
        <f>IF(ISERROR(VLOOKUP($U$157,'TAR FIN'!$A$1:$O$88,15,0)),0,VLOOKUP($U$157,'TAR FIN'!$A$1:$O$88,15,0))*(1-0.06)</f>
        <v>250.70739999999998</v>
      </c>
      <c r="Y157" s="58"/>
      <c r="Z157" s="58">
        <f ca="1">('TUSD BE'!$AM$12+'TUSD BF_350'!$AM$12+'TUSD CVA'!$AM$12)*1*(1-0.03)</f>
        <v>80.777252273332266</v>
      </c>
      <c r="AA157" s="58">
        <f ca="1">('TE BE'!$AB$6+'TE BF_350'!$AB$6+'TE CVA'!$AB$6)*1*(1-0.03)</f>
        <v>191.75888533886973</v>
      </c>
      <c r="AB157" s="6">
        <f>$K$157*$V$157</f>
        <v>0</v>
      </c>
      <c r="AC157" s="6">
        <f>$M$157*$W$157</f>
        <v>7388.5041519999995</v>
      </c>
      <c r="AD157" s="6">
        <f>$O$157*$X$157</f>
        <v>26705.352247999996</v>
      </c>
      <c r="AE157" s="6">
        <f>$K$157*$Y$157</f>
        <v>0</v>
      </c>
      <c r="AF157" s="6">
        <f ca="1">$M$157*$Z$157</f>
        <v>8604.392912155352</v>
      </c>
      <c r="AG157" s="6">
        <f ca="1">$O$157*$AA$157</f>
        <v>20426.156466296405</v>
      </c>
    </row>
    <row r="158" spans="1:33" ht="11.25" customHeight="1" x14ac:dyDescent="0.25">
      <c r="A158" s="4" t="s">
        <v>21</v>
      </c>
      <c r="B158" s="4" t="s">
        <v>38</v>
      </c>
      <c r="C158" s="4" t="s">
        <v>39</v>
      </c>
      <c r="D158" s="4" t="s">
        <v>47</v>
      </c>
      <c r="E158" s="4" t="s">
        <v>48</v>
      </c>
      <c r="F158" s="4" t="s">
        <v>25</v>
      </c>
      <c r="G158" s="4" t="s">
        <v>25</v>
      </c>
      <c r="H158" s="4" t="s">
        <v>25</v>
      </c>
      <c r="I158" s="5">
        <v>44409</v>
      </c>
      <c r="J158" s="6">
        <v>244</v>
      </c>
      <c r="K158" s="59">
        <v>244</v>
      </c>
      <c r="L158" s="6">
        <v>0</v>
      </c>
      <c r="M158" s="58">
        <v>0</v>
      </c>
      <c r="N158" s="6">
        <v>0</v>
      </c>
      <c r="O158" s="58">
        <v>0</v>
      </c>
      <c r="P158" s="6">
        <v>2</v>
      </c>
      <c r="Q158" s="4" t="s">
        <v>26</v>
      </c>
      <c r="R158" s="4">
        <v>0</v>
      </c>
      <c r="S158" s="6">
        <v>15</v>
      </c>
      <c r="T158" s="6">
        <v>0</v>
      </c>
      <c r="U158" s="6">
        <v>0</v>
      </c>
      <c r="V158" s="58">
        <f>IF(ISERROR(VLOOKUP($S$158,'TAR FIN'!$A$1:$O$88,15,0)),0,VLOOKUP($S$158,'TAR FIN'!$A$1:$O$88,15,0))*(1-0.06)</f>
        <v>16.1586</v>
      </c>
      <c r="W158" s="58">
        <f>IF(ISERROR(VLOOKUP($T$158,'TAR FIN'!$A$1:$O$88,15,0)),0,VLOOKUP($T$158,'TAR FIN'!$A$1:$O$88,15,0))</f>
        <v>0</v>
      </c>
      <c r="X158" s="58">
        <f>IF(ISERROR(VLOOKUP($U$158,'TAR FIN'!$A$1:$O$88,15,0)),0,VLOOKUP($U$158,'TAR FIN'!$A$1:$O$88,15,0))</f>
        <v>0</v>
      </c>
      <c r="Y158" s="58">
        <f ca="1">('TUSD BE'!$AM$10+'TUSD BF_350'!$AM$10+'TUSD CVA'!$AM$10)*1*(1-0.03)</f>
        <v>13.250650868869648</v>
      </c>
      <c r="Z158" s="58"/>
      <c r="AA158" s="58"/>
      <c r="AB158" s="6">
        <f>$K$158*$V$158</f>
        <v>3942.6983999999998</v>
      </c>
      <c r="AC158" s="6">
        <f>$M$158*$W$158</f>
        <v>0</v>
      </c>
      <c r="AD158" s="6">
        <f>$O$158*$X$158</f>
        <v>0</v>
      </c>
      <c r="AE158" s="6">
        <f ca="1">$K$158*$Y$158</f>
        <v>3233.1588120041943</v>
      </c>
      <c r="AF158" s="6">
        <f>$M$158*$Z$158</f>
        <v>0</v>
      </c>
      <c r="AG158" s="6">
        <f>$O$158*$AA$158</f>
        <v>0</v>
      </c>
    </row>
    <row r="159" spans="1:33" ht="11.25" customHeight="1" x14ac:dyDescent="0.25">
      <c r="A159" s="4" t="s">
        <v>21</v>
      </c>
      <c r="B159" s="4" t="s">
        <v>38</v>
      </c>
      <c r="C159" s="4" t="s">
        <v>39</v>
      </c>
      <c r="D159" s="4" t="s">
        <v>47</v>
      </c>
      <c r="E159" s="4" t="s">
        <v>48</v>
      </c>
      <c r="F159" s="4" t="s">
        <v>25</v>
      </c>
      <c r="G159" s="4" t="s">
        <v>25</v>
      </c>
      <c r="H159" s="4" t="s">
        <v>25</v>
      </c>
      <c r="I159" s="5">
        <v>44440</v>
      </c>
      <c r="J159" s="6">
        <v>244</v>
      </c>
      <c r="K159" s="59">
        <v>244</v>
      </c>
      <c r="L159" s="6">
        <v>0</v>
      </c>
      <c r="M159" s="58">
        <v>0</v>
      </c>
      <c r="N159" s="6">
        <v>0</v>
      </c>
      <c r="O159" s="58">
        <v>0</v>
      </c>
      <c r="P159" s="6">
        <v>2</v>
      </c>
      <c r="Q159" s="4" t="s">
        <v>26</v>
      </c>
      <c r="R159" s="4">
        <v>0</v>
      </c>
      <c r="S159" s="6">
        <v>15</v>
      </c>
      <c r="T159" s="6">
        <v>0</v>
      </c>
      <c r="U159" s="6">
        <v>0</v>
      </c>
      <c r="V159" s="58">
        <f>IF(ISERROR(VLOOKUP($S$159,'TAR FIN'!$A$1:$O$88,15,0)),0,VLOOKUP($S$159,'TAR FIN'!$A$1:$O$88,15,0))*(1-0.06)</f>
        <v>16.1586</v>
      </c>
      <c r="W159" s="58">
        <f>IF(ISERROR(VLOOKUP($T$159,'TAR FIN'!$A$1:$O$88,15,0)),0,VLOOKUP($T$159,'TAR FIN'!$A$1:$O$88,15,0))</f>
        <v>0</v>
      </c>
      <c r="X159" s="58">
        <f>IF(ISERROR(VLOOKUP($U$159,'TAR FIN'!$A$1:$O$88,15,0)),0,VLOOKUP($U$159,'TAR FIN'!$A$1:$O$88,15,0))</f>
        <v>0</v>
      </c>
      <c r="Y159" s="58">
        <f ca="1">('TUSD BE'!$AM$10+'TUSD BF_350'!$AM$10+'TUSD CVA'!$AM$10)*1*(1-0.03)</f>
        <v>13.250650868869648</v>
      </c>
      <c r="Z159" s="58"/>
      <c r="AA159" s="58"/>
      <c r="AB159" s="6">
        <f>$K$159*$V$159</f>
        <v>3942.6983999999998</v>
      </c>
      <c r="AC159" s="6">
        <f>$M$159*$W$159</f>
        <v>0</v>
      </c>
      <c r="AD159" s="6">
        <f>$O$159*$X$159</f>
        <v>0</v>
      </c>
      <c r="AE159" s="6">
        <f ca="1">$K$159*$Y$159</f>
        <v>3233.1588120041943</v>
      </c>
      <c r="AF159" s="6">
        <f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38</v>
      </c>
      <c r="C160" s="4" t="s">
        <v>39</v>
      </c>
      <c r="D160" s="4" t="s">
        <v>47</v>
      </c>
      <c r="E160" s="4" t="s">
        <v>48</v>
      </c>
      <c r="F160" s="4" t="s">
        <v>25</v>
      </c>
      <c r="G160" s="4" t="s">
        <v>25</v>
      </c>
      <c r="H160" s="4" t="s">
        <v>25</v>
      </c>
      <c r="I160" s="5">
        <v>44470</v>
      </c>
      <c r="J160" s="6">
        <v>245</v>
      </c>
      <c r="K160" s="59">
        <v>245</v>
      </c>
      <c r="L160" s="6">
        <v>0</v>
      </c>
      <c r="M160" s="58">
        <v>0</v>
      </c>
      <c r="N160" s="6">
        <v>0</v>
      </c>
      <c r="O160" s="58">
        <v>0</v>
      </c>
      <c r="P160" s="6">
        <v>2</v>
      </c>
      <c r="Q160" s="4" t="s">
        <v>26</v>
      </c>
      <c r="R160" s="4">
        <v>0</v>
      </c>
      <c r="S160" s="6">
        <v>15</v>
      </c>
      <c r="T160" s="6">
        <v>0</v>
      </c>
      <c r="U160" s="6">
        <v>0</v>
      </c>
      <c r="V160" s="58">
        <f>IF(ISERROR(VLOOKUP($S$160,'TAR FIN'!$A$1:$O$88,15,0)),0,VLOOKUP($S$160,'TAR FIN'!$A$1:$O$88,15,0))*(1-0.06)</f>
        <v>16.1586</v>
      </c>
      <c r="W160" s="58">
        <f>IF(ISERROR(VLOOKUP($T$160,'TAR FIN'!$A$1:$O$88,15,0)),0,VLOOKUP($T$160,'TAR FIN'!$A$1:$O$88,15,0))</f>
        <v>0</v>
      </c>
      <c r="X160" s="58">
        <f>IF(ISERROR(VLOOKUP($U$160,'TAR FIN'!$A$1:$O$88,15,0)),0,VLOOKUP($U$160,'TAR FIN'!$A$1:$O$88,15,0))</f>
        <v>0</v>
      </c>
      <c r="Y160" s="58">
        <f ca="1">('TUSD BE'!$AM$10+'TUSD BF_350'!$AM$10+'TUSD CVA'!$AM$10)*1*(1-0.03)</f>
        <v>13.250650868869648</v>
      </c>
      <c r="Z160" s="58"/>
      <c r="AA160" s="58"/>
      <c r="AB160" s="6">
        <f>$K$160*$V$160</f>
        <v>3958.857</v>
      </c>
      <c r="AC160" s="6">
        <f>$M$160*$W$160</f>
        <v>0</v>
      </c>
      <c r="AD160" s="6">
        <f>$O$160*$X$160</f>
        <v>0</v>
      </c>
      <c r="AE160" s="6">
        <f ca="1">$K$160*$Y$160</f>
        <v>3246.4094628730641</v>
      </c>
      <c r="AF160" s="6">
        <f>$M$160*$Z$160</f>
        <v>0</v>
      </c>
      <c r="AG160" s="6">
        <f>$O$160*$AA$160</f>
        <v>0</v>
      </c>
    </row>
    <row r="161" spans="1:33" ht="11.25" customHeight="1" x14ac:dyDescent="0.25">
      <c r="A161" s="4" t="s">
        <v>21</v>
      </c>
      <c r="B161" s="4" t="s">
        <v>38</v>
      </c>
      <c r="C161" s="4" t="s">
        <v>39</v>
      </c>
      <c r="D161" s="4" t="s">
        <v>47</v>
      </c>
      <c r="E161" s="4" t="s">
        <v>48</v>
      </c>
      <c r="F161" s="4" t="s">
        <v>25</v>
      </c>
      <c r="G161" s="4" t="s">
        <v>25</v>
      </c>
      <c r="H161" s="4" t="s">
        <v>25</v>
      </c>
      <c r="I161" s="5">
        <v>44501</v>
      </c>
      <c r="J161" s="6">
        <v>245</v>
      </c>
      <c r="K161" s="59">
        <v>245</v>
      </c>
      <c r="L161" s="6">
        <v>0</v>
      </c>
      <c r="M161" s="58">
        <v>0</v>
      </c>
      <c r="N161" s="6">
        <v>0</v>
      </c>
      <c r="O161" s="58">
        <v>0</v>
      </c>
      <c r="P161" s="6">
        <v>2</v>
      </c>
      <c r="Q161" s="4" t="s">
        <v>26</v>
      </c>
      <c r="R161" s="4">
        <v>0</v>
      </c>
      <c r="S161" s="6">
        <v>15</v>
      </c>
      <c r="T161" s="6">
        <v>0</v>
      </c>
      <c r="U161" s="6">
        <v>0</v>
      </c>
      <c r="V161" s="58">
        <f>IF(ISERROR(VLOOKUP($S$161,'TAR FIN'!$A$1:$O$88,15,0)),0,VLOOKUP($S$161,'TAR FIN'!$A$1:$O$88,15,0))*(1-0.06)</f>
        <v>16.1586</v>
      </c>
      <c r="W161" s="58">
        <f>IF(ISERROR(VLOOKUP($T$161,'TAR FIN'!$A$1:$O$88,15,0)),0,VLOOKUP($T$161,'TAR FIN'!$A$1:$O$88,15,0))</f>
        <v>0</v>
      </c>
      <c r="X161" s="58">
        <f>IF(ISERROR(VLOOKUP($U$161,'TAR FIN'!$A$1:$O$88,15,0)),0,VLOOKUP($U$161,'TAR FIN'!$A$1:$O$88,15,0))</f>
        <v>0</v>
      </c>
      <c r="Y161" s="58">
        <f ca="1">('TUSD BE'!$AM$10+'TUSD BF_350'!$AM$10+'TUSD CVA'!$AM$10)*1*(1-0.03)</f>
        <v>13.250650868869648</v>
      </c>
      <c r="Z161" s="58"/>
      <c r="AA161" s="58"/>
      <c r="AB161" s="6">
        <f>$K$161*$V$161</f>
        <v>3958.857</v>
      </c>
      <c r="AC161" s="6">
        <f>$M$161*$W$161</f>
        <v>0</v>
      </c>
      <c r="AD161" s="6">
        <f>$O$161*$X$161</f>
        <v>0</v>
      </c>
      <c r="AE161" s="6">
        <f ca="1">$K$161*$Y$161</f>
        <v>3246.4094628730641</v>
      </c>
      <c r="AF161" s="6">
        <f>$M$161*$Z$161</f>
        <v>0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38</v>
      </c>
      <c r="C162" s="4" t="s">
        <v>39</v>
      </c>
      <c r="D162" s="4" t="s">
        <v>47</v>
      </c>
      <c r="E162" s="4" t="s">
        <v>48</v>
      </c>
      <c r="F162" s="4" t="s">
        <v>25</v>
      </c>
      <c r="G162" s="4" t="s">
        <v>25</v>
      </c>
      <c r="H162" s="4" t="s">
        <v>25</v>
      </c>
      <c r="I162" s="5">
        <v>44531</v>
      </c>
      <c r="J162" s="6">
        <v>254</v>
      </c>
      <c r="K162" s="59">
        <v>254</v>
      </c>
      <c r="L162" s="6">
        <v>0</v>
      </c>
      <c r="M162" s="58">
        <v>0</v>
      </c>
      <c r="N162" s="6">
        <v>0</v>
      </c>
      <c r="O162" s="58">
        <v>0</v>
      </c>
      <c r="P162" s="6">
        <v>2</v>
      </c>
      <c r="Q162" s="4" t="s">
        <v>26</v>
      </c>
      <c r="R162" s="4">
        <v>0</v>
      </c>
      <c r="S162" s="6">
        <v>15</v>
      </c>
      <c r="T162" s="6">
        <v>0</v>
      </c>
      <c r="U162" s="6">
        <v>0</v>
      </c>
      <c r="V162" s="58">
        <f>IF(ISERROR(VLOOKUP($S$162,'TAR FIN'!$A$1:$O$88,15,0)),0,VLOOKUP($S$162,'TAR FIN'!$A$1:$O$88,15,0))*(1-0.06)</f>
        <v>16.1586</v>
      </c>
      <c r="W162" s="58">
        <f>IF(ISERROR(VLOOKUP($T$162,'TAR FIN'!$A$1:$O$88,15,0)),0,VLOOKUP($T$162,'TAR FIN'!$A$1:$O$88,15,0))</f>
        <v>0</v>
      </c>
      <c r="X162" s="58">
        <f>IF(ISERROR(VLOOKUP($U$162,'TAR FIN'!$A$1:$O$88,15,0)),0,VLOOKUP($U$162,'TAR FIN'!$A$1:$O$88,15,0))</f>
        <v>0</v>
      </c>
      <c r="Y162" s="58">
        <f ca="1">('TUSD BE'!$AM$10+'TUSD BF_350'!$AM$10+'TUSD CVA'!$AM$10)*1*(1-0.03)</f>
        <v>13.250650868869648</v>
      </c>
      <c r="Z162" s="58"/>
      <c r="AA162" s="58"/>
      <c r="AB162" s="6">
        <f>$K$162*$V$162</f>
        <v>4104.2843999999996</v>
      </c>
      <c r="AC162" s="6">
        <f>$M$162*$W$162</f>
        <v>0</v>
      </c>
      <c r="AD162" s="6">
        <f>$O$162*$X$162</f>
        <v>0</v>
      </c>
      <c r="AE162" s="6">
        <f ca="1">$K$162*$Y$162</f>
        <v>3365.6653206928909</v>
      </c>
      <c r="AF162" s="6">
        <f>$M$162*$Z$162</f>
        <v>0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38</v>
      </c>
      <c r="C163" s="4" t="s">
        <v>39</v>
      </c>
      <c r="D163" s="4" t="s">
        <v>47</v>
      </c>
      <c r="E163" s="4" t="s">
        <v>48</v>
      </c>
      <c r="F163" s="4" t="s">
        <v>25</v>
      </c>
      <c r="G163" s="4" t="s">
        <v>25</v>
      </c>
      <c r="H163" s="4" t="s">
        <v>25</v>
      </c>
      <c r="I163" s="5">
        <v>44562</v>
      </c>
      <c r="J163" s="6">
        <v>265</v>
      </c>
      <c r="K163" s="59">
        <v>265</v>
      </c>
      <c r="L163" s="6">
        <v>0</v>
      </c>
      <c r="M163" s="58">
        <v>0</v>
      </c>
      <c r="N163" s="6">
        <v>0</v>
      </c>
      <c r="O163" s="58">
        <v>0</v>
      </c>
      <c r="P163" s="6">
        <v>2</v>
      </c>
      <c r="Q163" s="4" t="s">
        <v>26</v>
      </c>
      <c r="R163" s="4">
        <v>0</v>
      </c>
      <c r="S163" s="6">
        <v>15</v>
      </c>
      <c r="T163" s="6">
        <v>0</v>
      </c>
      <c r="U163" s="6">
        <v>0</v>
      </c>
      <c r="V163" s="58">
        <f>IF(ISERROR(VLOOKUP($S$163,'TAR FIN'!$A$1:$O$88,15,0)),0,VLOOKUP($S$163,'TAR FIN'!$A$1:$O$88,15,0))*(1-0.06)</f>
        <v>16.1586</v>
      </c>
      <c r="W163" s="58">
        <f>IF(ISERROR(VLOOKUP($T$163,'TAR FIN'!$A$1:$O$88,15,0)),0,VLOOKUP($T$163,'TAR FIN'!$A$1:$O$88,15,0))</f>
        <v>0</v>
      </c>
      <c r="X163" s="58">
        <f>IF(ISERROR(VLOOKUP($U$163,'TAR FIN'!$A$1:$O$88,15,0)),0,VLOOKUP($U$163,'TAR FIN'!$A$1:$O$88,15,0))</f>
        <v>0</v>
      </c>
      <c r="Y163" s="58">
        <f ca="1">('TUSD BE'!$AM$10+'TUSD BF_350'!$AM$10+'TUSD CVA'!$AM$10)*1*(1-0.03)</f>
        <v>13.250650868869648</v>
      </c>
      <c r="Z163" s="58"/>
      <c r="AA163" s="58"/>
      <c r="AB163" s="6">
        <f>$K$163*$V$163</f>
        <v>4282.0289999999995</v>
      </c>
      <c r="AC163" s="6">
        <f>$M$163*$W$163</f>
        <v>0</v>
      </c>
      <c r="AD163" s="6">
        <f>$O$163*$X$163</f>
        <v>0</v>
      </c>
      <c r="AE163" s="6">
        <f ca="1">$K$163*$Y$163</f>
        <v>3511.4224802504568</v>
      </c>
      <c r="AF163" s="6">
        <f>$M$163*$Z$163</f>
        <v>0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38</v>
      </c>
      <c r="C164" s="4" t="s">
        <v>39</v>
      </c>
      <c r="D164" s="4" t="s">
        <v>47</v>
      </c>
      <c r="E164" s="4" t="s">
        <v>48</v>
      </c>
      <c r="F164" s="4" t="s">
        <v>25</v>
      </c>
      <c r="G164" s="4" t="s">
        <v>25</v>
      </c>
      <c r="H164" s="4" t="s">
        <v>25</v>
      </c>
      <c r="I164" s="5">
        <v>44593</v>
      </c>
      <c r="J164" s="6">
        <v>256</v>
      </c>
      <c r="K164" s="59">
        <v>256</v>
      </c>
      <c r="L164" s="6">
        <v>0</v>
      </c>
      <c r="M164" s="58">
        <v>0</v>
      </c>
      <c r="N164" s="6">
        <v>0</v>
      </c>
      <c r="O164" s="58">
        <v>0</v>
      </c>
      <c r="P164" s="6">
        <v>2</v>
      </c>
      <c r="Q164" s="4" t="s">
        <v>26</v>
      </c>
      <c r="R164" s="4">
        <v>0</v>
      </c>
      <c r="S164" s="6">
        <v>15</v>
      </c>
      <c r="T164" s="6">
        <v>0</v>
      </c>
      <c r="U164" s="6">
        <v>0</v>
      </c>
      <c r="V164" s="58">
        <f>IF(ISERROR(VLOOKUP($S$164,'TAR FIN'!$A$1:$O$88,15,0)),0,VLOOKUP($S$164,'TAR FIN'!$A$1:$O$88,15,0))*(1-0.06)</f>
        <v>16.1586</v>
      </c>
      <c r="W164" s="58">
        <f>IF(ISERROR(VLOOKUP($T$164,'TAR FIN'!$A$1:$O$88,15,0)),0,VLOOKUP($T$164,'TAR FIN'!$A$1:$O$88,15,0))</f>
        <v>0</v>
      </c>
      <c r="X164" s="58">
        <f>IF(ISERROR(VLOOKUP($U$164,'TAR FIN'!$A$1:$O$88,15,0)),0,VLOOKUP($U$164,'TAR FIN'!$A$1:$O$88,15,0))</f>
        <v>0</v>
      </c>
      <c r="Y164" s="58">
        <f ca="1">('TUSD BE'!$AM$10+'TUSD BF_350'!$AM$10+'TUSD CVA'!$AM$10)*1*(1-0.03)</f>
        <v>13.250650868869648</v>
      </c>
      <c r="Z164" s="58"/>
      <c r="AA164" s="58"/>
      <c r="AB164" s="6">
        <f>$K$164*$V$164</f>
        <v>4136.6016</v>
      </c>
      <c r="AC164" s="6">
        <f>$M$164*$W$164</f>
        <v>0</v>
      </c>
      <c r="AD164" s="6">
        <f>$O$164*$X$164</f>
        <v>0</v>
      </c>
      <c r="AE164" s="6">
        <f ca="1">$K$164*$Y$164</f>
        <v>3392.16662243063</v>
      </c>
      <c r="AF164" s="6">
        <f>$M$164*$Z$164</f>
        <v>0</v>
      </c>
      <c r="AG164" s="6">
        <f>$O$164*$AA$164</f>
        <v>0</v>
      </c>
    </row>
    <row r="165" spans="1:33" ht="11.25" customHeight="1" x14ac:dyDescent="0.25">
      <c r="A165" s="4" t="s">
        <v>21</v>
      </c>
      <c r="B165" s="4" t="s">
        <v>38</v>
      </c>
      <c r="C165" s="4" t="s">
        <v>39</v>
      </c>
      <c r="D165" s="4" t="s">
        <v>47</v>
      </c>
      <c r="E165" s="4" t="s">
        <v>48</v>
      </c>
      <c r="F165" s="4" t="s">
        <v>25</v>
      </c>
      <c r="G165" s="4" t="s">
        <v>25</v>
      </c>
      <c r="H165" s="4" t="s">
        <v>25</v>
      </c>
      <c r="I165" s="5">
        <v>44621</v>
      </c>
      <c r="J165" s="6">
        <v>246</v>
      </c>
      <c r="K165" s="59">
        <v>246</v>
      </c>
      <c r="L165" s="6">
        <v>0</v>
      </c>
      <c r="M165" s="58">
        <v>0</v>
      </c>
      <c r="N165" s="6">
        <v>0</v>
      </c>
      <c r="O165" s="58">
        <v>0</v>
      </c>
      <c r="P165" s="6">
        <v>2</v>
      </c>
      <c r="Q165" s="4" t="s">
        <v>26</v>
      </c>
      <c r="R165" s="4">
        <v>0</v>
      </c>
      <c r="S165" s="6">
        <v>15</v>
      </c>
      <c r="T165" s="6">
        <v>0</v>
      </c>
      <c r="U165" s="6">
        <v>0</v>
      </c>
      <c r="V165" s="58">
        <f>IF(ISERROR(VLOOKUP($S$165,'TAR FIN'!$A$1:$O$88,15,0)),0,VLOOKUP($S$165,'TAR FIN'!$A$1:$O$88,15,0))*(1-0.06)</f>
        <v>16.1586</v>
      </c>
      <c r="W165" s="58">
        <f>IF(ISERROR(VLOOKUP($T$165,'TAR FIN'!$A$1:$O$88,15,0)),0,VLOOKUP($T$165,'TAR FIN'!$A$1:$O$88,15,0))</f>
        <v>0</v>
      </c>
      <c r="X165" s="58">
        <f>IF(ISERROR(VLOOKUP($U$165,'TAR FIN'!$A$1:$O$88,15,0)),0,VLOOKUP($U$165,'TAR FIN'!$A$1:$O$88,15,0))</f>
        <v>0</v>
      </c>
      <c r="Y165" s="58">
        <f ca="1">('TUSD BE'!$AM$10+'TUSD BF_350'!$AM$10+'TUSD CVA'!$AM$10)*1*(1-0.03)</f>
        <v>13.250650868869648</v>
      </c>
      <c r="Z165" s="58"/>
      <c r="AA165" s="58"/>
      <c r="AB165" s="6">
        <f>$K$165*$V$165</f>
        <v>3975.0156000000002</v>
      </c>
      <c r="AC165" s="6">
        <f>$M$165*$W$165</f>
        <v>0</v>
      </c>
      <c r="AD165" s="6">
        <f>$O$165*$X$165</f>
        <v>0</v>
      </c>
      <c r="AE165" s="6">
        <f ca="1">$K$165*$Y$165</f>
        <v>3259.6601137419334</v>
      </c>
      <c r="AF165" s="6">
        <f>$M$165*$Z$165</f>
        <v>0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38</v>
      </c>
      <c r="C166" s="4" t="s">
        <v>39</v>
      </c>
      <c r="D166" s="4" t="s">
        <v>47</v>
      </c>
      <c r="E166" s="4" t="s">
        <v>48</v>
      </c>
      <c r="F166" s="4" t="s">
        <v>25</v>
      </c>
      <c r="G166" s="4" t="s">
        <v>25</v>
      </c>
      <c r="H166" s="4" t="s">
        <v>25</v>
      </c>
      <c r="I166" s="5">
        <v>44652</v>
      </c>
      <c r="J166" s="6">
        <v>247</v>
      </c>
      <c r="K166" s="59">
        <v>247</v>
      </c>
      <c r="L166" s="6">
        <v>0</v>
      </c>
      <c r="M166" s="58">
        <v>0</v>
      </c>
      <c r="N166" s="6">
        <v>0</v>
      </c>
      <c r="O166" s="58">
        <v>0</v>
      </c>
      <c r="P166" s="6">
        <v>2</v>
      </c>
      <c r="Q166" s="4" t="s">
        <v>26</v>
      </c>
      <c r="R166" s="4">
        <v>0</v>
      </c>
      <c r="S166" s="6">
        <v>15</v>
      </c>
      <c r="T166" s="6">
        <v>0</v>
      </c>
      <c r="U166" s="6">
        <v>0</v>
      </c>
      <c r="V166" s="58">
        <f>IF(ISERROR(VLOOKUP($S$166,'TAR FIN'!$A$1:$O$88,15,0)),0,VLOOKUP($S$166,'TAR FIN'!$A$1:$O$88,15,0))*(1-0.06)</f>
        <v>16.1586</v>
      </c>
      <c r="W166" s="58">
        <f>IF(ISERROR(VLOOKUP($T$166,'TAR FIN'!$A$1:$O$88,15,0)),0,VLOOKUP($T$166,'TAR FIN'!$A$1:$O$88,15,0))</f>
        <v>0</v>
      </c>
      <c r="X166" s="58">
        <f>IF(ISERROR(VLOOKUP($U$166,'TAR FIN'!$A$1:$O$88,15,0)),0,VLOOKUP($U$166,'TAR FIN'!$A$1:$O$88,15,0))</f>
        <v>0</v>
      </c>
      <c r="Y166" s="58">
        <f ca="1">('TUSD BE'!$AM$10+'TUSD BF_350'!$AM$10+'TUSD CVA'!$AM$10)*1*(1-0.03)</f>
        <v>13.250650868869648</v>
      </c>
      <c r="Z166" s="58"/>
      <c r="AA166" s="58"/>
      <c r="AB166" s="6">
        <f>$K$166*$V$166</f>
        <v>3991.1741999999999</v>
      </c>
      <c r="AC166" s="6">
        <f>$M$166*$W$166</f>
        <v>0</v>
      </c>
      <c r="AD166" s="6">
        <f>$O$166*$X$166</f>
        <v>0</v>
      </c>
      <c r="AE166" s="6">
        <f ca="1">$K$166*$Y$166</f>
        <v>3272.9107646108032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38</v>
      </c>
      <c r="C167" s="4" t="s">
        <v>39</v>
      </c>
      <c r="D167" s="4" t="s">
        <v>47</v>
      </c>
      <c r="E167" s="4" t="s">
        <v>48</v>
      </c>
      <c r="F167" s="4" t="s">
        <v>25</v>
      </c>
      <c r="G167" s="4" t="s">
        <v>25</v>
      </c>
      <c r="H167" s="4" t="s">
        <v>25</v>
      </c>
      <c r="I167" s="5">
        <v>44682</v>
      </c>
      <c r="J167" s="6">
        <v>243</v>
      </c>
      <c r="K167" s="59">
        <v>243</v>
      </c>
      <c r="L167" s="6">
        <v>0</v>
      </c>
      <c r="M167" s="58">
        <v>0</v>
      </c>
      <c r="N167" s="6">
        <v>0</v>
      </c>
      <c r="O167" s="58">
        <v>0</v>
      </c>
      <c r="P167" s="6">
        <v>2</v>
      </c>
      <c r="Q167" s="4" t="s">
        <v>26</v>
      </c>
      <c r="R167" s="4">
        <v>0</v>
      </c>
      <c r="S167" s="6">
        <v>15</v>
      </c>
      <c r="T167" s="6">
        <v>0</v>
      </c>
      <c r="U167" s="6">
        <v>0</v>
      </c>
      <c r="V167" s="58">
        <f>IF(ISERROR(VLOOKUP($S$167,'TAR FIN'!$A$1:$O$88,15,0)),0,VLOOKUP($S$167,'TAR FIN'!$A$1:$O$88,15,0))*(1-0.06)</f>
        <v>16.1586</v>
      </c>
      <c r="W167" s="58">
        <f>IF(ISERROR(VLOOKUP($T$167,'TAR FIN'!$A$1:$O$88,15,0)),0,VLOOKUP($T$167,'TAR FIN'!$A$1:$O$88,15,0))</f>
        <v>0</v>
      </c>
      <c r="X167" s="58">
        <f>IF(ISERROR(VLOOKUP($U$167,'TAR FIN'!$A$1:$O$88,15,0)),0,VLOOKUP($U$167,'TAR FIN'!$A$1:$O$88,15,0))</f>
        <v>0</v>
      </c>
      <c r="Y167" s="58">
        <f ca="1">('TUSD BE'!$AM$10+'TUSD BF_350'!$AM$10+'TUSD CVA'!$AM$10)*1*(1-0.03)</f>
        <v>13.250650868869648</v>
      </c>
      <c r="Z167" s="58"/>
      <c r="AA167" s="58"/>
      <c r="AB167" s="6">
        <f>$K$167*$V$167</f>
        <v>3926.5398</v>
      </c>
      <c r="AC167" s="6">
        <f>$M$167*$W$167</f>
        <v>0</v>
      </c>
      <c r="AD167" s="6">
        <f>$O$167*$X$167</f>
        <v>0</v>
      </c>
      <c r="AE167" s="6">
        <f ca="1">$K$167*$Y$167</f>
        <v>3219.9081611353245</v>
      </c>
      <c r="AF167" s="6">
        <f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38</v>
      </c>
      <c r="C168" s="4" t="s">
        <v>39</v>
      </c>
      <c r="D168" s="4" t="s">
        <v>47</v>
      </c>
      <c r="E168" s="4" t="s">
        <v>48</v>
      </c>
      <c r="F168" s="4" t="s">
        <v>25</v>
      </c>
      <c r="G168" s="4" t="s">
        <v>25</v>
      </c>
      <c r="H168" s="4" t="s">
        <v>25</v>
      </c>
      <c r="I168" s="5">
        <v>44713</v>
      </c>
      <c r="J168" s="6">
        <v>244</v>
      </c>
      <c r="K168" s="59">
        <v>244</v>
      </c>
      <c r="L168" s="6">
        <v>0</v>
      </c>
      <c r="M168" s="58">
        <v>0</v>
      </c>
      <c r="N168" s="6">
        <v>0</v>
      </c>
      <c r="O168" s="58">
        <v>0</v>
      </c>
      <c r="P168" s="6">
        <v>2</v>
      </c>
      <c r="Q168" s="4" t="s">
        <v>26</v>
      </c>
      <c r="R168" s="4">
        <v>0</v>
      </c>
      <c r="S168" s="6">
        <v>15</v>
      </c>
      <c r="T168" s="6">
        <v>0</v>
      </c>
      <c r="U168" s="6">
        <v>0</v>
      </c>
      <c r="V168" s="58">
        <f>IF(ISERROR(VLOOKUP($S$168,'TAR FIN'!$A$1:$O$88,15,0)),0,VLOOKUP($S$168,'TAR FIN'!$A$1:$O$88,15,0))*(1-0.06)</f>
        <v>16.1586</v>
      </c>
      <c r="W168" s="58">
        <f>IF(ISERROR(VLOOKUP($T$168,'TAR FIN'!$A$1:$O$88,15,0)),0,VLOOKUP($T$168,'TAR FIN'!$A$1:$O$88,15,0))</f>
        <v>0</v>
      </c>
      <c r="X168" s="58">
        <f>IF(ISERROR(VLOOKUP($U$168,'TAR FIN'!$A$1:$O$88,15,0)),0,VLOOKUP($U$168,'TAR FIN'!$A$1:$O$88,15,0))</f>
        <v>0</v>
      </c>
      <c r="Y168" s="58">
        <f ca="1">('TUSD BE'!$AM$10+'TUSD BF_350'!$AM$10+'TUSD CVA'!$AM$10)*1*(1-0.03)</f>
        <v>13.250650868869648</v>
      </c>
      <c r="Z168" s="58"/>
      <c r="AA168" s="58"/>
      <c r="AB168" s="6">
        <f>$K$168*$V$168</f>
        <v>3942.6983999999998</v>
      </c>
      <c r="AC168" s="6">
        <f>$M$168*$W$168</f>
        <v>0</v>
      </c>
      <c r="AD168" s="6">
        <f>$O$168*$X$168</f>
        <v>0</v>
      </c>
      <c r="AE168" s="6">
        <f ca="1">$K$168*$Y$168</f>
        <v>3233.1588120041943</v>
      </c>
      <c r="AF168" s="6">
        <f>$M$168*$Z$168</f>
        <v>0</v>
      </c>
      <c r="AG168" s="6">
        <f>$O$168*$AA$168</f>
        <v>0</v>
      </c>
    </row>
    <row r="169" spans="1:33" ht="11.25" customHeight="1" x14ac:dyDescent="0.25">
      <c r="A169" s="4" t="s">
        <v>55</v>
      </c>
      <c r="B169" s="4" t="s">
        <v>38</v>
      </c>
      <c r="C169" s="4" t="s">
        <v>39</v>
      </c>
      <c r="D169" s="4" t="s">
        <v>47</v>
      </c>
      <c r="E169" s="4" t="s">
        <v>48</v>
      </c>
      <c r="F169" s="4" t="s">
        <v>25</v>
      </c>
      <c r="G169" s="4" t="s">
        <v>25</v>
      </c>
      <c r="H169" s="4" t="s">
        <v>25</v>
      </c>
      <c r="I169" s="5">
        <v>44743</v>
      </c>
      <c r="J169" s="6">
        <v>244</v>
      </c>
      <c r="K169" s="59">
        <v>244</v>
      </c>
      <c r="L169" s="6">
        <v>0</v>
      </c>
      <c r="M169" s="58">
        <v>0</v>
      </c>
      <c r="N169" s="6">
        <v>0</v>
      </c>
      <c r="O169" s="58">
        <v>0</v>
      </c>
      <c r="P169" s="6">
        <v>2</v>
      </c>
      <c r="Q169" s="4" t="s">
        <v>26</v>
      </c>
      <c r="R169" s="4">
        <v>0</v>
      </c>
      <c r="S169" s="6">
        <v>15</v>
      </c>
      <c r="T169" s="6">
        <v>0</v>
      </c>
      <c r="U169" s="6">
        <v>0</v>
      </c>
      <c r="V169" s="58">
        <f>IF(ISERROR(VLOOKUP($S$169,'TAR FIN'!$A$1:$O$88,15,0)),0,VLOOKUP($S$169,'TAR FIN'!$A$1:$O$88,15,0))*(1-0.06)</f>
        <v>16.1586</v>
      </c>
      <c r="W169" s="58">
        <f>IF(ISERROR(VLOOKUP($T$169,'TAR FIN'!$A$1:$O$88,15,0)),0,VLOOKUP($T$169,'TAR FIN'!$A$1:$O$88,15,0))</f>
        <v>0</v>
      </c>
      <c r="X169" s="58">
        <f>IF(ISERROR(VLOOKUP($U$169,'TAR FIN'!$A$1:$O$88,15,0)),0,VLOOKUP($U$169,'TAR FIN'!$A$1:$O$88,15,0))</f>
        <v>0</v>
      </c>
      <c r="Y169" s="58">
        <f ca="1">('TUSD BE'!$AM$10+'TUSD BF_350'!$AM$10+'TUSD CVA'!$AM$10)*1*(1-0.03)</f>
        <v>13.250650868869648</v>
      </c>
      <c r="Z169" s="58"/>
      <c r="AA169" s="58"/>
      <c r="AB169" s="6">
        <f>$K$169*$V$169</f>
        <v>3942.6983999999998</v>
      </c>
      <c r="AC169" s="6">
        <f>$M$169*$W$169</f>
        <v>0</v>
      </c>
      <c r="AD169" s="6">
        <f>$O$169*$X$169</f>
        <v>0</v>
      </c>
      <c r="AE169" s="6">
        <f ca="1">$K$169*$Y$169</f>
        <v>3233.1588120041943</v>
      </c>
      <c r="AF169" s="6">
        <f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38</v>
      </c>
      <c r="C170" s="4" t="s">
        <v>39</v>
      </c>
      <c r="D170" s="4" t="s">
        <v>47</v>
      </c>
      <c r="E170" s="4" t="s">
        <v>48</v>
      </c>
      <c r="F170" s="4" t="s">
        <v>25</v>
      </c>
      <c r="G170" s="4" t="s">
        <v>25</v>
      </c>
      <c r="H170" s="4" t="s">
        <v>33</v>
      </c>
      <c r="I170" s="5">
        <v>44409</v>
      </c>
      <c r="J170" s="6">
        <v>0</v>
      </c>
      <c r="K170" s="58">
        <v>0</v>
      </c>
      <c r="L170" s="6">
        <v>0.41399999999999998</v>
      </c>
      <c r="M170" s="58">
        <v>0.41399999999999998</v>
      </c>
      <c r="N170" s="6">
        <v>0.41399999999999998</v>
      </c>
      <c r="O170" s="58">
        <v>0.41399999999999998</v>
      </c>
      <c r="P170" s="6">
        <v>0</v>
      </c>
      <c r="Q170" s="4" t="s">
        <v>26</v>
      </c>
      <c r="R170" s="4">
        <v>0</v>
      </c>
      <c r="S170" s="6">
        <v>0</v>
      </c>
      <c r="T170" s="6">
        <v>18</v>
      </c>
      <c r="U170" s="6">
        <v>69</v>
      </c>
      <c r="V170" s="58">
        <f>IF(ISERROR(VLOOKUP($S$170,'TAR FIN'!$A$1:$O$88,15,0)),0,VLOOKUP($S$170,'TAR FIN'!$A$1:$O$88,15,0))</f>
        <v>0</v>
      </c>
      <c r="W170" s="58">
        <f>IF(ISERROR(VLOOKUP($T$170,'TAR FIN'!$A$1:$O$88,15,0)),0,VLOOKUP($T$170,'TAR FIN'!$A$1:$O$88,15,0))*(1-0.06)</f>
        <v>1218.0989999999999</v>
      </c>
      <c r="X170" s="58">
        <f>IF(ISERROR(VLOOKUP($U$170,'TAR FIN'!$A$1:$O$88,15,0)),0,VLOOKUP($U$170,'TAR FIN'!$A$1:$O$88,15,0))*(1-0.06)</f>
        <v>408.85299999999995</v>
      </c>
      <c r="Y170" s="58"/>
      <c r="Z170" s="58">
        <f ca="1">('TUSD BE'!$AM$11+'TUSD BF_350'!$AM$11+'TUSD CVA'!$AM$11)*1*(1-0.03)</f>
        <v>1017.1227510614234</v>
      </c>
      <c r="AA170" s="58">
        <f ca="1">('TE BE'!$AB$5+'TE BF_350'!$AB$5+'TE CVA'!$AB$5)*1*(1-0.03)</f>
        <v>307.47043646405808</v>
      </c>
      <c r="AB170" s="6">
        <f>$K$170*$V$170</f>
        <v>0</v>
      </c>
      <c r="AC170" s="6">
        <f>$M$170*$W$170</f>
        <v>504.29298599999993</v>
      </c>
      <c r="AD170" s="6">
        <f>$O$170*$X$170</f>
        <v>169.26514199999997</v>
      </c>
      <c r="AE170" s="6">
        <f>$K$170*$Y$170</f>
        <v>0</v>
      </c>
      <c r="AF170" s="6">
        <f ca="1">$M$170*$Z$170</f>
        <v>421.08881893942925</v>
      </c>
      <c r="AG170" s="6">
        <f ca="1">$O$170*$AA$170</f>
        <v>127.29276069612004</v>
      </c>
    </row>
    <row r="171" spans="1:33" ht="11.25" customHeight="1" x14ac:dyDescent="0.25">
      <c r="A171" s="4" t="s">
        <v>21</v>
      </c>
      <c r="B171" s="4" t="s">
        <v>38</v>
      </c>
      <c r="C171" s="4" t="s">
        <v>39</v>
      </c>
      <c r="D171" s="4" t="s">
        <v>47</v>
      </c>
      <c r="E171" s="4" t="s">
        <v>48</v>
      </c>
      <c r="F171" s="4" t="s">
        <v>25</v>
      </c>
      <c r="G171" s="4" t="s">
        <v>25</v>
      </c>
      <c r="H171" s="4" t="s">
        <v>33</v>
      </c>
      <c r="I171" s="5">
        <v>44440</v>
      </c>
      <c r="J171" s="6">
        <v>0</v>
      </c>
      <c r="K171" s="58">
        <v>0</v>
      </c>
      <c r="L171" s="6">
        <v>1.6830000000000001</v>
      </c>
      <c r="M171" s="58">
        <v>1.6830000000000001</v>
      </c>
      <c r="N171" s="6">
        <v>1.6830000000000001</v>
      </c>
      <c r="O171" s="58">
        <v>1.6830000000000001</v>
      </c>
      <c r="P171" s="6">
        <v>0</v>
      </c>
      <c r="Q171" s="4" t="s">
        <v>26</v>
      </c>
      <c r="R171" s="4">
        <v>0</v>
      </c>
      <c r="S171" s="6">
        <v>0</v>
      </c>
      <c r="T171" s="6">
        <v>18</v>
      </c>
      <c r="U171" s="6">
        <v>69</v>
      </c>
      <c r="V171" s="58">
        <f>IF(ISERROR(VLOOKUP($S$171,'TAR FIN'!$A$1:$O$88,15,0)),0,VLOOKUP($S$171,'TAR FIN'!$A$1:$O$88,15,0))</f>
        <v>0</v>
      </c>
      <c r="W171" s="58">
        <f>IF(ISERROR(VLOOKUP($T$171,'TAR FIN'!$A$1:$O$88,15,0)),0,VLOOKUP($T$171,'TAR FIN'!$A$1:$O$88,15,0))*(1-0.06)</f>
        <v>1218.0989999999999</v>
      </c>
      <c r="X171" s="58">
        <f>IF(ISERROR(VLOOKUP($U$171,'TAR FIN'!$A$1:$O$88,15,0)),0,VLOOKUP($U$171,'TAR FIN'!$A$1:$O$88,15,0))*(1-0.06)</f>
        <v>408.85299999999995</v>
      </c>
      <c r="Y171" s="58"/>
      <c r="Z171" s="58">
        <f ca="1">('TUSD BE'!$AM$11+'TUSD BF_350'!$AM$11+'TUSD CVA'!$AM$11)*1*(1-0.03)</f>
        <v>1017.1227510614234</v>
      </c>
      <c r="AA171" s="58">
        <f ca="1">('TE BE'!$AB$5+'TE BF_350'!$AB$5+'TE CVA'!$AB$5)*1*(1-0.03)</f>
        <v>307.47043646405808</v>
      </c>
      <c r="AB171" s="6">
        <f>$K$171*$V$171</f>
        <v>0</v>
      </c>
      <c r="AC171" s="6">
        <f>$M$171*$W$171</f>
        <v>2050.0606170000001</v>
      </c>
      <c r="AD171" s="6">
        <f>$O$171*$X$171</f>
        <v>688.0995989999999</v>
      </c>
      <c r="AE171" s="6">
        <f>$K$171*$Y$171</f>
        <v>0</v>
      </c>
      <c r="AF171" s="6">
        <f ca="1">$M$171*$Z$171</f>
        <v>1711.8175900363756</v>
      </c>
      <c r="AG171" s="6">
        <f ca="1">$O$171*$AA$171</f>
        <v>517.47274456900982</v>
      </c>
    </row>
    <row r="172" spans="1:33" ht="11.25" customHeight="1" x14ac:dyDescent="0.25">
      <c r="A172" s="4" t="s">
        <v>21</v>
      </c>
      <c r="B172" s="4" t="s">
        <v>38</v>
      </c>
      <c r="C172" s="4" t="s">
        <v>39</v>
      </c>
      <c r="D172" s="4" t="s">
        <v>47</v>
      </c>
      <c r="E172" s="4" t="s">
        <v>48</v>
      </c>
      <c r="F172" s="4" t="s">
        <v>25</v>
      </c>
      <c r="G172" s="4" t="s">
        <v>25</v>
      </c>
      <c r="H172" s="4" t="s">
        <v>33</v>
      </c>
      <c r="I172" s="5">
        <v>44470</v>
      </c>
      <c r="J172" s="6">
        <v>0</v>
      </c>
      <c r="K172" s="58">
        <v>0</v>
      </c>
      <c r="L172" s="6">
        <v>1.395</v>
      </c>
      <c r="M172" s="58">
        <v>1.395</v>
      </c>
      <c r="N172" s="6">
        <v>1.395</v>
      </c>
      <c r="O172" s="58">
        <v>1.395</v>
      </c>
      <c r="P172" s="6">
        <v>0</v>
      </c>
      <c r="Q172" s="4" t="s">
        <v>26</v>
      </c>
      <c r="R172" s="4">
        <v>0</v>
      </c>
      <c r="S172" s="6">
        <v>0</v>
      </c>
      <c r="T172" s="6">
        <v>18</v>
      </c>
      <c r="U172" s="6">
        <v>69</v>
      </c>
      <c r="V172" s="58">
        <f>IF(ISERROR(VLOOKUP($S$172,'TAR FIN'!$A$1:$O$88,15,0)),0,VLOOKUP($S$172,'TAR FIN'!$A$1:$O$88,15,0))</f>
        <v>0</v>
      </c>
      <c r="W172" s="58">
        <f>IF(ISERROR(VLOOKUP($T$172,'TAR FIN'!$A$1:$O$88,15,0)),0,VLOOKUP($T$172,'TAR FIN'!$A$1:$O$88,15,0))*(1-0.06)</f>
        <v>1218.0989999999999</v>
      </c>
      <c r="X172" s="58">
        <f>IF(ISERROR(VLOOKUP($U$172,'TAR FIN'!$A$1:$O$88,15,0)),0,VLOOKUP($U$172,'TAR FIN'!$A$1:$O$88,15,0))*(1-0.06)</f>
        <v>408.85299999999995</v>
      </c>
      <c r="Y172" s="58"/>
      <c r="Z172" s="58">
        <f ca="1">('TUSD BE'!$AM$11+'TUSD BF_350'!$AM$11+'TUSD CVA'!$AM$11)*1*(1-0.03)</f>
        <v>1017.1227510614234</v>
      </c>
      <c r="AA172" s="58">
        <f ca="1">('TE BE'!$AB$5+'TE BF_350'!$AB$5+'TE CVA'!$AB$5)*1*(1-0.03)</f>
        <v>307.47043646405808</v>
      </c>
      <c r="AB172" s="6">
        <f>$K$172*$V$172</f>
        <v>0</v>
      </c>
      <c r="AC172" s="6">
        <f>$M$172*$W$172</f>
        <v>1699.2481049999999</v>
      </c>
      <c r="AD172" s="6">
        <f>$O$172*$X$172</f>
        <v>570.34993499999996</v>
      </c>
      <c r="AE172" s="6">
        <f>$K$172*$Y$172</f>
        <v>0</v>
      </c>
      <c r="AF172" s="6">
        <f ca="1">$M$172*$Z$172</f>
        <v>1418.8862377306857</v>
      </c>
      <c r="AG172" s="6">
        <f ca="1">$O$172*$AA$172</f>
        <v>428.92125886736102</v>
      </c>
    </row>
    <row r="173" spans="1:33" ht="11.25" customHeight="1" x14ac:dyDescent="0.25">
      <c r="A173" s="4" t="s">
        <v>21</v>
      </c>
      <c r="B173" s="4" t="s">
        <v>38</v>
      </c>
      <c r="C173" s="4" t="s">
        <v>39</v>
      </c>
      <c r="D173" s="4" t="s">
        <v>47</v>
      </c>
      <c r="E173" s="4" t="s">
        <v>48</v>
      </c>
      <c r="F173" s="4" t="s">
        <v>25</v>
      </c>
      <c r="G173" s="4" t="s">
        <v>25</v>
      </c>
      <c r="H173" s="4" t="s">
        <v>33</v>
      </c>
      <c r="I173" s="5">
        <v>44501</v>
      </c>
      <c r="J173" s="6">
        <v>0</v>
      </c>
      <c r="K173" s="58">
        <v>0</v>
      </c>
      <c r="L173" s="6">
        <v>1.407</v>
      </c>
      <c r="M173" s="58">
        <v>1.407</v>
      </c>
      <c r="N173" s="6">
        <v>1.407</v>
      </c>
      <c r="O173" s="58">
        <v>1.407</v>
      </c>
      <c r="P173" s="6">
        <v>0</v>
      </c>
      <c r="Q173" s="4" t="s">
        <v>26</v>
      </c>
      <c r="R173" s="4">
        <v>0</v>
      </c>
      <c r="S173" s="6">
        <v>0</v>
      </c>
      <c r="T173" s="6">
        <v>18</v>
      </c>
      <c r="U173" s="6">
        <v>69</v>
      </c>
      <c r="V173" s="58">
        <f>IF(ISERROR(VLOOKUP($S$173,'TAR FIN'!$A$1:$O$88,15,0)),0,VLOOKUP($S$173,'TAR FIN'!$A$1:$O$88,15,0))</f>
        <v>0</v>
      </c>
      <c r="W173" s="58">
        <f>IF(ISERROR(VLOOKUP($T$173,'TAR FIN'!$A$1:$O$88,15,0)),0,VLOOKUP($T$173,'TAR FIN'!$A$1:$O$88,15,0))*(1-0.06)</f>
        <v>1218.0989999999999</v>
      </c>
      <c r="X173" s="58">
        <f>IF(ISERROR(VLOOKUP($U$173,'TAR FIN'!$A$1:$O$88,15,0)),0,VLOOKUP($U$173,'TAR FIN'!$A$1:$O$88,15,0))*(1-0.06)</f>
        <v>408.85299999999995</v>
      </c>
      <c r="Y173" s="58"/>
      <c r="Z173" s="58">
        <f ca="1">('TUSD BE'!$AM$11+'TUSD BF_350'!$AM$11+'TUSD CVA'!$AM$11)*1*(1-0.03)</f>
        <v>1017.1227510614234</v>
      </c>
      <c r="AA173" s="58">
        <f ca="1">('TE BE'!$AB$5+'TE BF_350'!$AB$5+'TE CVA'!$AB$5)*1*(1-0.03)</f>
        <v>307.47043646405808</v>
      </c>
      <c r="AB173" s="6">
        <f>$K$173*$V$173</f>
        <v>0</v>
      </c>
      <c r="AC173" s="6">
        <f>$M$173*$W$173</f>
        <v>1713.8652929999998</v>
      </c>
      <c r="AD173" s="6">
        <f>$O$173*$X$173</f>
        <v>575.25617099999999</v>
      </c>
      <c r="AE173" s="6">
        <f>$K$173*$Y$173</f>
        <v>0</v>
      </c>
      <c r="AF173" s="6">
        <f ca="1">$M$173*$Z$173</f>
        <v>1431.0917107434227</v>
      </c>
      <c r="AG173" s="6">
        <f ca="1">$O$173*$AA$173</f>
        <v>432.61090410492972</v>
      </c>
    </row>
    <row r="174" spans="1:33" ht="11.25" customHeight="1" x14ac:dyDescent="0.25">
      <c r="A174" s="4" t="s">
        <v>21</v>
      </c>
      <c r="B174" s="4" t="s">
        <v>38</v>
      </c>
      <c r="C174" s="4" t="s">
        <v>39</v>
      </c>
      <c r="D174" s="4" t="s">
        <v>47</v>
      </c>
      <c r="E174" s="4" t="s">
        <v>48</v>
      </c>
      <c r="F174" s="4" t="s">
        <v>25</v>
      </c>
      <c r="G174" s="4" t="s">
        <v>25</v>
      </c>
      <c r="H174" s="4" t="s">
        <v>33</v>
      </c>
      <c r="I174" s="5">
        <v>44531</v>
      </c>
      <c r="J174" s="6">
        <v>0</v>
      </c>
      <c r="K174" s="58">
        <v>0</v>
      </c>
      <c r="L174" s="6">
        <v>1.752</v>
      </c>
      <c r="M174" s="58">
        <v>1.752</v>
      </c>
      <c r="N174" s="6">
        <v>1.752</v>
      </c>
      <c r="O174" s="58">
        <v>1.752</v>
      </c>
      <c r="P174" s="6">
        <v>0</v>
      </c>
      <c r="Q174" s="4" t="s">
        <v>26</v>
      </c>
      <c r="R174" s="4">
        <v>0</v>
      </c>
      <c r="S174" s="6">
        <v>0</v>
      </c>
      <c r="T174" s="6">
        <v>18</v>
      </c>
      <c r="U174" s="6">
        <v>69</v>
      </c>
      <c r="V174" s="58">
        <f>IF(ISERROR(VLOOKUP($S$174,'TAR FIN'!$A$1:$O$88,15,0)),0,VLOOKUP($S$174,'TAR FIN'!$A$1:$O$88,15,0))</f>
        <v>0</v>
      </c>
      <c r="W174" s="58">
        <f>IF(ISERROR(VLOOKUP($T$174,'TAR FIN'!$A$1:$O$88,15,0)),0,VLOOKUP($T$174,'TAR FIN'!$A$1:$O$88,15,0))*(1-0.06)</f>
        <v>1218.0989999999999</v>
      </c>
      <c r="X174" s="58">
        <f>IF(ISERROR(VLOOKUP($U$174,'TAR FIN'!$A$1:$O$88,15,0)),0,VLOOKUP($U$174,'TAR FIN'!$A$1:$O$88,15,0))*(1-0.06)</f>
        <v>408.85299999999995</v>
      </c>
      <c r="Y174" s="58"/>
      <c r="Z174" s="58">
        <f ca="1">('TUSD BE'!$AM$11+'TUSD BF_350'!$AM$11+'TUSD CVA'!$AM$11)*1*(1-0.03)</f>
        <v>1017.1227510614234</v>
      </c>
      <c r="AA174" s="58">
        <f ca="1">('TE BE'!$AB$5+'TE BF_350'!$AB$5+'TE CVA'!$AB$5)*1*(1-0.03)</f>
        <v>307.47043646405808</v>
      </c>
      <c r="AB174" s="6">
        <f>$K$174*$V$174</f>
        <v>0</v>
      </c>
      <c r="AC174" s="6">
        <f>$M$174*$W$174</f>
        <v>2134.1094479999997</v>
      </c>
      <c r="AD174" s="6">
        <f>$O$174*$X$174</f>
        <v>716.31045599999993</v>
      </c>
      <c r="AE174" s="6">
        <f>$K$174*$Y$174</f>
        <v>0</v>
      </c>
      <c r="AF174" s="6">
        <f ca="1">$M$174*$Z$174</f>
        <v>1781.9990598596139</v>
      </c>
      <c r="AG174" s="6">
        <f ca="1">$O$174*$AA$174</f>
        <v>538.68820468502975</v>
      </c>
    </row>
    <row r="175" spans="1:33" ht="11.25" customHeight="1" x14ac:dyDescent="0.25">
      <c r="A175" s="4" t="s">
        <v>21</v>
      </c>
      <c r="B175" s="4" t="s">
        <v>38</v>
      </c>
      <c r="C175" s="4" t="s">
        <v>39</v>
      </c>
      <c r="D175" s="4" t="s">
        <v>47</v>
      </c>
      <c r="E175" s="4" t="s">
        <v>48</v>
      </c>
      <c r="F175" s="4" t="s">
        <v>25</v>
      </c>
      <c r="G175" s="4" t="s">
        <v>25</v>
      </c>
      <c r="H175" s="4" t="s">
        <v>33</v>
      </c>
      <c r="I175" s="5">
        <v>44562</v>
      </c>
      <c r="J175" s="6">
        <v>0</v>
      </c>
      <c r="K175" s="58">
        <v>0</v>
      </c>
      <c r="L175" s="6">
        <v>0.41399999999999998</v>
      </c>
      <c r="M175" s="58">
        <v>0.41399999999999998</v>
      </c>
      <c r="N175" s="6">
        <v>0.41399999999999998</v>
      </c>
      <c r="O175" s="58">
        <v>0.41399999999999998</v>
      </c>
      <c r="P175" s="6">
        <v>0</v>
      </c>
      <c r="Q175" s="4" t="s">
        <v>26</v>
      </c>
      <c r="R175" s="4">
        <v>0</v>
      </c>
      <c r="S175" s="6">
        <v>0</v>
      </c>
      <c r="T175" s="6">
        <v>18</v>
      </c>
      <c r="U175" s="6">
        <v>69</v>
      </c>
      <c r="V175" s="58">
        <f>IF(ISERROR(VLOOKUP($S$175,'TAR FIN'!$A$1:$O$88,15,0)),0,VLOOKUP($S$175,'TAR FIN'!$A$1:$O$88,15,0))</f>
        <v>0</v>
      </c>
      <c r="W175" s="58">
        <f>IF(ISERROR(VLOOKUP($T$175,'TAR FIN'!$A$1:$O$88,15,0)),0,VLOOKUP($T$175,'TAR FIN'!$A$1:$O$88,15,0))*(1-0.06)</f>
        <v>1218.0989999999999</v>
      </c>
      <c r="X175" s="58">
        <f>IF(ISERROR(VLOOKUP($U$175,'TAR FIN'!$A$1:$O$88,15,0)),0,VLOOKUP($U$175,'TAR FIN'!$A$1:$O$88,15,0))*(1-0.06)</f>
        <v>408.85299999999995</v>
      </c>
      <c r="Y175" s="58"/>
      <c r="Z175" s="58">
        <f ca="1">('TUSD BE'!$AM$11+'TUSD BF_350'!$AM$11+'TUSD CVA'!$AM$11)*1*(1-0.03)</f>
        <v>1017.1227510614234</v>
      </c>
      <c r="AA175" s="58">
        <f ca="1">('TE BE'!$AB$5+'TE BF_350'!$AB$5+'TE CVA'!$AB$5)*1*(1-0.03)</f>
        <v>307.47043646405808</v>
      </c>
      <c r="AB175" s="6">
        <f>$K$175*$V$175</f>
        <v>0</v>
      </c>
      <c r="AC175" s="6">
        <f>$M$175*$W$175</f>
        <v>504.29298599999993</v>
      </c>
      <c r="AD175" s="6">
        <f>$O$175*$X$175</f>
        <v>169.26514199999997</v>
      </c>
      <c r="AE175" s="6">
        <f>$K$175*$Y$175</f>
        <v>0</v>
      </c>
      <c r="AF175" s="6">
        <f ca="1">$M$175*$Z$175</f>
        <v>421.08881893942925</v>
      </c>
      <c r="AG175" s="6">
        <f ca="1">$O$175*$AA$175</f>
        <v>127.29276069612004</v>
      </c>
    </row>
    <row r="176" spans="1:33" ht="11.25" customHeight="1" x14ac:dyDescent="0.25">
      <c r="A176" s="4" t="s">
        <v>21</v>
      </c>
      <c r="B176" s="4" t="s">
        <v>38</v>
      </c>
      <c r="C176" s="4" t="s">
        <v>39</v>
      </c>
      <c r="D176" s="4" t="s">
        <v>47</v>
      </c>
      <c r="E176" s="4" t="s">
        <v>48</v>
      </c>
      <c r="F176" s="4" t="s">
        <v>25</v>
      </c>
      <c r="G176" s="4" t="s">
        <v>25</v>
      </c>
      <c r="H176" s="4" t="s">
        <v>33</v>
      </c>
      <c r="I176" s="5">
        <v>44593</v>
      </c>
      <c r="J176" s="6">
        <v>0</v>
      </c>
      <c r="K176" s="58">
        <v>0</v>
      </c>
      <c r="L176" s="6">
        <v>0.432</v>
      </c>
      <c r="M176" s="58">
        <v>0.432</v>
      </c>
      <c r="N176" s="6">
        <v>0.432</v>
      </c>
      <c r="O176" s="58">
        <v>0.432</v>
      </c>
      <c r="P176" s="6">
        <v>0</v>
      </c>
      <c r="Q176" s="4" t="s">
        <v>26</v>
      </c>
      <c r="R176" s="4">
        <v>0</v>
      </c>
      <c r="S176" s="6">
        <v>0</v>
      </c>
      <c r="T176" s="6">
        <v>18</v>
      </c>
      <c r="U176" s="6">
        <v>69</v>
      </c>
      <c r="V176" s="58">
        <f>IF(ISERROR(VLOOKUP($S$176,'TAR FIN'!$A$1:$O$88,15,0)),0,VLOOKUP($S$176,'TAR FIN'!$A$1:$O$88,15,0))</f>
        <v>0</v>
      </c>
      <c r="W176" s="58">
        <f>IF(ISERROR(VLOOKUP($T$176,'TAR FIN'!$A$1:$O$88,15,0)),0,VLOOKUP($T$176,'TAR FIN'!$A$1:$O$88,15,0))*(1-0.06)</f>
        <v>1218.0989999999999</v>
      </c>
      <c r="X176" s="58">
        <f>IF(ISERROR(VLOOKUP($U$176,'TAR FIN'!$A$1:$O$88,15,0)),0,VLOOKUP($U$176,'TAR FIN'!$A$1:$O$88,15,0))*(1-0.06)</f>
        <v>408.85299999999995</v>
      </c>
      <c r="Y176" s="58"/>
      <c r="Z176" s="58">
        <f ca="1">('TUSD BE'!$AM$11+'TUSD BF_350'!$AM$11+'TUSD CVA'!$AM$11)*1*(1-0.03)</f>
        <v>1017.1227510614234</v>
      </c>
      <c r="AA176" s="58">
        <f ca="1">('TE BE'!$AB$5+'TE BF_350'!$AB$5+'TE CVA'!$AB$5)*1*(1-0.03)</f>
        <v>307.47043646405808</v>
      </c>
      <c r="AB176" s="6">
        <f>$K$176*$V$176</f>
        <v>0</v>
      </c>
      <c r="AC176" s="6">
        <f>$M$176*$W$176</f>
        <v>526.21876799999995</v>
      </c>
      <c r="AD176" s="6">
        <f>$O$176*$X$176</f>
        <v>176.62449599999997</v>
      </c>
      <c r="AE176" s="6">
        <f>$K$176*$Y$176</f>
        <v>0</v>
      </c>
      <c r="AF176" s="6">
        <f ca="1">$M$176*$Z$176</f>
        <v>439.39702845853492</v>
      </c>
      <c r="AG176" s="6">
        <f ca="1">$O$176*$AA$176</f>
        <v>132.82722855247309</v>
      </c>
    </row>
    <row r="177" spans="1:33" ht="11.25" customHeight="1" x14ac:dyDescent="0.25">
      <c r="A177" s="4" t="s">
        <v>21</v>
      </c>
      <c r="B177" s="4" t="s">
        <v>38</v>
      </c>
      <c r="C177" s="4" t="s">
        <v>39</v>
      </c>
      <c r="D177" s="4" t="s">
        <v>47</v>
      </c>
      <c r="E177" s="4" t="s">
        <v>48</v>
      </c>
      <c r="F177" s="4" t="s">
        <v>25</v>
      </c>
      <c r="G177" s="4" t="s">
        <v>25</v>
      </c>
      <c r="H177" s="4" t="s">
        <v>33</v>
      </c>
      <c r="I177" s="5">
        <v>44621</v>
      </c>
      <c r="J177" s="6">
        <v>0</v>
      </c>
      <c r="K177" s="58">
        <v>0</v>
      </c>
      <c r="L177" s="6">
        <v>1.669</v>
      </c>
      <c r="M177" s="58">
        <v>1.669</v>
      </c>
      <c r="N177" s="6">
        <v>1.669</v>
      </c>
      <c r="O177" s="58">
        <v>1.669</v>
      </c>
      <c r="P177" s="6">
        <v>0</v>
      </c>
      <c r="Q177" s="4" t="s">
        <v>26</v>
      </c>
      <c r="R177" s="4">
        <v>0</v>
      </c>
      <c r="S177" s="6">
        <v>0</v>
      </c>
      <c r="T177" s="6">
        <v>18</v>
      </c>
      <c r="U177" s="6">
        <v>69</v>
      </c>
      <c r="V177" s="58">
        <f>IF(ISERROR(VLOOKUP($S$177,'TAR FIN'!$A$1:$O$88,15,0)),0,VLOOKUP($S$177,'TAR FIN'!$A$1:$O$88,15,0))</f>
        <v>0</v>
      </c>
      <c r="W177" s="58">
        <f>IF(ISERROR(VLOOKUP($T$177,'TAR FIN'!$A$1:$O$88,15,0)),0,VLOOKUP($T$177,'TAR FIN'!$A$1:$O$88,15,0))*(1-0.06)</f>
        <v>1218.0989999999999</v>
      </c>
      <c r="X177" s="58">
        <f>IF(ISERROR(VLOOKUP($U$177,'TAR FIN'!$A$1:$O$88,15,0)),0,VLOOKUP($U$177,'TAR FIN'!$A$1:$O$88,15,0))*(1-0.06)</f>
        <v>408.85299999999995</v>
      </c>
      <c r="Y177" s="58"/>
      <c r="Z177" s="58">
        <f ca="1">('TUSD BE'!$AM$11+'TUSD BF_350'!$AM$11+'TUSD CVA'!$AM$11)*1*(1-0.03)</f>
        <v>1017.1227510614234</v>
      </c>
      <c r="AA177" s="58">
        <f ca="1">('TE BE'!$AB$5+'TE BF_350'!$AB$5+'TE CVA'!$AB$5)*1*(1-0.03)</f>
        <v>307.47043646405808</v>
      </c>
      <c r="AB177" s="6">
        <f>$K$177*$V$177</f>
        <v>0</v>
      </c>
      <c r="AC177" s="6">
        <f>$M$177*$W$177</f>
        <v>2033.007231</v>
      </c>
      <c r="AD177" s="6">
        <f>$O$177*$X$177</f>
        <v>682.37565699999993</v>
      </c>
      <c r="AE177" s="6">
        <f>$K$177*$Y$177</f>
        <v>0</v>
      </c>
      <c r="AF177" s="6">
        <f ca="1">$M$177*$Z$177</f>
        <v>1697.5778715215156</v>
      </c>
      <c r="AG177" s="6">
        <f ca="1">$O$177*$AA$177</f>
        <v>513.16815845851295</v>
      </c>
    </row>
    <row r="178" spans="1:33" ht="11.25" customHeight="1" x14ac:dyDescent="0.25">
      <c r="A178" s="4" t="s">
        <v>21</v>
      </c>
      <c r="B178" s="4" t="s">
        <v>38</v>
      </c>
      <c r="C178" s="4" t="s">
        <v>39</v>
      </c>
      <c r="D178" s="4" t="s">
        <v>47</v>
      </c>
      <c r="E178" s="4" t="s">
        <v>48</v>
      </c>
      <c r="F178" s="4" t="s">
        <v>25</v>
      </c>
      <c r="G178" s="4" t="s">
        <v>25</v>
      </c>
      <c r="H178" s="4" t="s">
        <v>33</v>
      </c>
      <c r="I178" s="5">
        <v>44652</v>
      </c>
      <c r="J178" s="6">
        <v>0</v>
      </c>
      <c r="K178" s="58">
        <v>0</v>
      </c>
      <c r="L178" s="6">
        <v>1.6120000000000001</v>
      </c>
      <c r="M178" s="58">
        <v>1.6120000000000001</v>
      </c>
      <c r="N178" s="6">
        <v>1.6120000000000001</v>
      </c>
      <c r="O178" s="58">
        <v>1.6120000000000001</v>
      </c>
      <c r="P178" s="6">
        <v>0</v>
      </c>
      <c r="Q178" s="4" t="s">
        <v>26</v>
      </c>
      <c r="R178" s="4">
        <v>0</v>
      </c>
      <c r="S178" s="6">
        <v>0</v>
      </c>
      <c r="T178" s="6">
        <v>18</v>
      </c>
      <c r="U178" s="6">
        <v>69</v>
      </c>
      <c r="V178" s="58">
        <f>IF(ISERROR(VLOOKUP($S$178,'TAR FIN'!$A$1:$O$88,15,0)),0,VLOOKUP($S$178,'TAR FIN'!$A$1:$O$88,15,0))</f>
        <v>0</v>
      </c>
      <c r="W178" s="58">
        <f>IF(ISERROR(VLOOKUP($T$178,'TAR FIN'!$A$1:$O$88,15,0)),0,VLOOKUP($T$178,'TAR FIN'!$A$1:$O$88,15,0))*(1-0.06)</f>
        <v>1218.0989999999999</v>
      </c>
      <c r="X178" s="58">
        <f>IF(ISERROR(VLOOKUP($U$178,'TAR FIN'!$A$1:$O$88,15,0)),0,VLOOKUP($U$178,'TAR FIN'!$A$1:$O$88,15,0))*(1-0.06)</f>
        <v>408.85299999999995</v>
      </c>
      <c r="Y178" s="58"/>
      <c r="Z178" s="58">
        <f ca="1">('TUSD BE'!$AM$11+'TUSD BF_350'!$AM$11+'TUSD CVA'!$AM$11)*1*(1-0.03)</f>
        <v>1017.1227510614234</v>
      </c>
      <c r="AA178" s="58">
        <f ca="1">('TE BE'!$AB$5+'TE BF_350'!$AB$5+'TE CVA'!$AB$5)*1*(1-0.03)</f>
        <v>307.47043646405808</v>
      </c>
      <c r="AB178" s="6">
        <f>$K$178*$V$178</f>
        <v>0</v>
      </c>
      <c r="AC178" s="6">
        <f>$M$178*$W$178</f>
        <v>1963.5755879999999</v>
      </c>
      <c r="AD178" s="6">
        <f>$O$178*$X$178</f>
        <v>659.07103599999994</v>
      </c>
      <c r="AE178" s="6">
        <f>$K$178*$Y$178</f>
        <v>0</v>
      </c>
      <c r="AF178" s="6">
        <f ca="1">$M$178*$Z$178</f>
        <v>1639.6018747110147</v>
      </c>
      <c r="AG178" s="6">
        <f ca="1">$O$178*$AA$178</f>
        <v>495.64234358006166</v>
      </c>
    </row>
    <row r="179" spans="1:33" ht="11.25" customHeight="1" x14ac:dyDescent="0.25">
      <c r="A179" s="4" t="s">
        <v>21</v>
      </c>
      <c r="B179" s="4" t="s">
        <v>38</v>
      </c>
      <c r="C179" s="4" t="s">
        <v>39</v>
      </c>
      <c r="D179" s="4" t="s">
        <v>47</v>
      </c>
      <c r="E179" s="4" t="s">
        <v>48</v>
      </c>
      <c r="F179" s="4" t="s">
        <v>25</v>
      </c>
      <c r="G179" s="4" t="s">
        <v>25</v>
      </c>
      <c r="H179" s="4" t="s">
        <v>33</v>
      </c>
      <c r="I179" s="5">
        <v>44682</v>
      </c>
      <c r="J179" s="6">
        <v>0</v>
      </c>
      <c r="K179" s="58">
        <v>0</v>
      </c>
      <c r="L179" s="6">
        <v>1.198</v>
      </c>
      <c r="M179" s="58">
        <v>1.198</v>
      </c>
      <c r="N179" s="6">
        <v>1.198</v>
      </c>
      <c r="O179" s="58">
        <v>1.198</v>
      </c>
      <c r="P179" s="6">
        <v>0</v>
      </c>
      <c r="Q179" s="4" t="s">
        <v>26</v>
      </c>
      <c r="R179" s="4">
        <v>0</v>
      </c>
      <c r="S179" s="6">
        <v>0</v>
      </c>
      <c r="T179" s="6">
        <v>18</v>
      </c>
      <c r="U179" s="6">
        <v>69</v>
      </c>
      <c r="V179" s="58">
        <f>IF(ISERROR(VLOOKUP($S$179,'TAR FIN'!$A$1:$O$88,15,0)),0,VLOOKUP($S$179,'TAR FIN'!$A$1:$O$88,15,0))</f>
        <v>0</v>
      </c>
      <c r="W179" s="58">
        <f>IF(ISERROR(VLOOKUP($T$179,'TAR FIN'!$A$1:$O$88,15,0)),0,VLOOKUP($T$179,'TAR FIN'!$A$1:$O$88,15,0))*(1-0.06)</f>
        <v>1218.0989999999999</v>
      </c>
      <c r="X179" s="58">
        <f>IF(ISERROR(VLOOKUP($U$179,'TAR FIN'!$A$1:$O$88,15,0)),0,VLOOKUP($U$179,'TAR FIN'!$A$1:$O$88,15,0))*(1-0.06)</f>
        <v>408.85299999999995</v>
      </c>
      <c r="Y179" s="58"/>
      <c r="Z179" s="58">
        <f ca="1">('TUSD BE'!$AM$11+'TUSD BF_350'!$AM$11+'TUSD CVA'!$AM$11)*1*(1-0.03)</f>
        <v>1017.1227510614234</v>
      </c>
      <c r="AA179" s="58">
        <f ca="1">('TE BE'!$AB$5+'TE BF_350'!$AB$5+'TE CVA'!$AB$5)*1*(1-0.03)</f>
        <v>307.47043646405808</v>
      </c>
      <c r="AB179" s="6">
        <f>$K$179*$V$179</f>
        <v>0</v>
      </c>
      <c r="AC179" s="6">
        <f>$M$179*$W$179</f>
        <v>1459.2826019999998</v>
      </c>
      <c r="AD179" s="6">
        <f>$O$179*$X$179</f>
        <v>489.80589399999991</v>
      </c>
      <c r="AE179" s="6">
        <f>$K$179*$Y$179</f>
        <v>0</v>
      </c>
      <c r="AF179" s="6">
        <f ca="1">$M$179*$Z$179</f>
        <v>1218.5130557715852</v>
      </c>
      <c r="AG179" s="6">
        <f ca="1">$O$179*$AA$179</f>
        <v>368.34958288394159</v>
      </c>
    </row>
    <row r="180" spans="1:33" ht="11.25" customHeight="1" x14ac:dyDescent="0.25">
      <c r="A180" s="4" t="s">
        <v>21</v>
      </c>
      <c r="B180" s="4" t="s">
        <v>38</v>
      </c>
      <c r="C180" s="4" t="s">
        <v>39</v>
      </c>
      <c r="D180" s="4" t="s">
        <v>47</v>
      </c>
      <c r="E180" s="4" t="s">
        <v>48</v>
      </c>
      <c r="F180" s="4" t="s">
        <v>25</v>
      </c>
      <c r="G180" s="4" t="s">
        <v>25</v>
      </c>
      <c r="H180" s="4" t="s">
        <v>33</v>
      </c>
      <c r="I180" s="5">
        <v>44713</v>
      </c>
      <c r="J180" s="6">
        <v>0</v>
      </c>
      <c r="K180" s="58">
        <v>0</v>
      </c>
      <c r="L180" s="6">
        <v>1.851</v>
      </c>
      <c r="M180" s="58">
        <v>1.851</v>
      </c>
      <c r="N180" s="6">
        <v>1.851</v>
      </c>
      <c r="O180" s="58">
        <v>1.851</v>
      </c>
      <c r="P180" s="6">
        <v>0</v>
      </c>
      <c r="Q180" s="4" t="s">
        <v>26</v>
      </c>
      <c r="R180" s="4">
        <v>0</v>
      </c>
      <c r="S180" s="6">
        <v>0</v>
      </c>
      <c r="T180" s="6">
        <v>18</v>
      </c>
      <c r="U180" s="6">
        <v>69</v>
      </c>
      <c r="V180" s="58">
        <f>IF(ISERROR(VLOOKUP($S$180,'TAR FIN'!$A$1:$O$88,15,0)),0,VLOOKUP($S$180,'TAR FIN'!$A$1:$O$88,15,0))</f>
        <v>0</v>
      </c>
      <c r="W180" s="58">
        <f>IF(ISERROR(VLOOKUP($T$180,'TAR FIN'!$A$1:$O$88,15,0)),0,VLOOKUP($T$180,'TAR FIN'!$A$1:$O$88,15,0))*(1-0.06)</f>
        <v>1218.0989999999999</v>
      </c>
      <c r="X180" s="58">
        <f>IF(ISERROR(VLOOKUP($U$180,'TAR FIN'!$A$1:$O$88,15,0)),0,VLOOKUP($U$180,'TAR FIN'!$A$1:$O$88,15,0))*(1-0.06)</f>
        <v>408.85299999999995</v>
      </c>
      <c r="Y180" s="58"/>
      <c r="Z180" s="58">
        <f ca="1">('TUSD BE'!$AM$11+'TUSD BF_350'!$AM$11+'TUSD CVA'!$AM$11)*1*(1-0.03)</f>
        <v>1017.1227510614234</v>
      </c>
      <c r="AA180" s="58">
        <f ca="1">('TE BE'!$AB$5+'TE BF_350'!$AB$5+'TE CVA'!$AB$5)*1*(1-0.03)</f>
        <v>307.47043646405808</v>
      </c>
      <c r="AB180" s="6">
        <f>$K$180*$V$180</f>
        <v>0</v>
      </c>
      <c r="AC180" s="6">
        <f>$M$180*$W$180</f>
        <v>2254.7012489999997</v>
      </c>
      <c r="AD180" s="6">
        <f>$O$180*$X$180</f>
        <v>756.78690299999994</v>
      </c>
      <c r="AE180" s="6">
        <f>$K$180*$Y$180</f>
        <v>0</v>
      </c>
      <c r="AF180" s="6">
        <f ca="1">$M$180*$Z$180</f>
        <v>1882.6942122146947</v>
      </c>
      <c r="AG180" s="6">
        <f ca="1">$O$180*$AA$180</f>
        <v>569.12777789497147</v>
      </c>
    </row>
    <row r="181" spans="1:33" ht="11.25" customHeight="1" x14ac:dyDescent="0.25">
      <c r="A181" s="4" t="s">
        <v>55</v>
      </c>
      <c r="B181" s="4" t="s">
        <v>38</v>
      </c>
      <c r="C181" s="4" t="s">
        <v>39</v>
      </c>
      <c r="D181" s="4" t="s">
        <v>47</v>
      </c>
      <c r="E181" s="4" t="s">
        <v>48</v>
      </c>
      <c r="F181" s="4" t="s">
        <v>25</v>
      </c>
      <c r="G181" s="4" t="s">
        <v>25</v>
      </c>
      <c r="H181" s="4" t="s">
        <v>33</v>
      </c>
      <c r="I181" s="5">
        <v>44743</v>
      </c>
      <c r="J181" s="6">
        <v>0</v>
      </c>
      <c r="K181" s="58">
        <v>0</v>
      </c>
      <c r="L181" s="6">
        <v>1.851</v>
      </c>
      <c r="M181" s="58">
        <v>1.851</v>
      </c>
      <c r="N181" s="6">
        <v>1.851</v>
      </c>
      <c r="O181" s="58">
        <v>1.851</v>
      </c>
      <c r="P181" s="6">
        <v>0</v>
      </c>
      <c r="Q181" s="4" t="s">
        <v>26</v>
      </c>
      <c r="R181" s="4">
        <v>0</v>
      </c>
      <c r="S181" s="6">
        <v>0</v>
      </c>
      <c r="T181" s="6">
        <v>18</v>
      </c>
      <c r="U181" s="6">
        <v>69</v>
      </c>
      <c r="V181" s="58">
        <f>IF(ISERROR(VLOOKUP($S$181,'TAR FIN'!$A$1:$O$88,15,0)),0,VLOOKUP($S$181,'TAR FIN'!$A$1:$O$88,15,0))</f>
        <v>0</v>
      </c>
      <c r="W181" s="58">
        <f>IF(ISERROR(VLOOKUP($T$181,'TAR FIN'!$A$1:$O$88,15,0)),0,VLOOKUP($T$181,'TAR FIN'!$A$1:$O$88,15,0))*(1-0.06)</f>
        <v>1218.0989999999999</v>
      </c>
      <c r="X181" s="58">
        <f>IF(ISERROR(VLOOKUP($U$181,'TAR FIN'!$A$1:$O$88,15,0)),0,VLOOKUP($U$181,'TAR FIN'!$A$1:$O$88,15,0))*(1-0.06)</f>
        <v>408.85299999999995</v>
      </c>
      <c r="Y181" s="58"/>
      <c r="Z181" s="58">
        <f ca="1">('TUSD BE'!$AM$11+'TUSD BF_350'!$AM$11+'TUSD CVA'!$AM$11)*1*(1-0.03)</f>
        <v>1017.1227510614234</v>
      </c>
      <c r="AA181" s="58">
        <f ca="1">('TE BE'!$AB$5+'TE BF_350'!$AB$5+'TE CVA'!$AB$5)*1*(1-0.03)</f>
        <v>307.47043646405808</v>
      </c>
      <c r="AB181" s="6">
        <f>$K$181*$V$181</f>
        <v>0</v>
      </c>
      <c r="AC181" s="6">
        <f>$M$181*$W$181</f>
        <v>2254.7012489999997</v>
      </c>
      <c r="AD181" s="6">
        <f>$O$181*$X$181</f>
        <v>756.78690299999994</v>
      </c>
      <c r="AE181" s="6">
        <f>$K$181*$Y$181</f>
        <v>0</v>
      </c>
      <c r="AF181" s="6">
        <f ca="1">$M$181*$Z$181</f>
        <v>1882.6942122146947</v>
      </c>
      <c r="AG181" s="6">
        <f ca="1">$O$181*$AA$181</f>
        <v>569.12777789497147</v>
      </c>
    </row>
    <row r="182" spans="1:33" ht="11.25" customHeight="1" x14ac:dyDescent="0.25">
      <c r="A182" s="4" t="s">
        <v>21</v>
      </c>
      <c r="B182" s="4" t="s">
        <v>22</v>
      </c>
      <c r="C182" s="4" t="s">
        <v>32</v>
      </c>
      <c r="D182" s="4" t="s">
        <v>24</v>
      </c>
      <c r="E182" s="4" t="s">
        <v>24</v>
      </c>
      <c r="F182" s="4" t="s">
        <v>25</v>
      </c>
      <c r="G182" s="4" t="s">
        <v>25</v>
      </c>
      <c r="H182" s="4" t="s">
        <v>34</v>
      </c>
      <c r="I182" s="5">
        <v>44409</v>
      </c>
      <c r="J182" s="6">
        <v>0</v>
      </c>
      <c r="K182" s="6">
        <v>0</v>
      </c>
      <c r="L182" s="6">
        <v>0.20899999999999999</v>
      </c>
      <c r="M182" s="6">
        <v>0.20899999999999999</v>
      </c>
      <c r="N182" s="6">
        <v>0.20899999999999999</v>
      </c>
      <c r="O182" s="6">
        <v>0.20899999999999999</v>
      </c>
      <c r="P182" s="6">
        <v>0</v>
      </c>
      <c r="Q182" s="4" t="s">
        <v>26</v>
      </c>
      <c r="R182" s="4">
        <v>0</v>
      </c>
      <c r="S182" s="6">
        <v>0</v>
      </c>
      <c r="T182" s="6">
        <v>36</v>
      </c>
      <c r="U182" s="6">
        <v>74</v>
      </c>
      <c r="V182" s="6">
        <f>IF(ISERROR(VLOOKUP($S$182,'TAR FIN'!$A$1:$O$88,15,0)),0,VLOOKUP($S$182,'TAR FIN'!$A$1:$O$88,15,0))</f>
        <v>0</v>
      </c>
      <c r="W182" s="6">
        <f>IF(ISERROR(VLOOKUP($T$182,'TAR FIN'!$A$1:$O$88,15,0)),0,VLOOKUP($T$182,'TAR FIN'!$A$1:$O$88,15,0))</f>
        <v>198.56</v>
      </c>
      <c r="X182" s="6">
        <f>IF(ISERROR(VLOOKUP($U$182,'TAR FIN'!$A$1:$O$88,15,0)),0,VLOOKUP($U$182,'TAR FIN'!$A$1:$O$88,15,0))</f>
        <v>275.36</v>
      </c>
      <c r="Y182" s="6"/>
      <c r="Z182" s="6">
        <f ca="1">('TUSD BE'!$AM$19+'TUSD BF_350'!$AM$19+'TUSD CVA'!$AM$19)*1</f>
        <v>246.31048317467608</v>
      </c>
      <c r="AA182" s="6">
        <f ca="1">('TE BE'!$AB$10+'TE BF_350'!$AB$10+'TE CVA'!$AB$10)*1</f>
        <v>197.6895725142987</v>
      </c>
      <c r="AB182" s="6">
        <f>$K$182*$V$182</f>
        <v>0</v>
      </c>
      <c r="AC182" s="6">
        <f>$M$182*$W$182</f>
        <v>41.499040000000001</v>
      </c>
      <c r="AD182" s="6">
        <f>$O$182*$X$182</f>
        <v>57.550240000000002</v>
      </c>
      <c r="AE182" s="6">
        <f>$K$182*$Y$182</f>
        <v>0</v>
      </c>
      <c r="AF182" s="6">
        <f ca="1">$M$182*$Z$182</f>
        <v>51.478890983507299</v>
      </c>
      <c r="AG182" s="6">
        <f ca="1">$O$182*$AA$182</f>
        <v>41.317120655488431</v>
      </c>
    </row>
    <row r="183" spans="1:33" ht="11.25" customHeight="1" x14ac:dyDescent="0.25">
      <c r="A183" s="4" t="s">
        <v>21</v>
      </c>
      <c r="B183" s="4" t="s">
        <v>22</v>
      </c>
      <c r="C183" s="4" t="s">
        <v>32</v>
      </c>
      <c r="D183" s="4" t="s">
        <v>24</v>
      </c>
      <c r="E183" s="4" t="s">
        <v>24</v>
      </c>
      <c r="F183" s="4" t="s">
        <v>25</v>
      </c>
      <c r="G183" s="4" t="s">
        <v>25</v>
      </c>
      <c r="H183" s="4" t="s">
        <v>34</v>
      </c>
      <c r="I183" s="5">
        <v>44440</v>
      </c>
      <c r="J183" s="6">
        <v>0</v>
      </c>
      <c r="K183" s="6">
        <v>0</v>
      </c>
      <c r="L183" s="6">
        <v>0.16200000000000001</v>
      </c>
      <c r="M183" s="6">
        <v>0.16200000000000001</v>
      </c>
      <c r="N183" s="6">
        <v>0.16200000000000001</v>
      </c>
      <c r="O183" s="6">
        <v>0.16200000000000001</v>
      </c>
      <c r="P183" s="6">
        <v>0</v>
      </c>
      <c r="Q183" s="4" t="s">
        <v>26</v>
      </c>
      <c r="R183" s="4">
        <v>0</v>
      </c>
      <c r="S183" s="6">
        <v>0</v>
      </c>
      <c r="T183" s="6">
        <v>36</v>
      </c>
      <c r="U183" s="6">
        <v>74</v>
      </c>
      <c r="V183" s="6">
        <f>IF(ISERROR(VLOOKUP($S$183,'TAR FIN'!$A$1:$O$88,15,0)),0,VLOOKUP($S$183,'TAR FIN'!$A$1:$O$88,15,0))</f>
        <v>0</v>
      </c>
      <c r="W183" s="6">
        <f>IF(ISERROR(VLOOKUP($T$183,'TAR FIN'!$A$1:$O$88,15,0)),0,VLOOKUP($T$183,'TAR FIN'!$A$1:$O$88,15,0))</f>
        <v>198.56</v>
      </c>
      <c r="X183" s="6">
        <f>IF(ISERROR(VLOOKUP($U$183,'TAR FIN'!$A$1:$O$88,15,0)),0,VLOOKUP($U$183,'TAR FIN'!$A$1:$O$88,15,0))</f>
        <v>275.36</v>
      </c>
      <c r="Y183" s="6"/>
      <c r="Z183" s="6">
        <f ca="1">('TUSD BE'!$AM$19+'TUSD BF_350'!$AM$19+'TUSD CVA'!$AM$19)*1</f>
        <v>246.31048317467608</v>
      </c>
      <c r="AA183" s="6">
        <f ca="1">('TE BE'!$AB$10+'TE BF_350'!$AB$10+'TE CVA'!$AB$10)*1</f>
        <v>197.6895725142987</v>
      </c>
      <c r="AB183" s="6">
        <f>$K$183*$V$183</f>
        <v>0</v>
      </c>
      <c r="AC183" s="6">
        <f>$M$183*$W$183</f>
        <v>32.166719999999998</v>
      </c>
      <c r="AD183" s="6">
        <f>$O$183*$X$183</f>
        <v>44.608320000000006</v>
      </c>
      <c r="AE183" s="6">
        <f>$K$183*$Y$183</f>
        <v>0</v>
      </c>
      <c r="AF183" s="6">
        <f ca="1">$M$183*$Z$183</f>
        <v>39.902298274297529</v>
      </c>
      <c r="AG183" s="6">
        <f ca="1">$O$183*$AA$183</f>
        <v>32.025710747316388</v>
      </c>
    </row>
    <row r="184" spans="1:33" ht="11.25" customHeight="1" x14ac:dyDescent="0.25">
      <c r="A184" s="4" t="s">
        <v>21</v>
      </c>
      <c r="B184" s="4" t="s">
        <v>22</v>
      </c>
      <c r="C184" s="4" t="s">
        <v>32</v>
      </c>
      <c r="D184" s="4" t="s">
        <v>24</v>
      </c>
      <c r="E184" s="4" t="s">
        <v>24</v>
      </c>
      <c r="F184" s="4" t="s">
        <v>25</v>
      </c>
      <c r="G184" s="4" t="s">
        <v>25</v>
      </c>
      <c r="H184" s="4" t="s">
        <v>34</v>
      </c>
      <c r="I184" s="5">
        <v>44470</v>
      </c>
      <c r="J184" s="6">
        <v>0</v>
      </c>
      <c r="K184" s="6">
        <v>0</v>
      </c>
      <c r="L184" s="6">
        <v>0.20200000000000001</v>
      </c>
      <c r="M184" s="6">
        <v>0.20200000000000001</v>
      </c>
      <c r="N184" s="6">
        <v>0.20200000000000001</v>
      </c>
      <c r="O184" s="6">
        <v>0.20200000000000001</v>
      </c>
      <c r="P184" s="6">
        <v>0</v>
      </c>
      <c r="Q184" s="4" t="s">
        <v>26</v>
      </c>
      <c r="R184" s="4">
        <v>0</v>
      </c>
      <c r="S184" s="6">
        <v>0</v>
      </c>
      <c r="T184" s="6">
        <v>36</v>
      </c>
      <c r="U184" s="6">
        <v>74</v>
      </c>
      <c r="V184" s="6">
        <f>IF(ISERROR(VLOOKUP($S$184,'TAR FIN'!$A$1:$O$88,15,0)),0,VLOOKUP($S$184,'TAR FIN'!$A$1:$O$88,15,0))</f>
        <v>0</v>
      </c>
      <c r="W184" s="6">
        <f>IF(ISERROR(VLOOKUP($T$184,'TAR FIN'!$A$1:$O$88,15,0)),0,VLOOKUP($T$184,'TAR FIN'!$A$1:$O$88,15,0))</f>
        <v>198.56</v>
      </c>
      <c r="X184" s="6">
        <f>IF(ISERROR(VLOOKUP($U$184,'TAR FIN'!$A$1:$O$88,15,0)),0,VLOOKUP($U$184,'TAR FIN'!$A$1:$O$88,15,0))</f>
        <v>275.36</v>
      </c>
      <c r="Y184" s="6"/>
      <c r="Z184" s="6">
        <f ca="1">('TUSD BE'!$AM$19+'TUSD BF_350'!$AM$19+'TUSD CVA'!$AM$19)*1</f>
        <v>246.31048317467608</v>
      </c>
      <c r="AA184" s="6">
        <f ca="1">('TE BE'!$AB$10+'TE BF_350'!$AB$10+'TE CVA'!$AB$10)*1</f>
        <v>197.6895725142987</v>
      </c>
      <c r="AB184" s="6">
        <f>$K$184*$V$184</f>
        <v>0</v>
      </c>
      <c r="AC184" s="6">
        <f>$M$184*$W$184</f>
        <v>40.109120000000004</v>
      </c>
      <c r="AD184" s="6">
        <f>$O$184*$X$184</f>
        <v>55.622720000000008</v>
      </c>
      <c r="AE184" s="6">
        <f>$K$184*$Y$184</f>
        <v>0</v>
      </c>
      <c r="AF184" s="6">
        <f ca="1">$M$184*$Z$184</f>
        <v>49.754717601284568</v>
      </c>
      <c r="AG184" s="6">
        <f ca="1">$O$184*$AA$184</f>
        <v>39.933293647888341</v>
      </c>
    </row>
    <row r="185" spans="1:33" ht="11.25" customHeight="1" x14ac:dyDescent="0.25">
      <c r="A185" s="4" t="s">
        <v>21</v>
      </c>
      <c r="B185" s="4" t="s">
        <v>22</v>
      </c>
      <c r="C185" s="4" t="s">
        <v>32</v>
      </c>
      <c r="D185" s="4" t="s">
        <v>24</v>
      </c>
      <c r="E185" s="4" t="s">
        <v>24</v>
      </c>
      <c r="F185" s="4" t="s">
        <v>25</v>
      </c>
      <c r="G185" s="4" t="s">
        <v>25</v>
      </c>
      <c r="H185" s="4" t="s">
        <v>34</v>
      </c>
      <c r="I185" s="5">
        <v>44501</v>
      </c>
      <c r="J185" s="6">
        <v>0</v>
      </c>
      <c r="K185" s="6">
        <v>0</v>
      </c>
      <c r="L185" s="6">
        <v>0.182</v>
      </c>
      <c r="M185" s="6">
        <v>0.182</v>
      </c>
      <c r="N185" s="6">
        <v>0.182</v>
      </c>
      <c r="O185" s="6">
        <v>0.182</v>
      </c>
      <c r="P185" s="6">
        <v>0</v>
      </c>
      <c r="Q185" s="4" t="s">
        <v>26</v>
      </c>
      <c r="R185" s="4">
        <v>0</v>
      </c>
      <c r="S185" s="6">
        <v>0</v>
      </c>
      <c r="T185" s="6">
        <v>36</v>
      </c>
      <c r="U185" s="6">
        <v>74</v>
      </c>
      <c r="V185" s="6">
        <f>IF(ISERROR(VLOOKUP($S$185,'TAR FIN'!$A$1:$O$88,15,0)),0,VLOOKUP($S$185,'TAR FIN'!$A$1:$O$88,15,0))</f>
        <v>0</v>
      </c>
      <c r="W185" s="6">
        <f>IF(ISERROR(VLOOKUP($T$185,'TAR FIN'!$A$1:$O$88,15,0)),0,VLOOKUP($T$185,'TAR FIN'!$A$1:$O$88,15,0))</f>
        <v>198.56</v>
      </c>
      <c r="X185" s="6">
        <f>IF(ISERROR(VLOOKUP($U$185,'TAR FIN'!$A$1:$O$88,15,0)),0,VLOOKUP($U$185,'TAR FIN'!$A$1:$O$88,15,0))</f>
        <v>275.36</v>
      </c>
      <c r="Y185" s="6"/>
      <c r="Z185" s="6">
        <f ca="1">('TUSD BE'!$AM$19+'TUSD BF_350'!$AM$19+'TUSD CVA'!$AM$19)*1</f>
        <v>246.31048317467608</v>
      </c>
      <c r="AA185" s="6">
        <f ca="1">('TE BE'!$AB$10+'TE BF_350'!$AB$10+'TE CVA'!$AB$10)*1</f>
        <v>197.6895725142987</v>
      </c>
      <c r="AB185" s="6">
        <f>$K$185*$V$185</f>
        <v>0</v>
      </c>
      <c r="AC185" s="6">
        <f>$M$185*$W$185</f>
        <v>36.137920000000001</v>
      </c>
      <c r="AD185" s="6">
        <f>$O$185*$X$185</f>
        <v>50.115520000000004</v>
      </c>
      <c r="AE185" s="6">
        <f>$K$185*$Y$185</f>
        <v>0</v>
      </c>
      <c r="AF185" s="6">
        <f ca="1">$M$185*$Z$185</f>
        <v>44.828507937791045</v>
      </c>
      <c r="AG185" s="6">
        <f ca="1">$O$185*$AA$185</f>
        <v>35.979502197602365</v>
      </c>
    </row>
    <row r="186" spans="1:33" ht="11.25" customHeight="1" x14ac:dyDescent="0.25">
      <c r="A186" s="4" t="s">
        <v>21</v>
      </c>
      <c r="B186" s="4" t="s">
        <v>22</v>
      </c>
      <c r="C186" s="4" t="s">
        <v>32</v>
      </c>
      <c r="D186" s="4" t="s">
        <v>24</v>
      </c>
      <c r="E186" s="4" t="s">
        <v>24</v>
      </c>
      <c r="F186" s="4" t="s">
        <v>25</v>
      </c>
      <c r="G186" s="4" t="s">
        <v>25</v>
      </c>
      <c r="H186" s="4" t="s">
        <v>34</v>
      </c>
      <c r="I186" s="5">
        <v>44531</v>
      </c>
      <c r="J186" s="6">
        <v>0</v>
      </c>
      <c r="K186" s="6">
        <v>0</v>
      </c>
      <c r="L186" s="6">
        <v>0.28599999999999998</v>
      </c>
      <c r="M186" s="6">
        <v>0.28599999999999998</v>
      </c>
      <c r="N186" s="6">
        <v>0.28599999999999998</v>
      </c>
      <c r="O186" s="6">
        <v>0.28599999999999998</v>
      </c>
      <c r="P186" s="6">
        <v>0</v>
      </c>
      <c r="Q186" s="4" t="s">
        <v>26</v>
      </c>
      <c r="R186" s="4">
        <v>0</v>
      </c>
      <c r="S186" s="6">
        <v>0</v>
      </c>
      <c r="T186" s="6">
        <v>36</v>
      </c>
      <c r="U186" s="6">
        <v>74</v>
      </c>
      <c r="V186" s="6">
        <f>IF(ISERROR(VLOOKUP($S$186,'TAR FIN'!$A$1:$O$88,15,0)),0,VLOOKUP($S$186,'TAR FIN'!$A$1:$O$88,15,0))</f>
        <v>0</v>
      </c>
      <c r="W186" s="6">
        <f>IF(ISERROR(VLOOKUP($T$186,'TAR FIN'!$A$1:$O$88,15,0)),0,VLOOKUP($T$186,'TAR FIN'!$A$1:$O$88,15,0))</f>
        <v>198.56</v>
      </c>
      <c r="X186" s="6">
        <f>IF(ISERROR(VLOOKUP($U$186,'TAR FIN'!$A$1:$O$88,15,0)),0,VLOOKUP($U$186,'TAR FIN'!$A$1:$O$88,15,0))</f>
        <v>275.36</v>
      </c>
      <c r="Y186" s="6"/>
      <c r="Z186" s="6">
        <f ca="1">('TUSD BE'!$AM$19+'TUSD BF_350'!$AM$19+'TUSD CVA'!$AM$19)*1</f>
        <v>246.31048317467608</v>
      </c>
      <c r="AA186" s="6">
        <f ca="1">('TE BE'!$AB$10+'TE BF_350'!$AB$10+'TE CVA'!$AB$10)*1</f>
        <v>197.6895725142987</v>
      </c>
      <c r="AB186" s="6">
        <f>$K$186*$V$186</f>
        <v>0</v>
      </c>
      <c r="AC186" s="6">
        <f>$M$186*$W$186</f>
        <v>56.788159999999998</v>
      </c>
      <c r="AD186" s="6">
        <f>$O$186*$X$186</f>
        <v>78.752960000000002</v>
      </c>
      <c r="AE186" s="6">
        <f>$K$186*$Y$186</f>
        <v>0</v>
      </c>
      <c r="AF186" s="6">
        <f ca="1">$M$186*$Z$186</f>
        <v>70.444798187957346</v>
      </c>
      <c r="AG186" s="6">
        <f ca="1">$O$186*$AA$186</f>
        <v>56.539217739089423</v>
      </c>
    </row>
    <row r="187" spans="1:33" ht="11.25" customHeight="1" x14ac:dyDescent="0.25">
      <c r="A187" s="4" t="s">
        <v>21</v>
      </c>
      <c r="B187" s="4" t="s">
        <v>22</v>
      </c>
      <c r="C187" s="4" t="s">
        <v>32</v>
      </c>
      <c r="D187" s="4" t="s">
        <v>24</v>
      </c>
      <c r="E187" s="4" t="s">
        <v>24</v>
      </c>
      <c r="F187" s="4" t="s">
        <v>25</v>
      </c>
      <c r="G187" s="4" t="s">
        <v>25</v>
      </c>
      <c r="H187" s="4" t="s">
        <v>34</v>
      </c>
      <c r="I187" s="5">
        <v>44562</v>
      </c>
      <c r="J187" s="6">
        <v>0</v>
      </c>
      <c r="K187" s="6">
        <v>0</v>
      </c>
      <c r="L187" s="6">
        <v>0.47099999999999997</v>
      </c>
      <c r="M187" s="6">
        <v>0.47099999999999997</v>
      </c>
      <c r="N187" s="6">
        <v>0.47099999999999997</v>
      </c>
      <c r="O187" s="6">
        <v>0.47099999999999997</v>
      </c>
      <c r="P187" s="6">
        <v>0</v>
      </c>
      <c r="Q187" s="4" t="s">
        <v>26</v>
      </c>
      <c r="R187" s="4">
        <v>0</v>
      </c>
      <c r="S187" s="6">
        <v>0</v>
      </c>
      <c r="T187" s="6">
        <v>36</v>
      </c>
      <c r="U187" s="6">
        <v>74</v>
      </c>
      <c r="V187" s="6">
        <f>IF(ISERROR(VLOOKUP($S$187,'TAR FIN'!$A$1:$O$88,15,0)),0,VLOOKUP($S$187,'TAR FIN'!$A$1:$O$88,15,0))</f>
        <v>0</v>
      </c>
      <c r="W187" s="6">
        <f>IF(ISERROR(VLOOKUP($T$187,'TAR FIN'!$A$1:$O$88,15,0)),0,VLOOKUP($T$187,'TAR FIN'!$A$1:$O$88,15,0))</f>
        <v>198.56</v>
      </c>
      <c r="X187" s="6">
        <f>IF(ISERROR(VLOOKUP($U$187,'TAR FIN'!$A$1:$O$88,15,0)),0,VLOOKUP($U$187,'TAR FIN'!$A$1:$O$88,15,0))</f>
        <v>275.36</v>
      </c>
      <c r="Y187" s="6"/>
      <c r="Z187" s="6">
        <f ca="1">('TUSD BE'!$AM$19+'TUSD BF_350'!$AM$19+'TUSD CVA'!$AM$19)*1</f>
        <v>246.31048317467608</v>
      </c>
      <c r="AA187" s="6">
        <f ca="1">('TE BE'!$AB$10+'TE BF_350'!$AB$10+'TE CVA'!$AB$10)*1</f>
        <v>197.6895725142987</v>
      </c>
      <c r="AB187" s="6">
        <f>$K$187*$V$187</f>
        <v>0</v>
      </c>
      <c r="AC187" s="6">
        <f>$M$187*$W$187</f>
        <v>93.52176</v>
      </c>
      <c r="AD187" s="6">
        <f>$O$187*$X$187</f>
        <v>129.69456</v>
      </c>
      <c r="AE187" s="6">
        <f>$K$187*$Y$187</f>
        <v>0</v>
      </c>
      <c r="AF187" s="6">
        <f ca="1">$M$187*$Z$187</f>
        <v>116.01223757527242</v>
      </c>
      <c r="AG187" s="6">
        <f ca="1">$O$187*$AA$187</f>
        <v>93.111788654234687</v>
      </c>
    </row>
    <row r="188" spans="1:33" ht="11.25" customHeight="1" x14ac:dyDescent="0.25">
      <c r="A188" s="4" t="s">
        <v>21</v>
      </c>
      <c r="B188" s="4" t="s">
        <v>22</v>
      </c>
      <c r="C188" s="4" t="s">
        <v>32</v>
      </c>
      <c r="D188" s="4" t="s">
        <v>24</v>
      </c>
      <c r="E188" s="4" t="s">
        <v>24</v>
      </c>
      <c r="F188" s="4" t="s">
        <v>25</v>
      </c>
      <c r="G188" s="4" t="s">
        <v>25</v>
      </c>
      <c r="H188" s="4" t="s">
        <v>34</v>
      </c>
      <c r="I188" s="5">
        <v>44593</v>
      </c>
      <c r="J188" s="6">
        <v>0</v>
      </c>
      <c r="K188" s="6">
        <v>0</v>
      </c>
      <c r="L188" s="6">
        <v>0.20799999999999999</v>
      </c>
      <c r="M188" s="6">
        <v>0.20799999999999999</v>
      </c>
      <c r="N188" s="6">
        <v>0.20799999999999999</v>
      </c>
      <c r="O188" s="6">
        <v>0.20799999999999999</v>
      </c>
      <c r="P188" s="6">
        <v>0</v>
      </c>
      <c r="Q188" s="4" t="s">
        <v>26</v>
      </c>
      <c r="R188" s="4">
        <v>0</v>
      </c>
      <c r="S188" s="6">
        <v>0</v>
      </c>
      <c r="T188" s="6">
        <v>36</v>
      </c>
      <c r="U188" s="6">
        <v>74</v>
      </c>
      <c r="V188" s="6">
        <f>IF(ISERROR(VLOOKUP($S$188,'TAR FIN'!$A$1:$O$88,15,0)),0,VLOOKUP($S$188,'TAR FIN'!$A$1:$O$88,15,0))</f>
        <v>0</v>
      </c>
      <c r="W188" s="6">
        <f>IF(ISERROR(VLOOKUP($T$188,'TAR FIN'!$A$1:$O$88,15,0)),0,VLOOKUP($T$188,'TAR FIN'!$A$1:$O$88,15,0))</f>
        <v>198.56</v>
      </c>
      <c r="X188" s="6">
        <f>IF(ISERROR(VLOOKUP($U$188,'TAR FIN'!$A$1:$O$88,15,0)),0,VLOOKUP($U$188,'TAR FIN'!$A$1:$O$88,15,0))</f>
        <v>275.36</v>
      </c>
      <c r="Y188" s="6"/>
      <c r="Z188" s="6">
        <f ca="1">('TUSD BE'!$AM$19+'TUSD BF_350'!$AM$19+'TUSD CVA'!$AM$19)*1</f>
        <v>246.31048317467608</v>
      </c>
      <c r="AA188" s="6">
        <f ca="1">('TE BE'!$AB$10+'TE BF_350'!$AB$10+'TE CVA'!$AB$10)*1</f>
        <v>197.6895725142987</v>
      </c>
      <c r="AB188" s="6">
        <f>$K$188*$V$188</f>
        <v>0</v>
      </c>
      <c r="AC188" s="6">
        <f>$M$188*$W$188</f>
        <v>41.30048</v>
      </c>
      <c r="AD188" s="6">
        <f>$O$188*$X$188</f>
        <v>57.274880000000003</v>
      </c>
      <c r="AE188" s="6">
        <f>$K$188*$Y$188</f>
        <v>0</v>
      </c>
      <c r="AF188" s="6">
        <f ca="1">$M$188*$Z$188</f>
        <v>51.232580500332624</v>
      </c>
      <c r="AG188" s="6">
        <f ca="1">$O$188*$AA$188</f>
        <v>41.119431082974131</v>
      </c>
    </row>
    <row r="189" spans="1:33" ht="11.25" customHeight="1" x14ac:dyDescent="0.25">
      <c r="A189" s="4" t="s">
        <v>21</v>
      </c>
      <c r="B189" s="4" t="s">
        <v>22</v>
      </c>
      <c r="C189" s="4" t="s">
        <v>32</v>
      </c>
      <c r="D189" s="4" t="s">
        <v>24</v>
      </c>
      <c r="E189" s="4" t="s">
        <v>24</v>
      </c>
      <c r="F189" s="4" t="s">
        <v>25</v>
      </c>
      <c r="G189" s="4" t="s">
        <v>25</v>
      </c>
      <c r="H189" s="4" t="s">
        <v>34</v>
      </c>
      <c r="I189" s="5">
        <v>44621</v>
      </c>
      <c r="J189" s="6">
        <v>0</v>
      </c>
      <c r="K189" s="6">
        <v>0</v>
      </c>
      <c r="L189" s="6">
        <v>0.36099999999999999</v>
      </c>
      <c r="M189" s="6">
        <v>0.36099999999999999</v>
      </c>
      <c r="N189" s="6">
        <v>0.36099999999999999</v>
      </c>
      <c r="O189" s="6">
        <v>0.36099999999999999</v>
      </c>
      <c r="P189" s="6">
        <v>0</v>
      </c>
      <c r="Q189" s="4" t="s">
        <v>26</v>
      </c>
      <c r="R189" s="4">
        <v>0</v>
      </c>
      <c r="S189" s="6">
        <v>0</v>
      </c>
      <c r="T189" s="6">
        <v>36</v>
      </c>
      <c r="U189" s="6">
        <v>74</v>
      </c>
      <c r="V189" s="6">
        <f>IF(ISERROR(VLOOKUP($S$189,'TAR FIN'!$A$1:$O$88,15,0)),0,VLOOKUP($S$189,'TAR FIN'!$A$1:$O$88,15,0))</f>
        <v>0</v>
      </c>
      <c r="W189" s="6">
        <f>IF(ISERROR(VLOOKUP($T$189,'TAR FIN'!$A$1:$O$88,15,0)),0,VLOOKUP($T$189,'TAR FIN'!$A$1:$O$88,15,0))</f>
        <v>198.56</v>
      </c>
      <c r="X189" s="6">
        <f>IF(ISERROR(VLOOKUP($U$189,'TAR FIN'!$A$1:$O$88,15,0)),0,VLOOKUP($U$189,'TAR FIN'!$A$1:$O$88,15,0))</f>
        <v>275.36</v>
      </c>
      <c r="Y189" s="6"/>
      <c r="Z189" s="6">
        <f ca="1">('TUSD BE'!$AM$19+'TUSD BF_350'!$AM$19+'TUSD CVA'!$AM$19)*1</f>
        <v>246.31048317467608</v>
      </c>
      <c r="AA189" s="6">
        <f ca="1">('TE BE'!$AB$10+'TE BF_350'!$AB$10+'TE CVA'!$AB$10)*1</f>
        <v>197.6895725142987</v>
      </c>
      <c r="AB189" s="6">
        <f>$K$189*$V$189</f>
        <v>0</v>
      </c>
      <c r="AC189" s="6">
        <f>$M$189*$W$189</f>
        <v>71.680160000000001</v>
      </c>
      <c r="AD189" s="6">
        <f>$O$189*$X$189</f>
        <v>99.404960000000003</v>
      </c>
      <c r="AE189" s="6">
        <f>$K$189*$Y$189</f>
        <v>0</v>
      </c>
      <c r="AF189" s="6">
        <f ca="1">$M$189*$Z$189</f>
        <v>88.918084426058059</v>
      </c>
      <c r="AG189" s="6">
        <f ca="1">$O$189*$AA$189</f>
        <v>71.365935677661824</v>
      </c>
    </row>
    <row r="190" spans="1:33" ht="11.25" customHeight="1" x14ac:dyDescent="0.25">
      <c r="A190" s="4" t="s">
        <v>21</v>
      </c>
      <c r="B190" s="4" t="s">
        <v>22</v>
      </c>
      <c r="C190" s="4" t="s">
        <v>32</v>
      </c>
      <c r="D190" s="4" t="s">
        <v>24</v>
      </c>
      <c r="E190" s="4" t="s">
        <v>24</v>
      </c>
      <c r="F190" s="4" t="s">
        <v>25</v>
      </c>
      <c r="G190" s="4" t="s">
        <v>25</v>
      </c>
      <c r="H190" s="4" t="s">
        <v>34</v>
      </c>
      <c r="I190" s="5">
        <v>44652</v>
      </c>
      <c r="J190" s="6">
        <v>0</v>
      </c>
      <c r="K190" s="6">
        <v>0</v>
      </c>
      <c r="L190" s="6">
        <v>0.12</v>
      </c>
      <c r="M190" s="6">
        <v>0.12</v>
      </c>
      <c r="N190" s="6">
        <v>0.12</v>
      </c>
      <c r="O190" s="6">
        <v>0.12</v>
      </c>
      <c r="P190" s="6">
        <v>0</v>
      </c>
      <c r="Q190" s="4" t="s">
        <v>26</v>
      </c>
      <c r="R190" s="4">
        <v>0</v>
      </c>
      <c r="S190" s="6">
        <v>0</v>
      </c>
      <c r="T190" s="6">
        <v>36</v>
      </c>
      <c r="U190" s="6">
        <v>74</v>
      </c>
      <c r="V190" s="6">
        <f>IF(ISERROR(VLOOKUP($S$190,'TAR FIN'!$A$1:$O$88,15,0)),0,VLOOKUP($S$190,'TAR FIN'!$A$1:$O$88,15,0))</f>
        <v>0</v>
      </c>
      <c r="W190" s="6">
        <f>IF(ISERROR(VLOOKUP($T$190,'TAR FIN'!$A$1:$O$88,15,0)),0,VLOOKUP($T$190,'TAR FIN'!$A$1:$O$88,15,0))</f>
        <v>198.56</v>
      </c>
      <c r="X190" s="6">
        <f>IF(ISERROR(VLOOKUP($U$190,'TAR FIN'!$A$1:$O$88,15,0)),0,VLOOKUP($U$190,'TAR FIN'!$A$1:$O$88,15,0))</f>
        <v>275.36</v>
      </c>
      <c r="Y190" s="6"/>
      <c r="Z190" s="6">
        <f ca="1">('TUSD BE'!$AM$19+'TUSD BF_350'!$AM$19+'TUSD CVA'!$AM$19)*1</f>
        <v>246.31048317467608</v>
      </c>
      <c r="AA190" s="6">
        <f ca="1">('TE BE'!$AB$10+'TE BF_350'!$AB$10+'TE CVA'!$AB$10)*1</f>
        <v>197.6895725142987</v>
      </c>
      <c r="AB190" s="6">
        <f>$K$190*$V$190</f>
        <v>0</v>
      </c>
      <c r="AC190" s="6">
        <f>$M$190*$W$190</f>
        <v>23.827199999999998</v>
      </c>
      <c r="AD190" s="6">
        <f>$O$190*$X$190</f>
        <v>33.043199999999999</v>
      </c>
      <c r="AE190" s="6">
        <f>$K$190*$Y$190</f>
        <v>0</v>
      </c>
      <c r="AF190" s="6">
        <f ca="1">$M$190*$Z$190</f>
        <v>29.557257980961129</v>
      </c>
      <c r="AG190" s="6">
        <f ca="1">$O$190*$AA$190</f>
        <v>23.722748701715844</v>
      </c>
    </row>
    <row r="191" spans="1:33" ht="11.25" customHeight="1" x14ac:dyDescent="0.25">
      <c r="A191" s="4" t="s">
        <v>21</v>
      </c>
      <c r="B191" s="4" t="s">
        <v>22</v>
      </c>
      <c r="C191" s="4" t="s">
        <v>32</v>
      </c>
      <c r="D191" s="4" t="s">
        <v>24</v>
      </c>
      <c r="E191" s="4" t="s">
        <v>24</v>
      </c>
      <c r="F191" s="4" t="s">
        <v>25</v>
      </c>
      <c r="G191" s="4" t="s">
        <v>25</v>
      </c>
      <c r="H191" s="4" t="s">
        <v>34</v>
      </c>
      <c r="I191" s="5">
        <v>44682</v>
      </c>
      <c r="J191" s="6">
        <v>0</v>
      </c>
      <c r="K191" s="6">
        <v>0</v>
      </c>
      <c r="L191" s="6">
        <v>7.2999999999999995E-2</v>
      </c>
      <c r="M191" s="6">
        <v>7.2999999999999995E-2</v>
      </c>
      <c r="N191" s="6">
        <v>7.2999999999999995E-2</v>
      </c>
      <c r="O191" s="6">
        <v>7.2999999999999995E-2</v>
      </c>
      <c r="P191" s="6">
        <v>0</v>
      </c>
      <c r="Q191" s="4" t="s">
        <v>26</v>
      </c>
      <c r="R191" s="4">
        <v>0</v>
      </c>
      <c r="S191" s="6">
        <v>0</v>
      </c>
      <c r="T191" s="6">
        <v>36</v>
      </c>
      <c r="U191" s="6">
        <v>74</v>
      </c>
      <c r="V191" s="6">
        <f>IF(ISERROR(VLOOKUP($S$191,'TAR FIN'!$A$1:$O$88,15,0)),0,VLOOKUP($S$191,'TAR FIN'!$A$1:$O$88,15,0))</f>
        <v>0</v>
      </c>
      <c r="W191" s="6">
        <f>IF(ISERROR(VLOOKUP($T$191,'TAR FIN'!$A$1:$O$88,15,0)),0,VLOOKUP($T$191,'TAR FIN'!$A$1:$O$88,15,0))</f>
        <v>198.56</v>
      </c>
      <c r="X191" s="6">
        <f>IF(ISERROR(VLOOKUP($U$191,'TAR FIN'!$A$1:$O$88,15,0)),0,VLOOKUP($U$191,'TAR FIN'!$A$1:$O$88,15,0))</f>
        <v>275.36</v>
      </c>
      <c r="Y191" s="6"/>
      <c r="Z191" s="6">
        <f ca="1">('TUSD BE'!$AM$19+'TUSD BF_350'!$AM$19+'TUSD CVA'!$AM$19)*1</f>
        <v>246.31048317467608</v>
      </c>
      <c r="AA191" s="6">
        <f ca="1">('TE BE'!$AB$10+'TE BF_350'!$AB$10+'TE CVA'!$AB$10)*1</f>
        <v>197.6895725142987</v>
      </c>
      <c r="AB191" s="6">
        <f>$K$191*$V$191</f>
        <v>0</v>
      </c>
      <c r="AC191" s="6">
        <f>$M$191*$W$191</f>
        <v>14.494879999999998</v>
      </c>
      <c r="AD191" s="6">
        <f>$O$191*$X$191</f>
        <v>20.101279999999999</v>
      </c>
      <c r="AE191" s="6">
        <f>$K$191*$Y$191</f>
        <v>0</v>
      </c>
      <c r="AF191" s="6">
        <f ca="1">$M$191*$Z$191</f>
        <v>17.980665271751352</v>
      </c>
      <c r="AG191" s="6">
        <f ca="1">$O$191*$AA$191</f>
        <v>14.431338793543805</v>
      </c>
    </row>
    <row r="192" spans="1:33" ht="11.25" customHeight="1" x14ac:dyDescent="0.25">
      <c r="A192" s="4" t="s">
        <v>21</v>
      </c>
      <c r="B192" s="4" t="s">
        <v>22</v>
      </c>
      <c r="C192" s="4" t="s">
        <v>32</v>
      </c>
      <c r="D192" s="4" t="s">
        <v>24</v>
      </c>
      <c r="E192" s="4" t="s">
        <v>24</v>
      </c>
      <c r="F192" s="4" t="s">
        <v>25</v>
      </c>
      <c r="G192" s="4" t="s">
        <v>25</v>
      </c>
      <c r="H192" s="4" t="s">
        <v>34</v>
      </c>
      <c r="I192" s="5">
        <v>44713</v>
      </c>
      <c r="J192" s="6">
        <v>0</v>
      </c>
      <c r="K192" s="6">
        <v>0</v>
      </c>
      <c r="L192" s="6">
        <v>0.09</v>
      </c>
      <c r="M192" s="6">
        <v>0.09</v>
      </c>
      <c r="N192" s="6">
        <v>0.09</v>
      </c>
      <c r="O192" s="6">
        <v>0.09</v>
      </c>
      <c r="P192" s="6">
        <v>0</v>
      </c>
      <c r="Q192" s="4" t="s">
        <v>26</v>
      </c>
      <c r="R192" s="4">
        <v>0</v>
      </c>
      <c r="S192" s="6">
        <v>0</v>
      </c>
      <c r="T192" s="6">
        <v>36</v>
      </c>
      <c r="U192" s="6">
        <v>74</v>
      </c>
      <c r="V192" s="6">
        <f>IF(ISERROR(VLOOKUP($S$192,'TAR FIN'!$A$1:$O$88,15,0)),0,VLOOKUP($S$192,'TAR FIN'!$A$1:$O$88,15,0))</f>
        <v>0</v>
      </c>
      <c r="W192" s="6">
        <f>IF(ISERROR(VLOOKUP($T$192,'TAR FIN'!$A$1:$O$88,15,0)),0,VLOOKUP($T$192,'TAR FIN'!$A$1:$O$88,15,0))</f>
        <v>198.56</v>
      </c>
      <c r="X192" s="6">
        <f>IF(ISERROR(VLOOKUP($U$192,'TAR FIN'!$A$1:$O$88,15,0)),0,VLOOKUP($U$192,'TAR FIN'!$A$1:$O$88,15,0))</f>
        <v>275.36</v>
      </c>
      <c r="Y192" s="6"/>
      <c r="Z192" s="6">
        <f ca="1">('TUSD BE'!$AM$19+'TUSD BF_350'!$AM$19+'TUSD CVA'!$AM$19)*1</f>
        <v>246.31048317467608</v>
      </c>
      <c r="AA192" s="6">
        <f ca="1">('TE BE'!$AB$10+'TE BF_350'!$AB$10+'TE CVA'!$AB$10)*1</f>
        <v>197.6895725142987</v>
      </c>
      <c r="AB192" s="6">
        <f>$K$192*$V$192</f>
        <v>0</v>
      </c>
      <c r="AC192" s="6">
        <f>$M$192*$W$192</f>
        <v>17.8704</v>
      </c>
      <c r="AD192" s="6">
        <f>$O$192*$X$192</f>
        <v>24.782399999999999</v>
      </c>
      <c r="AE192" s="6">
        <f>$K$192*$Y$192</f>
        <v>0</v>
      </c>
      <c r="AF192" s="6">
        <f ca="1">$M$192*$Z$192</f>
        <v>22.167943485720848</v>
      </c>
      <c r="AG192" s="6">
        <f ca="1">$O$192*$AA$192</f>
        <v>17.792061526286883</v>
      </c>
    </row>
    <row r="193" spans="1:33" ht="11.25" customHeight="1" x14ac:dyDescent="0.25">
      <c r="A193" s="4" t="s">
        <v>55</v>
      </c>
      <c r="B193" s="4" t="s">
        <v>22</v>
      </c>
      <c r="C193" s="4" t="s">
        <v>32</v>
      </c>
      <c r="D193" s="4" t="s">
        <v>24</v>
      </c>
      <c r="E193" s="4" t="s">
        <v>24</v>
      </c>
      <c r="F193" s="4" t="s">
        <v>25</v>
      </c>
      <c r="G193" s="4" t="s">
        <v>25</v>
      </c>
      <c r="H193" s="4" t="s">
        <v>34</v>
      </c>
      <c r="I193" s="5">
        <v>44743</v>
      </c>
      <c r="J193" s="6">
        <v>0</v>
      </c>
      <c r="K193" s="6">
        <v>0</v>
      </c>
      <c r="L193" s="6">
        <v>0.09</v>
      </c>
      <c r="M193" s="6">
        <v>0.09</v>
      </c>
      <c r="N193" s="6">
        <v>0.09</v>
      </c>
      <c r="O193" s="6">
        <v>0.09</v>
      </c>
      <c r="P193" s="6">
        <v>0</v>
      </c>
      <c r="Q193" s="4" t="s">
        <v>26</v>
      </c>
      <c r="R193" s="4">
        <v>0</v>
      </c>
      <c r="S193" s="6">
        <v>0</v>
      </c>
      <c r="T193" s="6">
        <v>36</v>
      </c>
      <c r="U193" s="6">
        <v>74</v>
      </c>
      <c r="V193" s="6">
        <f>IF(ISERROR(VLOOKUP($S$193,'TAR FIN'!$A$1:$O$88,15,0)),0,VLOOKUP($S$193,'TAR FIN'!$A$1:$O$88,15,0))</f>
        <v>0</v>
      </c>
      <c r="W193" s="6">
        <f>IF(ISERROR(VLOOKUP($T$193,'TAR FIN'!$A$1:$O$88,15,0)),0,VLOOKUP($T$193,'TAR FIN'!$A$1:$O$88,15,0))</f>
        <v>198.56</v>
      </c>
      <c r="X193" s="6">
        <f>IF(ISERROR(VLOOKUP($U$193,'TAR FIN'!$A$1:$O$88,15,0)),0,VLOOKUP($U$193,'TAR FIN'!$A$1:$O$88,15,0))</f>
        <v>275.36</v>
      </c>
      <c r="Y193" s="6"/>
      <c r="Z193" s="6">
        <f ca="1">('TUSD BE'!$AM$19+'TUSD BF_350'!$AM$19+'TUSD CVA'!$AM$19)*1</f>
        <v>246.31048317467608</v>
      </c>
      <c r="AA193" s="6">
        <f ca="1">('TE BE'!$AB$10+'TE BF_350'!$AB$10+'TE CVA'!$AB$10)*1</f>
        <v>197.6895725142987</v>
      </c>
      <c r="AB193" s="6">
        <f>$K$193*$V$193</f>
        <v>0</v>
      </c>
      <c r="AC193" s="6">
        <f>$M$193*$W$193</f>
        <v>17.8704</v>
      </c>
      <c r="AD193" s="6">
        <f>$O$193*$X$193</f>
        <v>24.782399999999999</v>
      </c>
      <c r="AE193" s="6">
        <f>$K$193*$Y$193</f>
        <v>0</v>
      </c>
      <c r="AF193" s="6">
        <f ca="1">$M$193*$Z$193</f>
        <v>22.167943485720848</v>
      </c>
      <c r="AG193" s="6">
        <f ca="1">$O$193*$AA$193</f>
        <v>17.792061526286883</v>
      </c>
    </row>
    <row r="194" spans="1:33" ht="11.25" customHeight="1" x14ac:dyDescent="0.25">
      <c r="A194" s="4" t="s">
        <v>21</v>
      </c>
      <c r="B194" s="4" t="s">
        <v>22</v>
      </c>
      <c r="C194" s="4" t="s">
        <v>32</v>
      </c>
      <c r="D194" s="4" t="s">
        <v>24</v>
      </c>
      <c r="E194" s="4" t="s">
        <v>24</v>
      </c>
      <c r="F194" s="4" t="s">
        <v>25</v>
      </c>
      <c r="G194" s="4" t="s">
        <v>25</v>
      </c>
      <c r="H194" s="4" t="s">
        <v>35</v>
      </c>
      <c r="I194" s="5">
        <v>44409</v>
      </c>
      <c r="J194" s="6">
        <v>0</v>
      </c>
      <c r="K194" s="6">
        <v>0</v>
      </c>
      <c r="L194" s="6">
        <v>1.0999999999999999E-2</v>
      </c>
      <c r="M194" s="6">
        <v>1.0999999999999999E-2</v>
      </c>
      <c r="N194" s="6">
        <v>1.0999999999999999E-2</v>
      </c>
      <c r="O194" s="6">
        <v>1.0999999999999999E-2</v>
      </c>
      <c r="P194" s="6">
        <v>0</v>
      </c>
      <c r="Q194" s="4" t="s">
        <v>26</v>
      </c>
      <c r="R194" s="4">
        <v>0</v>
      </c>
      <c r="S194" s="6">
        <v>0</v>
      </c>
      <c r="T194" s="6">
        <v>35</v>
      </c>
      <c r="U194" s="6">
        <v>73</v>
      </c>
      <c r="V194" s="6">
        <f>IF(ISERROR(VLOOKUP($S$194,'TAR FIN'!$A$1:$O$88,15,0)),0,VLOOKUP($S$194,'TAR FIN'!$A$1:$O$88,15,0))</f>
        <v>0</v>
      </c>
      <c r="W194" s="6">
        <f>IF(ISERROR(VLOOKUP($T$194,'TAR FIN'!$A$1:$O$88,15,0)),0,VLOOKUP($T$194,'TAR FIN'!$A$1:$O$88,15,0))</f>
        <v>380.18</v>
      </c>
      <c r="X194" s="6">
        <f>IF(ISERROR(VLOOKUP($U$194,'TAR FIN'!$A$1:$O$88,15,0)),0,VLOOKUP($U$194,'TAR FIN'!$A$1:$O$88,15,0))</f>
        <v>275.36</v>
      </c>
      <c r="Y194" s="6"/>
      <c r="Z194" s="6">
        <f ca="1">('TUSD BE'!$AM$18+'TUSD BF_350'!$AM$18+'TUSD CVA'!$AM$18)*1</f>
        <v>511.29410554744766</v>
      </c>
      <c r="AA194" s="6">
        <f ca="1">('TE BE'!$AB$9+'TE BF_350'!$AB$9+'TE CVA'!$AB$9)*1</f>
        <v>197.6895725142987</v>
      </c>
      <c r="AB194" s="6">
        <f>$K$194*$V$194</f>
        <v>0</v>
      </c>
      <c r="AC194" s="6">
        <f>$M$194*$W$194</f>
        <v>4.1819800000000003</v>
      </c>
      <c r="AD194" s="6">
        <f>$O$194*$X$194</f>
        <v>3.0289600000000001</v>
      </c>
      <c r="AE194" s="6">
        <f>$K$194*$Y$194</f>
        <v>0</v>
      </c>
      <c r="AF194" s="6">
        <f ca="1">$M$194*$Z$194</f>
        <v>5.6242351610219243</v>
      </c>
      <c r="AG194" s="6">
        <f ca="1">$O$194*$AA$194</f>
        <v>2.1745852976572855</v>
      </c>
    </row>
    <row r="195" spans="1:33" ht="11.25" customHeight="1" x14ac:dyDescent="0.25">
      <c r="A195" s="4" t="s">
        <v>21</v>
      </c>
      <c r="B195" s="4" t="s">
        <v>22</v>
      </c>
      <c r="C195" s="4" t="s">
        <v>32</v>
      </c>
      <c r="D195" s="4" t="s">
        <v>24</v>
      </c>
      <c r="E195" s="4" t="s">
        <v>24</v>
      </c>
      <c r="F195" s="4" t="s">
        <v>25</v>
      </c>
      <c r="G195" s="4" t="s">
        <v>25</v>
      </c>
      <c r="H195" s="4" t="s">
        <v>35</v>
      </c>
      <c r="I195" s="5">
        <v>44440</v>
      </c>
      <c r="J195" s="6">
        <v>0</v>
      </c>
      <c r="K195" s="6">
        <v>0</v>
      </c>
      <c r="L195" s="6">
        <v>8.9999999999999993E-3</v>
      </c>
      <c r="M195" s="6">
        <v>8.9999999999999993E-3</v>
      </c>
      <c r="N195" s="6">
        <v>8.9999999999999993E-3</v>
      </c>
      <c r="O195" s="6">
        <v>8.9999999999999993E-3</v>
      </c>
      <c r="P195" s="6">
        <v>0</v>
      </c>
      <c r="Q195" s="4" t="s">
        <v>26</v>
      </c>
      <c r="R195" s="4">
        <v>0</v>
      </c>
      <c r="S195" s="6">
        <v>0</v>
      </c>
      <c r="T195" s="6">
        <v>35</v>
      </c>
      <c r="U195" s="6">
        <v>73</v>
      </c>
      <c r="V195" s="6">
        <f>IF(ISERROR(VLOOKUP($S$195,'TAR FIN'!$A$1:$O$88,15,0)),0,VLOOKUP($S$195,'TAR FIN'!$A$1:$O$88,15,0))</f>
        <v>0</v>
      </c>
      <c r="W195" s="6">
        <f>IF(ISERROR(VLOOKUP($T$195,'TAR FIN'!$A$1:$O$88,15,0)),0,VLOOKUP($T$195,'TAR FIN'!$A$1:$O$88,15,0))</f>
        <v>380.18</v>
      </c>
      <c r="X195" s="6">
        <f>IF(ISERROR(VLOOKUP($U$195,'TAR FIN'!$A$1:$O$88,15,0)),0,VLOOKUP($U$195,'TAR FIN'!$A$1:$O$88,15,0))</f>
        <v>275.36</v>
      </c>
      <c r="Y195" s="6"/>
      <c r="Z195" s="6">
        <f ca="1">('TUSD BE'!$AM$18+'TUSD BF_350'!$AM$18+'TUSD CVA'!$AM$18)*1</f>
        <v>511.29410554744766</v>
      </c>
      <c r="AA195" s="6">
        <f ca="1">('TE BE'!$AB$9+'TE BF_350'!$AB$9+'TE CVA'!$AB$9)*1</f>
        <v>197.6895725142987</v>
      </c>
      <c r="AB195" s="6">
        <f>$K$195*$V$195</f>
        <v>0</v>
      </c>
      <c r="AC195" s="6">
        <f>$M$195*$W$195</f>
        <v>3.4216199999999999</v>
      </c>
      <c r="AD195" s="6">
        <f>$O$195*$X$195</f>
        <v>2.47824</v>
      </c>
      <c r="AE195" s="6">
        <f>$K$195*$Y$195</f>
        <v>0</v>
      </c>
      <c r="AF195" s="6">
        <f ca="1">$M$195*$Z$195</f>
        <v>4.6016469499270283</v>
      </c>
      <c r="AG195" s="6">
        <f ca="1">$O$195*$AA$195</f>
        <v>1.7792061526286882</v>
      </c>
    </row>
    <row r="196" spans="1:33" ht="11.25" customHeight="1" x14ac:dyDescent="0.25">
      <c r="A196" s="4" t="s">
        <v>21</v>
      </c>
      <c r="B196" s="4" t="s">
        <v>22</v>
      </c>
      <c r="C196" s="4" t="s">
        <v>32</v>
      </c>
      <c r="D196" s="4" t="s">
        <v>24</v>
      </c>
      <c r="E196" s="4" t="s">
        <v>24</v>
      </c>
      <c r="F196" s="4" t="s">
        <v>25</v>
      </c>
      <c r="G196" s="4" t="s">
        <v>25</v>
      </c>
      <c r="H196" s="4" t="s">
        <v>35</v>
      </c>
      <c r="I196" s="5">
        <v>44470</v>
      </c>
      <c r="J196" s="6">
        <v>0</v>
      </c>
      <c r="K196" s="6">
        <v>0</v>
      </c>
      <c r="L196" s="6">
        <v>1.6E-2</v>
      </c>
      <c r="M196" s="6">
        <v>1.6E-2</v>
      </c>
      <c r="N196" s="6">
        <v>1.6E-2</v>
      </c>
      <c r="O196" s="6">
        <v>1.6E-2</v>
      </c>
      <c r="P196" s="6">
        <v>0</v>
      </c>
      <c r="Q196" s="4" t="s">
        <v>26</v>
      </c>
      <c r="R196" s="4">
        <v>0</v>
      </c>
      <c r="S196" s="6">
        <v>0</v>
      </c>
      <c r="T196" s="6">
        <v>35</v>
      </c>
      <c r="U196" s="6">
        <v>73</v>
      </c>
      <c r="V196" s="6">
        <f>IF(ISERROR(VLOOKUP($S$196,'TAR FIN'!$A$1:$O$88,15,0)),0,VLOOKUP($S$196,'TAR FIN'!$A$1:$O$88,15,0))</f>
        <v>0</v>
      </c>
      <c r="W196" s="6">
        <f>IF(ISERROR(VLOOKUP($T$196,'TAR FIN'!$A$1:$O$88,15,0)),0,VLOOKUP($T$196,'TAR FIN'!$A$1:$O$88,15,0))</f>
        <v>380.18</v>
      </c>
      <c r="X196" s="6">
        <f>IF(ISERROR(VLOOKUP($U$196,'TAR FIN'!$A$1:$O$88,15,0)),0,VLOOKUP($U$196,'TAR FIN'!$A$1:$O$88,15,0))</f>
        <v>275.36</v>
      </c>
      <c r="Y196" s="6"/>
      <c r="Z196" s="6">
        <f ca="1">('TUSD BE'!$AM$18+'TUSD BF_350'!$AM$18+'TUSD CVA'!$AM$18)*1</f>
        <v>511.29410554744766</v>
      </c>
      <c r="AA196" s="6">
        <f ca="1">('TE BE'!$AB$9+'TE BF_350'!$AB$9+'TE CVA'!$AB$9)*1</f>
        <v>197.6895725142987</v>
      </c>
      <c r="AB196" s="6">
        <f>$K$196*$V$196</f>
        <v>0</v>
      </c>
      <c r="AC196" s="6">
        <f>$M$196*$W$196</f>
        <v>6.0828800000000003</v>
      </c>
      <c r="AD196" s="6">
        <f>$O$196*$X$196</f>
        <v>4.4057599999999999</v>
      </c>
      <c r="AE196" s="6">
        <f>$K$196*$Y$196</f>
        <v>0</v>
      </c>
      <c r="AF196" s="6">
        <f ca="1">$M$196*$Z$196</f>
        <v>8.1807056887591632</v>
      </c>
      <c r="AG196" s="6">
        <f ca="1">$O$196*$AA$196</f>
        <v>3.1630331602287791</v>
      </c>
    </row>
    <row r="197" spans="1:33" ht="11.25" customHeight="1" x14ac:dyDescent="0.25">
      <c r="A197" s="4" t="s">
        <v>21</v>
      </c>
      <c r="B197" s="4" t="s">
        <v>22</v>
      </c>
      <c r="C197" s="4" t="s">
        <v>32</v>
      </c>
      <c r="D197" s="4" t="s">
        <v>24</v>
      </c>
      <c r="E197" s="4" t="s">
        <v>24</v>
      </c>
      <c r="F197" s="4" t="s">
        <v>25</v>
      </c>
      <c r="G197" s="4" t="s">
        <v>25</v>
      </c>
      <c r="H197" s="4" t="s">
        <v>35</v>
      </c>
      <c r="I197" s="5">
        <v>44501</v>
      </c>
      <c r="J197" s="6">
        <v>0</v>
      </c>
      <c r="K197" s="6">
        <v>0</v>
      </c>
      <c r="L197" s="6">
        <v>8.9999999999999993E-3</v>
      </c>
      <c r="M197" s="6">
        <v>8.9999999999999993E-3</v>
      </c>
      <c r="N197" s="6">
        <v>8.9999999999999993E-3</v>
      </c>
      <c r="O197" s="6">
        <v>8.9999999999999993E-3</v>
      </c>
      <c r="P197" s="6">
        <v>0</v>
      </c>
      <c r="Q197" s="4" t="s">
        <v>26</v>
      </c>
      <c r="R197" s="4">
        <v>0</v>
      </c>
      <c r="S197" s="6">
        <v>0</v>
      </c>
      <c r="T197" s="6">
        <v>35</v>
      </c>
      <c r="U197" s="6">
        <v>73</v>
      </c>
      <c r="V197" s="6">
        <f>IF(ISERROR(VLOOKUP($S$197,'TAR FIN'!$A$1:$O$88,15,0)),0,VLOOKUP($S$197,'TAR FIN'!$A$1:$O$88,15,0))</f>
        <v>0</v>
      </c>
      <c r="W197" s="6">
        <f>IF(ISERROR(VLOOKUP($T$197,'TAR FIN'!$A$1:$O$88,15,0)),0,VLOOKUP($T$197,'TAR FIN'!$A$1:$O$88,15,0))</f>
        <v>380.18</v>
      </c>
      <c r="X197" s="6">
        <f>IF(ISERROR(VLOOKUP($U$197,'TAR FIN'!$A$1:$O$88,15,0)),0,VLOOKUP($U$197,'TAR FIN'!$A$1:$O$88,15,0))</f>
        <v>275.36</v>
      </c>
      <c r="Y197" s="6"/>
      <c r="Z197" s="6">
        <f ca="1">('TUSD BE'!$AM$18+'TUSD BF_350'!$AM$18+'TUSD CVA'!$AM$18)*1</f>
        <v>511.29410554744766</v>
      </c>
      <c r="AA197" s="6">
        <f ca="1">('TE BE'!$AB$9+'TE BF_350'!$AB$9+'TE CVA'!$AB$9)*1</f>
        <v>197.6895725142987</v>
      </c>
      <c r="AB197" s="6">
        <f>$K$197*$V$197</f>
        <v>0</v>
      </c>
      <c r="AC197" s="6">
        <f>$M$197*$W$197</f>
        <v>3.4216199999999999</v>
      </c>
      <c r="AD197" s="6">
        <f>$O$197*$X$197</f>
        <v>2.47824</v>
      </c>
      <c r="AE197" s="6">
        <f>$K$197*$Y$197</f>
        <v>0</v>
      </c>
      <c r="AF197" s="6">
        <f ca="1">$M$197*$Z$197</f>
        <v>4.6016469499270283</v>
      </c>
      <c r="AG197" s="6">
        <f ca="1">$O$197*$AA$197</f>
        <v>1.7792061526286882</v>
      </c>
    </row>
    <row r="198" spans="1:33" ht="11.25" customHeight="1" x14ac:dyDescent="0.25">
      <c r="A198" s="4" t="s">
        <v>21</v>
      </c>
      <c r="B198" s="4" t="s">
        <v>22</v>
      </c>
      <c r="C198" s="4" t="s">
        <v>32</v>
      </c>
      <c r="D198" s="4" t="s">
        <v>24</v>
      </c>
      <c r="E198" s="4" t="s">
        <v>24</v>
      </c>
      <c r="F198" s="4" t="s">
        <v>25</v>
      </c>
      <c r="G198" s="4" t="s">
        <v>25</v>
      </c>
      <c r="H198" s="4" t="s">
        <v>35</v>
      </c>
      <c r="I198" s="5">
        <v>44531</v>
      </c>
      <c r="J198" s="6">
        <v>0</v>
      </c>
      <c r="K198" s="6">
        <v>0</v>
      </c>
      <c r="L198" s="6">
        <v>1.6E-2</v>
      </c>
      <c r="M198" s="6">
        <v>1.6E-2</v>
      </c>
      <c r="N198" s="6">
        <v>1.6E-2</v>
      </c>
      <c r="O198" s="6">
        <v>1.6E-2</v>
      </c>
      <c r="P198" s="6">
        <v>0</v>
      </c>
      <c r="Q198" s="4" t="s">
        <v>26</v>
      </c>
      <c r="R198" s="4">
        <v>0</v>
      </c>
      <c r="S198" s="6">
        <v>0</v>
      </c>
      <c r="T198" s="6">
        <v>35</v>
      </c>
      <c r="U198" s="6">
        <v>73</v>
      </c>
      <c r="V198" s="6">
        <f>IF(ISERROR(VLOOKUP($S$198,'TAR FIN'!$A$1:$O$88,15,0)),0,VLOOKUP($S$198,'TAR FIN'!$A$1:$O$88,15,0))</f>
        <v>0</v>
      </c>
      <c r="W198" s="6">
        <f>IF(ISERROR(VLOOKUP($T$198,'TAR FIN'!$A$1:$O$88,15,0)),0,VLOOKUP($T$198,'TAR FIN'!$A$1:$O$88,15,0))</f>
        <v>380.18</v>
      </c>
      <c r="X198" s="6">
        <f>IF(ISERROR(VLOOKUP($U$198,'TAR FIN'!$A$1:$O$88,15,0)),0,VLOOKUP($U$198,'TAR FIN'!$A$1:$O$88,15,0))</f>
        <v>275.36</v>
      </c>
      <c r="Y198" s="6"/>
      <c r="Z198" s="6">
        <f ca="1">('TUSD BE'!$AM$18+'TUSD BF_350'!$AM$18+'TUSD CVA'!$AM$18)*1</f>
        <v>511.29410554744766</v>
      </c>
      <c r="AA198" s="6">
        <f ca="1">('TE BE'!$AB$9+'TE BF_350'!$AB$9+'TE CVA'!$AB$9)*1</f>
        <v>197.6895725142987</v>
      </c>
      <c r="AB198" s="6">
        <f>$K$198*$V$198</f>
        <v>0</v>
      </c>
      <c r="AC198" s="6">
        <f>$M$198*$W$198</f>
        <v>6.0828800000000003</v>
      </c>
      <c r="AD198" s="6">
        <f>$O$198*$X$198</f>
        <v>4.4057599999999999</v>
      </c>
      <c r="AE198" s="6">
        <f>$K$198*$Y$198</f>
        <v>0</v>
      </c>
      <c r="AF198" s="6">
        <f ca="1">$M$198*$Z$198</f>
        <v>8.1807056887591632</v>
      </c>
      <c r="AG198" s="6">
        <f ca="1">$O$198*$AA$198</f>
        <v>3.1630331602287791</v>
      </c>
    </row>
    <row r="199" spans="1:33" ht="11.25" customHeight="1" x14ac:dyDescent="0.25">
      <c r="A199" s="4" t="s">
        <v>21</v>
      </c>
      <c r="B199" s="4" t="s">
        <v>22</v>
      </c>
      <c r="C199" s="4" t="s">
        <v>32</v>
      </c>
      <c r="D199" s="4" t="s">
        <v>24</v>
      </c>
      <c r="E199" s="4" t="s">
        <v>24</v>
      </c>
      <c r="F199" s="4" t="s">
        <v>25</v>
      </c>
      <c r="G199" s="4" t="s">
        <v>25</v>
      </c>
      <c r="H199" s="4" t="s">
        <v>35</v>
      </c>
      <c r="I199" s="5">
        <v>44562</v>
      </c>
      <c r="J199" s="6">
        <v>0</v>
      </c>
      <c r="K199" s="6">
        <v>0</v>
      </c>
      <c r="L199" s="6">
        <v>0.02</v>
      </c>
      <c r="M199" s="6">
        <v>0.02</v>
      </c>
      <c r="N199" s="6">
        <v>0.02</v>
      </c>
      <c r="O199" s="6">
        <v>0.02</v>
      </c>
      <c r="P199" s="6">
        <v>0</v>
      </c>
      <c r="Q199" s="4" t="s">
        <v>26</v>
      </c>
      <c r="R199" s="4">
        <v>0</v>
      </c>
      <c r="S199" s="6">
        <v>0</v>
      </c>
      <c r="T199" s="6">
        <v>35</v>
      </c>
      <c r="U199" s="6">
        <v>73</v>
      </c>
      <c r="V199" s="6">
        <f>IF(ISERROR(VLOOKUP($S$199,'TAR FIN'!$A$1:$O$88,15,0)),0,VLOOKUP($S$199,'TAR FIN'!$A$1:$O$88,15,0))</f>
        <v>0</v>
      </c>
      <c r="W199" s="6">
        <f>IF(ISERROR(VLOOKUP($T$199,'TAR FIN'!$A$1:$O$88,15,0)),0,VLOOKUP($T$199,'TAR FIN'!$A$1:$O$88,15,0))</f>
        <v>380.18</v>
      </c>
      <c r="X199" s="6">
        <f>IF(ISERROR(VLOOKUP($U$199,'TAR FIN'!$A$1:$O$88,15,0)),0,VLOOKUP($U$199,'TAR FIN'!$A$1:$O$88,15,0))</f>
        <v>275.36</v>
      </c>
      <c r="Y199" s="6"/>
      <c r="Z199" s="6">
        <f ca="1">('TUSD BE'!$AM$18+'TUSD BF_350'!$AM$18+'TUSD CVA'!$AM$18)*1</f>
        <v>511.29410554744766</v>
      </c>
      <c r="AA199" s="6">
        <f ca="1">('TE BE'!$AB$9+'TE BF_350'!$AB$9+'TE CVA'!$AB$9)*1</f>
        <v>197.6895725142987</v>
      </c>
      <c r="AB199" s="6">
        <f>$K$199*$V$199</f>
        <v>0</v>
      </c>
      <c r="AC199" s="6">
        <f>$M$199*$W$199</f>
        <v>7.6036000000000001</v>
      </c>
      <c r="AD199" s="6">
        <f>$O$199*$X$199</f>
        <v>5.5072000000000001</v>
      </c>
      <c r="AE199" s="6">
        <f>$K$199*$Y$199</f>
        <v>0</v>
      </c>
      <c r="AF199" s="6">
        <f ca="1">$M$199*$Z$199</f>
        <v>10.225882110948953</v>
      </c>
      <c r="AG199" s="6">
        <f ca="1">$O$199*$AA$199</f>
        <v>3.9537914502859741</v>
      </c>
    </row>
    <row r="200" spans="1:33" ht="11.25" customHeight="1" x14ac:dyDescent="0.25">
      <c r="A200" s="4" t="s">
        <v>21</v>
      </c>
      <c r="B200" s="4" t="s">
        <v>22</v>
      </c>
      <c r="C200" s="4" t="s">
        <v>32</v>
      </c>
      <c r="D200" s="4" t="s">
        <v>24</v>
      </c>
      <c r="E200" s="4" t="s">
        <v>24</v>
      </c>
      <c r="F200" s="4" t="s">
        <v>25</v>
      </c>
      <c r="G200" s="4" t="s">
        <v>25</v>
      </c>
      <c r="H200" s="4" t="s">
        <v>35</v>
      </c>
      <c r="I200" s="5">
        <v>44593</v>
      </c>
      <c r="J200" s="6">
        <v>0</v>
      </c>
      <c r="K200" s="6">
        <v>0</v>
      </c>
      <c r="L200" s="6">
        <v>7.0000000000000001E-3</v>
      </c>
      <c r="M200" s="6">
        <v>7.0000000000000001E-3</v>
      </c>
      <c r="N200" s="6">
        <v>7.0000000000000001E-3</v>
      </c>
      <c r="O200" s="6">
        <v>7.0000000000000001E-3</v>
      </c>
      <c r="P200" s="6">
        <v>0</v>
      </c>
      <c r="Q200" s="4" t="s">
        <v>26</v>
      </c>
      <c r="R200" s="4">
        <v>0</v>
      </c>
      <c r="S200" s="6">
        <v>0</v>
      </c>
      <c r="T200" s="6">
        <v>35</v>
      </c>
      <c r="U200" s="6">
        <v>73</v>
      </c>
      <c r="V200" s="6">
        <f>IF(ISERROR(VLOOKUP($S$200,'TAR FIN'!$A$1:$O$88,15,0)),0,VLOOKUP($S$200,'TAR FIN'!$A$1:$O$88,15,0))</f>
        <v>0</v>
      </c>
      <c r="W200" s="6">
        <f>IF(ISERROR(VLOOKUP($T$200,'TAR FIN'!$A$1:$O$88,15,0)),0,VLOOKUP($T$200,'TAR FIN'!$A$1:$O$88,15,0))</f>
        <v>380.18</v>
      </c>
      <c r="X200" s="6">
        <f>IF(ISERROR(VLOOKUP($U$200,'TAR FIN'!$A$1:$O$88,15,0)),0,VLOOKUP($U$200,'TAR FIN'!$A$1:$O$88,15,0))</f>
        <v>275.36</v>
      </c>
      <c r="Y200" s="6"/>
      <c r="Z200" s="6">
        <f ca="1">('TUSD BE'!$AM$18+'TUSD BF_350'!$AM$18+'TUSD CVA'!$AM$18)*1</f>
        <v>511.29410554744766</v>
      </c>
      <c r="AA200" s="6">
        <f ca="1">('TE BE'!$AB$9+'TE BF_350'!$AB$9+'TE CVA'!$AB$9)*1</f>
        <v>197.6895725142987</v>
      </c>
      <c r="AB200" s="6">
        <f>$K$200*$V$200</f>
        <v>0</v>
      </c>
      <c r="AC200" s="6">
        <f>$M$200*$W$200</f>
        <v>2.66126</v>
      </c>
      <c r="AD200" s="6">
        <f>$O$200*$X$200</f>
        <v>1.9275200000000001</v>
      </c>
      <c r="AE200" s="6">
        <f>$K$200*$Y$200</f>
        <v>0</v>
      </c>
      <c r="AF200" s="6">
        <f ca="1">$M$200*$Z$200</f>
        <v>3.5790587388321335</v>
      </c>
      <c r="AG200" s="6">
        <f ca="1">$O$200*$AA$200</f>
        <v>1.3838270076000909</v>
      </c>
    </row>
    <row r="201" spans="1:33" ht="11.25" customHeight="1" x14ac:dyDescent="0.25">
      <c r="A201" s="4" t="s">
        <v>21</v>
      </c>
      <c r="B201" s="4" t="s">
        <v>22</v>
      </c>
      <c r="C201" s="4" t="s">
        <v>32</v>
      </c>
      <c r="D201" s="4" t="s">
        <v>24</v>
      </c>
      <c r="E201" s="4" t="s">
        <v>24</v>
      </c>
      <c r="F201" s="4" t="s">
        <v>25</v>
      </c>
      <c r="G201" s="4" t="s">
        <v>25</v>
      </c>
      <c r="H201" s="4" t="s">
        <v>35</v>
      </c>
      <c r="I201" s="5">
        <v>44621</v>
      </c>
      <c r="J201" s="6">
        <v>0</v>
      </c>
      <c r="K201" s="6">
        <v>0</v>
      </c>
      <c r="L201" s="6">
        <v>1.2999999999999999E-2</v>
      </c>
      <c r="M201" s="6">
        <v>1.2999999999999999E-2</v>
      </c>
      <c r="N201" s="6">
        <v>1.2999999999999999E-2</v>
      </c>
      <c r="O201" s="6">
        <v>1.2999999999999999E-2</v>
      </c>
      <c r="P201" s="6">
        <v>0</v>
      </c>
      <c r="Q201" s="4" t="s">
        <v>26</v>
      </c>
      <c r="R201" s="4">
        <v>0</v>
      </c>
      <c r="S201" s="6">
        <v>0</v>
      </c>
      <c r="T201" s="6">
        <v>35</v>
      </c>
      <c r="U201" s="6">
        <v>73</v>
      </c>
      <c r="V201" s="6">
        <f>IF(ISERROR(VLOOKUP($S$201,'TAR FIN'!$A$1:$O$88,15,0)),0,VLOOKUP($S$201,'TAR FIN'!$A$1:$O$88,15,0))</f>
        <v>0</v>
      </c>
      <c r="W201" s="6">
        <f>IF(ISERROR(VLOOKUP($T$201,'TAR FIN'!$A$1:$O$88,15,0)),0,VLOOKUP($T$201,'TAR FIN'!$A$1:$O$88,15,0))</f>
        <v>380.18</v>
      </c>
      <c r="X201" s="6">
        <f>IF(ISERROR(VLOOKUP($U$201,'TAR FIN'!$A$1:$O$88,15,0)),0,VLOOKUP($U$201,'TAR FIN'!$A$1:$O$88,15,0))</f>
        <v>275.36</v>
      </c>
      <c r="Y201" s="6"/>
      <c r="Z201" s="6">
        <f ca="1">('TUSD BE'!$AM$18+'TUSD BF_350'!$AM$18+'TUSD CVA'!$AM$18)*1</f>
        <v>511.29410554744766</v>
      </c>
      <c r="AA201" s="6">
        <f ca="1">('TE BE'!$AB$9+'TE BF_350'!$AB$9+'TE CVA'!$AB$9)*1</f>
        <v>197.6895725142987</v>
      </c>
      <c r="AB201" s="6">
        <f>$K$201*$V$201</f>
        <v>0</v>
      </c>
      <c r="AC201" s="6">
        <f>$M$201*$W$201</f>
        <v>4.9423399999999997</v>
      </c>
      <c r="AD201" s="6">
        <f>$O$201*$X$201</f>
        <v>3.5796800000000002</v>
      </c>
      <c r="AE201" s="6">
        <f>$K$201*$Y$201</f>
        <v>0</v>
      </c>
      <c r="AF201" s="6">
        <f ca="1">$M$201*$Z$201</f>
        <v>6.6468233721168195</v>
      </c>
      <c r="AG201" s="6">
        <f ca="1">$O$201*$AA$201</f>
        <v>2.5699644426858832</v>
      </c>
    </row>
    <row r="202" spans="1:33" ht="11.25" customHeight="1" x14ac:dyDescent="0.25">
      <c r="A202" s="4" t="s">
        <v>21</v>
      </c>
      <c r="B202" s="4" t="s">
        <v>22</v>
      </c>
      <c r="C202" s="4" t="s">
        <v>32</v>
      </c>
      <c r="D202" s="4" t="s">
        <v>24</v>
      </c>
      <c r="E202" s="4" t="s">
        <v>24</v>
      </c>
      <c r="F202" s="4" t="s">
        <v>25</v>
      </c>
      <c r="G202" s="4" t="s">
        <v>25</v>
      </c>
      <c r="H202" s="4" t="s">
        <v>35</v>
      </c>
      <c r="I202" s="5">
        <v>44652</v>
      </c>
      <c r="J202" s="6">
        <v>0</v>
      </c>
      <c r="K202" s="6">
        <v>0</v>
      </c>
      <c r="L202" s="6">
        <v>8.0000000000000002E-3</v>
      </c>
      <c r="M202" s="6">
        <v>8.0000000000000002E-3</v>
      </c>
      <c r="N202" s="6">
        <v>8.0000000000000002E-3</v>
      </c>
      <c r="O202" s="6">
        <v>8.0000000000000002E-3</v>
      </c>
      <c r="P202" s="6">
        <v>0</v>
      </c>
      <c r="Q202" s="4" t="s">
        <v>26</v>
      </c>
      <c r="R202" s="4">
        <v>0</v>
      </c>
      <c r="S202" s="6">
        <v>0</v>
      </c>
      <c r="T202" s="6">
        <v>35</v>
      </c>
      <c r="U202" s="6">
        <v>73</v>
      </c>
      <c r="V202" s="6">
        <f>IF(ISERROR(VLOOKUP($S$202,'TAR FIN'!$A$1:$O$88,15,0)),0,VLOOKUP($S$202,'TAR FIN'!$A$1:$O$88,15,0))</f>
        <v>0</v>
      </c>
      <c r="W202" s="6">
        <f>IF(ISERROR(VLOOKUP($T$202,'TAR FIN'!$A$1:$O$88,15,0)),0,VLOOKUP($T$202,'TAR FIN'!$A$1:$O$88,15,0))</f>
        <v>380.18</v>
      </c>
      <c r="X202" s="6">
        <f>IF(ISERROR(VLOOKUP($U$202,'TAR FIN'!$A$1:$O$88,15,0)),0,VLOOKUP($U$202,'TAR FIN'!$A$1:$O$88,15,0))</f>
        <v>275.36</v>
      </c>
      <c r="Y202" s="6"/>
      <c r="Z202" s="6">
        <f ca="1">('TUSD BE'!$AM$18+'TUSD BF_350'!$AM$18+'TUSD CVA'!$AM$18)*1</f>
        <v>511.29410554744766</v>
      </c>
      <c r="AA202" s="6">
        <f ca="1">('TE BE'!$AB$9+'TE BF_350'!$AB$9+'TE CVA'!$AB$9)*1</f>
        <v>197.6895725142987</v>
      </c>
      <c r="AB202" s="6">
        <f>$K$202*$V$202</f>
        <v>0</v>
      </c>
      <c r="AC202" s="6">
        <f>$M$202*$W$202</f>
        <v>3.0414400000000001</v>
      </c>
      <c r="AD202" s="6">
        <f>$O$202*$X$202</f>
        <v>2.2028799999999999</v>
      </c>
      <c r="AE202" s="6">
        <f>$K$202*$Y$202</f>
        <v>0</v>
      </c>
      <c r="AF202" s="6">
        <f ca="1">$M$202*$Z$202</f>
        <v>4.0903528443795816</v>
      </c>
      <c r="AG202" s="6">
        <f ca="1">$O$202*$AA$202</f>
        <v>1.5815165801143896</v>
      </c>
    </row>
    <row r="203" spans="1:33" ht="11.25" customHeight="1" x14ac:dyDescent="0.25">
      <c r="A203" s="4" t="s">
        <v>21</v>
      </c>
      <c r="B203" s="4" t="s">
        <v>22</v>
      </c>
      <c r="C203" s="4" t="s">
        <v>32</v>
      </c>
      <c r="D203" s="4" t="s">
        <v>24</v>
      </c>
      <c r="E203" s="4" t="s">
        <v>24</v>
      </c>
      <c r="F203" s="4" t="s">
        <v>25</v>
      </c>
      <c r="G203" s="4" t="s">
        <v>25</v>
      </c>
      <c r="H203" s="4" t="s">
        <v>35</v>
      </c>
      <c r="I203" s="5">
        <v>44682</v>
      </c>
      <c r="J203" s="6">
        <v>0</v>
      </c>
      <c r="K203" s="6">
        <v>0</v>
      </c>
      <c r="L203" s="6">
        <v>5.0000000000000001E-3</v>
      </c>
      <c r="M203" s="6">
        <v>5.0000000000000001E-3</v>
      </c>
      <c r="N203" s="6">
        <v>5.0000000000000001E-3</v>
      </c>
      <c r="O203" s="6">
        <v>5.0000000000000001E-3</v>
      </c>
      <c r="P203" s="6">
        <v>0</v>
      </c>
      <c r="Q203" s="4" t="s">
        <v>26</v>
      </c>
      <c r="R203" s="4">
        <v>0</v>
      </c>
      <c r="S203" s="6">
        <v>0</v>
      </c>
      <c r="T203" s="6">
        <v>35</v>
      </c>
      <c r="U203" s="6">
        <v>73</v>
      </c>
      <c r="V203" s="6">
        <f>IF(ISERROR(VLOOKUP($S$203,'TAR FIN'!$A$1:$O$88,15,0)),0,VLOOKUP($S$203,'TAR FIN'!$A$1:$O$88,15,0))</f>
        <v>0</v>
      </c>
      <c r="W203" s="6">
        <f>IF(ISERROR(VLOOKUP($T$203,'TAR FIN'!$A$1:$O$88,15,0)),0,VLOOKUP($T$203,'TAR FIN'!$A$1:$O$88,15,0))</f>
        <v>380.18</v>
      </c>
      <c r="X203" s="6">
        <f>IF(ISERROR(VLOOKUP($U$203,'TAR FIN'!$A$1:$O$88,15,0)),0,VLOOKUP($U$203,'TAR FIN'!$A$1:$O$88,15,0))</f>
        <v>275.36</v>
      </c>
      <c r="Y203" s="6"/>
      <c r="Z203" s="6">
        <f ca="1">('TUSD BE'!$AM$18+'TUSD BF_350'!$AM$18+'TUSD CVA'!$AM$18)*1</f>
        <v>511.29410554744766</v>
      </c>
      <c r="AA203" s="6">
        <f ca="1">('TE BE'!$AB$9+'TE BF_350'!$AB$9+'TE CVA'!$AB$9)*1</f>
        <v>197.6895725142987</v>
      </c>
      <c r="AB203" s="6">
        <f>$K$203*$V$203</f>
        <v>0</v>
      </c>
      <c r="AC203" s="6">
        <f>$M$203*$W$203</f>
        <v>1.9009</v>
      </c>
      <c r="AD203" s="6">
        <f>$O$203*$X$203</f>
        <v>1.3768</v>
      </c>
      <c r="AE203" s="6">
        <f>$K$203*$Y$203</f>
        <v>0</v>
      </c>
      <c r="AF203" s="6">
        <f ca="1">$M$203*$Z$203</f>
        <v>2.5564705277372384</v>
      </c>
      <c r="AG203" s="6">
        <f ca="1">$O$203*$AA$203</f>
        <v>0.98844786257149353</v>
      </c>
    </row>
    <row r="204" spans="1:33" ht="11.25" customHeight="1" x14ac:dyDescent="0.25">
      <c r="A204" s="4" t="s">
        <v>21</v>
      </c>
      <c r="B204" s="4" t="s">
        <v>22</v>
      </c>
      <c r="C204" s="4" t="s">
        <v>32</v>
      </c>
      <c r="D204" s="4" t="s">
        <v>24</v>
      </c>
      <c r="E204" s="4" t="s">
        <v>24</v>
      </c>
      <c r="F204" s="4" t="s">
        <v>25</v>
      </c>
      <c r="G204" s="4" t="s">
        <v>25</v>
      </c>
      <c r="H204" s="4" t="s">
        <v>35</v>
      </c>
      <c r="I204" s="5">
        <v>44713</v>
      </c>
      <c r="J204" s="6">
        <v>0</v>
      </c>
      <c r="K204" s="6">
        <v>0</v>
      </c>
      <c r="L204" s="6">
        <v>8.0000000000000002E-3</v>
      </c>
      <c r="M204" s="6">
        <v>8.0000000000000002E-3</v>
      </c>
      <c r="N204" s="6">
        <v>8.0000000000000002E-3</v>
      </c>
      <c r="O204" s="6">
        <v>8.0000000000000002E-3</v>
      </c>
      <c r="P204" s="6">
        <v>0</v>
      </c>
      <c r="Q204" s="4" t="s">
        <v>26</v>
      </c>
      <c r="R204" s="4">
        <v>0</v>
      </c>
      <c r="S204" s="6">
        <v>0</v>
      </c>
      <c r="T204" s="6">
        <v>35</v>
      </c>
      <c r="U204" s="6">
        <v>73</v>
      </c>
      <c r="V204" s="6">
        <f>IF(ISERROR(VLOOKUP($S$204,'TAR FIN'!$A$1:$O$88,15,0)),0,VLOOKUP($S$204,'TAR FIN'!$A$1:$O$88,15,0))</f>
        <v>0</v>
      </c>
      <c r="W204" s="6">
        <f>IF(ISERROR(VLOOKUP($T$204,'TAR FIN'!$A$1:$O$88,15,0)),0,VLOOKUP($T$204,'TAR FIN'!$A$1:$O$88,15,0))</f>
        <v>380.18</v>
      </c>
      <c r="X204" s="6">
        <f>IF(ISERROR(VLOOKUP($U$204,'TAR FIN'!$A$1:$O$88,15,0)),0,VLOOKUP($U$204,'TAR FIN'!$A$1:$O$88,15,0))</f>
        <v>275.36</v>
      </c>
      <c r="Y204" s="6"/>
      <c r="Z204" s="6">
        <f ca="1">('TUSD BE'!$AM$18+'TUSD BF_350'!$AM$18+'TUSD CVA'!$AM$18)*1</f>
        <v>511.29410554744766</v>
      </c>
      <c r="AA204" s="6">
        <f ca="1">('TE BE'!$AB$9+'TE BF_350'!$AB$9+'TE CVA'!$AB$9)*1</f>
        <v>197.6895725142987</v>
      </c>
      <c r="AB204" s="6">
        <f>$K$204*$V$204</f>
        <v>0</v>
      </c>
      <c r="AC204" s="6">
        <f>$M$204*$W$204</f>
        <v>3.0414400000000001</v>
      </c>
      <c r="AD204" s="6">
        <f>$O$204*$X$204</f>
        <v>2.2028799999999999</v>
      </c>
      <c r="AE204" s="6">
        <f>$K$204*$Y$204</f>
        <v>0</v>
      </c>
      <c r="AF204" s="6">
        <f ca="1">$M$204*$Z$204</f>
        <v>4.0903528443795816</v>
      </c>
      <c r="AG204" s="6">
        <f ca="1">$O$204*$AA$204</f>
        <v>1.5815165801143896</v>
      </c>
    </row>
    <row r="205" spans="1:33" ht="11.25" customHeight="1" x14ac:dyDescent="0.25">
      <c r="A205" s="4" t="s">
        <v>55</v>
      </c>
      <c r="B205" s="4" t="s">
        <v>22</v>
      </c>
      <c r="C205" s="4" t="s">
        <v>32</v>
      </c>
      <c r="D205" s="4" t="s">
        <v>24</v>
      </c>
      <c r="E205" s="4" t="s">
        <v>24</v>
      </c>
      <c r="F205" s="4" t="s">
        <v>25</v>
      </c>
      <c r="G205" s="4" t="s">
        <v>25</v>
      </c>
      <c r="H205" s="4" t="s">
        <v>35</v>
      </c>
      <c r="I205" s="5">
        <v>44743</v>
      </c>
      <c r="J205" s="6">
        <v>0</v>
      </c>
      <c r="K205" s="6">
        <v>0</v>
      </c>
      <c r="L205" s="6">
        <v>8.0000000000000002E-3</v>
      </c>
      <c r="M205" s="6">
        <v>8.0000000000000002E-3</v>
      </c>
      <c r="N205" s="6">
        <v>8.0000000000000002E-3</v>
      </c>
      <c r="O205" s="6">
        <v>8.0000000000000002E-3</v>
      </c>
      <c r="P205" s="6">
        <v>0</v>
      </c>
      <c r="Q205" s="4" t="s">
        <v>26</v>
      </c>
      <c r="R205" s="4">
        <v>0</v>
      </c>
      <c r="S205" s="6">
        <v>0</v>
      </c>
      <c r="T205" s="6">
        <v>35</v>
      </c>
      <c r="U205" s="6">
        <v>73</v>
      </c>
      <c r="V205" s="6">
        <f>IF(ISERROR(VLOOKUP($S$205,'TAR FIN'!$A$1:$O$88,15,0)),0,VLOOKUP($S$205,'TAR FIN'!$A$1:$O$88,15,0))</f>
        <v>0</v>
      </c>
      <c r="W205" s="6">
        <f>IF(ISERROR(VLOOKUP($T$205,'TAR FIN'!$A$1:$O$88,15,0)),0,VLOOKUP($T$205,'TAR FIN'!$A$1:$O$88,15,0))</f>
        <v>380.18</v>
      </c>
      <c r="X205" s="6">
        <f>IF(ISERROR(VLOOKUP($U$205,'TAR FIN'!$A$1:$O$88,15,0)),0,VLOOKUP($U$205,'TAR FIN'!$A$1:$O$88,15,0))</f>
        <v>275.36</v>
      </c>
      <c r="Y205" s="6"/>
      <c r="Z205" s="6">
        <f ca="1">('TUSD BE'!$AM$18+'TUSD BF_350'!$AM$18+'TUSD CVA'!$AM$18)*1</f>
        <v>511.29410554744766</v>
      </c>
      <c r="AA205" s="6">
        <f ca="1">('TE BE'!$AB$9+'TE BF_350'!$AB$9+'TE CVA'!$AB$9)*1</f>
        <v>197.6895725142987</v>
      </c>
      <c r="AB205" s="6">
        <f>$K$205*$V$205</f>
        <v>0</v>
      </c>
      <c r="AC205" s="6">
        <f>$M$205*$W$205</f>
        <v>3.0414400000000001</v>
      </c>
      <c r="AD205" s="6">
        <f>$O$205*$X$205</f>
        <v>2.2028799999999999</v>
      </c>
      <c r="AE205" s="6">
        <f>$K$205*$Y$205</f>
        <v>0</v>
      </c>
      <c r="AF205" s="6">
        <f ca="1">$M$205*$Z$205</f>
        <v>4.0903528443795816</v>
      </c>
      <c r="AG205" s="6">
        <f ca="1">$O$205*$AA$205</f>
        <v>1.5815165801143896</v>
      </c>
    </row>
    <row r="206" spans="1:33" ht="11.25" customHeight="1" x14ac:dyDescent="0.25">
      <c r="A206" s="4" t="s">
        <v>21</v>
      </c>
      <c r="B206" s="4" t="s">
        <v>22</v>
      </c>
      <c r="C206" s="4" t="s">
        <v>32</v>
      </c>
      <c r="D206" s="4" t="s">
        <v>24</v>
      </c>
      <c r="E206" s="4" t="s">
        <v>24</v>
      </c>
      <c r="F206" s="4" t="s">
        <v>25</v>
      </c>
      <c r="G206" s="4" t="s">
        <v>25</v>
      </c>
      <c r="H206" s="4" t="s">
        <v>33</v>
      </c>
      <c r="I206" s="5">
        <v>44409</v>
      </c>
      <c r="J206" s="6">
        <v>0</v>
      </c>
      <c r="K206" s="6">
        <v>0</v>
      </c>
      <c r="L206" s="6">
        <v>1.7999999999999999E-2</v>
      </c>
      <c r="M206" s="6">
        <v>1.7999999999999999E-2</v>
      </c>
      <c r="N206" s="6">
        <v>1.7999999999999999E-2</v>
      </c>
      <c r="O206" s="6">
        <v>1.7999999999999999E-2</v>
      </c>
      <c r="P206" s="6">
        <v>0</v>
      </c>
      <c r="Q206" s="4" t="s">
        <v>26</v>
      </c>
      <c r="R206" s="4">
        <v>0</v>
      </c>
      <c r="S206" s="6">
        <v>0</v>
      </c>
      <c r="T206" s="6">
        <v>34</v>
      </c>
      <c r="U206" s="6">
        <v>72</v>
      </c>
      <c r="V206" s="6">
        <f>IF(ISERROR(VLOOKUP($S$206,'TAR FIN'!$A$1:$O$88,15,0)),0,VLOOKUP($S$206,'TAR FIN'!$A$1:$O$88,15,0))</f>
        <v>0</v>
      </c>
      <c r="W206" s="6">
        <f>IF(ISERROR(VLOOKUP($T$206,'TAR FIN'!$A$1:$O$88,15,0)),0,VLOOKUP($T$206,'TAR FIN'!$A$1:$O$88,15,0))</f>
        <v>561.79999999999995</v>
      </c>
      <c r="X206" s="6">
        <f>IF(ISERROR(VLOOKUP($U$206,'TAR FIN'!$A$1:$O$88,15,0)),0,VLOOKUP($U$206,'TAR FIN'!$A$1:$O$88,15,0))</f>
        <v>437.87</v>
      </c>
      <c r="Y206" s="6"/>
      <c r="Z206" s="6">
        <f ca="1">('TUSD BE'!$AM$17+'TUSD BF_350'!$AM$17+'TUSD CVA'!$AM$17)*1</f>
        <v>776.277818607938</v>
      </c>
      <c r="AA206" s="6">
        <f ca="1">('TE BE'!$AB$8+'TE BF_350'!$AB$8+'TE CVA'!$AB$8)*1</f>
        <v>316.97983140624547</v>
      </c>
      <c r="AB206" s="6">
        <f>$K$206*$V$206</f>
        <v>0</v>
      </c>
      <c r="AC206" s="6">
        <f>$M$206*$W$206</f>
        <v>10.112399999999999</v>
      </c>
      <c r="AD206" s="6">
        <f>$O$206*$X$206</f>
        <v>7.8816599999999992</v>
      </c>
      <c r="AE206" s="6">
        <f>$K$206*$Y$206</f>
        <v>0</v>
      </c>
      <c r="AF206" s="6">
        <f ca="1">$M$206*$Z$206</f>
        <v>13.973000734942882</v>
      </c>
      <c r="AG206" s="6">
        <f ca="1">$O$206*$AA$206</f>
        <v>5.7056369653124177</v>
      </c>
    </row>
    <row r="207" spans="1:33" ht="11.25" customHeight="1" x14ac:dyDescent="0.25">
      <c r="A207" s="4" t="s">
        <v>21</v>
      </c>
      <c r="B207" s="4" t="s">
        <v>22</v>
      </c>
      <c r="C207" s="4" t="s">
        <v>32</v>
      </c>
      <c r="D207" s="4" t="s">
        <v>24</v>
      </c>
      <c r="E207" s="4" t="s">
        <v>24</v>
      </c>
      <c r="F207" s="4" t="s">
        <v>25</v>
      </c>
      <c r="G207" s="4" t="s">
        <v>25</v>
      </c>
      <c r="H207" s="4" t="s">
        <v>33</v>
      </c>
      <c r="I207" s="5">
        <v>44440</v>
      </c>
      <c r="J207" s="6">
        <v>0</v>
      </c>
      <c r="K207" s="6">
        <v>0</v>
      </c>
      <c r="L207" s="6">
        <v>1.6E-2</v>
      </c>
      <c r="M207" s="6">
        <v>1.6E-2</v>
      </c>
      <c r="N207" s="6">
        <v>1.6E-2</v>
      </c>
      <c r="O207" s="6">
        <v>1.6E-2</v>
      </c>
      <c r="P207" s="6">
        <v>0</v>
      </c>
      <c r="Q207" s="4" t="s">
        <v>26</v>
      </c>
      <c r="R207" s="4">
        <v>0</v>
      </c>
      <c r="S207" s="6">
        <v>0</v>
      </c>
      <c r="T207" s="6">
        <v>34</v>
      </c>
      <c r="U207" s="6">
        <v>72</v>
      </c>
      <c r="V207" s="6">
        <f>IF(ISERROR(VLOOKUP($S$207,'TAR FIN'!$A$1:$O$88,15,0)),0,VLOOKUP($S$207,'TAR FIN'!$A$1:$O$88,15,0))</f>
        <v>0</v>
      </c>
      <c r="W207" s="6">
        <f>IF(ISERROR(VLOOKUP($T$207,'TAR FIN'!$A$1:$O$88,15,0)),0,VLOOKUP($T$207,'TAR FIN'!$A$1:$O$88,15,0))</f>
        <v>561.79999999999995</v>
      </c>
      <c r="X207" s="6">
        <f>IF(ISERROR(VLOOKUP($U$207,'TAR FIN'!$A$1:$O$88,15,0)),0,VLOOKUP($U$207,'TAR FIN'!$A$1:$O$88,15,0))</f>
        <v>437.87</v>
      </c>
      <c r="Y207" s="6"/>
      <c r="Z207" s="6">
        <f ca="1">('TUSD BE'!$AM$17+'TUSD BF_350'!$AM$17+'TUSD CVA'!$AM$17)*1</f>
        <v>776.277818607938</v>
      </c>
      <c r="AA207" s="6">
        <f ca="1">('TE BE'!$AB$8+'TE BF_350'!$AB$8+'TE CVA'!$AB$8)*1</f>
        <v>316.97983140624547</v>
      </c>
      <c r="AB207" s="6">
        <f>$K$207*$V$207</f>
        <v>0</v>
      </c>
      <c r="AC207" s="6">
        <f>$M$207*$W$207</f>
        <v>8.9887999999999995</v>
      </c>
      <c r="AD207" s="6">
        <f>$O$207*$X$207</f>
        <v>7.0059200000000006</v>
      </c>
      <c r="AE207" s="6">
        <f>$K$207*$Y$207</f>
        <v>0</v>
      </c>
      <c r="AF207" s="6">
        <f ca="1">$M$207*$Z$207</f>
        <v>12.420445097727008</v>
      </c>
      <c r="AG207" s="6">
        <f ca="1">$O$207*$AA$207</f>
        <v>5.0716773024999275</v>
      </c>
    </row>
    <row r="208" spans="1:33" ht="11.25" customHeight="1" x14ac:dyDescent="0.25">
      <c r="A208" s="4" t="s">
        <v>21</v>
      </c>
      <c r="B208" s="4" t="s">
        <v>22</v>
      </c>
      <c r="C208" s="4" t="s">
        <v>32</v>
      </c>
      <c r="D208" s="4" t="s">
        <v>24</v>
      </c>
      <c r="E208" s="4" t="s">
        <v>24</v>
      </c>
      <c r="F208" s="4" t="s">
        <v>25</v>
      </c>
      <c r="G208" s="4" t="s">
        <v>25</v>
      </c>
      <c r="H208" s="4" t="s">
        <v>33</v>
      </c>
      <c r="I208" s="5">
        <v>44470</v>
      </c>
      <c r="J208" s="6">
        <v>0</v>
      </c>
      <c r="K208" s="6">
        <v>0</v>
      </c>
      <c r="L208" s="6">
        <v>1.7999999999999999E-2</v>
      </c>
      <c r="M208" s="6">
        <v>1.7999999999999999E-2</v>
      </c>
      <c r="N208" s="6">
        <v>1.7999999999999999E-2</v>
      </c>
      <c r="O208" s="6">
        <v>1.7999999999999999E-2</v>
      </c>
      <c r="P208" s="6">
        <v>0</v>
      </c>
      <c r="Q208" s="4" t="s">
        <v>26</v>
      </c>
      <c r="R208" s="4">
        <v>0</v>
      </c>
      <c r="S208" s="6">
        <v>0</v>
      </c>
      <c r="T208" s="6">
        <v>34</v>
      </c>
      <c r="U208" s="6">
        <v>72</v>
      </c>
      <c r="V208" s="6">
        <f>IF(ISERROR(VLOOKUP($S$208,'TAR FIN'!$A$1:$O$88,15,0)),0,VLOOKUP($S$208,'TAR FIN'!$A$1:$O$88,15,0))</f>
        <v>0</v>
      </c>
      <c r="W208" s="6">
        <f>IF(ISERROR(VLOOKUP($T$208,'TAR FIN'!$A$1:$O$88,15,0)),0,VLOOKUP($T$208,'TAR FIN'!$A$1:$O$88,15,0))</f>
        <v>561.79999999999995</v>
      </c>
      <c r="X208" s="6">
        <f>IF(ISERROR(VLOOKUP($U$208,'TAR FIN'!$A$1:$O$88,15,0)),0,VLOOKUP($U$208,'TAR FIN'!$A$1:$O$88,15,0))</f>
        <v>437.87</v>
      </c>
      <c r="Y208" s="6"/>
      <c r="Z208" s="6">
        <f ca="1">('TUSD BE'!$AM$17+'TUSD BF_350'!$AM$17+'TUSD CVA'!$AM$17)*1</f>
        <v>776.277818607938</v>
      </c>
      <c r="AA208" s="6">
        <f ca="1">('TE BE'!$AB$8+'TE BF_350'!$AB$8+'TE CVA'!$AB$8)*1</f>
        <v>316.97983140624547</v>
      </c>
      <c r="AB208" s="6">
        <f>$K$208*$V$208</f>
        <v>0</v>
      </c>
      <c r="AC208" s="6">
        <f>$M$208*$W$208</f>
        <v>10.112399999999999</v>
      </c>
      <c r="AD208" s="6">
        <f>$O$208*$X$208</f>
        <v>7.8816599999999992</v>
      </c>
      <c r="AE208" s="6">
        <f>$K$208*$Y$208</f>
        <v>0</v>
      </c>
      <c r="AF208" s="6">
        <f ca="1">$M$208*$Z$208</f>
        <v>13.973000734942882</v>
      </c>
      <c r="AG208" s="6">
        <f ca="1">$O$208*$AA$208</f>
        <v>5.7056369653124177</v>
      </c>
    </row>
    <row r="209" spans="1:33" ht="11.25" customHeight="1" x14ac:dyDescent="0.25">
      <c r="A209" s="4" t="s">
        <v>21</v>
      </c>
      <c r="B209" s="4" t="s">
        <v>22</v>
      </c>
      <c r="C209" s="4" t="s">
        <v>32</v>
      </c>
      <c r="D209" s="4" t="s">
        <v>24</v>
      </c>
      <c r="E209" s="4" t="s">
        <v>24</v>
      </c>
      <c r="F209" s="4" t="s">
        <v>25</v>
      </c>
      <c r="G209" s="4" t="s">
        <v>25</v>
      </c>
      <c r="H209" s="4" t="s">
        <v>33</v>
      </c>
      <c r="I209" s="5">
        <v>44501</v>
      </c>
      <c r="J209" s="6">
        <v>0</v>
      </c>
      <c r="K209" s="6">
        <v>0</v>
      </c>
      <c r="L209" s="6">
        <v>1.4E-2</v>
      </c>
      <c r="M209" s="6">
        <v>1.4E-2</v>
      </c>
      <c r="N209" s="6">
        <v>1.4E-2</v>
      </c>
      <c r="O209" s="6">
        <v>1.4E-2</v>
      </c>
      <c r="P209" s="6">
        <v>0</v>
      </c>
      <c r="Q209" s="4" t="s">
        <v>26</v>
      </c>
      <c r="R209" s="4">
        <v>0</v>
      </c>
      <c r="S209" s="6">
        <v>0</v>
      </c>
      <c r="T209" s="6">
        <v>34</v>
      </c>
      <c r="U209" s="6">
        <v>72</v>
      </c>
      <c r="V209" s="6">
        <f>IF(ISERROR(VLOOKUP($S$209,'TAR FIN'!$A$1:$O$88,15,0)),0,VLOOKUP($S$209,'TAR FIN'!$A$1:$O$88,15,0))</f>
        <v>0</v>
      </c>
      <c r="W209" s="6">
        <f>IF(ISERROR(VLOOKUP($T$209,'TAR FIN'!$A$1:$O$88,15,0)),0,VLOOKUP($T$209,'TAR FIN'!$A$1:$O$88,15,0))</f>
        <v>561.79999999999995</v>
      </c>
      <c r="X209" s="6">
        <f>IF(ISERROR(VLOOKUP($U$209,'TAR FIN'!$A$1:$O$88,15,0)),0,VLOOKUP($U$209,'TAR FIN'!$A$1:$O$88,15,0))</f>
        <v>437.87</v>
      </c>
      <c r="Y209" s="6"/>
      <c r="Z209" s="6">
        <f ca="1">('TUSD BE'!$AM$17+'TUSD BF_350'!$AM$17+'TUSD CVA'!$AM$17)*1</f>
        <v>776.277818607938</v>
      </c>
      <c r="AA209" s="6">
        <f ca="1">('TE BE'!$AB$8+'TE BF_350'!$AB$8+'TE CVA'!$AB$8)*1</f>
        <v>316.97983140624547</v>
      </c>
      <c r="AB209" s="6">
        <f>$K$209*$V$209</f>
        <v>0</v>
      </c>
      <c r="AC209" s="6">
        <f>$M$209*$W$209</f>
        <v>7.8651999999999997</v>
      </c>
      <c r="AD209" s="6">
        <f>$O$209*$X$209</f>
        <v>6.1301800000000002</v>
      </c>
      <c r="AE209" s="6">
        <f>$K$209*$Y$209</f>
        <v>0</v>
      </c>
      <c r="AF209" s="6">
        <f ca="1">$M$209*$Z$209</f>
        <v>10.867889460511133</v>
      </c>
      <c r="AG209" s="6">
        <f ca="1">$O$209*$AA$209</f>
        <v>4.4377176396874365</v>
      </c>
    </row>
    <row r="210" spans="1:33" ht="11.25" customHeight="1" x14ac:dyDescent="0.25">
      <c r="A210" s="4" t="s">
        <v>21</v>
      </c>
      <c r="B210" s="4" t="s">
        <v>22</v>
      </c>
      <c r="C210" s="4" t="s">
        <v>32</v>
      </c>
      <c r="D210" s="4" t="s">
        <v>24</v>
      </c>
      <c r="E210" s="4" t="s">
        <v>24</v>
      </c>
      <c r="F210" s="4" t="s">
        <v>25</v>
      </c>
      <c r="G210" s="4" t="s">
        <v>25</v>
      </c>
      <c r="H210" s="4" t="s">
        <v>33</v>
      </c>
      <c r="I210" s="5">
        <v>44531</v>
      </c>
      <c r="J210" s="6">
        <v>0</v>
      </c>
      <c r="K210" s="6">
        <v>0</v>
      </c>
      <c r="L210" s="6">
        <v>1.7000000000000001E-2</v>
      </c>
      <c r="M210" s="6">
        <v>1.7000000000000001E-2</v>
      </c>
      <c r="N210" s="6">
        <v>1.7000000000000001E-2</v>
      </c>
      <c r="O210" s="6">
        <v>1.7000000000000001E-2</v>
      </c>
      <c r="P210" s="6">
        <v>0</v>
      </c>
      <c r="Q210" s="4" t="s">
        <v>26</v>
      </c>
      <c r="R210" s="4">
        <v>0</v>
      </c>
      <c r="S210" s="6">
        <v>0</v>
      </c>
      <c r="T210" s="6">
        <v>34</v>
      </c>
      <c r="U210" s="6">
        <v>72</v>
      </c>
      <c r="V210" s="6">
        <f>IF(ISERROR(VLOOKUP($S$210,'TAR FIN'!$A$1:$O$88,15,0)),0,VLOOKUP($S$210,'TAR FIN'!$A$1:$O$88,15,0))</f>
        <v>0</v>
      </c>
      <c r="W210" s="6">
        <f>IF(ISERROR(VLOOKUP($T$210,'TAR FIN'!$A$1:$O$88,15,0)),0,VLOOKUP($T$210,'TAR FIN'!$A$1:$O$88,15,0))</f>
        <v>561.79999999999995</v>
      </c>
      <c r="X210" s="6">
        <f>IF(ISERROR(VLOOKUP($U$210,'TAR FIN'!$A$1:$O$88,15,0)),0,VLOOKUP($U$210,'TAR FIN'!$A$1:$O$88,15,0))</f>
        <v>437.87</v>
      </c>
      <c r="Y210" s="6"/>
      <c r="Z210" s="6">
        <f ca="1">('TUSD BE'!$AM$17+'TUSD BF_350'!$AM$17+'TUSD CVA'!$AM$17)*1</f>
        <v>776.277818607938</v>
      </c>
      <c r="AA210" s="6">
        <f ca="1">('TE BE'!$AB$8+'TE BF_350'!$AB$8+'TE CVA'!$AB$8)*1</f>
        <v>316.97983140624547</v>
      </c>
      <c r="AB210" s="6">
        <f>$K$210*$V$210</f>
        <v>0</v>
      </c>
      <c r="AC210" s="6">
        <f>$M$210*$W$210</f>
        <v>9.5505999999999993</v>
      </c>
      <c r="AD210" s="6">
        <f>$O$210*$X$210</f>
        <v>7.4437900000000008</v>
      </c>
      <c r="AE210" s="6">
        <f>$K$210*$Y$210</f>
        <v>0</v>
      </c>
      <c r="AF210" s="6">
        <f ca="1">$M$210*$Z$210</f>
        <v>13.196722916334947</v>
      </c>
      <c r="AG210" s="6">
        <f ca="1">$O$210*$AA$210</f>
        <v>5.3886571339061735</v>
      </c>
    </row>
    <row r="211" spans="1:33" ht="11.25" customHeight="1" x14ac:dyDescent="0.25">
      <c r="A211" s="4" t="s">
        <v>21</v>
      </c>
      <c r="B211" s="4" t="s">
        <v>22</v>
      </c>
      <c r="C211" s="4" t="s">
        <v>32</v>
      </c>
      <c r="D211" s="4" t="s">
        <v>24</v>
      </c>
      <c r="E211" s="4" t="s">
        <v>24</v>
      </c>
      <c r="F211" s="4" t="s">
        <v>25</v>
      </c>
      <c r="G211" s="4" t="s">
        <v>25</v>
      </c>
      <c r="H211" s="4" t="s">
        <v>33</v>
      </c>
      <c r="I211" s="5">
        <v>44562</v>
      </c>
      <c r="J211" s="6">
        <v>0</v>
      </c>
      <c r="K211" s="6">
        <v>0</v>
      </c>
      <c r="L211" s="6">
        <v>2.5999999999999999E-2</v>
      </c>
      <c r="M211" s="6">
        <v>2.5999999999999999E-2</v>
      </c>
      <c r="N211" s="6">
        <v>2.5999999999999999E-2</v>
      </c>
      <c r="O211" s="6">
        <v>2.5999999999999999E-2</v>
      </c>
      <c r="P211" s="6">
        <v>0</v>
      </c>
      <c r="Q211" s="4" t="s">
        <v>26</v>
      </c>
      <c r="R211" s="4">
        <v>0</v>
      </c>
      <c r="S211" s="6">
        <v>0</v>
      </c>
      <c r="T211" s="6">
        <v>34</v>
      </c>
      <c r="U211" s="6">
        <v>72</v>
      </c>
      <c r="V211" s="6">
        <f>IF(ISERROR(VLOOKUP($S$211,'TAR FIN'!$A$1:$O$88,15,0)),0,VLOOKUP($S$211,'TAR FIN'!$A$1:$O$88,15,0))</f>
        <v>0</v>
      </c>
      <c r="W211" s="6">
        <f>IF(ISERROR(VLOOKUP($T$211,'TAR FIN'!$A$1:$O$88,15,0)),0,VLOOKUP($T$211,'TAR FIN'!$A$1:$O$88,15,0))</f>
        <v>561.79999999999995</v>
      </c>
      <c r="X211" s="6">
        <f>IF(ISERROR(VLOOKUP($U$211,'TAR FIN'!$A$1:$O$88,15,0)),0,VLOOKUP($U$211,'TAR FIN'!$A$1:$O$88,15,0))</f>
        <v>437.87</v>
      </c>
      <c r="Y211" s="6"/>
      <c r="Z211" s="6">
        <f ca="1">('TUSD BE'!$AM$17+'TUSD BF_350'!$AM$17+'TUSD CVA'!$AM$17)*1</f>
        <v>776.277818607938</v>
      </c>
      <c r="AA211" s="6">
        <f ca="1">('TE BE'!$AB$8+'TE BF_350'!$AB$8+'TE CVA'!$AB$8)*1</f>
        <v>316.97983140624547</v>
      </c>
      <c r="AB211" s="6">
        <f>$K$211*$V$211</f>
        <v>0</v>
      </c>
      <c r="AC211" s="6">
        <f>$M$211*$W$211</f>
        <v>14.606799999999998</v>
      </c>
      <c r="AD211" s="6">
        <f>$O$211*$X$211</f>
        <v>11.38462</v>
      </c>
      <c r="AE211" s="6">
        <f>$K$211*$Y$211</f>
        <v>0</v>
      </c>
      <c r="AF211" s="6">
        <f ca="1">$M$211*$Z$211</f>
        <v>20.183223283806388</v>
      </c>
      <c r="AG211" s="6">
        <f ca="1">$O$211*$AA$211</f>
        <v>8.241475616562381</v>
      </c>
    </row>
    <row r="212" spans="1:33" ht="11.25" customHeight="1" x14ac:dyDescent="0.25">
      <c r="A212" s="4" t="s">
        <v>21</v>
      </c>
      <c r="B212" s="4" t="s">
        <v>22</v>
      </c>
      <c r="C212" s="4" t="s">
        <v>32</v>
      </c>
      <c r="D212" s="4" t="s">
        <v>24</v>
      </c>
      <c r="E212" s="4" t="s">
        <v>24</v>
      </c>
      <c r="F212" s="4" t="s">
        <v>25</v>
      </c>
      <c r="G212" s="4" t="s">
        <v>25</v>
      </c>
      <c r="H212" s="4" t="s">
        <v>33</v>
      </c>
      <c r="I212" s="5">
        <v>44593</v>
      </c>
      <c r="J212" s="6">
        <v>0</v>
      </c>
      <c r="K212" s="6">
        <v>0</v>
      </c>
      <c r="L212" s="6">
        <v>0.01</v>
      </c>
      <c r="M212" s="6">
        <v>0.01</v>
      </c>
      <c r="N212" s="6">
        <v>0.01</v>
      </c>
      <c r="O212" s="6">
        <v>0.01</v>
      </c>
      <c r="P212" s="6">
        <v>0</v>
      </c>
      <c r="Q212" s="4" t="s">
        <v>26</v>
      </c>
      <c r="R212" s="4">
        <v>0</v>
      </c>
      <c r="S212" s="6">
        <v>0</v>
      </c>
      <c r="T212" s="6">
        <v>34</v>
      </c>
      <c r="U212" s="6">
        <v>72</v>
      </c>
      <c r="V212" s="6">
        <f>IF(ISERROR(VLOOKUP($S$212,'TAR FIN'!$A$1:$O$88,15,0)),0,VLOOKUP($S$212,'TAR FIN'!$A$1:$O$88,15,0))</f>
        <v>0</v>
      </c>
      <c r="W212" s="6">
        <f>IF(ISERROR(VLOOKUP($T$212,'TAR FIN'!$A$1:$O$88,15,0)),0,VLOOKUP($T$212,'TAR FIN'!$A$1:$O$88,15,0))</f>
        <v>561.79999999999995</v>
      </c>
      <c r="X212" s="6">
        <f>IF(ISERROR(VLOOKUP($U$212,'TAR FIN'!$A$1:$O$88,15,0)),0,VLOOKUP($U$212,'TAR FIN'!$A$1:$O$88,15,0))</f>
        <v>437.87</v>
      </c>
      <c r="Y212" s="6"/>
      <c r="Z212" s="6">
        <f ca="1">('TUSD BE'!$AM$17+'TUSD BF_350'!$AM$17+'TUSD CVA'!$AM$17)*1</f>
        <v>776.277818607938</v>
      </c>
      <c r="AA212" s="6">
        <f ca="1">('TE BE'!$AB$8+'TE BF_350'!$AB$8+'TE CVA'!$AB$8)*1</f>
        <v>316.97983140624547</v>
      </c>
      <c r="AB212" s="6">
        <f>$K$212*$V$212</f>
        <v>0</v>
      </c>
      <c r="AC212" s="6">
        <f>$M$212*$W$212</f>
        <v>5.6179999999999994</v>
      </c>
      <c r="AD212" s="6">
        <f>$O$212*$X$212</f>
        <v>4.3787000000000003</v>
      </c>
      <c r="AE212" s="6">
        <f>$K$212*$Y$212</f>
        <v>0</v>
      </c>
      <c r="AF212" s="6">
        <f ca="1">$M$212*$Z$212</f>
        <v>7.7627781860793803</v>
      </c>
      <c r="AG212" s="6">
        <f ca="1">$O$212*$AA$212</f>
        <v>3.1697983140624548</v>
      </c>
    </row>
    <row r="213" spans="1:33" ht="11.25" customHeight="1" x14ac:dyDescent="0.25">
      <c r="A213" s="4" t="s">
        <v>21</v>
      </c>
      <c r="B213" s="4" t="s">
        <v>22</v>
      </c>
      <c r="C213" s="4" t="s">
        <v>32</v>
      </c>
      <c r="D213" s="4" t="s">
        <v>24</v>
      </c>
      <c r="E213" s="4" t="s">
        <v>24</v>
      </c>
      <c r="F213" s="4" t="s">
        <v>25</v>
      </c>
      <c r="G213" s="4" t="s">
        <v>25</v>
      </c>
      <c r="H213" s="4" t="s">
        <v>33</v>
      </c>
      <c r="I213" s="5">
        <v>44621</v>
      </c>
      <c r="J213" s="6">
        <v>0</v>
      </c>
      <c r="K213" s="6">
        <v>0</v>
      </c>
      <c r="L213" s="6">
        <v>0.01</v>
      </c>
      <c r="M213" s="6">
        <v>0.01</v>
      </c>
      <c r="N213" s="6">
        <v>0.01</v>
      </c>
      <c r="O213" s="6">
        <v>0.01</v>
      </c>
      <c r="P213" s="6">
        <v>0</v>
      </c>
      <c r="Q213" s="4" t="s">
        <v>26</v>
      </c>
      <c r="R213" s="4">
        <v>0</v>
      </c>
      <c r="S213" s="6">
        <v>0</v>
      </c>
      <c r="T213" s="6">
        <v>34</v>
      </c>
      <c r="U213" s="6">
        <v>72</v>
      </c>
      <c r="V213" s="6">
        <f>IF(ISERROR(VLOOKUP($S$213,'TAR FIN'!$A$1:$O$88,15,0)),0,VLOOKUP($S$213,'TAR FIN'!$A$1:$O$88,15,0))</f>
        <v>0</v>
      </c>
      <c r="W213" s="6">
        <f>IF(ISERROR(VLOOKUP($T$213,'TAR FIN'!$A$1:$O$88,15,0)),0,VLOOKUP($T$213,'TAR FIN'!$A$1:$O$88,15,0))</f>
        <v>561.79999999999995</v>
      </c>
      <c r="X213" s="6">
        <f>IF(ISERROR(VLOOKUP($U$213,'TAR FIN'!$A$1:$O$88,15,0)),0,VLOOKUP($U$213,'TAR FIN'!$A$1:$O$88,15,0))</f>
        <v>437.87</v>
      </c>
      <c r="Y213" s="6"/>
      <c r="Z213" s="6">
        <f ca="1">('TUSD BE'!$AM$17+'TUSD BF_350'!$AM$17+'TUSD CVA'!$AM$17)*1</f>
        <v>776.277818607938</v>
      </c>
      <c r="AA213" s="6">
        <f ca="1">('TE BE'!$AB$8+'TE BF_350'!$AB$8+'TE CVA'!$AB$8)*1</f>
        <v>316.97983140624547</v>
      </c>
      <c r="AB213" s="6">
        <f>$K$213*$V$213</f>
        <v>0</v>
      </c>
      <c r="AC213" s="6">
        <f>$M$213*$W$213</f>
        <v>5.6179999999999994</v>
      </c>
      <c r="AD213" s="6">
        <f>$O$213*$X$213</f>
        <v>4.3787000000000003</v>
      </c>
      <c r="AE213" s="6">
        <f>$K$213*$Y$213</f>
        <v>0</v>
      </c>
      <c r="AF213" s="6">
        <f ca="1">$M$213*$Z$213</f>
        <v>7.7627781860793803</v>
      </c>
      <c r="AG213" s="6">
        <f ca="1">$O$213*$AA$213</f>
        <v>3.1697983140624548</v>
      </c>
    </row>
    <row r="214" spans="1:33" ht="11.25" customHeight="1" x14ac:dyDescent="0.25">
      <c r="A214" s="4" t="s">
        <v>21</v>
      </c>
      <c r="B214" s="4" t="s">
        <v>22</v>
      </c>
      <c r="C214" s="4" t="s">
        <v>32</v>
      </c>
      <c r="D214" s="4" t="s">
        <v>24</v>
      </c>
      <c r="E214" s="4" t="s">
        <v>24</v>
      </c>
      <c r="F214" s="4" t="s">
        <v>25</v>
      </c>
      <c r="G214" s="4" t="s">
        <v>25</v>
      </c>
      <c r="H214" s="4" t="s">
        <v>33</v>
      </c>
      <c r="I214" s="5">
        <v>44652</v>
      </c>
      <c r="J214" s="6">
        <v>0</v>
      </c>
      <c r="K214" s="6">
        <v>0</v>
      </c>
      <c r="L214" s="6">
        <v>0.01</v>
      </c>
      <c r="M214" s="6">
        <v>0.01</v>
      </c>
      <c r="N214" s="6">
        <v>0.01</v>
      </c>
      <c r="O214" s="6">
        <v>0.01</v>
      </c>
      <c r="P214" s="6">
        <v>0</v>
      </c>
      <c r="Q214" s="4" t="s">
        <v>26</v>
      </c>
      <c r="R214" s="4">
        <v>0</v>
      </c>
      <c r="S214" s="6">
        <v>0</v>
      </c>
      <c r="T214" s="6">
        <v>34</v>
      </c>
      <c r="U214" s="6">
        <v>72</v>
      </c>
      <c r="V214" s="6">
        <f>IF(ISERROR(VLOOKUP($S$214,'TAR FIN'!$A$1:$O$88,15,0)),0,VLOOKUP($S$214,'TAR FIN'!$A$1:$O$88,15,0))</f>
        <v>0</v>
      </c>
      <c r="W214" s="6">
        <f>IF(ISERROR(VLOOKUP($T$214,'TAR FIN'!$A$1:$O$88,15,0)),0,VLOOKUP($T$214,'TAR FIN'!$A$1:$O$88,15,0))</f>
        <v>561.79999999999995</v>
      </c>
      <c r="X214" s="6">
        <f>IF(ISERROR(VLOOKUP($U$214,'TAR FIN'!$A$1:$O$88,15,0)),0,VLOOKUP($U$214,'TAR FIN'!$A$1:$O$88,15,0))</f>
        <v>437.87</v>
      </c>
      <c r="Y214" s="6"/>
      <c r="Z214" s="6">
        <f ca="1">('TUSD BE'!$AM$17+'TUSD BF_350'!$AM$17+'TUSD CVA'!$AM$17)*1</f>
        <v>776.277818607938</v>
      </c>
      <c r="AA214" s="6">
        <f ca="1">('TE BE'!$AB$8+'TE BF_350'!$AB$8+'TE CVA'!$AB$8)*1</f>
        <v>316.97983140624547</v>
      </c>
      <c r="AB214" s="6">
        <f>$K$214*$V$214</f>
        <v>0</v>
      </c>
      <c r="AC214" s="6">
        <f>$M$214*$W$214</f>
        <v>5.6179999999999994</v>
      </c>
      <c r="AD214" s="6">
        <f>$O$214*$X$214</f>
        <v>4.3787000000000003</v>
      </c>
      <c r="AE214" s="6">
        <f>$K$214*$Y$214</f>
        <v>0</v>
      </c>
      <c r="AF214" s="6">
        <f ca="1">$M$214*$Z$214</f>
        <v>7.7627781860793803</v>
      </c>
      <c r="AG214" s="6">
        <f ca="1">$O$214*$AA$214</f>
        <v>3.1697983140624548</v>
      </c>
    </row>
    <row r="215" spans="1:33" ht="11.25" customHeight="1" x14ac:dyDescent="0.25">
      <c r="A215" s="4" t="s">
        <v>21</v>
      </c>
      <c r="B215" s="4" t="s">
        <v>22</v>
      </c>
      <c r="C215" s="4" t="s">
        <v>32</v>
      </c>
      <c r="D215" s="4" t="s">
        <v>24</v>
      </c>
      <c r="E215" s="4" t="s">
        <v>24</v>
      </c>
      <c r="F215" s="4" t="s">
        <v>25</v>
      </c>
      <c r="G215" s="4" t="s">
        <v>25</v>
      </c>
      <c r="H215" s="4" t="s">
        <v>33</v>
      </c>
      <c r="I215" s="5">
        <v>44682</v>
      </c>
      <c r="J215" s="6">
        <v>0</v>
      </c>
      <c r="K215" s="6">
        <v>0</v>
      </c>
      <c r="L215" s="6">
        <v>8.9999999999999993E-3</v>
      </c>
      <c r="M215" s="6">
        <v>8.9999999999999993E-3</v>
      </c>
      <c r="N215" s="6">
        <v>8.9999999999999993E-3</v>
      </c>
      <c r="O215" s="6">
        <v>8.9999999999999993E-3</v>
      </c>
      <c r="P215" s="6">
        <v>0</v>
      </c>
      <c r="Q215" s="4" t="s">
        <v>26</v>
      </c>
      <c r="R215" s="4">
        <v>0</v>
      </c>
      <c r="S215" s="6">
        <v>0</v>
      </c>
      <c r="T215" s="6">
        <v>34</v>
      </c>
      <c r="U215" s="6">
        <v>72</v>
      </c>
      <c r="V215" s="6">
        <f>IF(ISERROR(VLOOKUP($S$215,'TAR FIN'!$A$1:$O$88,15,0)),0,VLOOKUP($S$215,'TAR FIN'!$A$1:$O$88,15,0))</f>
        <v>0</v>
      </c>
      <c r="W215" s="6">
        <f>IF(ISERROR(VLOOKUP($T$215,'TAR FIN'!$A$1:$O$88,15,0)),0,VLOOKUP($T$215,'TAR FIN'!$A$1:$O$88,15,0))</f>
        <v>561.79999999999995</v>
      </c>
      <c r="X215" s="6">
        <f>IF(ISERROR(VLOOKUP($U$215,'TAR FIN'!$A$1:$O$88,15,0)),0,VLOOKUP($U$215,'TAR FIN'!$A$1:$O$88,15,0))</f>
        <v>437.87</v>
      </c>
      <c r="Y215" s="6"/>
      <c r="Z215" s="6">
        <f ca="1">('TUSD BE'!$AM$17+'TUSD BF_350'!$AM$17+'TUSD CVA'!$AM$17)*1</f>
        <v>776.277818607938</v>
      </c>
      <c r="AA215" s="6">
        <f ca="1">('TE BE'!$AB$8+'TE BF_350'!$AB$8+'TE CVA'!$AB$8)*1</f>
        <v>316.97983140624547</v>
      </c>
      <c r="AB215" s="6">
        <f>$K$215*$V$215</f>
        <v>0</v>
      </c>
      <c r="AC215" s="6">
        <f>$M$215*$W$215</f>
        <v>5.0561999999999996</v>
      </c>
      <c r="AD215" s="6">
        <f>$O$215*$X$215</f>
        <v>3.9408299999999996</v>
      </c>
      <c r="AE215" s="6">
        <f>$K$215*$Y$215</f>
        <v>0</v>
      </c>
      <c r="AF215" s="6">
        <f ca="1">$M$215*$Z$215</f>
        <v>6.9865003674714412</v>
      </c>
      <c r="AG215" s="6">
        <f ca="1">$O$215*$AA$215</f>
        <v>2.8528184826562089</v>
      </c>
    </row>
    <row r="216" spans="1:33" ht="11.25" customHeight="1" x14ac:dyDescent="0.25">
      <c r="A216" s="4" t="s">
        <v>21</v>
      </c>
      <c r="B216" s="4" t="s">
        <v>22</v>
      </c>
      <c r="C216" s="4" t="s">
        <v>32</v>
      </c>
      <c r="D216" s="4" t="s">
        <v>24</v>
      </c>
      <c r="E216" s="4" t="s">
        <v>24</v>
      </c>
      <c r="F216" s="4" t="s">
        <v>25</v>
      </c>
      <c r="G216" s="4" t="s">
        <v>25</v>
      </c>
      <c r="H216" s="4" t="s">
        <v>33</v>
      </c>
      <c r="I216" s="5">
        <v>44713</v>
      </c>
      <c r="J216" s="6">
        <v>0</v>
      </c>
      <c r="K216" s="6">
        <v>0</v>
      </c>
      <c r="L216" s="6">
        <v>1.0999999999999999E-2</v>
      </c>
      <c r="M216" s="6">
        <v>1.0999999999999999E-2</v>
      </c>
      <c r="N216" s="6">
        <v>1.0999999999999999E-2</v>
      </c>
      <c r="O216" s="6">
        <v>1.0999999999999999E-2</v>
      </c>
      <c r="P216" s="6">
        <v>0</v>
      </c>
      <c r="Q216" s="4" t="s">
        <v>26</v>
      </c>
      <c r="R216" s="4">
        <v>0</v>
      </c>
      <c r="S216" s="6">
        <v>0</v>
      </c>
      <c r="T216" s="6">
        <v>34</v>
      </c>
      <c r="U216" s="6">
        <v>72</v>
      </c>
      <c r="V216" s="6">
        <f>IF(ISERROR(VLOOKUP($S$216,'TAR FIN'!$A$1:$O$88,15,0)),0,VLOOKUP($S$216,'TAR FIN'!$A$1:$O$88,15,0))</f>
        <v>0</v>
      </c>
      <c r="W216" s="6">
        <f>IF(ISERROR(VLOOKUP($T$216,'TAR FIN'!$A$1:$O$88,15,0)),0,VLOOKUP($T$216,'TAR FIN'!$A$1:$O$88,15,0))</f>
        <v>561.79999999999995</v>
      </c>
      <c r="X216" s="6">
        <f>IF(ISERROR(VLOOKUP($U$216,'TAR FIN'!$A$1:$O$88,15,0)),0,VLOOKUP($U$216,'TAR FIN'!$A$1:$O$88,15,0))</f>
        <v>437.87</v>
      </c>
      <c r="Y216" s="6"/>
      <c r="Z216" s="6">
        <f ca="1">('TUSD BE'!$AM$17+'TUSD BF_350'!$AM$17+'TUSD CVA'!$AM$17)*1</f>
        <v>776.277818607938</v>
      </c>
      <c r="AA216" s="6">
        <f ca="1">('TE BE'!$AB$8+'TE BF_350'!$AB$8+'TE CVA'!$AB$8)*1</f>
        <v>316.97983140624547</v>
      </c>
      <c r="AB216" s="6">
        <f>$K$216*$V$216</f>
        <v>0</v>
      </c>
      <c r="AC216" s="6">
        <f>$M$216*$W$216</f>
        <v>6.1797999999999993</v>
      </c>
      <c r="AD216" s="6">
        <f>$O$216*$X$216</f>
        <v>4.8165699999999996</v>
      </c>
      <c r="AE216" s="6">
        <f>$K$216*$Y$216</f>
        <v>0</v>
      </c>
      <c r="AF216" s="6">
        <f ca="1">$M$216*$Z$216</f>
        <v>8.5390560046873176</v>
      </c>
      <c r="AG216" s="6">
        <f ca="1">$O$216*$AA$216</f>
        <v>3.4867781454686999</v>
      </c>
    </row>
    <row r="217" spans="1:33" ht="11.25" customHeight="1" x14ac:dyDescent="0.25">
      <c r="A217" s="4" t="s">
        <v>55</v>
      </c>
      <c r="B217" s="4" t="s">
        <v>22</v>
      </c>
      <c r="C217" s="4" t="s">
        <v>32</v>
      </c>
      <c r="D217" s="4" t="s">
        <v>24</v>
      </c>
      <c r="E217" s="4" t="s">
        <v>24</v>
      </c>
      <c r="F217" s="4" t="s">
        <v>25</v>
      </c>
      <c r="G217" s="4" t="s">
        <v>25</v>
      </c>
      <c r="H217" s="4" t="s">
        <v>33</v>
      </c>
      <c r="I217" s="5">
        <v>44743</v>
      </c>
      <c r="J217" s="6">
        <v>0</v>
      </c>
      <c r="K217" s="6">
        <v>0</v>
      </c>
      <c r="L217" s="6">
        <v>1.0999999999999999E-2</v>
      </c>
      <c r="M217" s="6">
        <v>1.0999999999999999E-2</v>
      </c>
      <c r="N217" s="6">
        <v>1.0999999999999999E-2</v>
      </c>
      <c r="O217" s="6">
        <v>1.0999999999999999E-2</v>
      </c>
      <c r="P217" s="6">
        <v>0</v>
      </c>
      <c r="Q217" s="4" t="s">
        <v>26</v>
      </c>
      <c r="R217" s="4">
        <v>0</v>
      </c>
      <c r="S217" s="6">
        <v>0</v>
      </c>
      <c r="T217" s="6">
        <v>34</v>
      </c>
      <c r="U217" s="6">
        <v>72</v>
      </c>
      <c r="V217" s="6">
        <f>IF(ISERROR(VLOOKUP($S$217,'TAR FIN'!$A$1:$O$88,15,0)),0,VLOOKUP($S$217,'TAR FIN'!$A$1:$O$88,15,0))</f>
        <v>0</v>
      </c>
      <c r="W217" s="6">
        <f>IF(ISERROR(VLOOKUP($T$217,'TAR FIN'!$A$1:$O$88,15,0)),0,VLOOKUP($T$217,'TAR FIN'!$A$1:$O$88,15,0))</f>
        <v>561.79999999999995</v>
      </c>
      <c r="X217" s="6">
        <f>IF(ISERROR(VLOOKUP($U$217,'TAR FIN'!$A$1:$O$88,15,0)),0,VLOOKUP($U$217,'TAR FIN'!$A$1:$O$88,15,0))</f>
        <v>437.87</v>
      </c>
      <c r="Y217" s="6"/>
      <c r="Z217" s="6">
        <f ca="1">('TUSD BE'!$AM$17+'TUSD BF_350'!$AM$17+'TUSD CVA'!$AM$17)*1</f>
        <v>776.277818607938</v>
      </c>
      <c r="AA217" s="6">
        <f ca="1">('TE BE'!$AB$8+'TE BF_350'!$AB$8+'TE CVA'!$AB$8)*1</f>
        <v>316.97983140624547</v>
      </c>
      <c r="AB217" s="6">
        <f>$K$217*$V$217</f>
        <v>0</v>
      </c>
      <c r="AC217" s="6">
        <f>$M$217*$W$217</f>
        <v>6.1797999999999993</v>
      </c>
      <c r="AD217" s="6">
        <f>$O$217*$X$217</f>
        <v>4.8165699999999996</v>
      </c>
      <c r="AE217" s="6">
        <f>$K$217*$Y$217</f>
        <v>0</v>
      </c>
      <c r="AF217" s="6">
        <f ca="1">$M$217*$Z$217</f>
        <v>8.5390560046873176</v>
      </c>
      <c r="AG217" s="6">
        <f ca="1">$O$217*$AA$217</f>
        <v>3.4867781454686999</v>
      </c>
    </row>
    <row r="218" spans="1:33" ht="11.25" customHeight="1" x14ac:dyDescent="0.25">
      <c r="A218" s="4" t="s">
        <v>21</v>
      </c>
      <c r="B218" s="4" t="s">
        <v>22</v>
      </c>
      <c r="C218" s="4" t="s">
        <v>23</v>
      </c>
      <c r="D218" s="4" t="s">
        <v>24</v>
      </c>
      <c r="E218" s="4" t="s">
        <v>24</v>
      </c>
      <c r="F218" s="4" t="s">
        <v>25</v>
      </c>
      <c r="G218" s="4" t="s">
        <v>25</v>
      </c>
      <c r="H218" s="4" t="s">
        <v>25</v>
      </c>
      <c r="I218" s="5">
        <v>44409</v>
      </c>
      <c r="J218" s="6">
        <v>0</v>
      </c>
      <c r="K218" s="6">
        <v>0</v>
      </c>
      <c r="L218" s="6">
        <v>846.42</v>
      </c>
      <c r="M218" s="6">
        <v>846.42</v>
      </c>
      <c r="N218" s="6">
        <v>846.42</v>
      </c>
      <c r="O218" s="6">
        <v>846.42</v>
      </c>
      <c r="P218" s="6">
        <v>5673</v>
      </c>
      <c r="Q218" s="4" t="s">
        <v>26</v>
      </c>
      <c r="R218" s="4">
        <v>0</v>
      </c>
      <c r="S218" s="6">
        <v>0</v>
      </c>
      <c r="T218" s="6">
        <v>37</v>
      </c>
      <c r="U218" s="6">
        <v>75</v>
      </c>
      <c r="V218" s="6">
        <f>IF(ISERROR(VLOOKUP($S$218,'TAR FIN'!$A$1:$O$88,15,0)),0,VLOOKUP($S$218,'TAR FIN'!$A$1:$O$88,15,0))</f>
        <v>0</v>
      </c>
      <c r="W218" s="6">
        <f>IF(ISERROR(VLOOKUP($T$218,'TAR FIN'!$A$1:$O$88,15,0)),0,VLOOKUP($T$218,'TAR FIN'!$A$1:$O$88,15,0))</f>
        <v>269.91000000000003</v>
      </c>
      <c r="X218" s="6">
        <f>IF(ISERROR(VLOOKUP($U$218,'TAR FIN'!$A$1:$O$88,15,0)),0,VLOOKUP($U$218,'TAR FIN'!$A$1:$O$88,15,0))</f>
        <v>288.89999999999998</v>
      </c>
      <c r="Y218" s="6"/>
      <c r="Z218" s="6">
        <f ca="1">('TUSD BE'!$AM$20+'TUSD BF_350'!$AM$20+'TUSD CVA'!$AM$20)*1</f>
        <v>350.41122835255294</v>
      </c>
      <c r="AA218" s="6">
        <f ca="1">('TE BE'!$AB$11+'TE BF_350'!$AB$11+'TE CVA'!$AB$11)*1</f>
        <v>207.63042742196092</v>
      </c>
      <c r="AB218" s="6">
        <f>$K$218*$V$218</f>
        <v>0</v>
      </c>
      <c r="AC218" s="6">
        <f>$M$218*$W$218</f>
        <v>228457.22220000002</v>
      </c>
      <c r="AD218" s="6">
        <f>$O$218*$X$218</f>
        <v>244530.73799999998</v>
      </c>
      <c r="AE218" s="6">
        <f>$K$218*$Y$218</f>
        <v>0</v>
      </c>
      <c r="AF218" s="6">
        <f ca="1">$M$218*$Z$218</f>
        <v>296595.07190216787</v>
      </c>
      <c r="AG218" s="6">
        <f ca="1">$O$218*$AA$218</f>
        <v>175742.54637849616</v>
      </c>
    </row>
    <row r="219" spans="1:33" ht="11.25" customHeight="1" x14ac:dyDescent="0.25">
      <c r="A219" s="4" t="s">
        <v>27</v>
      </c>
      <c r="B219" s="4" t="s">
        <v>22</v>
      </c>
      <c r="C219" s="4" t="s">
        <v>23</v>
      </c>
      <c r="D219" s="4" t="s">
        <v>24</v>
      </c>
      <c r="E219" s="4" t="s">
        <v>24</v>
      </c>
      <c r="F219" s="4" t="s">
        <v>25</v>
      </c>
      <c r="G219" s="4" t="s">
        <v>25</v>
      </c>
      <c r="H219" s="4" t="s">
        <v>25</v>
      </c>
      <c r="I219" s="5">
        <v>44409</v>
      </c>
      <c r="J219" s="6">
        <v>0</v>
      </c>
      <c r="K219" s="6">
        <v>0</v>
      </c>
      <c r="L219" s="6">
        <v>17.163</v>
      </c>
      <c r="M219" s="6">
        <v>17.163</v>
      </c>
      <c r="N219" s="6">
        <v>17.163</v>
      </c>
      <c r="O219" s="6">
        <v>17.163</v>
      </c>
      <c r="P219" s="6">
        <v>160</v>
      </c>
      <c r="Q219" s="4" t="s">
        <v>26</v>
      </c>
      <c r="R219" s="4">
        <v>0</v>
      </c>
      <c r="S219" s="6">
        <v>0</v>
      </c>
      <c r="T219" s="6">
        <v>37</v>
      </c>
      <c r="U219" s="6">
        <v>75</v>
      </c>
      <c r="V219" s="6">
        <f>IF(ISERROR(VLOOKUP($S$219,'TAR FIN'!$A$1:$O$88,15,0)),0,VLOOKUP($S$219,'TAR FIN'!$A$1:$O$88,15,0))</f>
        <v>0</v>
      </c>
      <c r="W219" s="6">
        <f>IF(ISERROR(VLOOKUP($T$219,'TAR FIN'!$A$1:$O$88,15,0)),0,VLOOKUP($T$219,'TAR FIN'!$A$1:$O$88,15,0))</f>
        <v>269.91000000000003</v>
      </c>
      <c r="X219" s="6">
        <f>IF(ISERROR(VLOOKUP($U$219,'TAR FIN'!$A$1:$O$88,15,0)),0,VLOOKUP($U$219,'TAR FIN'!$A$1:$O$88,15,0))</f>
        <v>288.89999999999998</v>
      </c>
      <c r="Y219" s="6"/>
      <c r="Z219" s="6">
        <f ca="1">('TUSD BE'!$AM$20+'TUSD BF_350'!$AM$20+'TUSD CVA'!$AM$20)*1</f>
        <v>350.41122835255294</v>
      </c>
      <c r="AA219" s="6">
        <f ca="1">('TE BE'!$AB$11+'TE BF_350'!$AB$11+'TE CVA'!$AB$11)*1</f>
        <v>207.63042742196092</v>
      </c>
      <c r="AB219" s="6">
        <f>$K$219*$V$219</f>
        <v>0</v>
      </c>
      <c r="AC219" s="6">
        <f>$M$219*$W$219</f>
        <v>4632.4653300000009</v>
      </c>
      <c r="AD219" s="6">
        <f>$O$219*$X$219</f>
        <v>4958.3906999999999</v>
      </c>
      <c r="AE219" s="6">
        <f>$K$219*$Y$219</f>
        <v>0</v>
      </c>
      <c r="AF219" s="6">
        <f ca="1">$M$219*$Z$219</f>
        <v>6014.1079122148658</v>
      </c>
      <c r="AG219" s="6">
        <f ca="1">$O$219*$AA$219</f>
        <v>3563.5610258431152</v>
      </c>
    </row>
    <row r="220" spans="1:33" ht="11.25" customHeight="1" x14ac:dyDescent="0.25">
      <c r="A220" s="4" t="s">
        <v>21</v>
      </c>
      <c r="B220" s="4" t="s">
        <v>22</v>
      </c>
      <c r="C220" s="4" t="s">
        <v>23</v>
      </c>
      <c r="D220" s="4" t="s">
        <v>24</v>
      </c>
      <c r="E220" s="4" t="s">
        <v>24</v>
      </c>
      <c r="F220" s="4" t="s">
        <v>25</v>
      </c>
      <c r="G220" s="4" t="s">
        <v>25</v>
      </c>
      <c r="H220" s="4" t="s">
        <v>25</v>
      </c>
      <c r="I220" s="5">
        <v>44440</v>
      </c>
      <c r="J220" s="6">
        <v>0</v>
      </c>
      <c r="K220" s="6">
        <v>0</v>
      </c>
      <c r="L220" s="6">
        <v>898.92100000000005</v>
      </c>
      <c r="M220" s="6">
        <v>898.92100000000005</v>
      </c>
      <c r="N220" s="6">
        <v>898.92100000000005</v>
      </c>
      <c r="O220" s="6">
        <v>898.92100000000005</v>
      </c>
      <c r="P220" s="6">
        <v>5700</v>
      </c>
      <c r="Q220" s="4" t="s">
        <v>26</v>
      </c>
      <c r="R220" s="4">
        <v>0</v>
      </c>
      <c r="S220" s="6">
        <v>0</v>
      </c>
      <c r="T220" s="6">
        <v>37</v>
      </c>
      <c r="U220" s="6">
        <v>75</v>
      </c>
      <c r="V220" s="6">
        <f>IF(ISERROR(VLOOKUP($S$220,'TAR FIN'!$A$1:$O$88,15,0)),0,VLOOKUP($S$220,'TAR FIN'!$A$1:$O$88,15,0))</f>
        <v>0</v>
      </c>
      <c r="W220" s="6">
        <f>IF(ISERROR(VLOOKUP($T$220,'TAR FIN'!$A$1:$O$88,15,0)),0,VLOOKUP($T$220,'TAR FIN'!$A$1:$O$88,15,0))</f>
        <v>269.91000000000003</v>
      </c>
      <c r="X220" s="6">
        <f>IF(ISERROR(VLOOKUP($U$220,'TAR FIN'!$A$1:$O$88,15,0)),0,VLOOKUP($U$220,'TAR FIN'!$A$1:$O$88,15,0))</f>
        <v>288.89999999999998</v>
      </c>
      <c r="Y220" s="6"/>
      <c r="Z220" s="6">
        <f ca="1">('TUSD BE'!$AM$20+'TUSD BF_350'!$AM$20+'TUSD CVA'!$AM$20)*1</f>
        <v>350.41122835255294</v>
      </c>
      <c r="AA220" s="6">
        <f ca="1">('TE BE'!$AB$11+'TE BF_350'!$AB$11+'TE CVA'!$AB$11)*1</f>
        <v>207.63042742196092</v>
      </c>
      <c r="AB220" s="6">
        <f>$K$220*$V$220</f>
        <v>0</v>
      </c>
      <c r="AC220" s="6">
        <f>$M$220*$W$220</f>
        <v>242627.76711000004</v>
      </c>
      <c r="AD220" s="6">
        <f>$O$220*$X$220</f>
        <v>259698.2769</v>
      </c>
      <c r="AE220" s="6">
        <f>$K$220*$Y$220</f>
        <v>0</v>
      </c>
      <c r="AF220" s="6">
        <f ca="1">$M$220*$Z$220</f>
        <v>314992.01180190523</v>
      </c>
      <c r="AG220" s="6">
        <f ca="1">$O$220*$AA$220</f>
        <v>186643.35144857655</v>
      </c>
    </row>
    <row r="221" spans="1:33" ht="11.25" customHeight="1" x14ac:dyDescent="0.25">
      <c r="A221" s="4" t="s">
        <v>27</v>
      </c>
      <c r="B221" s="4" t="s">
        <v>22</v>
      </c>
      <c r="C221" s="4" t="s">
        <v>23</v>
      </c>
      <c r="D221" s="4" t="s">
        <v>24</v>
      </c>
      <c r="E221" s="4" t="s">
        <v>24</v>
      </c>
      <c r="F221" s="4" t="s">
        <v>25</v>
      </c>
      <c r="G221" s="4" t="s">
        <v>25</v>
      </c>
      <c r="H221" s="4" t="s">
        <v>25</v>
      </c>
      <c r="I221" s="5">
        <v>44440</v>
      </c>
      <c r="J221" s="6">
        <v>0</v>
      </c>
      <c r="K221" s="6">
        <v>0</v>
      </c>
      <c r="L221" s="6">
        <v>13.840999999999999</v>
      </c>
      <c r="M221" s="6">
        <v>13.840999999999999</v>
      </c>
      <c r="N221" s="6">
        <v>13.840999999999999</v>
      </c>
      <c r="O221" s="6">
        <v>13.840999999999999</v>
      </c>
      <c r="P221" s="6">
        <v>165</v>
      </c>
      <c r="Q221" s="4" t="s">
        <v>26</v>
      </c>
      <c r="R221" s="4">
        <v>0</v>
      </c>
      <c r="S221" s="6">
        <v>0</v>
      </c>
      <c r="T221" s="6">
        <v>37</v>
      </c>
      <c r="U221" s="6">
        <v>75</v>
      </c>
      <c r="V221" s="6">
        <f>IF(ISERROR(VLOOKUP($S$221,'TAR FIN'!$A$1:$O$88,15,0)),0,VLOOKUP($S$221,'TAR FIN'!$A$1:$O$88,15,0))</f>
        <v>0</v>
      </c>
      <c r="W221" s="6">
        <f>IF(ISERROR(VLOOKUP($T$221,'TAR FIN'!$A$1:$O$88,15,0)),0,VLOOKUP($T$221,'TAR FIN'!$A$1:$O$88,15,0))</f>
        <v>269.91000000000003</v>
      </c>
      <c r="X221" s="6">
        <f>IF(ISERROR(VLOOKUP($U$221,'TAR FIN'!$A$1:$O$88,15,0)),0,VLOOKUP($U$221,'TAR FIN'!$A$1:$O$88,15,0))</f>
        <v>288.89999999999998</v>
      </c>
      <c r="Y221" s="6"/>
      <c r="Z221" s="6">
        <f ca="1">('TUSD BE'!$AM$20+'TUSD BF_350'!$AM$20+'TUSD CVA'!$AM$20)*1</f>
        <v>350.41122835255294</v>
      </c>
      <c r="AA221" s="6">
        <f ca="1">('TE BE'!$AB$11+'TE BF_350'!$AB$11+'TE CVA'!$AB$11)*1</f>
        <v>207.63042742196092</v>
      </c>
      <c r="AB221" s="6">
        <f>$K$221*$V$221</f>
        <v>0</v>
      </c>
      <c r="AC221" s="6">
        <f>$M$221*$W$221</f>
        <v>3735.82431</v>
      </c>
      <c r="AD221" s="6">
        <f>$O$221*$X$221</f>
        <v>3998.6648999999993</v>
      </c>
      <c r="AE221" s="6">
        <f>$K$221*$Y$221</f>
        <v>0</v>
      </c>
      <c r="AF221" s="6">
        <f ca="1">$M$221*$Z$221</f>
        <v>4850.0418116276851</v>
      </c>
      <c r="AG221" s="6">
        <f ca="1">$O$221*$AA$221</f>
        <v>2873.8127459473608</v>
      </c>
    </row>
    <row r="222" spans="1:33" ht="11.25" customHeight="1" x14ac:dyDescent="0.25">
      <c r="A222" s="4" t="s">
        <v>21</v>
      </c>
      <c r="B222" s="4" t="s">
        <v>22</v>
      </c>
      <c r="C222" s="4" t="s">
        <v>23</v>
      </c>
      <c r="D222" s="4" t="s">
        <v>24</v>
      </c>
      <c r="E222" s="4" t="s">
        <v>24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0</v>
      </c>
      <c r="K222" s="6">
        <v>0</v>
      </c>
      <c r="L222" s="6">
        <v>795.89800000000002</v>
      </c>
      <c r="M222" s="6">
        <v>795.89800000000002</v>
      </c>
      <c r="N222" s="6">
        <v>795.89800000000002</v>
      </c>
      <c r="O222" s="6">
        <v>795.89800000000002</v>
      </c>
      <c r="P222" s="6">
        <v>5685</v>
      </c>
      <c r="Q222" s="4" t="s">
        <v>26</v>
      </c>
      <c r="R222" s="4">
        <v>0</v>
      </c>
      <c r="S222" s="6">
        <v>0</v>
      </c>
      <c r="T222" s="6">
        <v>37</v>
      </c>
      <c r="U222" s="6">
        <v>75</v>
      </c>
      <c r="V222" s="6">
        <f>IF(ISERROR(VLOOKUP($S$222,'TAR FIN'!$A$1:$O$88,15,0)),0,VLOOKUP($S$222,'TAR FIN'!$A$1:$O$88,15,0))</f>
        <v>0</v>
      </c>
      <c r="W222" s="6">
        <f>IF(ISERROR(VLOOKUP($T$222,'TAR FIN'!$A$1:$O$88,15,0)),0,VLOOKUP($T$222,'TAR FIN'!$A$1:$O$88,15,0))</f>
        <v>269.91000000000003</v>
      </c>
      <c r="X222" s="6">
        <f>IF(ISERROR(VLOOKUP($U$222,'TAR FIN'!$A$1:$O$88,15,0)),0,VLOOKUP($U$222,'TAR FIN'!$A$1:$O$88,15,0))</f>
        <v>288.89999999999998</v>
      </c>
      <c r="Y222" s="6"/>
      <c r="Z222" s="6">
        <f ca="1">('TUSD BE'!$AM$20+'TUSD BF_350'!$AM$20+'TUSD CVA'!$AM$20)*1</f>
        <v>350.41122835255294</v>
      </c>
      <c r="AA222" s="6">
        <f ca="1">('TE BE'!$AB$11+'TE BF_350'!$AB$11+'TE CVA'!$AB$11)*1</f>
        <v>207.63042742196092</v>
      </c>
      <c r="AB222" s="6">
        <f>$K$222*$V$222</f>
        <v>0</v>
      </c>
      <c r="AC222" s="6">
        <f>$M$222*$W$222</f>
        <v>214820.82918000003</v>
      </c>
      <c r="AD222" s="6">
        <f>$O$222*$X$222</f>
        <v>229934.93219999998</v>
      </c>
      <c r="AE222" s="6">
        <f>$K$222*$Y$222</f>
        <v>0</v>
      </c>
      <c r="AF222" s="6">
        <f ca="1">$M$222*$Z$222</f>
        <v>278891.59582334018</v>
      </c>
      <c r="AG222" s="6">
        <f ca="1">$O$222*$AA$222</f>
        <v>165252.64192428385</v>
      </c>
    </row>
    <row r="223" spans="1:33" ht="11.25" customHeight="1" x14ac:dyDescent="0.25">
      <c r="A223" s="4" t="s">
        <v>27</v>
      </c>
      <c r="B223" s="4" t="s">
        <v>22</v>
      </c>
      <c r="C223" s="4" t="s">
        <v>23</v>
      </c>
      <c r="D223" s="4" t="s">
        <v>24</v>
      </c>
      <c r="E223" s="4" t="s">
        <v>24</v>
      </c>
      <c r="F223" s="4" t="s">
        <v>25</v>
      </c>
      <c r="G223" s="4" t="s">
        <v>25</v>
      </c>
      <c r="H223" s="4" t="s">
        <v>25</v>
      </c>
      <c r="I223" s="5">
        <v>44470</v>
      </c>
      <c r="J223" s="6">
        <v>0</v>
      </c>
      <c r="K223" s="6">
        <v>0</v>
      </c>
      <c r="L223" s="6">
        <v>18.109000000000002</v>
      </c>
      <c r="M223" s="6">
        <v>18.109000000000002</v>
      </c>
      <c r="N223" s="6">
        <v>18.109000000000002</v>
      </c>
      <c r="O223" s="6">
        <v>18.109000000000002</v>
      </c>
      <c r="P223" s="6">
        <v>187</v>
      </c>
      <c r="Q223" s="4" t="s">
        <v>26</v>
      </c>
      <c r="R223" s="4">
        <v>0</v>
      </c>
      <c r="S223" s="6">
        <v>0</v>
      </c>
      <c r="T223" s="6">
        <v>37</v>
      </c>
      <c r="U223" s="6">
        <v>75</v>
      </c>
      <c r="V223" s="6">
        <f>IF(ISERROR(VLOOKUP($S$223,'TAR FIN'!$A$1:$O$88,15,0)),0,VLOOKUP($S$223,'TAR FIN'!$A$1:$O$88,15,0))</f>
        <v>0</v>
      </c>
      <c r="W223" s="6">
        <f>IF(ISERROR(VLOOKUP($T$223,'TAR FIN'!$A$1:$O$88,15,0)),0,VLOOKUP($T$223,'TAR FIN'!$A$1:$O$88,15,0))</f>
        <v>269.91000000000003</v>
      </c>
      <c r="X223" s="6">
        <f>IF(ISERROR(VLOOKUP($U$223,'TAR FIN'!$A$1:$O$88,15,0)),0,VLOOKUP($U$223,'TAR FIN'!$A$1:$O$88,15,0))</f>
        <v>288.89999999999998</v>
      </c>
      <c r="Y223" s="6"/>
      <c r="Z223" s="6">
        <f ca="1">('TUSD BE'!$AM$20+'TUSD BF_350'!$AM$20+'TUSD CVA'!$AM$20)*1</f>
        <v>350.41122835255294</v>
      </c>
      <c r="AA223" s="6">
        <f ca="1">('TE BE'!$AB$11+'TE BF_350'!$AB$11+'TE CVA'!$AB$11)*1</f>
        <v>207.63042742196092</v>
      </c>
      <c r="AB223" s="6">
        <f>$K$223*$V$223</f>
        <v>0</v>
      </c>
      <c r="AC223" s="6">
        <f>$M$223*$W$223</f>
        <v>4887.8001900000008</v>
      </c>
      <c r="AD223" s="6">
        <f>$O$223*$X$223</f>
        <v>5231.6900999999998</v>
      </c>
      <c r="AE223" s="6">
        <f>$K$223*$Y$223</f>
        <v>0</v>
      </c>
      <c r="AF223" s="6">
        <f ca="1">$M$223*$Z$223</f>
        <v>6345.5969342363815</v>
      </c>
      <c r="AG223" s="6">
        <f ca="1">$O$223*$AA$223</f>
        <v>3759.9794101842908</v>
      </c>
    </row>
    <row r="224" spans="1:33" ht="11.25" customHeight="1" x14ac:dyDescent="0.25">
      <c r="A224" s="4" t="s">
        <v>21</v>
      </c>
      <c r="B224" s="4" t="s">
        <v>22</v>
      </c>
      <c r="C224" s="4" t="s">
        <v>23</v>
      </c>
      <c r="D224" s="4" t="s">
        <v>24</v>
      </c>
      <c r="E224" s="4" t="s">
        <v>24</v>
      </c>
      <c r="F224" s="4" t="s">
        <v>25</v>
      </c>
      <c r="G224" s="4" t="s">
        <v>25</v>
      </c>
      <c r="H224" s="4" t="s">
        <v>25</v>
      </c>
      <c r="I224" s="5">
        <v>44501</v>
      </c>
      <c r="J224" s="6">
        <v>0</v>
      </c>
      <c r="K224" s="6">
        <v>0</v>
      </c>
      <c r="L224" s="6">
        <v>870.99800000000005</v>
      </c>
      <c r="M224" s="6">
        <v>870.99800000000005</v>
      </c>
      <c r="N224" s="6">
        <v>870.99800000000005</v>
      </c>
      <c r="O224" s="6">
        <v>870.99800000000005</v>
      </c>
      <c r="P224" s="6">
        <v>5654</v>
      </c>
      <c r="Q224" s="4" t="s">
        <v>26</v>
      </c>
      <c r="R224" s="4">
        <v>0</v>
      </c>
      <c r="S224" s="6">
        <v>0</v>
      </c>
      <c r="T224" s="6">
        <v>37</v>
      </c>
      <c r="U224" s="6">
        <v>75</v>
      </c>
      <c r="V224" s="6">
        <f>IF(ISERROR(VLOOKUP($S$224,'TAR FIN'!$A$1:$O$88,15,0)),0,VLOOKUP($S$224,'TAR FIN'!$A$1:$O$88,15,0))</f>
        <v>0</v>
      </c>
      <c r="W224" s="6">
        <f>IF(ISERROR(VLOOKUP($T$224,'TAR FIN'!$A$1:$O$88,15,0)),0,VLOOKUP($T$224,'TAR FIN'!$A$1:$O$88,15,0))</f>
        <v>269.91000000000003</v>
      </c>
      <c r="X224" s="6">
        <f>IF(ISERROR(VLOOKUP($U$224,'TAR FIN'!$A$1:$O$88,15,0)),0,VLOOKUP($U$224,'TAR FIN'!$A$1:$O$88,15,0))</f>
        <v>288.89999999999998</v>
      </c>
      <c r="Y224" s="6"/>
      <c r="Z224" s="6">
        <f ca="1">('TUSD BE'!$AM$20+'TUSD BF_350'!$AM$20+'TUSD CVA'!$AM$20)*1</f>
        <v>350.41122835255294</v>
      </c>
      <c r="AA224" s="6">
        <f ca="1">('TE BE'!$AB$11+'TE BF_350'!$AB$11+'TE CVA'!$AB$11)*1</f>
        <v>207.63042742196092</v>
      </c>
      <c r="AB224" s="6">
        <f>$K$224*$V$224</f>
        <v>0</v>
      </c>
      <c r="AC224" s="6">
        <f>$M$224*$W$224</f>
        <v>235091.07018000004</v>
      </c>
      <c r="AD224" s="6">
        <f>$O$224*$X$224</f>
        <v>251631.3222</v>
      </c>
      <c r="AE224" s="6">
        <f>$K$224*$Y$224</f>
        <v>0</v>
      </c>
      <c r="AF224" s="6">
        <f ca="1">$M$224*$Z$224</f>
        <v>305207.4790726169</v>
      </c>
      <c r="AG224" s="6">
        <f ca="1">$O$224*$AA$224</f>
        <v>180845.68702367312</v>
      </c>
    </row>
    <row r="225" spans="1:33" ht="11.25" customHeight="1" x14ac:dyDescent="0.25">
      <c r="A225" s="4" t="s">
        <v>27</v>
      </c>
      <c r="B225" s="4" t="s">
        <v>22</v>
      </c>
      <c r="C225" s="4" t="s">
        <v>23</v>
      </c>
      <c r="D225" s="4" t="s">
        <v>24</v>
      </c>
      <c r="E225" s="4" t="s">
        <v>24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0</v>
      </c>
      <c r="K225" s="6">
        <v>0</v>
      </c>
      <c r="L225" s="6">
        <v>16.065000000000001</v>
      </c>
      <c r="M225" s="6">
        <v>16.065000000000001</v>
      </c>
      <c r="N225" s="6">
        <v>16.065000000000001</v>
      </c>
      <c r="O225" s="6">
        <v>16.065000000000001</v>
      </c>
      <c r="P225" s="6">
        <v>205</v>
      </c>
      <c r="Q225" s="4" t="s">
        <v>26</v>
      </c>
      <c r="R225" s="4">
        <v>0</v>
      </c>
      <c r="S225" s="6">
        <v>0</v>
      </c>
      <c r="T225" s="6">
        <v>37</v>
      </c>
      <c r="U225" s="6">
        <v>75</v>
      </c>
      <c r="V225" s="6">
        <f>IF(ISERROR(VLOOKUP($S$225,'TAR FIN'!$A$1:$O$88,15,0)),0,VLOOKUP($S$225,'TAR FIN'!$A$1:$O$88,15,0))</f>
        <v>0</v>
      </c>
      <c r="W225" s="6">
        <f>IF(ISERROR(VLOOKUP($T$225,'TAR FIN'!$A$1:$O$88,15,0)),0,VLOOKUP($T$225,'TAR FIN'!$A$1:$O$88,15,0))</f>
        <v>269.91000000000003</v>
      </c>
      <c r="X225" s="6">
        <f>IF(ISERROR(VLOOKUP($U$225,'TAR FIN'!$A$1:$O$88,15,0)),0,VLOOKUP($U$225,'TAR FIN'!$A$1:$O$88,15,0))</f>
        <v>288.89999999999998</v>
      </c>
      <c r="Y225" s="6"/>
      <c r="Z225" s="6">
        <f ca="1">('TUSD BE'!$AM$20+'TUSD BF_350'!$AM$20+'TUSD CVA'!$AM$20)*1</f>
        <v>350.41122835255294</v>
      </c>
      <c r="AA225" s="6">
        <f ca="1">('TE BE'!$AB$11+'TE BF_350'!$AB$11+'TE CVA'!$AB$11)*1</f>
        <v>207.63042742196092</v>
      </c>
      <c r="AB225" s="6">
        <f>$K$225*$V$225</f>
        <v>0</v>
      </c>
      <c r="AC225" s="6">
        <f>$M$225*$W$225</f>
        <v>4336.104150000001</v>
      </c>
      <c r="AD225" s="6">
        <f>$O$225*$X$225</f>
        <v>4641.1785</v>
      </c>
      <c r="AE225" s="6">
        <f>$K$225*$Y$225</f>
        <v>0</v>
      </c>
      <c r="AF225" s="6">
        <f ca="1">$M$225*$Z$225</f>
        <v>5629.3563834837632</v>
      </c>
      <c r="AG225" s="6">
        <f ca="1">$O$225*$AA$225</f>
        <v>3335.5828165338025</v>
      </c>
    </row>
    <row r="226" spans="1:33" ht="11.25" customHeight="1" x14ac:dyDescent="0.25">
      <c r="A226" s="4" t="s">
        <v>21</v>
      </c>
      <c r="B226" s="4" t="s">
        <v>22</v>
      </c>
      <c r="C226" s="4" t="s">
        <v>23</v>
      </c>
      <c r="D226" s="4" t="s">
        <v>24</v>
      </c>
      <c r="E226" s="4" t="s">
        <v>24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0</v>
      </c>
      <c r="K226" s="6">
        <v>0</v>
      </c>
      <c r="L226" s="6">
        <v>980.88699999999994</v>
      </c>
      <c r="M226" s="6">
        <v>980.88699999999994</v>
      </c>
      <c r="N226" s="6">
        <v>980.88699999999994</v>
      </c>
      <c r="O226" s="6">
        <v>980.88699999999994</v>
      </c>
      <c r="P226" s="6">
        <v>5635</v>
      </c>
      <c r="Q226" s="4" t="s">
        <v>26</v>
      </c>
      <c r="R226" s="4">
        <v>0</v>
      </c>
      <c r="S226" s="6">
        <v>0</v>
      </c>
      <c r="T226" s="6">
        <v>37</v>
      </c>
      <c r="U226" s="6">
        <v>75</v>
      </c>
      <c r="V226" s="6">
        <f>IF(ISERROR(VLOOKUP($S$226,'TAR FIN'!$A$1:$O$88,15,0)),0,VLOOKUP($S$226,'TAR FIN'!$A$1:$O$88,15,0))</f>
        <v>0</v>
      </c>
      <c r="W226" s="6">
        <f>IF(ISERROR(VLOOKUP($T$226,'TAR FIN'!$A$1:$O$88,15,0)),0,VLOOKUP($T$226,'TAR FIN'!$A$1:$O$88,15,0))</f>
        <v>269.91000000000003</v>
      </c>
      <c r="X226" s="6">
        <f>IF(ISERROR(VLOOKUP($U$226,'TAR FIN'!$A$1:$O$88,15,0)),0,VLOOKUP($U$226,'TAR FIN'!$A$1:$O$88,15,0))</f>
        <v>288.89999999999998</v>
      </c>
      <c r="Y226" s="6"/>
      <c r="Z226" s="6">
        <f ca="1">('TUSD BE'!$AM$20+'TUSD BF_350'!$AM$20+'TUSD CVA'!$AM$20)*1</f>
        <v>350.41122835255294</v>
      </c>
      <c r="AA226" s="6">
        <f ca="1">('TE BE'!$AB$11+'TE BF_350'!$AB$11+'TE CVA'!$AB$11)*1</f>
        <v>207.63042742196092</v>
      </c>
      <c r="AB226" s="6">
        <f>$K$226*$V$226</f>
        <v>0</v>
      </c>
      <c r="AC226" s="6">
        <f>$M$226*$W$226</f>
        <v>264751.21017000003</v>
      </c>
      <c r="AD226" s="6">
        <f>$O$226*$X$226</f>
        <v>283378.25429999997</v>
      </c>
      <c r="AE226" s="6">
        <f>$K$226*$Y$226</f>
        <v>0</v>
      </c>
      <c r="AF226" s="6">
        <f ca="1">$M$226*$Z$226</f>
        <v>343713.81854505057</v>
      </c>
      <c r="AG226" s="6">
        <f ca="1">$O$226*$AA$226</f>
        <v>203661.98706264497</v>
      </c>
    </row>
    <row r="227" spans="1:33" ht="11.25" customHeight="1" x14ac:dyDescent="0.25">
      <c r="A227" s="4" t="s">
        <v>27</v>
      </c>
      <c r="B227" s="4" t="s">
        <v>22</v>
      </c>
      <c r="C227" s="4" t="s">
        <v>23</v>
      </c>
      <c r="D227" s="4" t="s">
        <v>24</v>
      </c>
      <c r="E227" s="4" t="s">
        <v>24</v>
      </c>
      <c r="F227" s="4" t="s">
        <v>25</v>
      </c>
      <c r="G227" s="4" t="s">
        <v>25</v>
      </c>
      <c r="H227" s="4" t="s">
        <v>25</v>
      </c>
      <c r="I227" s="5">
        <v>44531</v>
      </c>
      <c r="J227" s="6">
        <v>0</v>
      </c>
      <c r="K227" s="6">
        <v>0</v>
      </c>
      <c r="L227" s="6">
        <v>19.164999999999999</v>
      </c>
      <c r="M227" s="6">
        <v>19.164999999999999</v>
      </c>
      <c r="N227" s="6">
        <v>19.164999999999999</v>
      </c>
      <c r="O227" s="6">
        <v>19.164999999999999</v>
      </c>
      <c r="P227" s="6">
        <v>223</v>
      </c>
      <c r="Q227" s="4" t="s">
        <v>26</v>
      </c>
      <c r="R227" s="4">
        <v>0</v>
      </c>
      <c r="S227" s="6">
        <v>0</v>
      </c>
      <c r="T227" s="6">
        <v>37</v>
      </c>
      <c r="U227" s="6">
        <v>75</v>
      </c>
      <c r="V227" s="6">
        <f>IF(ISERROR(VLOOKUP($S$227,'TAR FIN'!$A$1:$O$88,15,0)),0,VLOOKUP($S$227,'TAR FIN'!$A$1:$O$88,15,0))</f>
        <v>0</v>
      </c>
      <c r="W227" s="6">
        <f>IF(ISERROR(VLOOKUP($T$227,'TAR FIN'!$A$1:$O$88,15,0)),0,VLOOKUP($T$227,'TAR FIN'!$A$1:$O$88,15,0))</f>
        <v>269.91000000000003</v>
      </c>
      <c r="X227" s="6">
        <f>IF(ISERROR(VLOOKUP($U$227,'TAR FIN'!$A$1:$O$88,15,0)),0,VLOOKUP($U$227,'TAR FIN'!$A$1:$O$88,15,0))</f>
        <v>288.89999999999998</v>
      </c>
      <c r="Y227" s="6"/>
      <c r="Z227" s="6">
        <f ca="1">('TUSD BE'!$AM$20+'TUSD BF_350'!$AM$20+'TUSD CVA'!$AM$20)*1</f>
        <v>350.41122835255294</v>
      </c>
      <c r="AA227" s="6">
        <f ca="1">('TE BE'!$AB$11+'TE BF_350'!$AB$11+'TE CVA'!$AB$11)*1</f>
        <v>207.63042742196092</v>
      </c>
      <c r="AB227" s="6">
        <f>$K$227*$V$227</f>
        <v>0</v>
      </c>
      <c r="AC227" s="6">
        <f>$M$227*$W$227</f>
        <v>5172.8251500000006</v>
      </c>
      <c r="AD227" s="6">
        <f>$O$227*$X$227</f>
        <v>5536.7684999999992</v>
      </c>
      <c r="AE227" s="6">
        <f>$K$227*$Y$227</f>
        <v>0</v>
      </c>
      <c r="AF227" s="6">
        <f ca="1">$M$227*$Z$227</f>
        <v>6715.6311913766767</v>
      </c>
      <c r="AG227" s="6">
        <f ca="1">$O$227*$AA$227</f>
        <v>3979.2371415418806</v>
      </c>
    </row>
    <row r="228" spans="1:33" ht="11.25" customHeight="1" x14ac:dyDescent="0.25">
      <c r="A228" s="4" t="s">
        <v>21</v>
      </c>
      <c r="B228" s="4" t="s">
        <v>22</v>
      </c>
      <c r="C228" s="4" t="s">
        <v>23</v>
      </c>
      <c r="D228" s="4" t="s">
        <v>24</v>
      </c>
      <c r="E228" s="4" t="s">
        <v>24</v>
      </c>
      <c r="F228" s="4" t="s">
        <v>25</v>
      </c>
      <c r="G228" s="4" t="s">
        <v>25</v>
      </c>
      <c r="H228" s="4" t="s">
        <v>25</v>
      </c>
      <c r="I228" s="5">
        <v>44562</v>
      </c>
      <c r="J228" s="6">
        <v>0</v>
      </c>
      <c r="K228" s="6">
        <v>0</v>
      </c>
      <c r="L228" s="6">
        <v>952.029</v>
      </c>
      <c r="M228" s="6">
        <v>952.029</v>
      </c>
      <c r="N228" s="6">
        <v>952.029</v>
      </c>
      <c r="O228" s="6">
        <v>952.029</v>
      </c>
      <c r="P228" s="6">
        <v>5611</v>
      </c>
      <c r="Q228" s="4" t="s">
        <v>26</v>
      </c>
      <c r="R228" s="4">
        <v>0</v>
      </c>
      <c r="S228" s="6">
        <v>0</v>
      </c>
      <c r="T228" s="6">
        <v>37</v>
      </c>
      <c r="U228" s="6">
        <v>75</v>
      </c>
      <c r="V228" s="6">
        <f>IF(ISERROR(VLOOKUP($S$228,'TAR FIN'!$A$1:$O$88,15,0)),0,VLOOKUP($S$228,'TAR FIN'!$A$1:$O$88,15,0))</f>
        <v>0</v>
      </c>
      <c r="W228" s="6">
        <f>IF(ISERROR(VLOOKUP($T$228,'TAR FIN'!$A$1:$O$88,15,0)),0,VLOOKUP($T$228,'TAR FIN'!$A$1:$O$88,15,0))</f>
        <v>269.91000000000003</v>
      </c>
      <c r="X228" s="6">
        <f>IF(ISERROR(VLOOKUP($U$228,'TAR FIN'!$A$1:$O$88,15,0)),0,VLOOKUP($U$228,'TAR FIN'!$A$1:$O$88,15,0))</f>
        <v>288.89999999999998</v>
      </c>
      <c r="Y228" s="6"/>
      <c r="Z228" s="6">
        <f ca="1">('TUSD BE'!$AM$20+'TUSD BF_350'!$AM$20+'TUSD CVA'!$AM$20)*1</f>
        <v>350.41122835255294</v>
      </c>
      <c r="AA228" s="6">
        <f ca="1">('TE BE'!$AB$11+'TE BF_350'!$AB$11+'TE CVA'!$AB$11)*1</f>
        <v>207.63042742196092</v>
      </c>
      <c r="AB228" s="6">
        <f>$K$228*$V$228</f>
        <v>0</v>
      </c>
      <c r="AC228" s="6">
        <f>$M$228*$W$228</f>
        <v>256962.14739000003</v>
      </c>
      <c r="AD228" s="6">
        <f>$O$228*$X$228</f>
        <v>275041.17809999996</v>
      </c>
      <c r="AE228" s="6">
        <f>$K$228*$Y$228</f>
        <v>0</v>
      </c>
      <c r="AF228" s="6">
        <f ca="1">$M$228*$Z$228</f>
        <v>333601.6513172526</v>
      </c>
      <c r="AG228" s="6">
        <f ca="1">$O$228*$AA$228</f>
        <v>197670.18818810204</v>
      </c>
    </row>
    <row r="229" spans="1:33" ht="11.25" customHeight="1" x14ac:dyDescent="0.25">
      <c r="A229" s="4" t="s">
        <v>27</v>
      </c>
      <c r="B229" s="4" t="s">
        <v>22</v>
      </c>
      <c r="C229" s="4" t="s">
        <v>23</v>
      </c>
      <c r="D229" s="4" t="s">
        <v>24</v>
      </c>
      <c r="E229" s="4" t="s">
        <v>24</v>
      </c>
      <c r="F229" s="4" t="s">
        <v>25</v>
      </c>
      <c r="G229" s="4" t="s">
        <v>25</v>
      </c>
      <c r="H229" s="4" t="s">
        <v>25</v>
      </c>
      <c r="I229" s="5">
        <v>44562</v>
      </c>
      <c r="J229" s="6">
        <v>0</v>
      </c>
      <c r="K229" s="6">
        <v>0</v>
      </c>
      <c r="L229" s="6">
        <v>20.507000000000001</v>
      </c>
      <c r="M229" s="6">
        <v>20.507000000000001</v>
      </c>
      <c r="N229" s="6">
        <v>20.507000000000001</v>
      </c>
      <c r="O229" s="6">
        <v>20.507000000000001</v>
      </c>
      <c r="P229" s="6">
        <v>234</v>
      </c>
      <c r="Q229" s="4" t="s">
        <v>26</v>
      </c>
      <c r="R229" s="4">
        <v>0</v>
      </c>
      <c r="S229" s="6">
        <v>0</v>
      </c>
      <c r="T229" s="6">
        <v>37</v>
      </c>
      <c r="U229" s="6">
        <v>75</v>
      </c>
      <c r="V229" s="6">
        <f>IF(ISERROR(VLOOKUP($S$229,'TAR FIN'!$A$1:$O$88,15,0)),0,VLOOKUP($S$229,'TAR FIN'!$A$1:$O$88,15,0))</f>
        <v>0</v>
      </c>
      <c r="W229" s="6">
        <f>IF(ISERROR(VLOOKUP($T$229,'TAR FIN'!$A$1:$O$88,15,0)),0,VLOOKUP($T$229,'TAR FIN'!$A$1:$O$88,15,0))</f>
        <v>269.91000000000003</v>
      </c>
      <c r="X229" s="6">
        <f>IF(ISERROR(VLOOKUP($U$229,'TAR FIN'!$A$1:$O$88,15,0)),0,VLOOKUP($U$229,'TAR FIN'!$A$1:$O$88,15,0))</f>
        <v>288.89999999999998</v>
      </c>
      <c r="Y229" s="6"/>
      <c r="Z229" s="6">
        <f ca="1">('TUSD BE'!$AM$20+'TUSD BF_350'!$AM$20+'TUSD CVA'!$AM$20)*1</f>
        <v>350.41122835255294</v>
      </c>
      <c r="AA229" s="6">
        <f ca="1">('TE BE'!$AB$11+'TE BF_350'!$AB$11+'TE CVA'!$AB$11)*1</f>
        <v>207.63042742196092</v>
      </c>
      <c r="AB229" s="6">
        <f>$K$229*$V$229</f>
        <v>0</v>
      </c>
      <c r="AC229" s="6">
        <f>$M$229*$W$229</f>
        <v>5535.0443700000005</v>
      </c>
      <c r="AD229" s="6">
        <f>$O$229*$X$229</f>
        <v>5924.4723000000004</v>
      </c>
      <c r="AE229" s="6">
        <f>$K$229*$Y$229</f>
        <v>0</v>
      </c>
      <c r="AF229" s="6">
        <f ca="1">$M$229*$Z$229</f>
        <v>7185.8830598258037</v>
      </c>
      <c r="AG229" s="6">
        <f ca="1">$O$229*$AA$229</f>
        <v>4257.8771751421527</v>
      </c>
    </row>
    <row r="230" spans="1:33" ht="11.25" customHeight="1" x14ac:dyDescent="0.25">
      <c r="A230" s="4" t="s">
        <v>21</v>
      </c>
      <c r="B230" s="4" t="s">
        <v>22</v>
      </c>
      <c r="C230" s="4" t="s">
        <v>23</v>
      </c>
      <c r="D230" s="4" t="s">
        <v>24</v>
      </c>
      <c r="E230" s="4" t="s">
        <v>24</v>
      </c>
      <c r="F230" s="4" t="s">
        <v>25</v>
      </c>
      <c r="G230" s="4" t="s">
        <v>25</v>
      </c>
      <c r="H230" s="4" t="s">
        <v>25</v>
      </c>
      <c r="I230" s="5">
        <v>44593</v>
      </c>
      <c r="J230" s="6">
        <v>0</v>
      </c>
      <c r="K230" s="6">
        <v>0</v>
      </c>
      <c r="L230" s="6">
        <v>840.39200000000005</v>
      </c>
      <c r="M230" s="6">
        <v>840.39200000000005</v>
      </c>
      <c r="N230" s="6">
        <v>840.39200000000005</v>
      </c>
      <c r="O230" s="6">
        <v>840.39200000000005</v>
      </c>
      <c r="P230" s="6">
        <v>5585</v>
      </c>
      <c r="Q230" s="4" t="s">
        <v>26</v>
      </c>
      <c r="R230" s="4">
        <v>0</v>
      </c>
      <c r="S230" s="6">
        <v>0</v>
      </c>
      <c r="T230" s="6">
        <v>37</v>
      </c>
      <c r="U230" s="6">
        <v>75</v>
      </c>
      <c r="V230" s="6">
        <f>IF(ISERROR(VLOOKUP($S$230,'TAR FIN'!$A$1:$O$88,15,0)),0,VLOOKUP($S$230,'TAR FIN'!$A$1:$O$88,15,0))</f>
        <v>0</v>
      </c>
      <c r="W230" s="6">
        <f>IF(ISERROR(VLOOKUP($T$230,'TAR FIN'!$A$1:$O$88,15,0)),0,VLOOKUP($T$230,'TAR FIN'!$A$1:$O$88,15,0))</f>
        <v>269.91000000000003</v>
      </c>
      <c r="X230" s="6">
        <f>IF(ISERROR(VLOOKUP($U$230,'TAR FIN'!$A$1:$O$88,15,0)),0,VLOOKUP($U$230,'TAR FIN'!$A$1:$O$88,15,0))</f>
        <v>288.89999999999998</v>
      </c>
      <c r="Y230" s="6"/>
      <c r="Z230" s="6">
        <f ca="1">('TUSD BE'!$AM$20+'TUSD BF_350'!$AM$20+'TUSD CVA'!$AM$20)*1</f>
        <v>350.41122835255294</v>
      </c>
      <c r="AA230" s="6">
        <f ca="1">('TE BE'!$AB$11+'TE BF_350'!$AB$11+'TE CVA'!$AB$11)*1</f>
        <v>207.63042742196092</v>
      </c>
      <c r="AB230" s="6">
        <f>$K$230*$V$230</f>
        <v>0</v>
      </c>
      <c r="AC230" s="6">
        <f>$M$230*$W$230</f>
        <v>226830.20472000004</v>
      </c>
      <c r="AD230" s="6">
        <f>$O$230*$X$230</f>
        <v>242789.2488</v>
      </c>
      <c r="AE230" s="6">
        <f>$K$230*$Y$230</f>
        <v>0</v>
      </c>
      <c r="AF230" s="6">
        <f ca="1">$M$230*$Z$230</f>
        <v>294482.7930176587</v>
      </c>
      <c r="AG230" s="6">
        <f ca="1">$O$230*$AA$230</f>
        <v>174490.95016199659</v>
      </c>
    </row>
    <row r="231" spans="1:33" ht="11.25" customHeight="1" x14ac:dyDescent="0.25">
      <c r="A231" s="4" t="s">
        <v>27</v>
      </c>
      <c r="B231" s="4" t="s">
        <v>22</v>
      </c>
      <c r="C231" s="4" t="s">
        <v>23</v>
      </c>
      <c r="D231" s="4" t="s">
        <v>24</v>
      </c>
      <c r="E231" s="4" t="s">
        <v>24</v>
      </c>
      <c r="F231" s="4" t="s">
        <v>25</v>
      </c>
      <c r="G231" s="4" t="s">
        <v>25</v>
      </c>
      <c r="H231" s="4" t="s">
        <v>25</v>
      </c>
      <c r="I231" s="5">
        <v>44593</v>
      </c>
      <c r="J231" s="6">
        <v>0</v>
      </c>
      <c r="K231" s="6">
        <v>0</v>
      </c>
      <c r="L231" s="6">
        <v>20.370999999999999</v>
      </c>
      <c r="M231" s="6">
        <v>20.370999999999999</v>
      </c>
      <c r="N231" s="6">
        <v>20.370999999999999</v>
      </c>
      <c r="O231" s="6">
        <v>20.370999999999999</v>
      </c>
      <c r="P231" s="6">
        <v>247</v>
      </c>
      <c r="Q231" s="4" t="s">
        <v>26</v>
      </c>
      <c r="R231" s="4">
        <v>0</v>
      </c>
      <c r="S231" s="6">
        <v>0</v>
      </c>
      <c r="T231" s="6">
        <v>37</v>
      </c>
      <c r="U231" s="6">
        <v>75</v>
      </c>
      <c r="V231" s="6">
        <f>IF(ISERROR(VLOOKUP($S$231,'TAR FIN'!$A$1:$O$88,15,0)),0,VLOOKUP($S$231,'TAR FIN'!$A$1:$O$88,15,0))</f>
        <v>0</v>
      </c>
      <c r="W231" s="6">
        <f>IF(ISERROR(VLOOKUP($T$231,'TAR FIN'!$A$1:$O$88,15,0)),0,VLOOKUP($T$231,'TAR FIN'!$A$1:$O$88,15,0))</f>
        <v>269.91000000000003</v>
      </c>
      <c r="X231" s="6">
        <f>IF(ISERROR(VLOOKUP($U$231,'TAR FIN'!$A$1:$O$88,15,0)),0,VLOOKUP($U$231,'TAR FIN'!$A$1:$O$88,15,0))</f>
        <v>288.89999999999998</v>
      </c>
      <c r="Y231" s="6"/>
      <c r="Z231" s="6">
        <f ca="1">('TUSD BE'!$AM$20+'TUSD BF_350'!$AM$20+'TUSD CVA'!$AM$20)*1</f>
        <v>350.41122835255294</v>
      </c>
      <c r="AA231" s="6">
        <f ca="1">('TE BE'!$AB$11+'TE BF_350'!$AB$11+'TE CVA'!$AB$11)*1</f>
        <v>207.63042742196092</v>
      </c>
      <c r="AB231" s="6">
        <f>$K$231*$V$231</f>
        <v>0</v>
      </c>
      <c r="AC231" s="6">
        <f>$M$231*$W$231</f>
        <v>5498.3366100000003</v>
      </c>
      <c r="AD231" s="6">
        <f>$O$231*$X$231</f>
        <v>5885.1818999999996</v>
      </c>
      <c r="AE231" s="6">
        <f>$K$231*$Y$231</f>
        <v>0</v>
      </c>
      <c r="AF231" s="6">
        <f ca="1">$M$231*$Z$231</f>
        <v>7138.2271327698554</v>
      </c>
      <c r="AG231" s="6">
        <f ca="1">$O$231*$AA$231</f>
        <v>4229.6394370127655</v>
      </c>
    </row>
    <row r="232" spans="1:33" ht="11.25" customHeight="1" x14ac:dyDescent="0.25">
      <c r="A232" s="4" t="s">
        <v>21</v>
      </c>
      <c r="B232" s="4" t="s">
        <v>22</v>
      </c>
      <c r="C232" s="4" t="s">
        <v>23</v>
      </c>
      <c r="D232" s="4" t="s">
        <v>24</v>
      </c>
      <c r="E232" s="4" t="s">
        <v>24</v>
      </c>
      <c r="F232" s="4" t="s">
        <v>25</v>
      </c>
      <c r="G232" s="4" t="s">
        <v>25</v>
      </c>
      <c r="H232" s="4" t="s">
        <v>25</v>
      </c>
      <c r="I232" s="5">
        <v>44621</v>
      </c>
      <c r="J232" s="6">
        <v>0</v>
      </c>
      <c r="K232" s="6">
        <v>0</v>
      </c>
      <c r="L232" s="6">
        <v>915.86900000000003</v>
      </c>
      <c r="M232" s="6">
        <v>915.86900000000003</v>
      </c>
      <c r="N232" s="6">
        <v>915.86900000000003</v>
      </c>
      <c r="O232" s="6">
        <v>915.86900000000003</v>
      </c>
      <c r="P232" s="6">
        <v>5572</v>
      </c>
      <c r="Q232" s="4" t="s">
        <v>26</v>
      </c>
      <c r="R232" s="4">
        <v>0</v>
      </c>
      <c r="S232" s="6">
        <v>0</v>
      </c>
      <c r="T232" s="6">
        <v>37</v>
      </c>
      <c r="U232" s="6">
        <v>75</v>
      </c>
      <c r="V232" s="6">
        <f>IF(ISERROR(VLOOKUP($S$232,'TAR FIN'!$A$1:$O$88,15,0)),0,VLOOKUP($S$232,'TAR FIN'!$A$1:$O$88,15,0))</f>
        <v>0</v>
      </c>
      <c r="W232" s="6">
        <f>IF(ISERROR(VLOOKUP($T$232,'TAR FIN'!$A$1:$O$88,15,0)),0,VLOOKUP($T$232,'TAR FIN'!$A$1:$O$88,15,0))</f>
        <v>269.91000000000003</v>
      </c>
      <c r="X232" s="6">
        <f>IF(ISERROR(VLOOKUP($U$232,'TAR FIN'!$A$1:$O$88,15,0)),0,VLOOKUP($U$232,'TAR FIN'!$A$1:$O$88,15,0))</f>
        <v>288.89999999999998</v>
      </c>
      <c r="Y232" s="6"/>
      <c r="Z232" s="6">
        <f ca="1">('TUSD BE'!$AM$20+'TUSD BF_350'!$AM$20+'TUSD CVA'!$AM$20)*1</f>
        <v>350.41122835255294</v>
      </c>
      <c r="AA232" s="6">
        <f ca="1">('TE BE'!$AB$11+'TE BF_350'!$AB$11+'TE CVA'!$AB$11)*1</f>
        <v>207.63042742196092</v>
      </c>
      <c r="AB232" s="6">
        <f>$K$232*$V$232</f>
        <v>0</v>
      </c>
      <c r="AC232" s="6">
        <f>$M$232*$W$232</f>
        <v>247202.20179000002</v>
      </c>
      <c r="AD232" s="6">
        <f>$O$232*$X$232</f>
        <v>264594.55410000001</v>
      </c>
      <c r="AE232" s="6">
        <f>$K$232*$Y$232</f>
        <v>0</v>
      </c>
      <c r="AF232" s="6">
        <f ca="1">$M$232*$Z$232</f>
        <v>320930.7813000243</v>
      </c>
      <c r="AG232" s="6">
        <f ca="1">$O$232*$AA$232</f>
        <v>190162.27193252393</v>
      </c>
    </row>
    <row r="233" spans="1:33" ht="11.25" customHeight="1" x14ac:dyDescent="0.25">
      <c r="A233" s="4" t="s">
        <v>27</v>
      </c>
      <c r="B233" s="4" t="s">
        <v>22</v>
      </c>
      <c r="C233" s="4" t="s">
        <v>23</v>
      </c>
      <c r="D233" s="4" t="s">
        <v>24</v>
      </c>
      <c r="E233" s="4" t="s">
        <v>24</v>
      </c>
      <c r="F233" s="4" t="s">
        <v>25</v>
      </c>
      <c r="G233" s="4" t="s">
        <v>25</v>
      </c>
      <c r="H233" s="4" t="s">
        <v>25</v>
      </c>
      <c r="I233" s="5">
        <v>44621</v>
      </c>
      <c r="J233" s="6">
        <v>0</v>
      </c>
      <c r="K233" s="6">
        <v>0</v>
      </c>
      <c r="L233" s="6">
        <v>25.789000000000001</v>
      </c>
      <c r="M233" s="6">
        <v>25.789000000000001</v>
      </c>
      <c r="N233" s="6">
        <v>25.789000000000001</v>
      </c>
      <c r="O233" s="6">
        <v>25.789000000000001</v>
      </c>
      <c r="P233" s="6">
        <v>256</v>
      </c>
      <c r="Q233" s="4" t="s">
        <v>26</v>
      </c>
      <c r="R233" s="4">
        <v>0</v>
      </c>
      <c r="S233" s="6">
        <v>0</v>
      </c>
      <c r="T233" s="6">
        <v>37</v>
      </c>
      <c r="U233" s="6">
        <v>75</v>
      </c>
      <c r="V233" s="6">
        <f>IF(ISERROR(VLOOKUP($S$233,'TAR FIN'!$A$1:$O$88,15,0)),0,VLOOKUP($S$233,'TAR FIN'!$A$1:$O$88,15,0))</f>
        <v>0</v>
      </c>
      <c r="W233" s="6">
        <f>IF(ISERROR(VLOOKUP($T$233,'TAR FIN'!$A$1:$O$88,15,0)),0,VLOOKUP($T$233,'TAR FIN'!$A$1:$O$88,15,0))</f>
        <v>269.91000000000003</v>
      </c>
      <c r="X233" s="6">
        <f>IF(ISERROR(VLOOKUP($U$233,'TAR FIN'!$A$1:$O$88,15,0)),0,VLOOKUP($U$233,'TAR FIN'!$A$1:$O$88,15,0))</f>
        <v>288.89999999999998</v>
      </c>
      <c r="Y233" s="6"/>
      <c r="Z233" s="6">
        <f ca="1">('TUSD BE'!$AM$20+'TUSD BF_350'!$AM$20+'TUSD CVA'!$AM$20)*1</f>
        <v>350.41122835255294</v>
      </c>
      <c r="AA233" s="6">
        <f ca="1">('TE BE'!$AB$11+'TE BF_350'!$AB$11+'TE CVA'!$AB$11)*1</f>
        <v>207.63042742196092</v>
      </c>
      <c r="AB233" s="6">
        <f>$K$233*$V$233</f>
        <v>0</v>
      </c>
      <c r="AC233" s="6">
        <f>$M$233*$W$233</f>
        <v>6960.708990000001</v>
      </c>
      <c r="AD233" s="6">
        <f>$O$233*$X$233</f>
        <v>7450.4421000000002</v>
      </c>
      <c r="AE233" s="6">
        <f>$K$233*$Y$233</f>
        <v>0</v>
      </c>
      <c r="AF233" s="6">
        <f ca="1">$M$233*$Z$233</f>
        <v>9036.7551679839889</v>
      </c>
      <c r="AG233" s="6">
        <f ca="1">$O$233*$AA$233</f>
        <v>5354.5810927849507</v>
      </c>
    </row>
    <row r="234" spans="1:33" ht="11.25" customHeight="1" x14ac:dyDescent="0.25">
      <c r="A234" s="4" t="s">
        <v>21</v>
      </c>
      <c r="B234" s="4" t="s">
        <v>22</v>
      </c>
      <c r="C234" s="4" t="s">
        <v>23</v>
      </c>
      <c r="D234" s="4" t="s">
        <v>24</v>
      </c>
      <c r="E234" s="4" t="s">
        <v>24</v>
      </c>
      <c r="F234" s="4" t="s">
        <v>25</v>
      </c>
      <c r="G234" s="4" t="s">
        <v>25</v>
      </c>
      <c r="H234" s="4" t="s">
        <v>25</v>
      </c>
      <c r="I234" s="5">
        <v>44652</v>
      </c>
      <c r="J234" s="6">
        <v>0</v>
      </c>
      <c r="K234" s="6">
        <v>0</v>
      </c>
      <c r="L234" s="6">
        <v>806.23099999999999</v>
      </c>
      <c r="M234" s="6">
        <v>806.23099999999999</v>
      </c>
      <c r="N234" s="6">
        <v>806.23099999999999</v>
      </c>
      <c r="O234" s="6">
        <v>806.23099999999999</v>
      </c>
      <c r="P234" s="6">
        <v>5559</v>
      </c>
      <c r="Q234" s="4" t="s">
        <v>26</v>
      </c>
      <c r="R234" s="4">
        <v>0</v>
      </c>
      <c r="S234" s="6">
        <v>0</v>
      </c>
      <c r="T234" s="6">
        <v>37</v>
      </c>
      <c r="U234" s="6">
        <v>75</v>
      </c>
      <c r="V234" s="6">
        <f>IF(ISERROR(VLOOKUP($S$234,'TAR FIN'!$A$1:$O$88,15,0)),0,VLOOKUP($S$234,'TAR FIN'!$A$1:$O$88,15,0))</f>
        <v>0</v>
      </c>
      <c r="W234" s="6">
        <f>IF(ISERROR(VLOOKUP($T$234,'TAR FIN'!$A$1:$O$88,15,0)),0,VLOOKUP($T$234,'TAR FIN'!$A$1:$O$88,15,0))</f>
        <v>269.91000000000003</v>
      </c>
      <c r="X234" s="6">
        <f>IF(ISERROR(VLOOKUP($U$234,'TAR FIN'!$A$1:$O$88,15,0)),0,VLOOKUP($U$234,'TAR FIN'!$A$1:$O$88,15,0))</f>
        <v>288.89999999999998</v>
      </c>
      <c r="Y234" s="6"/>
      <c r="Z234" s="6">
        <f ca="1">('TUSD BE'!$AM$20+'TUSD BF_350'!$AM$20+'TUSD CVA'!$AM$20)*1</f>
        <v>350.41122835255294</v>
      </c>
      <c r="AA234" s="6">
        <f ca="1">('TE BE'!$AB$11+'TE BF_350'!$AB$11+'TE CVA'!$AB$11)*1</f>
        <v>207.63042742196092</v>
      </c>
      <c r="AB234" s="6">
        <f>$K$234*$V$234</f>
        <v>0</v>
      </c>
      <c r="AC234" s="6">
        <f>$M$234*$W$234</f>
        <v>217609.80921000001</v>
      </c>
      <c r="AD234" s="6">
        <f>$O$234*$X$234</f>
        <v>232920.13589999999</v>
      </c>
      <c r="AE234" s="6">
        <f>$K$234*$Y$234</f>
        <v>0</v>
      </c>
      <c r="AF234" s="6">
        <f ca="1">$M$234*$Z$234</f>
        <v>282512.39504590712</v>
      </c>
      <c r="AG234" s="6">
        <f ca="1">$O$234*$AA$234</f>
        <v>167398.08713083496</v>
      </c>
    </row>
    <row r="235" spans="1:33" ht="11.25" customHeight="1" x14ac:dyDescent="0.25">
      <c r="A235" s="4" t="s">
        <v>27</v>
      </c>
      <c r="B235" s="4" t="s">
        <v>22</v>
      </c>
      <c r="C235" s="4" t="s">
        <v>23</v>
      </c>
      <c r="D235" s="4" t="s">
        <v>24</v>
      </c>
      <c r="E235" s="4" t="s">
        <v>24</v>
      </c>
      <c r="F235" s="4" t="s">
        <v>25</v>
      </c>
      <c r="G235" s="4" t="s">
        <v>25</v>
      </c>
      <c r="H235" s="4" t="s">
        <v>25</v>
      </c>
      <c r="I235" s="5">
        <v>44652</v>
      </c>
      <c r="J235" s="6">
        <v>0</v>
      </c>
      <c r="K235" s="6">
        <v>0</v>
      </c>
      <c r="L235" s="6">
        <v>23.277999999999999</v>
      </c>
      <c r="M235" s="6">
        <v>23.277999999999999</v>
      </c>
      <c r="N235" s="6">
        <v>23.277999999999999</v>
      </c>
      <c r="O235" s="6">
        <v>23.277999999999999</v>
      </c>
      <c r="P235" s="6">
        <v>269</v>
      </c>
      <c r="Q235" s="4" t="s">
        <v>26</v>
      </c>
      <c r="R235" s="4">
        <v>0</v>
      </c>
      <c r="S235" s="6">
        <v>0</v>
      </c>
      <c r="T235" s="6">
        <v>37</v>
      </c>
      <c r="U235" s="6">
        <v>75</v>
      </c>
      <c r="V235" s="6">
        <f>IF(ISERROR(VLOOKUP($S$235,'TAR FIN'!$A$1:$O$88,15,0)),0,VLOOKUP($S$235,'TAR FIN'!$A$1:$O$88,15,0))</f>
        <v>0</v>
      </c>
      <c r="W235" s="6">
        <f>IF(ISERROR(VLOOKUP($T$235,'TAR FIN'!$A$1:$O$88,15,0)),0,VLOOKUP($T$235,'TAR FIN'!$A$1:$O$88,15,0))</f>
        <v>269.91000000000003</v>
      </c>
      <c r="X235" s="6">
        <f>IF(ISERROR(VLOOKUP($U$235,'TAR FIN'!$A$1:$O$88,15,0)),0,VLOOKUP($U$235,'TAR FIN'!$A$1:$O$88,15,0))</f>
        <v>288.89999999999998</v>
      </c>
      <c r="Y235" s="6"/>
      <c r="Z235" s="6">
        <f ca="1">('TUSD BE'!$AM$20+'TUSD BF_350'!$AM$20+'TUSD CVA'!$AM$20)*1</f>
        <v>350.41122835255294</v>
      </c>
      <c r="AA235" s="6">
        <f ca="1">('TE BE'!$AB$11+'TE BF_350'!$AB$11+'TE CVA'!$AB$11)*1</f>
        <v>207.63042742196092</v>
      </c>
      <c r="AB235" s="6">
        <f>$K$235*$V$235</f>
        <v>0</v>
      </c>
      <c r="AC235" s="6">
        <f>$M$235*$W$235</f>
        <v>6282.9649800000007</v>
      </c>
      <c r="AD235" s="6">
        <f>$O$235*$X$235</f>
        <v>6725.0141999999987</v>
      </c>
      <c r="AE235" s="6">
        <f>$K$235*$Y$235</f>
        <v>0</v>
      </c>
      <c r="AF235" s="6">
        <f ca="1">$M$235*$Z$235</f>
        <v>8156.8725735907265</v>
      </c>
      <c r="AG235" s="6">
        <f ca="1">$O$235*$AA$235</f>
        <v>4833.2210895284061</v>
      </c>
    </row>
    <row r="236" spans="1:33" ht="11.25" customHeight="1" x14ac:dyDescent="0.25">
      <c r="A236" s="4" t="s">
        <v>21</v>
      </c>
      <c r="B236" s="4" t="s">
        <v>22</v>
      </c>
      <c r="C236" s="4" t="s">
        <v>23</v>
      </c>
      <c r="D236" s="4" t="s">
        <v>24</v>
      </c>
      <c r="E236" s="4" t="s">
        <v>24</v>
      </c>
      <c r="F236" s="4" t="s">
        <v>25</v>
      </c>
      <c r="G236" s="4" t="s">
        <v>25</v>
      </c>
      <c r="H236" s="4" t="s">
        <v>25</v>
      </c>
      <c r="I236" s="5">
        <v>44682</v>
      </c>
      <c r="J236" s="6">
        <v>0</v>
      </c>
      <c r="K236" s="6">
        <v>0</v>
      </c>
      <c r="L236" s="6">
        <v>778.399</v>
      </c>
      <c r="M236" s="6">
        <v>778.399</v>
      </c>
      <c r="N236" s="6">
        <v>778.399</v>
      </c>
      <c r="O236" s="6">
        <v>778.399</v>
      </c>
      <c r="P236" s="6">
        <v>5532</v>
      </c>
      <c r="Q236" s="4" t="s">
        <v>26</v>
      </c>
      <c r="R236" s="4">
        <v>0</v>
      </c>
      <c r="S236" s="6">
        <v>0</v>
      </c>
      <c r="T236" s="6">
        <v>37</v>
      </c>
      <c r="U236" s="6">
        <v>75</v>
      </c>
      <c r="V236" s="6">
        <f>IF(ISERROR(VLOOKUP($S$236,'TAR FIN'!$A$1:$O$88,15,0)),0,VLOOKUP($S$236,'TAR FIN'!$A$1:$O$88,15,0))</f>
        <v>0</v>
      </c>
      <c r="W236" s="6">
        <f>IF(ISERROR(VLOOKUP($T$236,'TAR FIN'!$A$1:$O$88,15,0)),0,VLOOKUP($T$236,'TAR FIN'!$A$1:$O$88,15,0))</f>
        <v>269.91000000000003</v>
      </c>
      <c r="X236" s="6">
        <f>IF(ISERROR(VLOOKUP($U$236,'TAR FIN'!$A$1:$O$88,15,0)),0,VLOOKUP($U$236,'TAR FIN'!$A$1:$O$88,15,0))</f>
        <v>288.89999999999998</v>
      </c>
      <c r="Y236" s="6"/>
      <c r="Z236" s="6">
        <f ca="1">('TUSD BE'!$AM$20+'TUSD BF_350'!$AM$20+'TUSD CVA'!$AM$20)*1</f>
        <v>350.41122835255294</v>
      </c>
      <c r="AA236" s="6">
        <f ca="1">('TE BE'!$AB$11+'TE BF_350'!$AB$11+'TE CVA'!$AB$11)*1</f>
        <v>207.63042742196092</v>
      </c>
      <c r="AB236" s="6">
        <f>$K$236*$V$236</f>
        <v>0</v>
      </c>
      <c r="AC236" s="6">
        <f>$M$236*$W$236</f>
        <v>210097.67409000001</v>
      </c>
      <c r="AD236" s="6">
        <f>$O$236*$X$236</f>
        <v>224879.4711</v>
      </c>
      <c r="AE236" s="6">
        <f>$K$236*$Y$236</f>
        <v>0</v>
      </c>
      <c r="AF236" s="6">
        <f ca="1">$M$236*$Z$236</f>
        <v>272759.74973839888</v>
      </c>
      <c r="AG236" s="6">
        <f ca="1">$O$236*$AA$236</f>
        <v>161619.31707482695</v>
      </c>
    </row>
    <row r="237" spans="1:33" ht="11.25" customHeight="1" x14ac:dyDescent="0.25">
      <c r="A237" s="4" t="s">
        <v>54</v>
      </c>
      <c r="B237" s="4" t="s">
        <v>22</v>
      </c>
      <c r="C237" s="4" t="s">
        <v>23</v>
      </c>
      <c r="D237" s="4" t="s">
        <v>24</v>
      </c>
      <c r="E237" s="4" t="s">
        <v>24</v>
      </c>
      <c r="F237" s="4" t="s">
        <v>25</v>
      </c>
      <c r="G237" s="4" t="s">
        <v>25</v>
      </c>
      <c r="H237" s="4" t="s">
        <v>25</v>
      </c>
      <c r="I237" s="5">
        <v>44682</v>
      </c>
      <c r="J237" s="6">
        <v>0</v>
      </c>
      <c r="K237" s="6">
        <v>0</v>
      </c>
      <c r="L237" s="6">
        <v>-0.35499999999999998</v>
      </c>
      <c r="M237" s="6">
        <v>-0.35499999999999998</v>
      </c>
      <c r="N237" s="6">
        <v>-0.35499999999999998</v>
      </c>
      <c r="O237" s="6">
        <v>-0.35499999999999998</v>
      </c>
      <c r="P237" s="6">
        <v>0</v>
      </c>
      <c r="Q237" s="4" t="s">
        <v>26</v>
      </c>
      <c r="R237" s="4">
        <v>0</v>
      </c>
      <c r="S237" s="6">
        <v>0</v>
      </c>
      <c r="T237" s="6">
        <v>37</v>
      </c>
      <c r="U237" s="6">
        <v>75</v>
      </c>
      <c r="V237" s="6">
        <f>IF(ISERROR(VLOOKUP($S$237,'TAR FIN'!$A$1:$O$88,15,0)),0,VLOOKUP($S$237,'TAR FIN'!$A$1:$O$88,15,0))</f>
        <v>0</v>
      </c>
      <c r="W237" s="6">
        <f>IF(ISERROR(VLOOKUP($T$237,'TAR FIN'!$A$1:$O$88,15,0)),0,VLOOKUP($T$237,'TAR FIN'!$A$1:$O$88,15,0))</f>
        <v>269.91000000000003</v>
      </c>
      <c r="X237" s="6">
        <f>IF(ISERROR(VLOOKUP($U$237,'TAR FIN'!$A$1:$O$88,15,0)),0,VLOOKUP($U$237,'TAR FIN'!$A$1:$O$88,15,0))</f>
        <v>288.89999999999998</v>
      </c>
      <c r="Y237" s="6"/>
      <c r="Z237" s="6">
        <f ca="1">('TUSD BE'!$AM$20+'TUSD BF_350'!$AM$20+'TUSD CVA'!$AM$20)*1</f>
        <v>350.41122835255294</v>
      </c>
      <c r="AA237" s="6">
        <f ca="1">('TE BE'!$AB$11+'TE BF_350'!$AB$11+'TE CVA'!$AB$11)*1</f>
        <v>207.63042742196092</v>
      </c>
      <c r="AB237" s="6">
        <f>$K$237*$V$237</f>
        <v>0</v>
      </c>
      <c r="AC237" s="6">
        <f>$M$237*$W$237</f>
        <v>-95.818049999999999</v>
      </c>
      <c r="AD237" s="6">
        <f>$O$237*$X$237</f>
        <v>-102.55949999999999</v>
      </c>
      <c r="AE237" s="6">
        <f>$K$237*$Y$237</f>
        <v>0</v>
      </c>
      <c r="AF237" s="6">
        <f ca="1">$M$237*$Z$237</f>
        <v>-124.39598606515629</v>
      </c>
      <c r="AG237" s="6">
        <f ca="1">$O$237*$AA$237</f>
        <v>-73.708801734796126</v>
      </c>
    </row>
    <row r="238" spans="1:33" ht="11.25" customHeight="1" x14ac:dyDescent="0.25">
      <c r="A238" s="4" t="s">
        <v>27</v>
      </c>
      <c r="B238" s="4" t="s">
        <v>22</v>
      </c>
      <c r="C238" s="4" t="s">
        <v>23</v>
      </c>
      <c r="D238" s="4" t="s">
        <v>24</v>
      </c>
      <c r="E238" s="4" t="s">
        <v>24</v>
      </c>
      <c r="F238" s="4" t="s">
        <v>25</v>
      </c>
      <c r="G238" s="4" t="s">
        <v>25</v>
      </c>
      <c r="H238" s="4" t="s">
        <v>25</v>
      </c>
      <c r="I238" s="5">
        <v>44682</v>
      </c>
      <c r="J238" s="6">
        <v>0</v>
      </c>
      <c r="K238" s="6">
        <v>0</v>
      </c>
      <c r="L238" s="6">
        <v>26.268000000000001</v>
      </c>
      <c r="M238" s="6">
        <v>26.268000000000001</v>
      </c>
      <c r="N238" s="6">
        <v>26.268000000000001</v>
      </c>
      <c r="O238" s="6">
        <v>26.268000000000001</v>
      </c>
      <c r="P238" s="6">
        <v>274</v>
      </c>
      <c r="Q238" s="4" t="s">
        <v>26</v>
      </c>
      <c r="R238" s="4">
        <v>0</v>
      </c>
      <c r="S238" s="6">
        <v>0</v>
      </c>
      <c r="T238" s="6">
        <v>37</v>
      </c>
      <c r="U238" s="6">
        <v>75</v>
      </c>
      <c r="V238" s="6">
        <f>IF(ISERROR(VLOOKUP($S$238,'TAR FIN'!$A$1:$O$88,15,0)),0,VLOOKUP($S$238,'TAR FIN'!$A$1:$O$88,15,0))</f>
        <v>0</v>
      </c>
      <c r="W238" s="6">
        <f>IF(ISERROR(VLOOKUP($T$238,'TAR FIN'!$A$1:$O$88,15,0)),0,VLOOKUP($T$238,'TAR FIN'!$A$1:$O$88,15,0))</f>
        <v>269.91000000000003</v>
      </c>
      <c r="X238" s="6">
        <f>IF(ISERROR(VLOOKUP($U$238,'TAR FIN'!$A$1:$O$88,15,0)),0,VLOOKUP($U$238,'TAR FIN'!$A$1:$O$88,15,0))</f>
        <v>288.89999999999998</v>
      </c>
      <c r="Y238" s="6"/>
      <c r="Z238" s="6">
        <f ca="1">('TUSD BE'!$AM$20+'TUSD BF_350'!$AM$20+'TUSD CVA'!$AM$20)*1</f>
        <v>350.41122835255294</v>
      </c>
      <c r="AA238" s="6">
        <f ca="1">('TE BE'!$AB$11+'TE BF_350'!$AB$11+'TE CVA'!$AB$11)*1</f>
        <v>207.63042742196092</v>
      </c>
      <c r="AB238" s="6">
        <f>$K$238*$V$238</f>
        <v>0</v>
      </c>
      <c r="AC238" s="6">
        <f>$M$238*$W$238</f>
        <v>7089.9958800000004</v>
      </c>
      <c r="AD238" s="6">
        <f>$O$238*$X$238</f>
        <v>7588.8251999999993</v>
      </c>
      <c r="AE238" s="6">
        <f>$K$238*$Y$238</f>
        <v>0</v>
      </c>
      <c r="AF238" s="6">
        <f ca="1">$M$238*$Z$238</f>
        <v>9204.6021463648613</v>
      </c>
      <c r="AG238" s="6">
        <f ca="1">$O$238*$AA$238</f>
        <v>5454.0360675200691</v>
      </c>
    </row>
    <row r="239" spans="1:33" ht="11.25" customHeight="1" x14ac:dyDescent="0.25">
      <c r="A239" s="4" t="s">
        <v>21</v>
      </c>
      <c r="B239" s="4" t="s">
        <v>22</v>
      </c>
      <c r="C239" s="4" t="s">
        <v>23</v>
      </c>
      <c r="D239" s="4" t="s">
        <v>24</v>
      </c>
      <c r="E239" s="4" t="s">
        <v>24</v>
      </c>
      <c r="F239" s="4" t="s">
        <v>25</v>
      </c>
      <c r="G239" s="4" t="s">
        <v>25</v>
      </c>
      <c r="H239" s="4" t="s">
        <v>25</v>
      </c>
      <c r="I239" s="5">
        <v>44713</v>
      </c>
      <c r="J239" s="6">
        <v>0</v>
      </c>
      <c r="K239" s="6">
        <v>0</v>
      </c>
      <c r="L239" s="6">
        <v>809.38900000000001</v>
      </c>
      <c r="M239" s="6">
        <v>809.38900000000001</v>
      </c>
      <c r="N239" s="6">
        <v>809.38900000000001</v>
      </c>
      <c r="O239" s="6">
        <v>809.38900000000001</v>
      </c>
      <c r="P239" s="6">
        <v>5556</v>
      </c>
      <c r="Q239" s="4" t="s">
        <v>26</v>
      </c>
      <c r="R239" s="4">
        <v>0</v>
      </c>
      <c r="S239" s="6">
        <v>0</v>
      </c>
      <c r="T239" s="6">
        <v>37</v>
      </c>
      <c r="U239" s="6">
        <v>75</v>
      </c>
      <c r="V239" s="6">
        <f>IF(ISERROR(VLOOKUP($S$239,'TAR FIN'!$A$1:$O$88,15,0)),0,VLOOKUP($S$239,'TAR FIN'!$A$1:$O$88,15,0))</f>
        <v>0</v>
      </c>
      <c r="W239" s="6">
        <f>IF(ISERROR(VLOOKUP($T$239,'TAR FIN'!$A$1:$O$88,15,0)),0,VLOOKUP($T$239,'TAR FIN'!$A$1:$O$88,15,0))</f>
        <v>269.91000000000003</v>
      </c>
      <c r="X239" s="6">
        <f>IF(ISERROR(VLOOKUP($U$239,'TAR FIN'!$A$1:$O$88,15,0)),0,VLOOKUP($U$239,'TAR FIN'!$A$1:$O$88,15,0))</f>
        <v>288.89999999999998</v>
      </c>
      <c r="Y239" s="6"/>
      <c r="Z239" s="6">
        <f ca="1">('TUSD BE'!$AM$20+'TUSD BF_350'!$AM$20+'TUSD CVA'!$AM$20)*1</f>
        <v>350.41122835255294</v>
      </c>
      <c r="AA239" s="6">
        <f ca="1">('TE BE'!$AB$11+'TE BF_350'!$AB$11+'TE CVA'!$AB$11)*1</f>
        <v>207.63042742196092</v>
      </c>
      <c r="AB239" s="6">
        <f>$K$239*$V$239</f>
        <v>0</v>
      </c>
      <c r="AC239" s="6">
        <f>$M$239*$W$239</f>
        <v>218462.18499000001</v>
      </c>
      <c r="AD239" s="6">
        <f>$O$239*$X$239</f>
        <v>233832.48209999999</v>
      </c>
      <c r="AE239" s="6">
        <f>$K$239*$Y$239</f>
        <v>0</v>
      </c>
      <c r="AF239" s="6">
        <f ca="1">$M$239*$Z$239</f>
        <v>283618.9937050445</v>
      </c>
      <c r="AG239" s="6">
        <f ca="1">$O$239*$AA$239</f>
        <v>168053.78402063352</v>
      </c>
    </row>
    <row r="240" spans="1:33" ht="11.25" customHeight="1" x14ac:dyDescent="0.25">
      <c r="A240" s="4" t="s">
        <v>27</v>
      </c>
      <c r="B240" s="4" t="s">
        <v>22</v>
      </c>
      <c r="C240" s="4" t="s">
        <v>23</v>
      </c>
      <c r="D240" s="4" t="s">
        <v>24</v>
      </c>
      <c r="E240" s="4" t="s">
        <v>24</v>
      </c>
      <c r="F240" s="4" t="s">
        <v>25</v>
      </c>
      <c r="G240" s="4" t="s">
        <v>25</v>
      </c>
      <c r="H240" s="4" t="s">
        <v>25</v>
      </c>
      <c r="I240" s="5">
        <v>44713</v>
      </c>
      <c r="J240" s="6">
        <v>0</v>
      </c>
      <c r="K240" s="6">
        <v>0</v>
      </c>
      <c r="L240" s="6">
        <v>34.978999999999999</v>
      </c>
      <c r="M240" s="6">
        <v>34.978999999999999</v>
      </c>
      <c r="N240" s="6">
        <v>34.978999999999999</v>
      </c>
      <c r="O240" s="6">
        <v>34.978999999999999</v>
      </c>
      <c r="P240" s="6">
        <v>283</v>
      </c>
      <c r="Q240" s="4" t="s">
        <v>26</v>
      </c>
      <c r="R240" s="4">
        <v>0</v>
      </c>
      <c r="S240" s="6">
        <v>0</v>
      </c>
      <c r="T240" s="6">
        <v>37</v>
      </c>
      <c r="U240" s="6">
        <v>75</v>
      </c>
      <c r="V240" s="6">
        <f>IF(ISERROR(VLOOKUP($S$240,'TAR FIN'!$A$1:$O$88,15,0)),0,VLOOKUP($S$240,'TAR FIN'!$A$1:$O$88,15,0))</f>
        <v>0</v>
      </c>
      <c r="W240" s="6">
        <f>IF(ISERROR(VLOOKUP($T$240,'TAR FIN'!$A$1:$O$88,15,0)),0,VLOOKUP($T$240,'TAR FIN'!$A$1:$O$88,15,0))</f>
        <v>269.91000000000003</v>
      </c>
      <c r="X240" s="6">
        <f>IF(ISERROR(VLOOKUP($U$240,'TAR FIN'!$A$1:$O$88,15,0)),0,VLOOKUP($U$240,'TAR FIN'!$A$1:$O$88,15,0))</f>
        <v>288.89999999999998</v>
      </c>
      <c r="Y240" s="6"/>
      <c r="Z240" s="6">
        <f ca="1">('TUSD BE'!$AM$20+'TUSD BF_350'!$AM$20+'TUSD CVA'!$AM$20)*1</f>
        <v>350.41122835255294</v>
      </c>
      <c r="AA240" s="6">
        <f ca="1">('TE BE'!$AB$11+'TE BF_350'!$AB$11+'TE CVA'!$AB$11)*1</f>
        <v>207.63042742196092</v>
      </c>
      <c r="AB240" s="6">
        <f>$K$240*$V$240</f>
        <v>0</v>
      </c>
      <c r="AC240" s="6">
        <f>$M$240*$W$240</f>
        <v>9441.1818899999998</v>
      </c>
      <c r="AD240" s="6">
        <f>$O$240*$X$240</f>
        <v>10105.433099999998</v>
      </c>
      <c r="AE240" s="6">
        <f>$K$240*$Y$240</f>
        <v>0</v>
      </c>
      <c r="AF240" s="6">
        <f ca="1">$M$240*$Z$240</f>
        <v>12257.034356543949</v>
      </c>
      <c r="AG240" s="6">
        <f ca="1">$O$240*$AA$240</f>
        <v>7262.7047207927708</v>
      </c>
    </row>
    <row r="241" spans="1:33" ht="11.25" customHeight="1" x14ac:dyDescent="0.25">
      <c r="A241" s="4" t="s">
        <v>55</v>
      </c>
      <c r="B241" s="4" t="s">
        <v>22</v>
      </c>
      <c r="C241" s="4" t="s">
        <v>23</v>
      </c>
      <c r="D241" s="4" t="s">
        <v>24</v>
      </c>
      <c r="E241" s="4" t="s">
        <v>24</v>
      </c>
      <c r="F241" s="4" t="s">
        <v>25</v>
      </c>
      <c r="G241" s="4" t="s">
        <v>25</v>
      </c>
      <c r="H241" s="4" t="s">
        <v>25</v>
      </c>
      <c r="I241" s="5">
        <v>44743</v>
      </c>
      <c r="J241" s="6">
        <v>0</v>
      </c>
      <c r="K241" s="6">
        <v>0</v>
      </c>
      <c r="L241" s="6">
        <v>809.38900000000001</v>
      </c>
      <c r="M241" s="6">
        <v>809.38900000000001</v>
      </c>
      <c r="N241" s="6">
        <v>809.38900000000001</v>
      </c>
      <c r="O241" s="6">
        <v>809.38900000000001</v>
      </c>
      <c r="P241" s="6">
        <v>5556</v>
      </c>
      <c r="Q241" s="4" t="s">
        <v>26</v>
      </c>
      <c r="R241" s="4">
        <v>0</v>
      </c>
      <c r="S241" s="6">
        <v>0</v>
      </c>
      <c r="T241" s="6">
        <v>37</v>
      </c>
      <c r="U241" s="6">
        <v>75</v>
      </c>
      <c r="V241" s="6">
        <f>IF(ISERROR(VLOOKUP($S$241,'TAR FIN'!$A$1:$O$88,15,0)),0,VLOOKUP($S$241,'TAR FIN'!$A$1:$O$88,15,0))</f>
        <v>0</v>
      </c>
      <c r="W241" s="6">
        <f>IF(ISERROR(VLOOKUP($T$241,'TAR FIN'!$A$1:$O$88,15,0)),0,VLOOKUP($T$241,'TAR FIN'!$A$1:$O$88,15,0))</f>
        <v>269.91000000000003</v>
      </c>
      <c r="X241" s="6">
        <f>IF(ISERROR(VLOOKUP($U$241,'TAR FIN'!$A$1:$O$88,15,0)),0,VLOOKUP($U$241,'TAR FIN'!$A$1:$O$88,15,0))</f>
        <v>288.89999999999998</v>
      </c>
      <c r="Y241" s="6"/>
      <c r="Z241" s="6">
        <f ca="1">('TUSD BE'!$AM$20+'TUSD BF_350'!$AM$20+'TUSD CVA'!$AM$20)*1</f>
        <v>350.41122835255294</v>
      </c>
      <c r="AA241" s="6">
        <f ca="1">('TE BE'!$AB$11+'TE BF_350'!$AB$11+'TE CVA'!$AB$11)*1</f>
        <v>207.63042742196092</v>
      </c>
      <c r="AB241" s="6">
        <f>$K$241*$V$241</f>
        <v>0</v>
      </c>
      <c r="AC241" s="6">
        <f>$M$241*$W$241</f>
        <v>218462.18499000001</v>
      </c>
      <c r="AD241" s="6">
        <f>$O$241*$X$241</f>
        <v>233832.48209999999</v>
      </c>
      <c r="AE241" s="6">
        <f>$K$241*$Y$241</f>
        <v>0</v>
      </c>
      <c r="AF241" s="6">
        <f ca="1">$M$241*$Z$241</f>
        <v>283618.9937050445</v>
      </c>
      <c r="AG241" s="6">
        <f ca="1">$O$241*$AA$241</f>
        <v>168053.78402063352</v>
      </c>
    </row>
    <row r="242" spans="1:33" ht="11.25" customHeight="1" x14ac:dyDescent="0.25">
      <c r="A242" s="4" t="s">
        <v>55</v>
      </c>
      <c r="B242" s="4" t="s">
        <v>22</v>
      </c>
      <c r="C242" s="4" t="s">
        <v>23</v>
      </c>
      <c r="D242" s="4" t="s">
        <v>24</v>
      </c>
      <c r="E242" s="4" t="s">
        <v>24</v>
      </c>
      <c r="F242" s="4" t="s">
        <v>25</v>
      </c>
      <c r="G242" s="4" t="s">
        <v>25</v>
      </c>
      <c r="H242" s="4" t="s">
        <v>25</v>
      </c>
      <c r="I242" s="5">
        <v>44743</v>
      </c>
      <c r="J242" s="6">
        <v>0</v>
      </c>
      <c r="K242" s="6">
        <v>0</v>
      </c>
      <c r="L242" s="6">
        <v>34.978999999999999</v>
      </c>
      <c r="M242" s="6">
        <v>34.978999999999999</v>
      </c>
      <c r="N242" s="6">
        <v>34.978999999999999</v>
      </c>
      <c r="O242" s="6">
        <v>34.978999999999999</v>
      </c>
      <c r="P242" s="6">
        <v>283</v>
      </c>
      <c r="Q242" s="4" t="s">
        <v>26</v>
      </c>
      <c r="R242" s="4">
        <v>0</v>
      </c>
      <c r="S242" s="6">
        <v>0</v>
      </c>
      <c r="T242" s="6">
        <v>37</v>
      </c>
      <c r="U242" s="6">
        <v>75</v>
      </c>
      <c r="V242" s="6">
        <f>IF(ISERROR(VLOOKUP($S$242,'TAR FIN'!$A$1:$O$88,15,0)),0,VLOOKUP($S$242,'TAR FIN'!$A$1:$O$88,15,0))</f>
        <v>0</v>
      </c>
      <c r="W242" s="6">
        <f>IF(ISERROR(VLOOKUP($T$242,'TAR FIN'!$A$1:$O$88,15,0)),0,VLOOKUP($T$242,'TAR FIN'!$A$1:$O$88,15,0))</f>
        <v>269.91000000000003</v>
      </c>
      <c r="X242" s="6">
        <f>IF(ISERROR(VLOOKUP($U$242,'TAR FIN'!$A$1:$O$88,15,0)),0,VLOOKUP($U$242,'TAR FIN'!$A$1:$O$88,15,0))</f>
        <v>288.89999999999998</v>
      </c>
      <c r="Y242" s="6"/>
      <c r="Z242" s="6">
        <f ca="1">('TUSD BE'!$AM$20+'TUSD BF_350'!$AM$20+'TUSD CVA'!$AM$20)*1</f>
        <v>350.41122835255294</v>
      </c>
      <c r="AA242" s="6">
        <f ca="1">('TE BE'!$AB$11+'TE BF_350'!$AB$11+'TE CVA'!$AB$11)*1</f>
        <v>207.63042742196092</v>
      </c>
      <c r="AB242" s="6">
        <f>$K$242*$V$242</f>
        <v>0</v>
      </c>
      <c r="AC242" s="6">
        <f>$M$242*$W$242</f>
        <v>9441.1818899999998</v>
      </c>
      <c r="AD242" s="6">
        <f>$O$242*$X$242</f>
        <v>10105.433099999998</v>
      </c>
      <c r="AE242" s="6">
        <f>$K$242*$Y$242</f>
        <v>0</v>
      </c>
      <c r="AF242" s="6">
        <f ca="1">$M$242*$Z$242</f>
        <v>12257.034356543949</v>
      </c>
      <c r="AG242" s="6">
        <f ca="1">$O$242*$AA$242</f>
        <v>7262.7047207927708</v>
      </c>
    </row>
    <row r="243" spans="1:33" ht="11.25" customHeight="1" x14ac:dyDescent="0.25">
      <c r="A243" s="4" t="s">
        <v>21</v>
      </c>
      <c r="B243" s="4" t="s">
        <v>22</v>
      </c>
      <c r="C243" s="4" t="s">
        <v>23</v>
      </c>
      <c r="D243" s="4" t="s">
        <v>24</v>
      </c>
      <c r="E243" s="4" t="s">
        <v>28</v>
      </c>
      <c r="F243" s="4" t="s">
        <v>25</v>
      </c>
      <c r="G243" s="4" t="s">
        <v>25</v>
      </c>
      <c r="H243" s="4" t="s">
        <v>25</v>
      </c>
      <c r="I243" s="5">
        <v>44409</v>
      </c>
      <c r="J243" s="6">
        <v>0</v>
      </c>
      <c r="K243" s="6">
        <v>0</v>
      </c>
      <c r="L243" s="6">
        <v>17.309999999999999</v>
      </c>
      <c r="M243" s="6">
        <v>17.309999999999999</v>
      </c>
      <c r="N243" s="6">
        <v>17.309999999999999</v>
      </c>
      <c r="O243" s="6">
        <v>17.309999999999999</v>
      </c>
      <c r="P243" s="6">
        <v>21</v>
      </c>
      <c r="Q243" s="4" t="s">
        <v>26</v>
      </c>
      <c r="R243" s="4">
        <v>0</v>
      </c>
      <c r="S243" s="6">
        <v>0</v>
      </c>
      <c r="T243" s="6">
        <v>38</v>
      </c>
      <c r="U243" s="6">
        <v>76</v>
      </c>
      <c r="V243" s="6">
        <f>IF(ISERROR(VLOOKUP($S$243,'TAR FIN'!$A$1:$O$88,15,0)),0,VLOOKUP($S$243,'TAR FIN'!$A$1:$O$88,15,0))</f>
        <v>0</v>
      </c>
      <c r="W243" s="6">
        <f>IF(ISERROR(VLOOKUP($T$243,'TAR FIN'!$A$1:$O$88,15,0)),0,VLOOKUP($T$243,'TAR FIN'!$A$1:$O$88,15,0))</f>
        <v>68.53</v>
      </c>
      <c r="X243" s="6">
        <f>IF(ISERROR(VLOOKUP($U$243,'TAR FIN'!$A$1:$O$88,15,0)),0,VLOOKUP($U$243,'TAR FIN'!$A$1:$O$88,15,0))</f>
        <v>101.12</v>
      </c>
      <c r="Y243" s="6"/>
      <c r="Z243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43" s="6">
        <f ca="1">('TE BE'!$AB$12+'TE BF_350'!$AB$12+'TE CVA'!$AB$12)*(1-CUSTOS!$M$34)</f>
        <v>72.670649597686321</v>
      </c>
      <c r="AB243" s="6">
        <f>$K$243*$V$243</f>
        <v>0</v>
      </c>
      <c r="AC243" s="6">
        <f>$M$243*$W$243</f>
        <v>1186.2542999999998</v>
      </c>
      <c r="AD243" s="6">
        <f>$O$243*$X$243</f>
        <v>1750.3871999999999</v>
      </c>
      <c r="AE243" s="6">
        <f>$K$243*$Y$243</f>
        <v>0</v>
      </c>
      <c r="AF243" s="6">
        <f ca="1">$M$243*$Z$243</f>
        <v>1567.1430043923644</v>
      </c>
      <c r="AG243" s="6">
        <f ca="1">$O$243*$AA$243</f>
        <v>1257.9289445359502</v>
      </c>
    </row>
    <row r="244" spans="1:33" ht="11.25" customHeight="1" x14ac:dyDescent="0.25">
      <c r="A244" s="4" t="s">
        <v>21</v>
      </c>
      <c r="B244" s="4" t="s">
        <v>22</v>
      </c>
      <c r="C244" s="4" t="s">
        <v>23</v>
      </c>
      <c r="D244" s="4" t="s">
        <v>24</v>
      </c>
      <c r="E244" s="4" t="s">
        <v>28</v>
      </c>
      <c r="F244" s="4" t="s">
        <v>25</v>
      </c>
      <c r="G244" s="4" t="s">
        <v>25</v>
      </c>
      <c r="H244" s="4" t="s">
        <v>25</v>
      </c>
      <c r="I244" s="5">
        <v>44440</v>
      </c>
      <c r="J244" s="6">
        <v>0</v>
      </c>
      <c r="K244" s="6">
        <v>0</v>
      </c>
      <c r="L244" s="6">
        <v>16.2</v>
      </c>
      <c r="M244" s="6">
        <v>16.2</v>
      </c>
      <c r="N244" s="6">
        <v>16.2</v>
      </c>
      <c r="O244" s="6">
        <v>16.2</v>
      </c>
      <c r="P244" s="6">
        <v>21</v>
      </c>
      <c r="Q244" s="4" t="s">
        <v>26</v>
      </c>
      <c r="R244" s="4">
        <v>0</v>
      </c>
      <c r="S244" s="6">
        <v>0</v>
      </c>
      <c r="T244" s="6">
        <v>38</v>
      </c>
      <c r="U244" s="6">
        <v>76</v>
      </c>
      <c r="V244" s="6">
        <f>IF(ISERROR(VLOOKUP($S$244,'TAR FIN'!$A$1:$O$88,15,0)),0,VLOOKUP($S$244,'TAR FIN'!$A$1:$O$88,15,0))</f>
        <v>0</v>
      </c>
      <c r="W244" s="6">
        <f>IF(ISERROR(VLOOKUP($T$244,'TAR FIN'!$A$1:$O$88,15,0)),0,VLOOKUP($T$244,'TAR FIN'!$A$1:$O$88,15,0))</f>
        <v>68.53</v>
      </c>
      <c r="X244" s="6">
        <f>IF(ISERROR(VLOOKUP($U$244,'TAR FIN'!$A$1:$O$88,15,0)),0,VLOOKUP($U$244,'TAR FIN'!$A$1:$O$88,15,0))</f>
        <v>101.12</v>
      </c>
      <c r="Y244" s="6"/>
      <c r="Z24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44" s="6">
        <f ca="1">('TE BE'!$AB$12+'TE BF_350'!$AB$12+'TE CVA'!$AB$12)*(1-CUSTOS!$M$34)</f>
        <v>72.670649597686321</v>
      </c>
      <c r="AB244" s="6">
        <f>$K$244*$V$244</f>
        <v>0</v>
      </c>
      <c r="AC244" s="6">
        <f>$M$244*$W$244</f>
        <v>1110.1859999999999</v>
      </c>
      <c r="AD244" s="6">
        <f>$O$244*$X$244</f>
        <v>1638.144</v>
      </c>
      <c r="AE244" s="6">
        <f>$K$244*$Y$244</f>
        <v>0</v>
      </c>
      <c r="AF244" s="6">
        <f ca="1">$M$244*$Z$244</f>
        <v>1466.6502987380882</v>
      </c>
      <c r="AG244" s="6">
        <f ca="1">$O$244*$AA$244</f>
        <v>1177.2645234825184</v>
      </c>
    </row>
    <row r="245" spans="1:33" ht="11.25" customHeight="1" x14ac:dyDescent="0.25">
      <c r="A245" s="4" t="s">
        <v>21</v>
      </c>
      <c r="B245" s="4" t="s">
        <v>22</v>
      </c>
      <c r="C245" s="4" t="s">
        <v>23</v>
      </c>
      <c r="D245" s="4" t="s">
        <v>24</v>
      </c>
      <c r="E245" s="4" t="s">
        <v>28</v>
      </c>
      <c r="F245" s="4" t="s">
        <v>25</v>
      </c>
      <c r="G245" s="4" t="s">
        <v>25</v>
      </c>
      <c r="H245" s="4" t="s">
        <v>25</v>
      </c>
      <c r="I245" s="5">
        <v>44470</v>
      </c>
      <c r="J245" s="6">
        <v>0</v>
      </c>
      <c r="K245" s="6">
        <v>0</v>
      </c>
      <c r="L245" s="6">
        <v>15.93</v>
      </c>
      <c r="M245" s="6">
        <v>15.93</v>
      </c>
      <c r="N245" s="6">
        <v>15.93</v>
      </c>
      <c r="O245" s="6">
        <v>15.93</v>
      </c>
      <c r="P245" s="6">
        <v>22</v>
      </c>
      <c r="Q245" s="4" t="s">
        <v>26</v>
      </c>
      <c r="R245" s="4">
        <v>0</v>
      </c>
      <c r="S245" s="6">
        <v>0</v>
      </c>
      <c r="T245" s="6">
        <v>38</v>
      </c>
      <c r="U245" s="6">
        <v>76</v>
      </c>
      <c r="V245" s="6">
        <f>IF(ISERROR(VLOOKUP($S$245,'TAR FIN'!$A$1:$O$88,15,0)),0,VLOOKUP($S$245,'TAR FIN'!$A$1:$O$88,15,0))</f>
        <v>0</v>
      </c>
      <c r="W245" s="6">
        <f>IF(ISERROR(VLOOKUP($T$245,'TAR FIN'!$A$1:$O$88,15,0)),0,VLOOKUP($T$245,'TAR FIN'!$A$1:$O$88,15,0))</f>
        <v>68.53</v>
      </c>
      <c r="X245" s="6">
        <f>IF(ISERROR(VLOOKUP($U$245,'TAR FIN'!$A$1:$O$88,15,0)),0,VLOOKUP($U$245,'TAR FIN'!$A$1:$O$88,15,0))</f>
        <v>101.12</v>
      </c>
      <c r="Y245" s="6"/>
      <c r="Z245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45" s="6">
        <f ca="1">('TE BE'!$AB$12+'TE BF_350'!$AB$12+'TE CVA'!$AB$12)*(1-CUSTOS!$M$34)</f>
        <v>72.670649597686321</v>
      </c>
      <c r="AB245" s="6">
        <f>$K$245*$V$245</f>
        <v>0</v>
      </c>
      <c r="AC245" s="6">
        <f>$M$245*$W$245</f>
        <v>1091.6829</v>
      </c>
      <c r="AD245" s="6">
        <f>$O$245*$X$245</f>
        <v>1610.8416</v>
      </c>
      <c r="AE245" s="6">
        <f>$K$245*$Y$245</f>
        <v>0</v>
      </c>
      <c r="AF245" s="6">
        <f ca="1">$M$245*$Z$245</f>
        <v>1442.2061270924532</v>
      </c>
      <c r="AG245" s="6">
        <f ca="1">$O$245*$AA$245</f>
        <v>1157.643448091143</v>
      </c>
    </row>
    <row r="246" spans="1:33" ht="11.25" customHeight="1" x14ac:dyDescent="0.25">
      <c r="A246" s="4" t="s">
        <v>21</v>
      </c>
      <c r="B246" s="4" t="s">
        <v>22</v>
      </c>
      <c r="C246" s="4" t="s">
        <v>23</v>
      </c>
      <c r="D246" s="4" t="s">
        <v>24</v>
      </c>
      <c r="E246" s="4" t="s">
        <v>28</v>
      </c>
      <c r="F246" s="4" t="s">
        <v>25</v>
      </c>
      <c r="G246" s="4" t="s">
        <v>25</v>
      </c>
      <c r="H246" s="4" t="s">
        <v>25</v>
      </c>
      <c r="I246" s="5">
        <v>44501</v>
      </c>
      <c r="J246" s="6">
        <v>0</v>
      </c>
      <c r="K246" s="6">
        <v>0</v>
      </c>
      <c r="L246" s="6">
        <v>16.260000000000002</v>
      </c>
      <c r="M246" s="6">
        <v>16.260000000000002</v>
      </c>
      <c r="N246" s="6">
        <v>16.260000000000002</v>
      </c>
      <c r="O246" s="6">
        <v>16.260000000000002</v>
      </c>
      <c r="P246" s="6">
        <v>21</v>
      </c>
      <c r="Q246" s="4" t="s">
        <v>26</v>
      </c>
      <c r="R246" s="4">
        <v>0</v>
      </c>
      <c r="S246" s="6">
        <v>0</v>
      </c>
      <c r="T246" s="6">
        <v>38</v>
      </c>
      <c r="U246" s="6">
        <v>76</v>
      </c>
      <c r="V246" s="6">
        <f>IF(ISERROR(VLOOKUP($S$246,'TAR FIN'!$A$1:$O$88,15,0)),0,VLOOKUP($S$246,'TAR FIN'!$A$1:$O$88,15,0))</f>
        <v>0</v>
      </c>
      <c r="W246" s="6">
        <f>IF(ISERROR(VLOOKUP($T$246,'TAR FIN'!$A$1:$O$88,15,0)),0,VLOOKUP($T$246,'TAR FIN'!$A$1:$O$88,15,0))</f>
        <v>68.53</v>
      </c>
      <c r="X246" s="6">
        <f>IF(ISERROR(VLOOKUP($U$246,'TAR FIN'!$A$1:$O$88,15,0)),0,VLOOKUP($U$246,'TAR FIN'!$A$1:$O$88,15,0))</f>
        <v>101.12</v>
      </c>
      <c r="Y246" s="6"/>
      <c r="Z246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46" s="6">
        <f ca="1">('TE BE'!$AB$12+'TE BF_350'!$AB$12+'TE CVA'!$AB$12)*(1-CUSTOS!$M$34)</f>
        <v>72.670649597686321</v>
      </c>
      <c r="AB246" s="6">
        <f>$K$246*$V$246</f>
        <v>0</v>
      </c>
      <c r="AC246" s="6">
        <f>$M$246*$W$246</f>
        <v>1114.2978000000001</v>
      </c>
      <c r="AD246" s="6">
        <f>$O$246*$X$246</f>
        <v>1644.2112000000002</v>
      </c>
      <c r="AE246" s="6">
        <f>$K$246*$Y$246</f>
        <v>0</v>
      </c>
      <c r="AF246" s="6">
        <f ca="1">$M$246*$Z$246</f>
        <v>1472.0823368815627</v>
      </c>
      <c r="AG246" s="6">
        <f ca="1">$O$246*$AA$246</f>
        <v>1181.6247624583798</v>
      </c>
    </row>
    <row r="247" spans="1:33" ht="11.25" customHeight="1" x14ac:dyDescent="0.25">
      <c r="A247" s="4" t="s">
        <v>21</v>
      </c>
      <c r="B247" s="4" t="s">
        <v>22</v>
      </c>
      <c r="C247" s="4" t="s">
        <v>23</v>
      </c>
      <c r="D247" s="4" t="s">
        <v>24</v>
      </c>
      <c r="E247" s="4" t="s">
        <v>28</v>
      </c>
      <c r="F247" s="4" t="s">
        <v>25</v>
      </c>
      <c r="G247" s="4" t="s">
        <v>25</v>
      </c>
      <c r="H247" s="4" t="s">
        <v>25</v>
      </c>
      <c r="I247" s="5">
        <v>44531</v>
      </c>
      <c r="J247" s="6">
        <v>0</v>
      </c>
      <c r="K247" s="6">
        <v>0</v>
      </c>
      <c r="L247" s="6">
        <v>16.62</v>
      </c>
      <c r="M247" s="6">
        <v>16.62</v>
      </c>
      <c r="N247" s="6">
        <v>16.62</v>
      </c>
      <c r="O247" s="6">
        <v>16.62</v>
      </c>
      <c r="P247" s="6">
        <v>20</v>
      </c>
      <c r="Q247" s="4" t="s">
        <v>26</v>
      </c>
      <c r="R247" s="4">
        <v>0</v>
      </c>
      <c r="S247" s="6">
        <v>0</v>
      </c>
      <c r="T247" s="6">
        <v>38</v>
      </c>
      <c r="U247" s="6">
        <v>76</v>
      </c>
      <c r="V247" s="6">
        <f>IF(ISERROR(VLOOKUP($S$247,'TAR FIN'!$A$1:$O$88,15,0)),0,VLOOKUP($S$247,'TAR FIN'!$A$1:$O$88,15,0))</f>
        <v>0</v>
      </c>
      <c r="W247" s="6">
        <f>IF(ISERROR(VLOOKUP($T$247,'TAR FIN'!$A$1:$O$88,15,0)),0,VLOOKUP($T$247,'TAR FIN'!$A$1:$O$88,15,0))</f>
        <v>68.53</v>
      </c>
      <c r="X247" s="6">
        <f>IF(ISERROR(VLOOKUP($U$247,'TAR FIN'!$A$1:$O$88,15,0)),0,VLOOKUP($U$247,'TAR FIN'!$A$1:$O$88,15,0))</f>
        <v>101.12</v>
      </c>
      <c r="Y247" s="6"/>
      <c r="Z247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47" s="6">
        <f ca="1">('TE BE'!$AB$12+'TE BF_350'!$AB$12+'TE CVA'!$AB$12)*(1-CUSTOS!$M$34)</f>
        <v>72.670649597686321</v>
      </c>
      <c r="AB247" s="6">
        <f>$K$247*$V$247</f>
        <v>0</v>
      </c>
      <c r="AC247" s="6">
        <f>$M$247*$W$247</f>
        <v>1138.9686000000002</v>
      </c>
      <c r="AD247" s="6">
        <f>$O$247*$X$247</f>
        <v>1680.6144000000002</v>
      </c>
      <c r="AE247" s="6">
        <f>$K$247*$Y$247</f>
        <v>0</v>
      </c>
      <c r="AF247" s="6">
        <f ca="1">$M$247*$Z$247</f>
        <v>1504.674565742409</v>
      </c>
      <c r="AG247" s="6">
        <f ca="1">$O$247*$AA$247</f>
        <v>1207.7861963135467</v>
      </c>
    </row>
    <row r="248" spans="1:33" ht="11.25" customHeight="1" x14ac:dyDescent="0.25">
      <c r="A248" s="4" t="s">
        <v>21</v>
      </c>
      <c r="B248" s="4" t="s">
        <v>22</v>
      </c>
      <c r="C248" s="4" t="s">
        <v>23</v>
      </c>
      <c r="D248" s="4" t="s">
        <v>24</v>
      </c>
      <c r="E248" s="4" t="s">
        <v>28</v>
      </c>
      <c r="F248" s="4" t="s">
        <v>25</v>
      </c>
      <c r="G248" s="4" t="s">
        <v>25</v>
      </c>
      <c r="H248" s="4" t="s">
        <v>25</v>
      </c>
      <c r="I248" s="5">
        <v>44562</v>
      </c>
      <c r="J248" s="6">
        <v>0</v>
      </c>
      <c r="K248" s="6">
        <v>0</v>
      </c>
      <c r="L248" s="6">
        <v>16.739999999999998</v>
      </c>
      <c r="M248" s="6">
        <v>16.739999999999998</v>
      </c>
      <c r="N248" s="6">
        <v>16.739999999999998</v>
      </c>
      <c r="O248" s="6">
        <v>16.739999999999998</v>
      </c>
      <c r="P248" s="6">
        <v>18</v>
      </c>
      <c r="Q248" s="4" t="s">
        <v>26</v>
      </c>
      <c r="R248" s="4">
        <v>0</v>
      </c>
      <c r="S248" s="6">
        <v>0</v>
      </c>
      <c r="T248" s="6">
        <v>38</v>
      </c>
      <c r="U248" s="6">
        <v>76</v>
      </c>
      <c r="V248" s="6">
        <f>IF(ISERROR(VLOOKUP($S$248,'TAR FIN'!$A$1:$O$88,15,0)),0,VLOOKUP($S$248,'TAR FIN'!$A$1:$O$88,15,0))</f>
        <v>0</v>
      </c>
      <c r="W248" s="6">
        <f>IF(ISERROR(VLOOKUP($T$248,'TAR FIN'!$A$1:$O$88,15,0)),0,VLOOKUP($T$248,'TAR FIN'!$A$1:$O$88,15,0))</f>
        <v>68.53</v>
      </c>
      <c r="X248" s="6">
        <f>IF(ISERROR(VLOOKUP($U$248,'TAR FIN'!$A$1:$O$88,15,0)),0,VLOOKUP($U$248,'TAR FIN'!$A$1:$O$88,15,0))</f>
        <v>101.12</v>
      </c>
      <c r="Y248" s="6"/>
      <c r="Z248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48" s="6">
        <f ca="1">('TE BE'!$AB$12+'TE BF_350'!$AB$12+'TE CVA'!$AB$12)*(1-CUSTOS!$M$34)</f>
        <v>72.670649597686321</v>
      </c>
      <c r="AB248" s="6">
        <f>$K$248*$V$248</f>
        <v>0</v>
      </c>
      <c r="AC248" s="6">
        <f>$M$248*$W$248</f>
        <v>1147.1922</v>
      </c>
      <c r="AD248" s="6">
        <f>$O$248*$X$248</f>
        <v>1692.7487999999998</v>
      </c>
      <c r="AE248" s="6">
        <f>$K$248*$Y$248</f>
        <v>0</v>
      </c>
      <c r="AF248" s="6">
        <f ca="1">$M$248*$Z$248</f>
        <v>1515.5386420293576</v>
      </c>
      <c r="AG248" s="6">
        <f ca="1">$O$248*$AA$248</f>
        <v>1216.5066742652689</v>
      </c>
    </row>
    <row r="249" spans="1:33" ht="11.25" customHeight="1" x14ac:dyDescent="0.25">
      <c r="A249" s="4" t="s">
        <v>21</v>
      </c>
      <c r="B249" s="4" t="s">
        <v>22</v>
      </c>
      <c r="C249" s="4" t="s">
        <v>23</v>
      </c>
      <c r="D249" s="4" t="s">
        <v>24</v>
      </c>
      <c r="E249" s="4" t="s">
        <v>28</v>
      </c>
      <c r="F249" s="4" t="s">
        <v>25</v>
      </c>
      <c r="G249" s="4" t="s">
        <v>25</v>
      </c>
      <c r="H249" s="4" t="s">
        <v>25</v>
      </c>
      <c r="I249" s="5">
        <v>44593</v>
      </c>
      <c r="J249" s="6">
        <v>0</v>
      </c>
      <c r="K249" s="6">
        <v>0</v>
      </c>
      <c r="L249" s="6">
        <v>16.940000000000001</v>
      </c>
      <c r="M249" s="6">
        <v>16.940000000000001</v>
      </c>
      <c r="N249" s="6">
        <v>16.940000000000001</v>
      </c>
      <c r="O249" s="6">
        <v>16.940000000000001</v>
      </c>
      <c r="P249" s="6">
        <v>17</v>
      </c>
      <c r="Q249" s="4" t="s">
        <v>26</v>
      </c>
      <c r="R249" s="4">
        <v>0</v>
      </c>
      <c r="S249" s="6">
        <v>0</v>
      </c>
      <c r="T249" s="6">
        <v>38</v>
      </c>
      <c r="U249" s="6">
        <v>76</v>
      </c>
      <c r="V249" s="6">
        <f>IF(ISERROR(VLOOKUP($S$249,'TAR FIN'!$A$1:$O$88,15,0)),0,VLOOKUP($S$249,'TAR FIN'!$A$1:$O$88,15,0))</f>
        <v>0</v>
      </c>
      <c r="W249" s="6">
        <f>IF(ISERROR(VLOOKUP($T$249,'TAR FIN'!$A$1:$O$88,15,0)),0,VLOOKUP($T$249,'TAR FIN'!$A$1:$O$88,15,0))</f>
        <v>68.53</v>
      </c>
      <c r="X249" s="6">
        <f>IF(ISERROR(VLOOKUP($U$249,'TAR FIN'!$A$1:$O$88,15,0)),0,VLOOKUP($U$249,'TAR FIN'!$A$1:$O$88,15,0))</f>
        <v>101.12</v>
      </c>
      <c r="Y249" s="6"/>
      <c r="Z249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49" s="6">
        <f ca="1">('TE BE'!$AB$12+'TE BF_350'!$AB$12+'TE CVA'!$AB$12)*(1-CUSTOS!$M$34)</f>
        <v>72.670649597686321</v>
      </c>
      <c r="AB249" s="6">
        <f>$K$249*$V$249</f>
        <v>0</v>
      </c>
      <c r="AC249" s="6">
        <f>$M$249*$W$249</f>
        <v>1160.8982000000001</v>
      </c>
      <c r="AD249" s="6">
        <f>$O$249*$X$249</f>
        <v>1712.9728000000002</v>
      </c>
      <c r="AE249" s="6">
        <f>$K$249*$Y$249</f>
        <v>0</v>
      </c>
      <c r="AF249" s="6">
        <f ca="1">$M$249*$Z$249</f>
        <v>1533.6454358409392</v>
      </c>
      <c r="AG249" s="6">
        <f ca="1">$O$249*$AA$249</f>
        <v>1231.0408041848063</v>
      </c>
    </row>
    <row r="250" spans="1:33" ht="11.25" customHeight="1" x14ac:dyDescent="0.25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28</v>
      </c>
      <c r="F250" s="4" t="s">
        <v>25</v>
      </c>
      <c r="G250" s="4" t="s">
        <v>25</v>
      </c>
      <c r="H250" s="4" t="s">
        <v>25</v>
      </c>
      <c r="I250" s="5">
        <v>44621</v>
      </c>
      <c r="J250" s="6">
        <v>0</v>
      </c>
      <c r="K250" s="6">
        <v>0</v>
      </c>
      <c r="L250" s="6">
        <v>17.22</v>
      </c>
      <c r="M250" s="6">
        <v>17.22</v>
      </c>
      <c r="N250" s="6">
        <v>17.22</v>
      </c>
      <c r="O250" s="6">
        <v>17.22</v>
      </c>
      <c r="P250" s="6">
        <v>13</v>
      </c>
      <c r="Q250" s="4" t="s">
        <v>26</v>
      </c>
      <c r="R250" s="4">
        <v>0</v>
      </c>
      <c r="S250" s="6">
        <v>0</v>
      </c>
      <c r="T250" s="6">
        <v>38</v>
      </c>
      <c r="U250" s="6">
        <v>76</v>
      </c>
      <c r="V250" s="6">
        <f>IF(ISERROR(VLOOKUP($S$250,'TAR FIN'!$A$1:$O$88,15,0)),0,VLOOKUP($S$250,'TAR FIN'!$A$1:$O$88,15,0))</f>
        <v>0</v>
      </c>
      <c r="W250" s="6">
        <f>IF(ISERROR(VLOOKUP($T$250,'TAR FIN'!$A$1:$O$88,15,0)),0,VLOOKUP($T$250,'TAR FIN'!$A$1:$O$88,15,0))</f>
        <v>68.53</v>
      </c>
      <c r="X250" s="6">
        <f>IF(ISERROR(VLOOKUP($U$250,'TAR FIN'!$A$1:$O$88,15,0)),0,VLOOKUP($U$250,'TAR FIN'!$A$1:$O$88,15,0))</f>
        <v>101.12</v>
      </c>
      <c r="Y250" s="6"/>
      <c r="Z250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50" s="6">
        <f ca="1">('TE BE'!$AB$12+'TE BF_350'!$AB$12+'TE CVA'!$AB$12)*(1-CUSTOS!$M$34)</f>
        <v>72.670649597686321</v>
      </c>
      <c r="AB250" s="6">
        <f>$K$250*$V$250</f>
        <v>0</v>
      </c>
      <c r="AC250" s="6">
        <f>$M$250*$W$250</f>
        <v>1180.0865999999999</v>
      </c>
      <c r="AD250" s="6">
        <f>$O$250*$X$250</f>
        <v>1741.2864</v>
      </c>
      <c r="AE250" s="6">
        <f>$K$250*$Y$250</f>
        <v>0</v>
      </c>
      <c r="AF250" s="6">
        <f ca="1">$M$250*$Z$250</f>
        <v>1558.9949471771529</v>
      </c>
      <c r="AG250" s="6">
        <f ca="1">$O$250*$AA$250</f>
        <v>1251.3885860721584</v>
      </c>
    </row>
    <row r="251" spans="1:33" ht="11.25" customHeight="1" x14ac:dyDescent="0.25">
      <c r="A251" s="4" t="s">
        <v>21</v>
      </c>
      <c r="B251" s="4" t="s">
        <v>22</v>
      </c>
      <c r="C251" s="4" t="s">
        <v>23</v>
      </c>
      <c r="D251" s="4" t="s">
        <v>24</v>
      </c>
      <c r="E251" s="4" t="s">
        <v>28</v>
      </c>
      <c r="F251" s="4" t="s">
        <v>25</v>
      </c>
      <c r="G251" s="4" t="s">
        <v>25</v>
      </c>
      <c r="H251" s="4" t="s">
        <v>25</v>
      </c>
      <c r="I251" s="5">
        <v>44652</v>
      </c>
      <c r="J251" s="6">
        <v>0</v>
      </c>
      <c r="K251" s="6">
        <v>0</v>
      </c>
      <c r="L251" s="6">
        <v>17.399999999999999</v>
      </c>
      <c r="M251" s="6">
        <v>17.399999999999999</v>
      </c>
      <c r="N251" s="6">
        <v>17.399999999999999</v>
      </c>
      <c r="O251" s="6">
        <v>17.399999999999999</v>
      </c>
      <c r="P251" s="6">
        <v>24</v>
      </c>
      <c r="Q251" s="4" t="s">
        <v>26</v>
      </c>
      <c r="R251" s="4">
        <v>0</v>
      </c>
      <c r="S251" s="6">
        <v>0</v>
      </c>
      <c r="T251" s="6">
        <v>38</v>
      </c>
      <c r="U251" s="6">
        <v>76</v>
      </c>
      <c r="V251" s="6">
        <f>IF(ISERROR(VLOOKUP($S$251,'TAR FIN'!$A$1:$O$88,15,0)),0,VLOOKUP($S$251,'TAR FIN'!$A$1:$O$88,15,0))</f>
        <v>0</v>
      </c>
      <c r="W251" s="6">
        <f>IF(ISERROR(VLOOKUP($T$251,'TAR FIN'!$A$1:$O$88,15,0)),0,VLOOKUP($T$251,'TAR FIN'!$A$1:$O$88,15,0))</f>
        <v>68.53</v>
      </c>
      <c r="X251" s="6">
        <f>IF(ISERROR(VLOOKUP($U$251,'TAR FIN'!$A$1:$O$88,15,0)),0,VLOOKUP($U$251,'TAR FIN'!$A$1:$O$88,15,0))</f>
        <v>101.12</v>
      </c>
      <c r="Y251" s="6"/>
      <c r="Z251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51" s="6">
        <f ca="1">('TE BE'!$AB$12+'TE BF_350'!$AB$12+'TE CVA'!$AB$12)*(1-CUSTOS!$M$34)</f>
        <v>72.670649597686321</v>
      </c>
      <c r="AB251" s="6">
        <f>$K$251*$V$251</f>
        <v>0</v>
      </c>
      <c r="AC251" s="6">
        <f>$M$251*$W$251</f>
        <v>1192.422</v>
      </c>
      <c r="AD251" s="6">
        <f>$O$251*$X$251</f>
        <v>1759.4879999999998</v>
      </c>
      <c r="AE251" s="6">
        <f>$K$251*$Y$251</f>
        <v>0</v>
      </c>
      <c r="AF251" s="6">
        <f ca="1">$M$251*$Z$251</f>
        <v>1575.291061607576</v>
      </c>
      <c r="AG251" s="6">
        <f ca="1">$O$251*$AA$251</f>
        <v>1264.4693029997418</v>
      </c>
    </row>
    <row r="252" spans="1:33" ht="11.25" customHeight="1" x14ac:dyDescent="0.25">
      <c r="A252" s="4" t="s">
        <v>21</v>
      </c>
      <c r="B252" s="4" t="s">
        <v>22</v>
      </c>
      <c r="C252" s="4" t="s">
        <v>23</v>
      </c>
      <c r="D252" s="4" t="s">
        <v>24</v>
      </c>
      <c r="E252" s="4" t="s">
        <v>28</v>
      </c>
      <c r="F252" s="4" t="s">
        <v>25</v>
      </c>
      <c r="G252" s="4" t="s">
        <v>25</v>
      </c>
      <c r="H252" s="4" t="s">
        <v>25</v>
      </c>
      <c r="I252" s="5">
        <v>44682</v>
      </c>
      <c r="J252" s="6">
        <v>0</v>
      </c>
      <c r="K252" s="6">
        <v>0</v>
      </c>
      <c r="L252" s="6">
        <v>17.7</v>
      </c>
      <c r="M252" s="6">
        <v>17.7</v>
      </c>
      <c r="N252" s="6">
        <v>17.7</v>
      </c>
      <c r="O252" s="6">
        <v>17.7</v>
      </c>
      <c r="P252" s="6">
        <v>23</v>
      </c>
      <c r="Q252" s="4" t="s">
        <v>26</v>
      </c>
      <c r="R252" s="4">
        <v>0</v>
      </c>
      <c r="S252" s="6">
        <v>0</v>
      </c>
      <c r="T252" s="6">
        <v>38</v>
      </c>
      <c r="U252" s="6">
        <v>76</v>
      </c>
      <c r="V252" s="6">
        <f>IF(ISERROR(VLOOKUP($S$252,'TAR FIN'!$A$1:$O$88,15,0)),0,VLOOKUP($S$252,'TAR FIN'!$A$1:$O$88,15,0))</f>
        <v>0</v>
      </c>
      <c r="W252" s="6">
        <f>IF(ISERROR(VLOOKUP($T$252,'TAR FIN'!$A$1:$O$88,15,0)),0,VLOOKUP($T$252,'TAR FIN'!$A$1:$O$88,15,0))</f>
        <v>68.53</v>
      </c>
      <c r="X252" s="6">
        <f>IF(ISERROR(VLOOKUP($U$252,'TAR FIN'!$A$1:$O$88,15,0)),0,VLOOKUP($U$252,'TAR FIN'!$A$1:$O$88,15,0))</f>
        <v>101.12</v>
      </c>
      <c r="Y252" s="6"/>
      <c r="Z252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52" s="6">
        <f ca="1">('TE BE'!$AB$12+'TE BF_350'!$AB$12+'TE CVA'!$AB$12)*(1-CUSTOS!$M$34)</f>
        <v>72.670649597686321</v>
      </c>
      <c r="AB252" s="6">
        <f>$K$252*$V$252</f>
        <v>0</v>
      </c>
      <c r="AC252" s="6">
        <f>$M$252*$W$252</f>
        <v>1212.981</v>
      </c>
      <c r="AD252" s="6">
        <f>$O$252*$X$252</f>
        <v>1789.8240000000001</v>
      </c>
      <c r="AE252" s="6">
        <f>$K$252*$Y$252</f>
        <v>0</v>
      </c>
      <c r="AF252" s="6">
        <f ca="1">$M$252*$Z$252</f>
        <v>1602.451252324948</v>
      </c>
      <c r="AG252" s="6">
        <f ca="1">$O$252*$AA$252</f>
        <v>1286.2704978790478</v>
      </c>
    </row>
    <row r="253" spans="1:33" ht="11.25" customHeight="1" x14ac:dyDescent="0.25">
      <c r="A253" s="4" t="s">
        <v>21</v>
      </c>
      <c r="B253" s="4" t="s">
        <v>22</v>
      </c>
      <c r="C253" s="4" t="s">
        <v>23</v>
      </c>
      <c r="D253" s="4" t="s">
        <v>24</v>
      </c>
      <c r="E253" s="4" t="s">
        <v>28</v>
      </c>
      <c r="F253" s="4" t="s">
        <v>25</v>
      </c>
      <c r="G253" s="4" t="s">
        <v>25</v>
      </c>
      <c r="H253" s="4" t="s">
        <v>25</v>
      </c>
      <c r="I253" s="5">
        <v>44713</v>
      </c>
      <c r="J253" s="6">
        <v>0</v>
      </c>
      <c r="K253" s="6">
        <v>0</v>
      </c>
      <c r="L253" s="6">
        <v>18.149999999999999</v>
      </c>
      <c r="M253" s="6">
        <v>18.149999999999999</v>
      </c>
      <c r="N253" s="6">
        <v>18.149999999999999</v>
      </c>
      <c r="O253" s="6">
        <v>18.149999999999999</v>
      </c>
      <c r="P253" s="6">
        <v>29</v>
      </c>
      <c r="Q253" s="4" t="s">
        <v>26</v>
      </c>
      <c r="R253" s="4">
        <v>0</v>
      </c>
      <c r="S253" s="6">
        <v>0</v>
      </c>
      <c r="T253" s="6">
        <v>38</v>
      </c>
      <c r="U253" s="6">
        <v>76</v>
      </c>
      <c r="V253" s="6">
        <f>IF(ISERROR(VLOOKUP($S$253,'TAR FIN'!$A$1:$O$88,15,0)),0,VLOOKUP($S$253,'TAR FIN'!$A$1:$O$88,15,0))</f>
        <v>0</v>
      </c>
      <c r="W253" s="6">
        <f>IF(ISERROR(VLOOKUP($T$253,'TAR FIN'!$A$1:$O$88,15,0)),0,VLOOKUP($T$253,'TAR FIN'!$A$1:$O$88,15,0))</f>
        <v>68.53</v>
      </c>
      <c r="X253" s="6">
        <f>IF(ISERROR(VLOOKUP($U$253,'TAR FIN'!$A$1:$O$88,15,0)),0,VLOOKUP($U$253,'TAR FIN'!$A$1:$O$88,15,0))</f>
        <v>101.12</v>
      </c>
      <c r="Y253" s="6"/>
      <c r="Z253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53" s="6">
        <f ca="1">('TE BE'!$AB$12+'TE BF_350'!$AB$12+'TE CVA'!$AB$12)*(1-CUSTOS!$M$34)</f>
        <v>72.670649597686321</v>
      </c>
      <c r="AB253" s="6">
        <f>$K$253*$V$253</f>
        <v>0</v>
      </c>
      <c r="AC253" s="6">
        <f>$M$253*$W$253</f>
        <v>1243.8194999999998</v>
      </c>
      <c r="AD253" s="6">
        <f>$O$253*$X$253</f>
        <v>1835.328</v>
      </c>
      <c r="AE253" s="6">
        <f>$K$253*$Y$253</f>
        <v>0</v>
      </c>
      <c r="AF253" s="6">
        <f ca="1">$M$253*$Z$253</f>
        <v>1643.191538401006</v>
      </c>
      <c r="AG253" s="6">
        <f ca="1">$O$253*$AA$253</f>
        <v>1318.9722901980067</v>
      </c>
    </row>
    <row r="254" spans="1:33" ht="11.25" customHeight="1" x14ac:dyDescent="0.25">
      <c r="A254" s="4" t="s">
        <v>55</v>
      </c>
      <c r="B254" s="4" t="s">
        <v>22</v>
      </c>
      <c r="C254" s="4" t="s">
        <v>23</v>
      </c>
      <c r="D254" s="4" t="s">
        <v>24</v>
      </c>
      <c r="E254" s="4" t="s">
        <v>28</v>
      </c>
      <c r="F254" s="4" t="s">
        <v>25</v>
      </c>
      <c r="G254" s="4" t="s">
        <v>25</v>
      </c>
      <c r="H254" s="4" t="s">
        <v>25</v>
      </c>
      <c r="I254" s="5">
        <v>44743</v>
      </c>
      <c r="J254" s="6">
        <v>0</v>
      </c>
      <c r="K254" s="6">
        <v>0</v>
      </c>
      <c r="L254" s="6">
        <v>18.149999999999999</v>
      </c>
      <c r="M254" s="6">
        <v>18.149999999999999</v>
      </c>
      <c r="N254" s="6">
        <v>18.149999999999999</v>
      </c>
      <c r="O254" s="6">
        <v>18.149999999999999</v>
      </c>
      <c r="P254" s="6">
        <v>29</v>
      </c>
      <c r="Q254" s="4" t="s">
        <v>26</v>
      </c>
      <c r="R254" s="4">
        <v>0</v>
      </c>
      <c r="S254" s="6">
        <v>0</v>
      </c>
      <c r="T254" s="6">
        <v>38</v>
      </c>
      <c r="U254" s="6">
        <v>76</v>
      </c>
      <c r="V254" s="6">
        <f>IF(ISERROR(VLOOKUP($S$254,'TAR FIN'!$A$1:$O$88,15,0)),0,VLOOKUP($S$254,'TAR FIN'!$A$1:$O$88,15,0))</f>
        <v>0</v>
      </c>
      <c r="W254" s="6">
        <f>IF(ISERROR(VLOOKUP($T$254,'TAR FIN'!$A$1:$O$88,15,0)),0,VLOOKUP($T$254,'TAR FIN'!$A$1:$O$88,15,0))</f>
        <v>68.53</v>
      </c>
      <c r="X254" s="6">
        <f>IF(ISERROR(VLOOKUP($U$254,'TAR FIN'!$A$1:$O$88,15,0)),0,VLOOKUP($U$254,'TAR FIN'!$A$1:$O$88,15,0))</f>
        <v>101.12</v>
      </c>
      <c r="Y254" s="6"/>
      <c r="Z25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90.533969057906674</v>
      </c>
      <c r="AA254" s="6">
        <f ca="1">('TE BE'!$AB$12+'TE BF_350'!$AB$12+'TE CVA'!$AB$12)*(1-CUSTOS!$M$34)</f>
        <v>72.670649597686321</v>
      </c>
      <c r="AB254" s="6">
        <f>$K$254*$V$254</f>
        <v>0</v>
      </c>
      <c r="AC254" s="6">
        <f>$M$254*$W$254</f>
        <v>1243.8194999999998</v>
      </c>
      <c r="AD254" s="6">
        <f>$O$254*$X$254</f>
        <v>1835.328</v>
      </c>
      <c r="AE254" s="6">
        <f>$K$254*$Y$254</f>
        <v>0</v>
      </c>
      <c r="AF254" s="6">
        <f ca="1">$M$254*$Z$254</f>
        <v>1643.191538401006</v>
      </c>
      <c r="AG254" s="6">
        <f ca="1">$O$254*$AA$254</f>
        <v>1318.9722901980067</v>
      </c>
    </row>
    <row r="255" spans="1:33" ht="11.25" customHeight="1" x14ac:dyDescent="0.25">
      <c r="A255" s="4" t="s">
        <v>21</v>
      </c>
      <c r="B255" s="4" t="s">
        <v>22</v>
      </c>
      <c r="C255" s="4" t="s">
        <v>23</v>
      </c>
      <c r="D255" s="4" t="s">
        <v>24</v>
      </c>
      <c r="E255" s="4" t="s">
        <v>29</v>
      </c>
      <c r="F255" s="4" t="s">
        <v>25</v>
      </c>
      <c r="G255" s="4" t="s">
        <v>25</v>
      </c>
      <c r="H255" s="4" t="s">
        <v>25</v>
      </c>
      <c r="I255" s="5">
        <v>44409</v>
      </c>
      <c r="J255" s="6">
        <v>0</v>
      </c>
      <c r="K255" s="6">
        <v>0</v>
      </c>
      <c r="L255" s="6">
        <v>30.582999999999998</v>
      </c>
      <c r="M255" s="6">
        <v>30.582999999999998</v>
      </c>
      <c r="N255" s="6">
        <v>30.582999999999998</v>
      </c>
      <c r="O255" s="6">
        <v>30.582999999999998</v>
      </c>
      <c r="P255" s="6">
        <v>273</v>
      </c>
      <c r="Q255" s="4" t="s">
        <v>26</v>
      </c>
      <c r="R255" s="4">
        <v>0</v>
      </c>
      <c r="S255" s="6">
        <v>0</v>
      </c>
      <c r="T255" s="6">
        <v>39</v>
      </c>
      <c r="U255" s="6">
        <v>77</v>
      </c>
      <c r="V255" s="6">
        <f>IF(ISERROR(VLOOKUP($S$255,'TAR FIN'!$A$1:$O$88,15,0)),0,VLOOKUP($S$255,'TAR FIN'!$A$1:$O$88,15,0))</f>
        <v>0</v>
      </c>
      <c r="W255" s="6">
        <f>IF(ISERROR(VLOOKUP($T$255,'TAR FIN'!$A$1:$O$88,15,0)),0,VLOOKUP($T$255,'TAR FIN'!$A$1:$O$88,15,0))</f>
        <v>117.48</v>
      </c>
      <c r="X255" s="6">
        <f>IF(ISERROR(VLOOKUP($U$255,'TAR FIN'!$A$1:$O$88,15,0)),0,VLOOKUP($U$255,'TAR FIN'!$A$1:$O$88,15,0))</f>
        <v>173.34</v>
      </c>
      <c r="Y255" s="6"/>
      <c r="Z255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55" s="6">
        <f ca="1">('TE BE'!$AB$13+'TE BF_350'!$AB$13+'TE CVA'!$AB$13)*(1-CUSTOS!$M$35)</f>
        <v>124.57825645317655</v>
      </c>
      <c r="AB255" s="6">
        <f>$K$255*$V$255</f>
        <v>0</v>
      </c>
      <c r="AC255" s="6">
        <f>$M$255*$W$255</f>
        <v>3592.89084</v>
      </c>
      <c r="AD255" s="6">
        <f>$O$255*$X$255</f>
        <v>5301.2572199999995</v>
      </c>
      <c r="AE255" s="6">
        <f>$K$255*$Y$255</f>
        <v>0</v>
      </c>
      <c r="AF255" s="6">
        <f ca="1">$M$255*$Z$255</f>
        <v>4746.5149297679318</v>
      </c>
      <c r="AG255" s="6">
        <f ca="1">$O$255*$AA$255</f>
        <v>3809.9768171074984</v>
      </c>
    </row>
    <row r="256" spans="1:33" ht="11.25" customHeight="1" x14ac:dyDescent="0.25">
      <c r="A256" s="4" t="s">
        <v>21</v>
      </c>
      <c r="B256" s="4" t="s">
        <v>22</v>
      </c>
      <c r="C256" s="4" t="s">
        <v>23</v>
      </c>
      <c r="D256" s="4" t="s">
        <v>24</v>
      </c>
      <c r="E256" s="4" t="s">
        <v>29</v>
      </c>
      <c r="F256" s="4" t="s">
        <v>25</v>
      </c>
      <c r="G256" s="4" t="s">
        <v>25</v>
      </c>
      <c r="H256" s="4" t="s">
        <v>25</v>
      </c>
      <c r="I256" s="5">
        <v>44440</v>
      </c>
      <c r="J256" s="6">
        <v>0</v>
      </c>
      <c r="K256" s="6">
        <v>0</v>
      </c>
      <c r="L256" s="6">
        <v>30.933</v>
      </c>
      <c r="M256" s="6">
        <v>30.933</v>
      </c>
      <c r="N256" s="6">
        <v>30.933</v>
      </c>
      <c r="O256" s="6">
        <v>30.933</v>
      </c>
      <c r="P256" s="6">
        <v>205</v>
      </c>
      <c r="Q256" s="4" t="s">
        <v>26</v>
      </c>
      <c r="R256" s="4">
        <v>0</v>
      </c>
      <c r="S256" s="6">
        <v>0</v>
      </c>
      <c r="T256" s="6">
        <v>39</v>
      </c>
      <c r="U256" s="6">
        <v>77</v>
      </c>
      <c r="V256" s="6">
        <f>IF(ISERROR(VLOOKUP($S$256,'TAR FIN'!$A$1:$O$88,15,0)),0,VLOOKUP($S$256,'TAR FIN'!$A$1:$O$88,15,0))</f>
        <v>0</v>
      </c>
      <c r="W256" s="6">
        <f>IF(ISERROR(VLOOKUP($T$256,'TAR FIN'!$A$1:$O$88,15,0)),0,VLOOKUP($T$256,'TAR FIN'!$A$1:$O$88,15,0))</f>
        <v>117.48</v>
      </c>
      <c r="X256" s="6">
        <f>IF(ISERROR(VLOOKUP($U$256,'TAR FIN'!$A$1:$O$88,15,0)),0,VLOOKUP($U$256,'TAR FIN'!$A$1:$O$88,15,0))</f>
        <v>173.34</v>
      </c>
      <c r="Y256" s="6"/>
      <c r="Z256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56" s="6">
        <f ca="1">('TE BE'!$AB$13+'TE BF_350'!$AB$13+'TE CVA'!$AB$13)*(1-CUSTOS!$M$35)</f>
        <v>124.57825645317655</v>
      </c>
      <c r="AB256" s="6">
        <f>$K$256*$V$256</f>
        <v>0</v>
      </c>
      <c r="AC256" s="6">
        <f>$M$256*$W$256</f>
        <v>3634.00884</v>
      </c>
      <c r="AD256" s="6">
        <f>$O$256*$X$256</f>
        <v>5361.9262200000003</v>
      </c>
      <c r="AE256" s="6">
        <f>$K$256*$Y$256</f>
        <v>0</v>
      </c>
      <c r="AF256" s="6">
        <f ca="1">$M$256*$Z$256</f>
        <v>4800.8353112026762</v>
      </c>
      <c r="AG256" s="6">
        <f ca="1">$O$256*$AA$256</f>
        <v>3853.5792068661103</v>
      </c>
    </row>
    <row r="257" spans="1:33" ht="11.25" customHeight="1" x14ac:dyDescent="0.25">
      <c r="A257" s="4" t="s">
        <v>21</v>
      </c>
      <c r="B257" s="4" t="s">
        <v>22</v>
      </c>
      <c r="C257" s="4" t="s">
        <v>23</v>
      </c>
      <c r="D257" s="4" t="s">
        <v>24</v>
      </c>
      <c r="E257" s="4" t="s">
        <v>29</v>
      </c>
      <c r="F257" s="4" t="s">
        <v>25</v>
      </c>
      <c r="G257" s="4" t="s">
        <v>25</v>
      </c>
      <c r="H257" s="4" t="s">
        <v>25</v>
      </c>
      <c r="I257" s="5">
        <v>44470</v>
      </c>
      <c r="J257" s="6">
        <v>0</v>
      </c>
      <c r="K257" s="6">
        <v>0</v>
      </c>
      <c r="L257" s="6">
        <v>28.279</v>
      </c>
      <c r="M257" s="6">
        <v>28.279</v>
      </c>
      <c r="N257" s="6">
        <v>28.279</v>
      </c>
      <c r="O257" s="6">
        <v>28.279</v>
      </c>
      <c r="P257" s="6">
        <v>263</v>
      </c>
      <c r="Q257" s="4" t="s">
        <v>26</v>
      </c>
      <c r="R257" s="4">
        <v>0</v>
      </c>
      <c r="S257" s="6">
        <v>0</v>
      </c>
      <c r="T257" s="6">
        <v>39</v>
      </c>
      <c r="U257" s="6">
        <v>77</v>
      </c>
      <c r="V257" s="6">
        <f>IF(ISERROR(VLOOKUP($S$257,'TAR FIN'!$A$1:$O$88,15,0)),0,VLOOKUP($S$257,'TAR FIN'!$A$1:$O$88,15,0))</f>
        <v>0</v>
      </c>
      <c r="W257" s="6">
        <f>IF(ISERROR(VLOOKUP($T$257,'TAR FIN'!$A$1:$O$88,15,0)),0,VLOOKUP($T$257,'TAR FIN'!$A$1:$O$88,15,0))</f>
        <v>117.48</v>
      </c>
      <c r="X257" s="6">
        <f>IF(ISERROR(VLOOKUP($U$257,'TAR FIN'!$A$1:$O$88,15,0)),0,VLOOKUP($U$257,'TAR FIN'!$A$1:$O$88,15,0))</f>
        <v>173.34</v>
      </c>
      <c r="Y257" s="6"/>
      <c r="Z257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57" s="6">
        <f ca="1">('TE BE'!$AB$13+'TE BF_350'!$AB$13+'TE CVA'!$AB$13)*(1-CUSTOS!$M$35)</f>
        <v>124.57825645317655</v>
      </c>
      <c r="AB257" s="6">
        <f>$K$257*$V$257</f>
        <v>0</v>
      </c>
      <c r="AC257" s="6">
        <f>$M$257*$W$257</f>
        <v>3322.2169200000003</v>
      </c>
      <c r="AD257" s="6">
        <f>$O$257*$X$257</f>
        <v>4901.8818600000004</v>
      </c>
      <c r="AE257" s="6">
        <f>$K$257*$Y$257</f>
        <v>0</v>
      </c>
      <c r="AF257" s="6">
        <f ca="1">$M$257*$Z$257</f>
        <v>4388.9316188375024</v>
      </c>
      <c r="AG257" s="6">
        <f ca="1">$O$257*$AA$257</f>
        <v>3522.9485142393796</v>
      </c>
    </row>
    <row r="258" spans="1:33" ht="11.25" customHeight="1" x14ac:dyDescent="0.25">
      <c r="A258" s="4" t="s">
        <v>21</v>
      </c>
      <c r="B258" s="4" t="s">
        <v>22</v>
      </c>
      <c r="C258" s="4" t="s">
        <v>23</v>
      </c>
      <c r="D258" s="4" t="s">
        <v>24</v>
      </c>
      <c r="E258" s="4" t="s">
        <v>29</v>
      </c>
      <c r="F258" s="4" t="s">
        <v>25</v>
      </c>
      <c r="G258" s="4" t="s">
        <v>25</v>
      </c>
      <c r="H258" s="4" t="s">
        <v>25</v>
      </c>
      <c r="I258" s="5">
        <v>44501</v>
      </c>
      <c r="J258" s="6">
        <v>0</v>
      </c>
      <c r="K258" s="6">
        <v>0</v>
      </c>
      <c r="L258" s="6">
        <v>31.254000000000001</v>
      </c>
      <c r="M258" s="6">
        <v>31.254000000000001</v>
      </c>
      <c r="N258" s="6">
        <v>31.254000000000001</v>
      </c>
      <c r="O258" s="6">
        <v>31.254000000000001</v>
      </c>
      <c r="P258" s="6">
        <v>221</v>
      </c>
      <c r="Q258" s="4" t="s">
        <v>26</v>
      </c>
      <c r="R258" s="4">
        <v>0</v>
      </c>
      <c r="S258" s="6">
        <v>0</v>
      </c>
      <c r="T258" s="6">
        <v>39</v>
      </c>
      <c r="U258" s="6">
        <v>77</v>
      </c>
      <c r="V258" s="6">
        <f>IF(ISERROR(VLOOKUP($S$258,'TAR FIN'!$A$1:$O$88,15,0)),0,VLOOKUP($S$258,'TAR FIN'!$A$1:$O$88,15,0))</f>
        <v>0</v>
      </c>
      <c r="W258" s="6">
        <f>IF(ISERROR(VLOOKUP($T$258,'TAR FIN'!$A$1:$O$88,15,0)),0,VLOOKUP($T$258,'TAR FIN'!$A$1:$O$88,15,0))</f>
        <v>117.48</v>
      </c>
      <c r="X258" s="6">
        <f>IF(ISERROR(VLOOKUP($U$258,'TAR FIN'!$A$1:$O$88,15,0)),0,VLOOKUP($U$258,'TAR FIN'!$A$1:$O$88,15,0))</f>
        <v>173.34</v>
      </c>
      <c r="Y258" s="6"/>
      <c r="Z25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58" s="6">
        <f ca="1">('TE BE'!$AB$13+'TE BF_350'!$AB$13+'TE CVA'!$AB$13)*(1-CUSTOS!$M$35)</f>
        <v>124.57825645317655</v>
      </c>
      <c r="AB258" s="6">
        <f>$K$258*$V$258</f>
        <v>0</v>
      </c>
      <c r="AC258" s="6">
        <f>$M$258*$W$258</f>
        <v>3671.7199200000005</v>
      </c>
      <c r="AD258" s="6">
        <f>$O$258*$X$258</f>
        <v>5417.5683600000002</v>
      </c>
      <c r="AE258" s="6">
        <f>$K$258*$Y$258</f>
        <v>0</v>
      </c>
      <c r="AF258" s="6">
        <f ca="1">$M$258*$Z$258</f>
        <v>4850.6548610328273</v>
      </c>
      <c r="AG258" s="6">
        <f ca="1">$O$258*$AA$258</f>
        <v>3893.5688271875802</v>
      </c>
    </row>
    <row r="259" spans="1:33" ht="11.25" customHeight="1" x14ac:dyDescent="0.25">
      <c r="A259" s="4" t="s">
        <v>21</v>
      </c>
      <c r="B259" s="4" t="s">
        <v>22</v>
      </c>
      <c r="C259" s="4" t="s">
        <v>23</v>
      </c>
      <c r="D259" s="4" t="s">
        <v>24</v>
      </c>
      <c r="E259" s="4" t="s">
        <v>29</v>
      </c>
      <c r="F259" s="4" t="s">
        <v>25</v>
      </c>
      <c r="G259" s="4" t="s">
        <v>25</v>
      </c>
      <c r="H259" s="4" t="s">
        <v>25</v>
      </c>
      <c r="I259" s="5">
        <v>44531</v>
      </c>
      <c r="J259" s="6">
        <v>0</v>
      </c>
      <c r="K259" s="6">
        <v>0</v>
      </c>
      <c r="L259" s="6">
        <v>32.868000000000002</v>
      </c>
      <c r="M259" s="6">
        <v>32.868000000000002</v>
      </c>
      <c r="N259" s="6">
        <v>32.868000000000002</v>
      </c>
      <c r="O259" s="6">
        <v>32.868000000000002</v>
      </c>
      <c r="P259" s="6">
        <v>183</v>
      </c>
      <c r="Q259" s="4" t="s">
        <v>26</v>
      </c>
      <c r="R259" s="4">
        <v>0</v>
      </c>
      <c r="S259" s="6">
        <v>0</v>
      </c>
      <c r="T259" s="6">
        <v>39</v>
      </c>
      <c r="U259" s="6">
        <v>77</v>
      </c>
      <c r="V259" s="6">
        <f>IF(ISERROR(VLOOKUP($S$259,'TAR FIN'!$A$1:$O$88,15,0)),0,VLOOKUP($S$259,'TAR FIN'!$A$1:$O$88,15,0))</f>
        <v>0</v>
      </c>
      <c r="W259" s="6">
        <f>IF(ISERROR(VLOOKUP($T$259,'TAR FIN'!$A$1:$O$88,15,0)),0,VLOOKUP($T$259,'TAR FIN'!$A$1:$O$88,15,0))</f>
        <v>117.48</v>
      </c>
      <c r="X259" s="6">
        <f>IF(ISERROR(VLOOKUP($U$259,'TAR FIN'!$A$1:$O$88,15,0)),0,VLOOKUP($U$259,'TAR FIN'!$A$1:$O$88,15,0))</f>
        <v>173.34</v>
      </c>
      <c r="Y259" s="6"/>
      <c r="Z25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59" s="6">
        <f ca="1">('TE BE'!$AB$13+'TE BF_350'!$AB$13+'TE CVA'!$AB$13)*(1-CUSTOS!$M$35)</f>
        <v>124.57825645317655</v>
      </c>
      <c r="AB259" s="6">
        <f>$K$259*$V$259</f>
        <v>0</v>
      </c>
      <c r="AC259" s="6">
        <f>$M$259*$W$259</f>
        <v>3861.3326400000005</v>
      </c>
      <c r="AD259" s="6">
        <f>$O$259*$X$259</f>
        <v>5697.3391200000005</v>
      </c>
      <c r="AE259" s="6">
        <f>$K$259*$Y$259</f>
        <v>0</v>
      </c>
      <c r="AF259" s="6">
        <f ca="1">$M$259*$Z$259</f>
        <v>5101.1494199919034</v>
      </c>
      <c r="AG259" s="6">
        <f ca="1">$O$259*$AA$259</f>
        <v>4094.638133103007</v>
      </c>
    </row>
    <row r="260" spans="1:33" ht="11.25" customHeight="1" x14ac:dyDescent="0.25">
      <c r="A260" s="4" t="s">
        <v>21</v>
      </c>
      <c r="B260" s="4" t="s">
        <v>22</v>
      </c>
      <c r="C260" s="4" t="s">
        <v>23</v>
      </c>
      <c r="D260" s="4" t="s">
        <v>24</v>
      </c>
      <c r="E260" s="4" t="s">
        <v>29</v>
      </c>
      <c r="F260" s="4" t="s">
        <v>25</v>
      </c>
      <c r="G260" s="4" t="s">
        <v>25</v>
      </c>
      <c r="H260" s="4" t="s">
        <v>25</v>
      </c>
      <c r="I260" s="5">
        <v>44562</v>
      </c>
      <c r="J260" s="6">
        <v>0</v>
      </c>
      <c r="K260" s="6">
        <v>0</v>
      </c>
      <c r="L260" s="6">
        <v>32.591999999999999</v>
      </c>
      <c r="M260" s="6">
        <v>32.591999999999999</v>
      </c>
      <c r="N260" s="6">
        <v>32.591999999999999</v>
      </c>
      <c r="O260" s="6">
        <v>32.591999999999999</v>
      </c>
      <c r="P260" s="6">
        <v>199</v>
      </c>
      <c r="Q260" s="4" t="s">
        <v>26</v>
      </c>
      <c r="R260" s="4">
        <v>0</v>
      </c>
      <c r="S260" s="6">
        <v>0</v>
      </c>
      <c r="T260" s="6">
        <v>39</v>
      </c>
      <c r="U260" s="6">
        <v>77</v>
      </c>
      <c r="V260" s="6">
        <f>IF(ISERROR(VLOOKUP($S$260,'TAR FIN'!$A$1:$O$88,15,0)),0,VLOOKUP($S$260,'TAR FIN'!$A$1:$O$88,15,0))</f>
        <v>0</v>
      </c>
      <c r="W260" s="6">
        <f>IF(ISERROR(VLOOKUP($T$260,'TAR FIN'!$A$1:$O$88,15,0)),0,VLOOKUP($T$260,'TAR FIN'!$A$1:$O$88,15,0))</f>
        <v>117.48</v>
      </c>
      <c r="X260" s="6">
        <f>IF(ISERROR(VLOOKUP($U$260,'TAR FIN'!$A$1:$O$88,15,0)),0,VLOOKUP($U$260,'TAR FIN'!$A$1:$O$88,15,0))</f>
        <v>173.34</v>
      </c>
      <c r="Y260" s="6"/>
      <c r="Z260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60" s="6">
        <f ca="1">('TE BE'!$AB$13+'TE BF_350'!$AB$13+'TE CVA'!$AB$13)*(1-CUSTOS!$M$35)</f>
        <v>124.57825645317655</v>
      </c>
      <c r="AB260" s="6">
        <f>$K$260*$V$260</f>
        <v>0</v>
      </c>
      <c r="AC260" s="6">
        <f>$M$260*$W$260</f>
        <v>3828.90816</v>
      </c>
      <c r="AD260" s="6">
        <f>$O$260*$X$260</f>
        <v>5649.4972799999996</v>
      </c>
      <c r="AE260" s="6">
        <f>$K$260*$Y$260</f>
        <v>0</v>
      </c>
      <c r="AF260" s="6">
        <f ca="1">$M$260*$Z$260</f>
        <v>5058.3139192033623</v>
      </c>
      <c r="AG260" s="6">
        <f ca="1">$O$260*$AA$260</f>
        <v>4060.2545343219299</v>
      </c>
    </row>
    <row r="261" spans="1:33" ht="11.25" customHeight="1" x14ac:dyDescent="0.25">
      <c r="A261" s="4" t="s">
        <v>21</v>
      </c>
      <c r="B261" s="4" t="s">
        <v>22</v>
      </c>
      <c r="C261" s="4" t="s">
        <v>23</v>
      </c>
      <c r="D261" s="4" t="s">
        <v>24</v>
      </c>
      <c r="E261" s="4" t="s">
        <v>29</v>
      </c>
      <c r="F261" s="4" t="s">
        <v>25</v>
      </c>
      <c r="G261" s="4" t="s">
        <v>25</v>
      </c>
      <c r="H261" s="4" t="s">
        <v>25</v>
      </c>
      <c r="I261" s="5">
        <v>44593</v>
      </c>
      <c r="J261" s="6">
        <v>0</v>
      </c>
      <c r="K261" s="6">
        <v>0</v>
      </c>
      <c r="L261" s="6">
        <v>31.766999999999999</v>
      </c>
      <c r="M261" s="6">
        <v>31.766999999999999</v>
      </c>
      <c r="N261" s="6">
        <v>31.766999999999999</v>
      </c>
      <c r="O261" s="6">
        <v>31.766999999999999</v>
      </c>
      <c r="P261" s="6">
        <v>252</v>
      </c>
      <c r="Q261" s="4" t="s">
        <v>26</v>
      </c>
      <c r="R261" s="4">
        <v>0</v>
      </c>
      <c r="S261" s="6">
        <v>0</v>
      </c>
      <c r="T261" s="6">
        <v>39</v>
      </c>
      <c r="U261" s="6">
        <v>77</v>
      </c>
      <c r="V261" s="6">
        <f>IF(ISERROR(VLOOKUP($S$261,'TAR FIN'!$A$1:$O$88,15,0)),0,VLOOKUP($S$261,'TAR FIN'!$A$1:$O$88,15,0))</f>
        <v>0</v>
      </c>
      <c r="W261" s="6">
        <f>IF(ISERROR(VLOOKUP($T$261,'TAR FIN'!$A$1:$O$88,15,0)),0,VLOOKUP($T$261,'TAR FIN'!$A$1:$O$88,15,0))</f>
        <v>117.48</v>
      </c>
      <c r="X261" s="6">
        <f>IF(ISERROR(VLOOKUP($U$261,'TAR FIN'!$A$1:$O$88,15,0)),0,VLOOKUP($U$261,'TAR FIN'!$A$1:$O$88,15,0))</f>
        <v>173.34</v>
      </c>
      <c r="Y261" s="6"/>
      <c r="Z261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61" s="6">
        <f ca="1">('TE BE'!$AB$13+'TE BF_350'!$AB$13+'TE CVA'!$AB$13)*(1-CUSTOS!$M$35)</f>
        <v>124.57825645317655</v>
      </c>
      <c r="AB261" s="6">
        <f>$K$261*$V$261</f>
        <v>0</v>
      </c>
      <c r="AC261" s="6">
        <f>$M$261*$W$261</f>
        <v>3731.9871600000001</v>
      </c>
      <c r="AD261" s="6">
        <f>$O$261*$X$261</f>
        <v>5506.4917800000003</v>
      </c>
      <c r="AE261" s="6">
        <f>$K$261*$Y$261</f>
        <v>0</v>
      </c>
      <c r="AF261" s="6">
        <f ca="1">$M$261*$Z$261</f>
        <v>4930.2730201071799</v>
      </c>
      <c r="AG261" s="6">
        <f ca="1">$O$261*$AA$261</f>
        <v>3957.4774727480594</v>
      </c>
    </row>
    <row r="262" spans="1:33" ht="11.25" customHeight="1" x14ac:dyDescent="0.25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29</v>
      </c>
      <c r="F262" s="4" t="s">
        <v>25</v>
      </c>
      <c r="G262" s="4" t="s">
        <v>25</v>
      </c>
      <c r="H262" s="4" t="s">
        <v>25</v>
      </c>
      <c r="I262" s="5">
        <v>44621</v>
      </c>
      <c r="J262" s="6">
        <v>0</v>
      </c>
      <c r="K262" s="6">
        <v>0</v>
      </c>
      <c r="L262" s="6">
        <v>33.64</v>
      </c>
      <c r="M262" s="6">
        <v>33.64</v>
      </c>
      <c r="N262" s="6">
        <v>33.64</v>
      </c>
      <c r="O262" s="6">
        <v>33.64</v>
      </c>
      <c r="P262" s="6">
        <v>222</v>
      </c>
      <c r="Q262" s="4" t="s">
        <v>26</v>
      </c>
      <c r="R262" s="4">
        <v>0</v>
      </c>
      <c r="S262" s="6">
        <v>0</v>
      </c>
      <c r="T262" s="6">
        <v>39</v>
      </c>
      <c r="U262" s="6">
        <v>77</v>
      </c>
      <c r="V262" s="6">
        <f>IF(ISERROR(VLOOKUP($S$262,'TAR FIN'!$A$1:$O$88,15,0)),0,VLOOKUP($S$262,'TAR FIN'!$A$1:$O$88,15,0))</f>
        <v>0</v>
      </c>
      <c r="W262" s="6">
        <f>IF(ISERROR(VLOOKUP($T$262,'TAR FIN'!$A$1:$O$88,15,0)),0,VLOOKUP($T$262,'TAR FIN'!$A$1:$O$88,15,0))</f>
        <v>117.48</v>
      </c>
      <c r="X262" s="6">
        <f>IF(ISERROR(VLOOKUP($U$262,'TAR FIN'!$A$1:$O$88,15,0)),0,VLOOKUP($U$262,'TAR FIN'!$A$1:$O$88,15,0))</f>
        <v>173.34</v>
      </c>
      <c r="Y262" s="6"/>
      <c r="Z262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62" s="6">
        <f ca="1">('TE BE'!$AB$13+'TE BF_350'!$AB$13+'TE CVA'!$AB$13)*(1-CUSTOS!$M$35)</f>
        <v>124.57825645317655</v>
      </c>
      <c r="AB262" s="6">
        <f>$K$262*$V$262</f>
        <v>0</v>
      </c>
      <c r="AC262" s="6">
        <f>$M$262*$W$262</f>
        <v>3952.0272</v>
      </c>
      <c r="AD262" s="6">
        <f>$O$262*$X$262</f>
        <v>5831.1576000000005</v>
      </c>
      <c r="AE262" s="6">
        <f>$K$262*$Y$262</f>
        <v>0</v>
      </c>
      <c r="AF262" s="6">
        <f ca="1">$M$262*$Z$262</f>
        <v>5220.9646613279674</v>
      </c>
      <c r="AG262" s="6">
        <f ca="1">$O$262*$AA$262</f>
        <v>4190.812547084859</v>
      </c>
    </row>
    <row r="263" spans="1:33" ht="11.25" customHeight="1" x14ac:dyDescent="0.25">
      <c r="A263" s="4" t="s">
        <v>21</v>
      </c>
      <c r="B263" s="4" t="s">
        <v>22</v>
      </c>
      <c r="C263" s="4" t="s">
        <v>23</v>
      </c>
      <c r="D263" s="4" t="s">
        <v>24</v>
      </c>
      <c r="E263" s="4" t="s">
        <v>29</v>
      </c>
      <c r="F263" s="4" t="s">
        <v>25</v>
      </c>
      <c r="G263" s="4" t="s">
        <v>25</v>
      </c>
      <c r="H263" s="4" t="s">
        <v>25</v>
      </c>
      <c r="I263" s="5">
        <v>44652</v>
      </c>
      <c r="J263" s="6">
        <v>0</v>
      </c>
      <c r="K263" s="6">
        <v>0</v>
      </c>
      <c r="L263" s="6">
        <v>31.475999999999999</v>
      </c>
      <c r="M263" s="6">
        <v>31.475999999999999</v>
      </c>
      <c r="N263" s="6">
        <v>31.475999999999999</v>
      </c>
      <c r="O263" s="6">
        <v>31.475999999999999</v>
      </c>
      <c r="P263" s="6">
        <v>266</v>
      </c>
      <c r="Q263" s="4" t="s">
        <v>26</v>
      </c>
      <c r="R263" s="4">
        <v>0</v>
      </c>
      <c r="S263" s="6">
        <v>0</v>
      </c>
      <c r="T263" s="6">
        <v>39</v>
      </c>
      <c r="U263" s="6">
        <v>77</v>
      </c>
      <c r="V263" s="6">
        <f>IF(ISERROR(VLOOKUP($S$263,'TAR FIN'!$A$1:$O$88,15,0)),0,VLOOKUP($S$263,'TAR FIN'!$A$1:$O$88,15,0))</f>
        <v>0</v>
      </c>
      <c r="W263" s="6">
        <f>IF(ISERROR(VLOOKUP($T$263,'TAR FIN'!$A$1:$O$88,15,0)),0,VLOOKUP($T$263,'TAR FIN'!$A$1:$O$88,15,0))</f>
        <v>117.48</v>
      </c>
      <c r="X263" s="6">
        <f>IF(ISERROR(VLOOKUP($U$263,'TAR FIN'!$A$1:$O$88,15,0)),0,VLOOKUP($U$263,'TAR FIN'!$A$1:$O$88,15,0))</f>
        <v>173.34</v>
      </c>
      <c r="Y263" s="6"/>
      <c r="Z263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63" s="6">
        <f ca="1">('TE BE'!$AB$13+'TE BF_350'!$AB$13+'TE CVA'!$AB$13)*(1-CUSTOS!$M$35)</f>
        <v>124.57825645317655</v>
      </c>
      <c r="AB263" s="6">
        <f>$K$263*$V$263</f>
        <v>0</v>
      </c>
      <c r="AC263" s="6">
        <f>$M$263*$W$263</f>
        <v>3697.8004799999999</v>
      </c>
      <c r="AD263" s="6">
        <f>$O$263*$X$263</f>
        <v>5456.0498399999997</v>
      </c>
      <c r="AE263" s="6">
        <f>$K$263*$Y$263</f>
        <v>0</v>
      </c>
      <c r="AF263" s="6">
        <f ca="1">$M$263*$Z$263</f>
        <v>4885.1095029714352</v>
      </c>
      <c r="AG263" s="6">
        <f ca="1">$O$263*$AA$263</f>
        <v>3921.225200120185</v>
      </c>
    </row>
    <row r="264" spans="1:33" ht="11.25" customHeight="1" x14ac:dyDescent="0.25">
      <c r="A264" s="4" t="s">
        <v>21</v>
      </c>
      <c r="B264" s="4" t="s">
        <v>22</v>
      </c>
      <c r="C264" s="4" t="s">
        <v>23</v>
      </c>
      <c r="D264" s="4" t="s">
        <v>24</v>
      </c>
      <c r="E264" s="4" t="s">
        <v>29</v>
      </c>
      <c r="F264" s="4" t="s">
        <v>25</v>
      </c>
      <c r="G264" s="4" t="s">
        <v>25</v>
      </c>
      <c r="H264" s="4" t="s">
        <v>25</v>
      </c>
      <c r="I264" s="5">
        <v>44682</v>
      </c>
      <c r="J264" s="6">
        <v>0</v>
      </c>
      <c r="K264" s="6">
        <v>0</v>
      </c>
      <c r="L264" s="6">
        <v>30.445</v>
      </c>
      <c r="M264" s="6">
        <v>30.445</v>
      </c>
      <c r="N264" s="6">
        <v>30.445</v>
      </c>
      <c r="O264" s="6">
        <v>30.445</v>
      </c>
      <c r="P264" s="6">
        <v>324</v>
      </c>
      <c r="Q264" s="4" t="s">
        <v>26</v>
      </c>
      <c r="R264" s="4">
        <v>0</v>
      </c>
      <c r="S264" s="6">
        <v>0</v>
      </c>
      <c r="T264" s="6">
        <v>39</v>
      </c>
      <c r="U264" s="6">
        <v>77</v>
      </c>
      <c r="V264" s="6">
        <f>IF(ISERROR(VLOOKUP($S$264,'TAR FIN'!$A$1:$O$88,15,0)),0,VLOOKUP($S$264,'TAR FIN'!$A$1:$O$88,15,0))</f>
        <v>0</v>
      </c>
      <c r="W264" s="6">
        <f>IF(ISERROR(VLOOKUP($T$264,'TAR FIN'!$A$1:$O$88,15,0)),0,VLOOKUP($T$264,'TAR FIN'!$A$1:$O$88,15,0))</f>
        <v>117.48</v>
      </c>
      <c r="X264" s="6">
        <f>IF(ISERROR(VLOOKUP($U$264,'TAR FIN'!$A$1:$O$88,15,0)),0,VLOOKUP($U$264,'TAR FIN'!$A$1:$O$88,15,0))</f>
        <v>173.34</v>
      </c>
      <c r="Y264" s="6"/>
      <c r="Z264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64" s="6">
        <f ca="1">('TE BE'!$AB$13+'TE BF_350'!$AB$13+'TE CVA'!$AB$13)*(1-CUSTOS!$M$35)</f>
        <v>124.57825645317655</v>
      </c>
      <c r="AB264" s="6">
        <f>$K$264*$V$264</f>
        <v>0</v>
      </c>
      <c r="AC264" s="6">
        <f>$M$264*$W$264</f>
        <v>3576.6786000000002</v>
      </c>
      <c r="AD264" s="6">
        <f>$O$264*$X$264</f>
        <v>5277.3362999999999</v>
      </c>
      <c r="AE264" s="6">
        <f>$K$264*$Y$264</f>
        <v>0</v>
      </c>
      <c r="AF264" s="6">
        <f ca="1">$M$264*$Z$264</f>
        <v>4725.0971793736617</v>
      </c>
      <c r="AG264" s="6">
        <f ca="1">$O$264*$AA$264</f>
        <v>3792.7850177169603</v>
      </c>
    </row>
    <row r="265" spans="1:33" ht="11.25" customHeight="1" x14ac:dyDescent="0.25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29</v>
      </c>
      <c r="F265" s="4" t="s">
        <v>25</v>
      </c>
      <c r="G265" s="4" t="s">
        <v>25</v>
      </c>
      <c r="H265" s="4" t="s">
        <v>25</v>
      </c>
      <c r="I265" s="5">
        <v>44713</v>
      </c>
      <c r="J265" s="6">
        <v>0</v>
      </c>
      <c r="K265" s="6">
        <v>0</v>
      </c>
      <c r="L265" s="6">
        <v>31.358000000000001</v>
      </c>
      <c r="M265" s="6">
        <v>31.358000000000001</v>
      </c>
      <c r="N265" s="6">
        <v>31.358000000000001</v>
      </c>
      <c r="O265" s="6">
        <v>31.358000000000001</v>
      </c>
      <c r="P265" s="6">
        <v>291</v>
      </c>
      <c r="Q265" s="4" t="s">
        <v>26</v>
      </c>
      <c r="R265" s="4">
        <v>0</v>
      </c>
      <c r="S265" s="6">
        <v>0</v>
      </c>
      <c r="T265" s="6">
        <v>39</v>
      </c>
      <c r="U265" s="6">
        <v>77</v>
      </c>
      <c r="V265" s="6">
        <f>IF(ISERROR(VLOOKUP($S$265,'TAR FIN'!$A$1:$O$88,15,0)),0,VLOOKUP($S$265,'TAR FIN'!$A$1:$O$88,15,0))</f>
        <v>0</v>
      </c>
      <c r="W265" s="6">
        <f>IF(ISERROR(VLOOKUP($T$265,'TAR FIN'!$A$1:$O$88,15,0)),0,VLOOKUP($T$265,'TAR FIN'!$A$1:$O$88,15,0))</f>
        <v>117.48</v>
      </c>
      <c r="X265" s="6">
        <f>IF(ISERROR(VLOOKUP($U$265,'TAR FIN'!$A$1:$O$88,15,0)),0,VLOOKUP($U$265,'TAR FIN'!$A$1:$O$88,15,0))</f>
        <v>173.34</v>
      </c>
      <c r="Y265" s="6"/>
      <c r="Z265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65" s="6">
        <f ca="1">('TE BE'!$AB$13+'TE BF_350'!$AB$13+'TE CVA'!$AB$13)*(1-CUSTOS!$M$35)</f>
        <v>124.57825645317655</v>
      </c>
      <c r="AB265" s="6">
        <f>$K$265*$V$265</f>
        <v>0</v>
      </c>
      <c r="AC265" s="6">
        <f>$M$265*$W$265</f>
        <v>3683.9378400000001</v>
      </c>
      <c r="AD265" s="6">
        <f>$O$265*$X$265</f>
        <v>5435.5957200000003</v>
      </c>
      <c r="AE265" s="6">
        <f>$K$265*$Y$265</f>
        <v>0</v>
      </c>
      <c r="AF265" s="6">
        <f ca="1">$M$265*$Z$265</f>
        <v>4866.795774373436</v>
      </c>
      <c r="AG265" s="6">
        <f ca="1">$O$265*$AA$265</f>
        <v>3906.5249658587104</v>
      </c>
    </row>
    <row r="266" spans="1:33" ht="11.25" customHeight="1" x14ac:dyDescent="0.25">
      <c r="A266" s="4" t="s">
        <v>55</v>
      </c>
      <c r="B266" s="4" t="s">
        <v>22</v>
      </c>
      <c r="C266" s="4" t="s">
        <v>23</v>
      </c>
      <c r="D266" s="4" t="s">
        <v>24</v>
      </c>
      <c r="E266" s="4" t="s">
        <v>29</v>
      </c>
      <c r="F266" s="4" t="s">
        <v>25</v>
      </c>
      <c r="G266" s="4" t="s">
        <v>25</v>
      </c>
      <c r="H266" s="4" t="s">
        <v>25</v>
      </c>
      <c r="I266" s="5">
        <v>44743</v>
      </c>
      <c r="J266" s="6">
        <v>0</v>
      </c>
      <c r="K266" s="6">
        <v>0</v>
      </c>
      <c r="L266" s="6">
        <v>31.358000000000001</v>
      </c>
      <c r="M266" s="6">
        <v>31.358000000000001</v>
      </c>
      <c r="N266" s="6">
        <v>31.358000000000001</v>
      </c>
      <c r="O266" s="6">
        <v>31.358000000000001</v>
      </c>
      <c r="P266" s="6">
        <v>291</v>
      </c>
      <c r="Q266" s="4" t="s">
        <v>26</v>
      </c>
      <c r="R266" s="4">
        <v>0</v>
      </c>
      <c r="S266" s="6">
        <v>0</v>
      </c>
      <c r="T266" s="6">
        <v>39</v>
      </c>
      <c r="U266" s="6">
        <v>77</v>
      </c>
      <c r="V266" s="6">
        <f>IF(ISERROR(VLOOKUP($S$266,'TAR FIN'!$A$1:$O$88,15,0)),0,VLOOKUP($S$266,'TAR FIN'!$A$1:$O$88,15,0))</f>
        <v>0</v>
      </c>
      <c r="W266" s="6">
        <f>IF(ISERROR(VLOOKUP($T$266,'TAR FIN'!$A$1:$O$88,15,0)),0,VLOOKUP($T$266,'TAR FIN'!$A$1:$O$88,15,0))</f>
        <v>117.48</v>
      </c>
      <c r="X266" s="6">
        <f>IF(ISERROR(VLOOKUP($U$266,'TAR FIN'!$A$1:$O$88,15,0)),0,VLOOKUP($U$266,'TAR FIN'!$A$1:$O$88,15,0))</f>
        <v>173.34</v>
      </c>
      <c r="Y266" s="6"/>
      <c r="Z266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155.20108981355432</v>
      </c>
      <c r="AA266" s="6">
        <f ca="1">('TE BE'!$AB$13+'TE BF_350'!$AB$13+'TE CVA'!$AB$13)*(1-CUSTOS!$M$35)</f>
        <v>124.57825645317655</v>
      </c>
      <c r="AB266" s="6">
        <f>$K$266*$V$266</f>
        <v>0</v>
      </c>
      <c r="AC266" s="6">
        <f>$M$266*$W$266</f>
        <v>3683.9378400000001</v>
      </c>
      <c r="AD266" s="6">
        <f>$O$266*$X$266</f>
        <v>5435.5957200000003</v>
      </c>
      <c r="AE266" s="6">
        <f>$K$266*$Y$266</f>
        <v>0</v>
      </c>
      <c r="AF266" s="6">
        <f ca="1">$M$266*$Z$266</f>
        <v>4866.795774373436</v>
      </c>
      <c r="AG266" s="6">
        <f ca="1">$O$266*$AA$266</f>
        <v>3906.5249658587104</v>
      </c>
    </row>
    <row r="267" spans="1:33" ht="11.25" customHeight="1" x14ac:dyDescent="0.25">
      <c r="A267" s="4" t="s">
        <v>21</v>
      </c>
      <c r="B267" s="4" t="s">
        <v>22</v>
      </c>
      <c r="C267" s="4" t="s">
        <v>23</v>
      </c>
      <c r="D267" s="4" t="s">
        <v>24</v>
      </c>
      <c r="E267" s="4" t="s">
        <v>30</v>
      </c>
      <c r="F267" s="4" t="s">
        <v>25</v>
      </c>
      <c r="G267" s="4" t="s">
        <v>25</v>
      </c>
      <c r="H267" s="4" t="s">
        <v>25</v>
      </c>
      <c r="I267" s="5">
        <v>44409</v>
      </c>
      <c r="J267" s="6">
        <v>0</v>
      </c>
      <c r="K267" s="6">
        <v>0</v>
      </c>
      <c r="L267" s="6">
        <v>13.061</v>
      </c>
      <c r="M267" s="6">
        <v>13.061</v>
      </c>
      <c r="N267" s="6">
        <v>13.061</v>
      </c>
      <c r="O267" s="6">
        <v>13.061</v>
      </c>
      <c r="P267" s="6">
        <v>261</v>
      </c>
      <c r="Q267" s="4" t="s">
        <v>26</v>
      </c>
      <c r="R267" s="4">
        <v>0</v>
      </c>
      <c r="S267" s="6">
        <v>0</v>
      </c>
      <c r="T267" s="6">
        <v>40</v>
      </c>
      <c r="U267" s="6">
        <v>78</v>
      </c>
      <c r="V267" s="6">
        <f>IF(ISERROR(VLOOKUP($S$267,'TAR FIN'!$A$1:$O$88,15,0)),0,VLOOKUP($S$267,'TAR FIN'!$A$1:$O$88,15,0))</f>
        <v>0</v>
      </c>
      <c r="W267" s="6">
        <f>IF(ISERROR(VLOOKUP($T$267,'TAR FIN'!$A$1:$O$88,15,0)),0,VLOOKUP($T$267,'TAR FIN'!$A$1:$O$88,15,0))</f>
        <v>176.22</v>
      </c>
      <c r="X267" s="6">
        <f>IF(ISERROR(VLOOKUP($U$267,'TAR FIN'!$A$1:$O$88,15,0)),0,VLOOKUP($U$267,'TAR FIN'!$A$1:$O$88,15,0))</f>
        <v>260.01</v>
      </c>
      <c r="Y267" s="6"/>
      <c r="Z267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67" s="6">
        <f ca="1">('TE BE'!$AB$14+'TE BF_350'!$AB$14+'TE CVA'!$AB$14)*(1-CUSTOS!$M$36)</f>
        <v>186.86738467976483</v>
      </c>
      <c r="AB267" s="6">
        <f>$K$267*$V$267</f>
        <v>0</v>
      </c>
      <c r="AC267" s="6">
        <f>$M$267*$W$267</f>
        <v>2301.6094199999998</v>
      </c>
      <c r="AD267" s="6">
        <f>$O$267*$X$267</f>
        <v>3395.9906099999998</v>
      </c>
      <c r="AE267" s="6">
        <f>$K$267*$Y$267</f>
        <v>0</v>
      </c>
      <c r="AF267" s="6">
        <f ca="1">$M$267*$Z$267</f>
        <v>3040.6221510822493</v>
      </c>
      <c r="AG267" s="6">
        <f ca="1">$O$267*$AA$267</f>
        <v>2440.6749113024084</v>
      </c>
    </row>
    <row r="268" spans="1:33" ht="11.25" customHeight="1" x14ac:dyDescent="0.25">
      <c r="A268" s="4" t="s">
        <v>21</v>
      </c>
      <c r="B268" s="4" t="s">
        <v>22</v>
      </c>
      <c r="C268" s="4" t="s">
        <v>23</v>
      </c>
      <c r="D268" s="4" t="s">
        <v>24</v>
      </c>
      <c r="E268" s="4" t="s">
        <v>30</v>
      </c>
      <c r="F268" s="4" t="s">
        <v>25</v>
      </c>
      <c r="G268" s="4" t="s">
        <v>25</v>
      </c>
      <c r="H268" s="4" t="s">
        <v>25</v>
      </c>
      <c r="I268" s="5">
        <v>44440</v>
      </c>
      <c r="J268" s="6">
        <v>0</v>
      </c>
      <c r="K268" s="6">
        <v>0</v>
      </c>
      <c r="L268" s="6">
        <v>15.353999999999999</v>
      </c>
      <c r="M268" s="6">
        <v>15.353999999999999</v>
      </c>
      <c r="N268" s="6">
        <v>15.353999999999999</v>
      </c>
      <c r="O268" s="6">
        <v>15.353999999999999</v>
      </c>
      <c r="P268" s="6">
        <v>286</v>
      </c>
      <c r="Q268" s="4" t="s">
        <v>26</v>
      </c>
      <c r="R268" s="4">
        <v>0</v>
      </c>
      <c r="S268" s="6">
        <v>0</v>
      </c>
      <c r="T268" s="6">
        <v>40</v>
      </c>
      <c r="U268" s="6">
        <v>78</v>
      </c>
      <c r="V268" s="6">
        <f>IF(ISERROR(VLOOKUP($S$268,'TAR FIN'!$A$1:$O$88,15,0)),0,VLOOKUP($S$268,'TAR FIN'!$A$1:$O$88,15,0))</f>
        <v>0</v>
      </c>
      <c r="W268" s="6">
        <f>IF(ISERROR(VLOOKUP($T$268,'TAR FIN'!$A$1:$O$88,15,0)),0,VLOOKUP($T$268,'TAR FIN'!$A$1:$O$88,15,0))</f>
        <v>176.22</v>
      </c>
      <c r="X268" s="6">
        <f>IF(ISERROR(VLOOKUP($U$268,'TAR FIN'!$A$1:$O$88,15,0)),0,VLOOKUP($U$268,'TAR FIN'!$A$1:$O$88,15,0))</f>
        <v>260.01</v>
      </c>
      <c r="Y268" s="6"/>
      <c r="Z268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68" s="6">
        <f ca="1">('TE BE'!$AB$14+'TE BF_350'!$AB$14+'TE CVA'!$AB$14)*(1-CUSTOS!$M$36)</f>
        <v>186.86738467976483</v>
      </c>
      <c r="AB268" s="6">
        <f>$K$268*$V$268</f>
        <v>0</v>
      </c>
      <c r="AC268" s="6">
        <f>$M$268*$W$268</f>
        <v>2705.6818799999996</v>
      </c>
      <c r="AD268" s="6">
        <f>$O$268*$X$268</f>
        <v>3992.1935399999998</v>
      </c>
      <c r="AE268" s="6">
        <f>$K$268*$Y$268</f>
        <v>0</v>
      </c>
      <c r="AF268" s="6">
        <f ca="1">$M$268*$Z$268</f>
        <v>3574.4362994959693</v>
      </c>
      <c r="AG268" s="6">
        <f ca="1">$O$268*$AA$268</f>
        <v>2869.1618243731091</v>
      </c>
    </row>
    <row r="269" spans="1:33" ht="11.25" customHeight="1" x14ac:dyDescent="0.25">
      <c r="A269" s="4" t="s">
        <v>21</v>
      </c>
      <c r="B269" s="4" t="s">
        <v>22</v>
      </c>
      <c r="C269" s="4" t="s">
        <v>23</v>
      </c>
      <c r="D269" s="4" t="s">
        <v>24</v>
      </c>
      <c r="E269" s="4" t="s">
        <v>30</v>
      </c>
      <c r="F269" s="4" t="s">
        <v>25</v>
      </c>
      <c r="G269" s="4" t="s">
        <v>25</v>
      </c>
      <c r="H269" s="4" t="s">
        <v>25</v>
      </c>
      <c r="I269" s="5">
        <v>44470</v>
      </c>
      <c r="J269" s="6">
        <v>0</v>
      </c>
      <c r="K269" s="6">
        <v>0</v>
      </c>
      <c r="L269" s="6">
        <v>10.358000000000001</v>
      </c>
      <c r="M269" s="6">
        <v>10.358000000000001</v>
      </c>
      <c r="N269" s="6">
        <v>10.358000000000001</v>
      </c>
      <c r="O269" s="6">
        <v>10.358000000000001</v>
      </c>
      <c r="P269" s="6">
        <v>232</v>
      </c>
      <c r="Q269" s="4" t="s">
        <v>26</v>
      </c>
      <c r="R269" s="4">
        <v>0</v>
      </c>
      <c r="S269" s="6">
        <v>0</v>
      </c>
      <c r="T269" s="6">
        <v>40</v>
      </c>
      <c r="U269" s="6">
        <v>78</v>
      </c>
      <c r="V269" s="6">
        <f>IF(ISERROR(VLOOKUP($S$269,'TAR FIN'!$A$1:$O$88,15,0)),0,VLOOKUP($S$269,'TAR FIN'!$A$1:$O$88,15,0))</f>
        <v>0</v>
      </c>
      <c r="W269" s="6">
        <f>IF(ISERROR(VLOOKUP($T$269,'TAR FIN'!$A$1:$O$88,15,0)),0,VLOOKUP($T$269,'TAR FIN'!$A$1:$O$88,15,0))</f>
        <v>176.22</v>
      </c>
      <c r="X269" s="6">
        <f>IF(ISERROR(VLOOKUP($U$269,'TAR FIN'!$A$1:$O$88,15,0)),0,VLOOKUP($U$269,'TAR FIN'!$A$1:$O$88,15,0))</f>
        <v>260.01</v>
      </c>
      <c r="Y269" s="6"/>
      <c r="Z269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69" s="6">
        <f ca="1">('TE BE'!$AB$14+'TE BF_350'!$AB$14+'TE CVA'!$AB$14)*(1-CUSTOS!$M$36)</f>
        <v>186.86738467976483</v>
      </c>
      <c r="AB269" s="6">
        <f>$K$269*$V$269</f>
        <v>0</v>
      </c>
      <c r="AC269" s="6">
        <f>$M$269*$W$269</f>
        <v>1825.2867600000002</v>
      </c>
      <c r="AD269" s="6">
        <f>$O$269*$X$269</f>
        <v>2693.1835799999999</v>
      </c>
      <c r="AE269" s="6">
        <f>$K$269*$Y$269</f>
        <v>0</v>
      </c>
      <c r="AF269" s="6">
        <f ca="1">$M$269*$Z$269</f>
        <v>2411.3593324331932</v>
      </c>
      <c r="AG269" s="6">
        <f ca="1">$O$269*$AA$269</f>
        <v>1935.5723705130042</v>
      </c>
    </row>
    <row r="270" spans="1:33" ht="11.25" customHeight="1" x14ac:dyDescent="0.25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30</v>
      </c>
      <c r="F270" s="4" t="s">
        <v>25</v>
      </c>
      <c r="G270" s="4" t="s">
        <v>25</v>
      </c>
      <c r="H270" s="4" t="s">
        <v>25</v>
      </c>
      <c r="I270" s="5">
        <v>44501</v>
      </c>
      <c r="J270" s="6">
        <v>0</v>
      </c>
      <c r="K270" s="6">
        <v>0</v>
      </c>
      <c r="L270" s="6">
        <v>14.414</v>
      </c>
      <c r="M270" s="6">
        <v>14.414</v>
      </c>
      <c r="N270" s="6">
        <v>14.414</v>
      </c>
      <c r="O270" s="6">
        <v>14.414</v>
      </c>
      <c r="P270" s="6">
        <v>268</v>
      </c>
      <c r="Q270" s="4" t="s">
        <v>26</v>
      </c>
      <c r="R270" s="4">
        <v>0</v>
      </c>
      <c r="S270" s="6">
        <v>0</v>
      </c>
      <c r="T270" s="6">
        <v>40</v>
      </c>
      <c r="U270" s="6">
        <v>78</v>
      </c>
      <c r="V270" s="6">
        <f>IF(ISERROR(VLOOKUP($S$270,'TAR FIN'!$A$1:$O$88,15,0)),0,VLOOKUP($S$270,'TAR FIN'!$A$1:$O$88,15,0))</f>
        <v>0</v>
      </c>
      <c r="W270" s="6">
        <f>IF(ISERROR(VLOOKUP($T$270,'TAR FIN'!$A$1:$O$88,15,0)),0,VLOOKUP($T$270,'TAR FIN'!$A$1:$O$88,15,0))</f>
        <v>176.22</v>
      </c>
      <c r="X270" s="6">
        <f>IF(ISERROR(VLOOKUP($U$270,'TAR FIN'!$A$1:$O$88,15,0)),0,VLOOKUP($U$270,'TAR FIN'!$A$1:$O$88,15,0))</f>
        <v>260.01</v>
      </c>
      <c r="Y270" s="6"/>
      <c r="Z270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70" s="6">
        <f ca="1">('TE BE'!$AB$14+'TE BF_350'!$AB$14+'TE CVA'!$AB$14)*(1-CUSTOS!$M$36)</f>
        <v>186.86738467976483</v>
      </c>
      <c r="AB270" s="6">
        <f>$K$270*$V$270</f>
        <v>0</v>
      </c>
      <c r="AC270" s="6">
        <f>$M$270*$W$270</f>
        <v>2540.0350800000001</v>
      </c>
      <c r="AD270" s="6">
        <f>$O$270*$X$270</f>
        <v>3747.7841399999998</v>
      </c>
      <c r="AE270" s="6">
        <f>$K$270*$Y$270</f>
        <v>0</v>
      </c>
      <c r="AF270" s="6">
        <f ca="1">$M$270*$Z$270</f>
        <v>3355.6027628588577</v>
      </c>
      <c r="AG270" s="6">
        <f ca="1">$O$270*$AA$270</f>
        <v>2693.5064827741303</v>
      </c>
    </row>
    <row r="271" spans="1:33" ht="11.25" customHeight="1" x14ac:dyDescent="0.25">
      <c r="A271" s="4" t="s">
        <v>21</v>
      </c>
      <c r="B271" s="4" t="s">
        <v>22</v>
      </c>
      <c r="C271" s="4" t="s">
        <v>23</v>
      </c>
      <c r="D271" s="4" t="s">
        <v>24</v>
      </c>
      <c r="E271" s="4" t="s">
        <v>30</v>
      </c>
      <c r="F271" s="4" t="s">
        <v>25</v>
      </c>
      <c r="G271" s="4" t="s">
        <v>25</v>
      </c>
      <c r="H271" s="4" t="s">
        <v>25</v>
      </c>
      <c r="I271" s="5">
        <v>44531</v>
      </c>
      <c r="J271" s="6">
        <v>0</v>
      </c>
      <c r="K271" s="6">
        <v>0</v>
      </c>
      <c r="L271" s="6">
        <v>18.116</v>
      </c>
      <c r="M271" s="6">
        <v>18.116</v>
      </c>
      <c r="N271" s="6">
        <v>18.116</v>
      </c>
      <c r="O271" s="6">
        <v>18.116</v>
      </c>
      <c r="P271" s="6">
        <v>312</v>
      </c>
      <c r="Q271" s="4" t="s">
        <v>26</v>
      </c>
      <c r="R271" s="4">
        <v>0</v>
      </c>
      <c r="S271" s="6">
        <v>0</v>
      </c>
      <c r="T271" s="6">
        <v>40</v>
      </c>
      <c r="U271" s="6">
        <v>78</v>
      </c>
      <c r="V271" s="6">
        <f>IF(ISERROR(VLOOKUP($S$271,'TAR FIN'!$A$1:$O$88,15,0)),0,VLOOKUP($S$271,'TAR FIN'!$A$1:$O$88,15,0))</f>
        <v>0</v>
      </c>
      <c r="W271" s="6">
        <f>IF(ISERROR(VLOOKUP($T$271,'TAR FIN'!$A$1:$O$88,15,0)),0,VLOOKUP($T$271,'TAR FIN'!$A$1:$O$88,15,0))</f>
        <v>176.22</v>
      </c>
      <c r="X271" s="6">
        <f>IF(ISERROR(VLOOKUP($U$271,'TAR FIN'!$A$1:$O$88,15,0)),0,VLOOKUP($U$271,'TAR FIN'!$A$1:$O$88,15,0))</f>
        <v>260.01</v>
      </c>
      <c r="Y271" s="6"/>
      <c r="Z271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71" s="6">
        <f ca="1">('TE BE'!$AB$14+'TE BF_350'!$AB$14+'TE CVA'!$AB$14)*(1-CUSTOS!$M$36)</f>
        <v>186.86738467976483</v>
      </c>
      <c r="AB271" s="6">
        <f>$K$271*$V$271</f>
        <v>0</v>
      </c>
      <c r="AC271" s="6">
        <f>$M$271*$W$271</f>
        <v>3192.4015199999999</v>
      </c>
      <c r="AD271" s="6">
        <f>$O$271*$X$271</f>
        <v>4710.3411599999999</v>
      </c>
      <c r="AE271" s="6">
        <f>$K$271*$Y$271</f>
        <v>0</v>
      </c>
      <c r="AF271" s="6">
        <f ca="1">$M$271*$Z$271</f>
        <v>4217.4344145935247</v>
      </c>
      <c r="AG271" s="6">
        <f ca="1">$O$271*$AA$271</f>
        <v>3385.2895408586196</v>
      </c>
    </row>
    <row r="272" spans="1:33" ht="11.25" customHeight="1" x14ac:dyDescent="0.25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30</v>
      </c>
      <c r="F272" s="4" t="s">
        <v>25</v>
      </c>
      <c r="G272" s="4" t="s">
        <v>25</v>
      </c>
      <c r="H272" s="4" t="s">
        <v>25</v>
      </c>
      <c r="I272" s="5">
        <v>44562</v>
      </c>
      <c r="J272" s="6">
        <v>0</v>
      </c>
      <c r="K272" s="6">
        <v>0</v>
      </c>
      <c r="L272" s="6">
        <v>16.149999999999999</v>
      </c>
      <c r="M272" s="6">
        <v>16.149999999999999</v>
      </c>
      <c r="N272" s="6">
        <v>16.149999999999999</v>
      </c>
      <c r="O272" s="6">
        <v>16.149999999999999</v>
      </c>
      <c r="P272" s="6">
        <v>307</v>
      </c>
      <c r="Q272" s="4" t="s">
        <v>26</v>
      </c>
      <c r="R272" s="4">
        <v>0</v>
      </c>
      <c r="S272" s="6">
        <v>0</v>
      </c>
      <c r="T272" s="6">
        <v>40</v>
      </c>
      <c r="U272" s="6">
        <v>78</v>
      </c>
      <c r="V272" s="6">
        <f>IF(ISERROR(VLOOKUP($S$272,'TAR FIN'!$A$1:$O$88,15,0)),0,VLOOKUP($S$272,'TAR FIN'!$A$1:$O$88,15,0))</f>
        <v>0</v>
      </c>
      <c r="W272" s="6">
        <f>IF(ISERROR(VLOOKUP($T$272,'TAR FIN'!$A$1:$O$88,15,0)),0,VLOOKUP($T$272,'TAR FIN'!$A$1:$O$88,15,0))</f>
        <v>176.22</v>
      </c>
      <c r="X272" s="6">
        <f>IF(ISERROR(VLOOKUP($U$272,'TAR FIN'!$A$1:$O$88,15,0)),0,VLOOKUP($U$272,'TAR FIN'!$A$1:$O$88,15,0))</f>
        <v>260.01</v>
      </c>
      <c r="Y272" s="6"/>
      <c r="Z27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72" s="6">
        <f ca="1">('TE BE'!$AB$14+'TE BF_350'!$AB$14+'TE CVA'!$AB$14)*(1-CUSTOS!$M$36)</f>
        <v>186.86738467976483</v>
      </c>
      <c r="AB272" s="6">
        <f>$K$272*$V$272</f>
        <v>0</v>
      </c>
      <c r="AC272" s="6">
        <f>$M$272*$W$272</f>
        <v>2845.9529999999995</v>
      </c>
      <c r="AD272" s="6">
        <f>$O$272*$X$272</f>
        <v>4199.1614999999993</v>
      </c>
      <c r="AE272" s="6">
        <f>$K$272*$Y$272</f>
        <v>0</v>
      </c>
      <c r="AF272" s="6">
        <f ca="1">$M$272*$Z$272</f>
        <v>3759.7464007333529</v>
      </c>
      <c r="AG272" s="6">
        <f ca="1">$O$272*$AA$272</f>
        <v>3017.9082625782016</v>
      </c>
    </row>
    <row r="273" spans="1:33" ht="11.25" customHeight="1" x14ac:dyDescent="0.25">
      <c r="A273" s="4" t="s">
        <v>21</v>
      </c>
      <c r="B273" s="4" t="s">
        <v>22</v>
      </c>
      <c r="C273" s="4" t="s">
        <v>23</v>
      </c>
      <c r="D273" s="4" t="s">
        <v>24</v>
      </c>
      <c r="E273" s="4" t="s">
        <v>30</v>
      </c>
      <c r="F273" s="4" t="s">
        <v>25</v>
      </c>
      <c r="G273" s="4" t="s">
        <v>25</v>
      </c>
      <c r="H273" s="4" t="s">
        <v>25</v>
      </c>
      <c r="I273" s="5">
        <v>44593</v>
      </c>
      <c r="J273" s="6">
        <v>0</v>
      </c>
      <c r="K273" s="6">
        <v>0</v>
      </c>
      <c r="L273" s="6">
        <v>13.394</v>
      </c>
      <c r="M273" s="6">
        <v>13.394</v>
      </c>
      <c r="N273" s="6">
        <v>13.394</v>
      </c>
      <c r="O273" s="6">
        <v>13.394</v>
      </c>
      <c r="P273" s="6">
        <v>273</v>
      </c>
      <c r="Q273" s="4" t="s">
        <v>26</v>
      </c>
      <c r="R273" s="4">
        <v>0</v>
      </c>
      <c r="S273" s="6">
        <v>0</v>
      </c>
      <c r="T273" s="6">
        <v>40</v>
      </c>
      <c r="U273" s="6">
        <v>78</v>
      </c>
      <c r="V273" s="6">
        <f>IF(ISERROR(VLOOKUP($S$273,'TAR FIN'!$A$1:$O$88,15,0)),0,VLOOKUP($S$273,'TAR FIN'!$A$1:$O$88,15,0))</f>
        <v>0</v>
      </c>
      <c r="W273" s="6">
        <f>IF(ISERROR(VLOOKUP($T$273,'TAR FIN'!$A$1:$O$88,15,0)),0,VLOOKUP($T$273,'TAR FIN'!$A$1:$O$88,15,0))</f>
        <v>176.22</v>
      </c>
      <c r="X273" s="6">
        <f>IF(ISERROR(VLOOKUP($U$273,'TAR FIN'!$A$1:$O$88,15,0)),0,VLOOKUP($U$273,'TAR FIN'!$A$1:$O$88,15,0))</f>
        <v>260.01</v>
      </c>
      <c r="Y273" s="6"/>
      <c r="Z273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73" s="6">
        <f ca="1">('TE BE'!$AB$14+'TE BF_350'!$AB$14+'TE CVA'!$AB$14)*(1-CUSTOS!$M$36)</f>
        <v>186.86738467976483</v>
      </c>
      <c r="AB273" s="6">
        <f>$K$273*$V$273</f>
        <v>0</v>
      </c>
      <c r="AC273" s="6">
        <f>$M$273*$W$273</f>
        <v>2360.2906800000001</v>
      </c>
      <c r="AD273" s="6">
        <f>$O$273*$X$273</f>
        <v>3482.5739399999998</v>
      </c>
      <c r="AE273" s="6">
        <f>$K$273*$Y$273</f>
        <v>0</v>
      </c>
      <c r="AF273" s="6">
        <f ca="1">$M$273*$Z$273</f>
        <v>3118.1450954441198</v>
      </c>
      <c r="AG273" s="6">
        <f ca="1">$O$273*$AA$273</f>
        <v>2502.9017504007702</v>
      </c>
    </row>
    <row r="274" spans="1:33" ht="11.25" customHeight="1" x14ac:dyDescent="0.25">
      <c r="A274" s="4" t="s">
        <v>21</v>
      </c>
      <c r="B274" s="4" t="s">
        <v>22</v>
      </c>
      <c r="C274" s="4" t="s">
        <v>23</v>
      </c>
      <c r="D274" s="4" t="s">
        <v>24</v>
      </c>
      <c r="E274" s="4" t="s">
        <v>30</v>
      </c>
      <c r="F274" s="4" t="s">
        <v>25</v>
      </c>
      <c r="G274" s="4" t="s">
        <v>25</v>
      </c>
      <c r="H274" s="4" t="s">
        <v>25</v>
      </c>
      <c r="I274" s="5">
        <v>44621</v>
      </c>
      <c r="J274" s="6">
        <v>0</v>
      </c>
      <c r="K274" s="6">
        <v>0</v>
      </c>
      <c r="L274" s="6">
        <v>16.189</v>
      </c>
      <c r="M274" s="6">
        <v>16.189</v>
      </c>
      <c r="N274" s="6">
        <v>16.189</v>
      </c>
      <c r="O274" s="6">
        <v>16.189</v>
      </c>
      <c r="P274" s="6">
        <v>309</v>
      </c>
      <c r="Q274" s="4" t="s">
        <v>26</v>
      </c>
      <c r="R274" s="4">
        <v>0</v>
      </c>
      <c r="S274" s="6">
        <v>0</v>
      </c>
      <c r="T274" s="6">
        <v>40</v>
      </c>
      <c r="U274" s="6">
        <v>78</v>
      </c>
      <c r="V274" s="6">
        <f>IF(ISERROR(VLOOKUP($S$274,'TAR FIN'!$A$1:$O$88,15,0)),0,VLOOKUP($S$274,'TAR FIN'!$A$1:$O$88,15,0))</f>
        <v>0</v>
      </c>
      <c r="W274" s="6">
        <f>IF(ISERROR(VLOOKUP($T$274,'TAR FIN'!$A$1:$O$88,15,0)),0,VLOOKUP($T$274,'TAR FIN'!$A$1:$O$88,15,0))</f>
        <v>176.22</v>
      </c>
      <c r="X274" s="6">
        <f>IF(ISERROR(VLOOKUP($U$274,'TAR FIN'!$A$1:$O$88,15,0)),0,VLOOKUP($U$274,'TAR FIN'!$A$1:$O$88,15,0))</f>
        <v>260.01</v>
      </c>
      <c r="Y274" s="6"/>
      <c r="Z27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74" s="6">
        <f ca="1">('TE BE'!$AB$14+'TE BF_350'!$AB$14+'TE CVA'!$AB$14)*(1-CUSTOS!$M$36)</f>
        <v>186.86738467976483</v>
      </c>
      <c r="AB274" s="6">
        <f>$K$274*$V$274</f>
        <v>0</v>
      </c>
      <c r="AC274" s="6">
        <f>$M$274*$W$274</f>
        <v>2852.8255800000002</v>
      </c>
      <c r="AD274" s="6">
        <f>$O$274*$X$274</f>
        <v>4209.3018899999997</v>
      </c>
      <c r="AE274" s="6">
        <f>$K$274*$Y$274</f>
        <v>0</v>
      </c>
      <c r="AF274" s="6">
        <f ca="1">$M$274*$Z$274</f>
        <v>3768.8256644874459</v>
      </c>
      <c r="AG274" s="6">
        <f ca="1">$O$274*$AA$274</f>
        <v>3025.1960905807127</v>
      </c>
    </row>
    <row r="275" spans="1:33" ht="11.25" customHeight="1" x14ac:dyDescent="0.25">
      <c r="A275" s="4" t="s">
        <v>21</v>
      </c>
      <c r="B275" s="4" t="s">
        <v>22</v>
      </c>
      <c r="C275" s="4" t="s">
        <v>23</v>
      </c>
      <c r="D275" s="4" t="s">
        <v>24</v>
      </c>
      <c r="E275" s="4" t="s">
        <v>30</v>
      </c>
      <c r="F275" s="4" t="s">
        <v>25</v>
      </c>
      <c r="G275" s="4" t="s">
        <v>25</v>
      </c>
      <c r="H275" s="4" t="s">
        <v>25</v>
      </c>
      <c r="I275" s="5">
        <v>44652</v>
      </c>
      <c r="J275" s="6">
        <v>0</v>
      </c>
      <c r="K275" s="6">
        <v>0</v>
      </c>
      <c r="L275" s="6">
        <v>12.414999999999999</v>
      </c>
      <c r="M275" s="6">
        <v>12.414999999999999</v>
      </c>
      <c r="N275" s="6">
        <v>12.414999999999999</v>
      </c>
      <c r="O275" s="6">
        <v>12.414999999999999</v>
      </c>
      <c r="P275" s="6">
        <v>268</v>
      </c>
      <c r="Q275" s="4" t="s">
        <v>26</v>
      </c>
      <c r="R275" s="4">
        <v>0</v>
      </c>
      <c r="S275" s="6">
        <v>0</v>
      </c>
      <c r="T275" s="6">
        <v>40</v>
      </c>
      <c r="U275" s="6">
        <v>78</v>
      </c>
      <c r="V275" s="6">
        <f>IF(ISERROR(VLOOKUP($S$275,'TAR FIN'!$A$1:$O$88,15,0)),0,VLOOKUP($S$275,'TAR FIN'!$A$1:$O$88,15,0))</f>
        <v>0</v>
      </c>
      <c r="W275" s="6">
        <f>IF(ISERROR(VLOOKUP($T$275,'TAR FIN'!$A$1:$O$88,15,0)),0,VLOOKUP($T$275,'TAR FIN'!$A$1:$O$88,15,0))</f>
        <v>176.22</v>
      </c>
      <c r="X275" s="6">
        <f>IF(ISERROR(VLOOKUP($U$275,'TAR FIN'!$A$1:$O$88,15,0)),0,VLOOKUP($U$275,'TAR FIN'!$A$1:$O$88,15,0))</f>
        <v>260.01</v>
      </c>
      <c r="Y275" s="6"/>
      <c r="Z27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75" s="6">
        <f ca="1">('TE BE'!$AB$14+'TE BF_350'!$AB$14+'TE CVA'!$AB$14)*(1-CUSTOS!$M$36)</f>
        <v>186.86738467976483</v>
      </c>
      <c r="AB275" s="6">
        <f>$K$275*$V$275</f>
        <v>0</v>
      </c>
      <c r="AC275" s="6">
        <f>$M$275*$W$275</f>
        <v>2187.7712999999999</v>
      </c>
      <c r="AD275" s="6">
        <f>$O$275*$X$275</f>
        <v>3228.0241499999997</v>
      </c>
      <c r="AE275" s="6">
        <f>$K$275*$Y$275</f>
        <v>0</v>
      </c>
      <c r="AF275" s="6">
        <f ca="1">$M$275*$Z$275</f>
        <v>2890.2322950529151</v>
      </c>
      <c r="AG275" s="6">
        <f ca="1">$O$275*$AA$275</f>
        <v>2319.9585807992803</v>
      </c>
    </row>
    <row r="276" spans="1:33" ht="11.25" customHeight="1" x14ac:dyDescent="0.25">
      <c r="A276" s="4" t="s">
        <v>21</v>
      </c>
      <c r="B276" s="4" t="s">
        <v>22</v>
      </c>
      <c r="C276" s="4" t="s">
        <v>23</v>
      </c>
      <c r="D276" s="4" t="s">
        <v>24</v>
      </c>
      <c r="E276" s="4" t="s">
        <v>30</v>
      </c>
      <c r="F276" s="4" t="s">
        <v>25</v>
      </c>
      <c r="G276" s="4" t="s">
        <v>25</v>
      </c>
      <c r="H276" s="4" t="s">
        <v>25</v>
      </c>
      <c r="I276" s="5">
        <v>44682</v>
      </c>
      <c r="J276" s="6">
        <v>0</v>
      </c>
      <c r="K276" s="6">
        <v>0</v>
      </c>
      <c r="L276" s="6">
        <v>10.862</v>
      </c>
      <c r="M276" s="6">
        <v>10.862</v>
      </c>
      <c r="N276" s="6">
        <v>10.862</v>
      </c>
      <c r="O276" s="6">
        <v>10.862</v>
      </c>
      <c r="P276" s="6">
        <v>228</v>
      </c>
      <c r="Q276" s="4" t="s">
        <v>26</v>
      </c>
      <c r="R276" s="4">
        <v>0</v>
      </c>
      <c r="S276" s="6">
        <v>0</v>
      </c>
      <c r="T276" s="6">
        <v>40</v>
      </c>
      <c r="U276" s="6">
        <v>78</v>
      </c>
      <c r="V276" s="6">
        <f>IF(ISERROR(VLOOKUP($S$276,'TAR FIN'!$A$1:$O$88,15,0)),0,VLOOKUP($S$276,'TAR FIN'!$A$1:$O$88,15,0))</f>
        <v>0</v>
      </c>
      <c r="W276" s="6">
        <f>IF(ISERROR(VLOOKUP($T$276,'TAR FIN'!$A$1:$O$88,15,0)),0,VLOOKUP($T$276,'TAR FIN'!$A$1:$O$88,15,0))</f>
        <v>176.22</v>
      </c>
      <c r="X276" s="6">
        <f>IF(ISERROR(VLOOKUP($U$276,'TAR FIN'!$A$1:$O$88,15,0)),0,VLOOKUP($U$276,'TAR FIN'!$A$1:$O$88,15,0))</f>
        <v>260.01</v>
      </c>
      <c r="Y276" s="6"/>
      <c r="Z276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76" s="6">
        <f ca="1">('TE BE'!$AB$14+'TE BF_350'!$AB$14+'TE CVA'!$AB$14)*(1-CUSTOS!$M$36)</f>
        <v>186.86738467976483</v>
      </c>
      <c r="AB276" s="6">
        <f>$K$276*$V$276</f>
        <v>0</v>
      </c>
      <c r="AC276" s="6">
        <f>$M$276*$W$276</f>
        <v>1914.1016400000001</v>
      </c>
      <c r="AD276" s="6">
        <f>$O$276*$X$276</f>
        <v>2824.2286199999999</v>
      </c>
      <c r="AE276" s="6">
        <f>$K$276*$Y$276</f>
        <v>0</v>
      </c>
      <c r="AF276" s="6">
        <f ca="1">$M$276*$Z$276</f>
        <v>2528.6913563322405</v>
      </c>
      <c r="AG276" s="6">
        <f ca="1">$O$276*$AA$276</f>
        <v>2029.7535323916056</v>
      </c>
    </row>
    <row r="277" spans="1:33" ht="11.25" customHeight="1" x14ac:dyDescent="0.25">
      <c r="A277" s="4" t="s">
        <v>21</v>
      </c>
      <c r="B277" s="4" t="s">
        <v>22</v>
      </c>
      <c r="C277" s="4" t="s">
        <v>23</v>
      </c>
      <c r="D277" s="4" t="s">
        <v>24</v>
      </c>
      <c r="E277" s="4" t="s">
        <v>30</v>
      </c>
      <c r="F277" s="4" t="s">
        <v>25</v>
      </c>
      <c r="G277" s="4" t="s">
        <v>25</v>
      </c>
      <c r="H277" s="4" t="s">
        <v>25</v>
      </c>
      <c r="I277" s="5">
        <v>44713</v>
      </c>
      <c r="J277" s="6">
        <v>0</v>
      </c>
      <c r="K277" s="6">
        <v>0</v>
      </c>
      <c r="L277" s="6">
        <v>12.992000000000001</v>
      </c>
      <c r="M277" s="6">
        <v>12.992000000000001</v>
      </c>
      <c r="N277" s="6">
        <v>12.992000000000001</v>
      </c>
      <c r="O277" s="6">
        <v>12.992000000000001</v>
      </c>
      <c r="P277" s="6">
        <v>259</v>
      </c>
      <c r="Q277" s="4" t="s">
        <v>26</v>
      </c>
      <c r="R277" s="4">
        <v>0</v>
      </c>
      <c r="S277" s="6">
        <v>0</v>
      </c>
      <c r="T277" s="6">
        <v>40</v>
      </c>
      <c r="U277" s="6">
        <v>78</v>
      </c>
      <c r="V277" s="6">
        <f>IF(ISERROR(VLOOKUP($S$277,'TAR FIN'!$A$1:$O$88,15,0)),0,VLOOKUP($S$277,'TAR FIN'!$A$1:$O$88,15,0))</f>
        <v>0</v>
      </c>
      <c r="W277" s="6">
        <f>IF(ISERROR(VLOOKUP($T$277,'TAR FIN'!$A$1:$O$88,15,0)),0,VLOOKUP($T$277,'TAR FIN'!$A$1:$O$88,15,0))</f>
        <v>176.22</v>
      </c>
      <c r="X277" s="6">
        <f>IF(ISERROR(VLOOKUP($U$277,'TAR FIN'!$A$1:$O$88,15,0)),0,VLOOKUP($U$277,'TAR FIN'!$A$1:$O$88,15,0))</f>
        <v>260.01</v>
      </c>
      <c r="Y277" s="6"/>
      <c r="Z277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77" s="6">
        <f ca="1">('TE BE'!$AB$14+'TE BF_350'!$AB$14+'TE CVA'!$AB$14)*(1-CUSTOS!$M$36)</f>
        <v>186.86738467976483</v>
      </c>
      <c r="AB277" s="6">
        <f>$K$277*$V$277</f>
        <v>0</v>
      </c>
      <c r="AC277" s="6">
        <f>$M$277*$W$277</f>
        <v>2289.4502400000001</v>
      </c>
      <c r="AD277" s="6">
        <f>$O$277*$X$277</f>
        <v>3378.0499199999999</v>
      </c>
      <c r="AE277" s="6">
        <f>$K$277*$Y$277</f>
        <v>0</v>
      </c>
      <c r="AF277" s="6">
        <f ca="1">$M$277*$Z$277</f>
        <v>3024.5588382865467</v>
      </c>
      <c r="AG277" s="6">
        <f ca="1">$O$277*$AA$277</f>
        <v>2427.7810617595046</v>
      </c>
    </row>
    <row r="278" spans="1:33" ht="11.25" customHeight="1" x14ac:dyDescent="0.25">
      <c r="A278" s="4" t="s">
        <v>55</v>
      </c>
      <c r="B278" s="4" t="s">
        <v>22</v>
      </c>
      <c r="C278" s="4" t="s">
        <v>23</v>
      </c>
      <c r="D278" s="4" t="s">
        <v>24</v>
      </c>
      <c r="E278" s="4" t="s">
        <v>30</v>
      </c>
      <c r="F278" s="4" t="s">
        <v>25</v>
      </c>
      <c r="G278" s="4" t="s">
        <v>25</v>
      </c>
      <c r="H278" s="4" t="s">
        <v>25</v>
      </c>
      <c r="I278" s="5">
        <v>44743</v>
      </c>
      <c r="J278" s="6">
        <v>0</v>
      </c>
      <c r="K278" s="6">
        <v>0</v>
      </c>
      <c r="L278" s="6">
        <v>12.992000000000001</v>
      </c>
      <c r="M278" s="6">
        <v>12.992000000000001</v>
      </c>
      <c r="N278" s="6">
        <v>12.992000000000001</v>
      </c>
      <c r="O278" s="6">
        <v>12.992000000000001</v>
      </c>
      <c r="P278" s="6">
        <v>259</v>
      </c>
      <c r="Q278" s="4" t="s">
        <v>26</v>
      </c>
      <c r="R278" s="4">
        <v>0</v>
      </c>
      <c r="S278" s="6">
        <v>0</v>
      </c>
      <c r="T278" s="6">
        <v>40</v>
      </c>
      <c r="U278" s="6">
        <v>78</v>
      </c>
      <c r="V278" s="6">
        <f>IF(ISERROR(VLOOKUP($S$278,'TAR FIN'!$A$1:$O$88,15,0)),0,VLOOKUP($S$278,'TAR FIN'!$A$1:$O$88,15,0))</f>
        <v>0</v>
      </c>
      <c r="W278" s="6">
        <f>IF(ISERROR(VLOOKUP($T$278,'TAR FIN'!$A$1:$O$88,15,0)),0,VLOOKUP($T$278,'TAR FIN'!$A$1:$O$88,15,0))</f>
        <v>176.22</v>
      </c>
      <c r="X278" s="6">
        <f>IF(ISERROR(VLOOKUP($U$278,'TAR FIN'!$A$1:$O$88,15,0)),0,VLOOKUP($U$278,'TAR FIN'!$A$1:$O$88,15,0))</f>
        <v>260.01</v>
      </c>
      <c r="Y278" s="6"/>
      <c r="Z278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232.80163472033146</v>
      </c>
      <c r="AA278" s="6">
        <f ca="1">('TE BE'!$AB$14+'TE BF_350'!$AB$14+'TE CVA'!$AB$14)*(1-CUSTOS!$M$36)</f>
        <v>186.86738467976483</v>
      </c>
      <c r="AB278" s="6">
        <f>$K$278*$V$278</f>
        <v>0</v>
      </c>
      <c r="AC278" s="6">
        <f>$M$278*$W$278</f>
        <v>2289.4502400000001</v>
      </c>
      <c r="AD278" s="6">
        <f>$O$278*$X$278</f>
        <v>3378.0499199999999</v>
      </c>
      <c r="AE278" s="6">
        <f>$K$278*$Y$278</f>
        <v>0</v>
      </c>
      <c r="AF278" s="6">
        <f ca="1">$M$278*$Z$278</f>
        <v>3024.5588382865467</v>
      </c>
      <c r="AG278" s="6">
        <f ca="1">$O$278*$AA$278</f>
        <v>2427.7810617595046</v>
      </c>
    </row>
    <row r="279" spans="1:33" ht="11.25" customHeight="1" x14ac:dyDescent="0.25">
      <c r="A279" s="4" t="s">
        <v>21</v>
      </c>
      <c r="B279" s="4" t="s">
        <v>22</v>
      </c>
      <c r="C279" s="4" t="s">
        <v>23</v>
      </c>
      <c r="D279" s="4" t="s">
        <v>24</v>
      </c>
      <c r="E279" s="4" t="s">
        <v>31</v>
      </c>
      <c r="F279" s="4" t="s">
        <v>25</v>
      </c>
      <c r="G279" s="4" t="s">
        <v>25</v>
      </c>
      <c r="H279" s="4" t="s">
        <v>25</v>
      </c>
      <c r="I279" s="5">
        <v>44409</v>
      </c>
      <c r="J279" s="6">
        <v>0</v>
      </c>
      <c r="K279" s="6">
        <v>0</v>
      </c>
      <c r="L279" s="6">
        <v>0.874</v>
      </c>
      <c r="M279" s="6">
        <v>0.874</v>
      </c>
      <c r="N279" s="6">
        <v>0.874</v>
      </c>
      <c r="O279" s="6">
        <v>0.874</v>
      </c>
      <c r="P279" s="6">
        <v>22</v>
      </c>
      <c r="Q279" s="4" t="s">
        <v>26</v>
      </c>
      <c r="R279" s="4">
        <v>0</v>
      </c>
      <c r="S279" s="6">
        <v>0</v>
      </c>
      <c r="T279" s="6">
        <v>41</v>
      </c>
      <c r="U279" s="6">
        <v>79</v>
      </c>
      <c r="V279" s="6">
        <f>IF(ISERROR(VLOOKUP($S$279,'TAR FIN'!$A$1:$O$88,15,0)),0,VLOOKUP($S$279,'TAR FIN'!$A$1:$O$88,15,0))</f>
        <v>0</v>
      </c>
      <c r="W279" s="6">
        <f>IF(ISERROR(VLOOKUP($T$279,'TAR FIN'!$A$1:$O$88,15,0)),0,VLOOKUP($T$279,'TAR FIN'!$A$1:$O$88,15,0))</f>
        <v>195.8</v>
      </c>
      <c r="X279" s="6">
        <f>IF(ISERROR(VLOOKUP($U$279,'TAR FIN'!$A$1:$O$88,15,0)),0,VLOOKUP($U$279,'TAR FIN'!$A$1:$O$88,15,0))</f>
        <v>288.89999999999998</v>
      </c>
      <c r="Y279" s="6"/>
      <c r="Z27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79" s="6">
        <f ca="1">('TE BE'!$AB$15+'TE BF_350'!$AB$15+'TE CVA'!$AB$15)*(1-CUSTOS!$M$37)</f>
        <v>207.63042742196092</v>
      </c>
      <c r="AB279" s="6">
        <f>$K$279*$V$279</f>
        <v>0</v>
      </c>
      <c r="AC279" s="6">
        <f>$M$279*$W$279</f>
        <v>171.1292</v>
      </c>
      <c r="AD279" s="6">
        <f>$O$279*$X$279</f>
        <v>252.49859999999998</v>
      </c>
      <c r="AE279" s="6">
        <f>$K$279*$Y$279</f>
        <v>0</v>
      </c>
      <c r="AF279" s="6">
        <f ca="1">$M$279*$Z$279</f>
        <v>226.07625416174412</v>
      </c>
      <c r="AG279" s="6">
        <f ca="1">$O$279*$AA$279</f>
        <v>181.46899356679384</v>
      </c>
    </row>
    <row r="280" spans="1:33" ht="11.25" customHeight="1" x14ac:dyDescent="0.25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31</v>
      </c>
      <c r="F280" s="4" t="s">
        <v>25</v>
      </c>
      <c r="G280" s="4" t="s">
        <v>25</v>
      </c>
      <c r="H280" s="4" t="s">
        <v>25</v>
      </c>
      <c r="I280" s="5">
        <v>44440</v>
      </c>
      <c r="J280" s="6">
        <v>0</v>
      </c>
      <c r="K280" s="6">
        <v>0</v>
      </c>
      <c r="L280" s="6">
        <v>1.5940000000000001</v>
      </c>
      <c r="M280" s="6">
        <v>1.5940000000000001</v>
      </c>
      <c r="N280" s="6">
        <v>1.5940000000000001</v>
      </c>
      <c r="O280" s="6">
        <v>1.5940000000000001</v>
      </c>
      <c r="P280" s="6">
        <v>28</v>
      </c>
      <c r="Q280" s="4" t="s">
        <v>26</v>
      </c>
      <c r="R280" s="4">
        <v>0</v>
      </c>
      <c r="S280" s="6">
        <v>0</v>
      </c>
      <c r="T280" s="6">
        <v>41</v>
      </c>
      <c r="U280" s="6">
        <v>79</v>
      </c>
      <c r="V280" s="6">
        <f>IF(ISERROR(VLOOKUP($S$280,'TAR FIN'!$A$1:$O$88,15,0)),0,VLOOKUP($S$280,'TAR FIN'!$A$1:$O$88,15,0))</f>
        <v>0</v>
      </c>
      <c r="W280" s="6">
        <f>IF(ISERROR(VLOOKUP($T$280,'TAR FIN'!$A$1:$O$88,15,0)),0,VLOOKUP($T$280,'TAR FIN'!$A$1:$O$88,15,0))</f>
        <v>195.8</v>
      </c>
      <c r="X280" s="6">
        <f>IF(ISERROR(VLOOKUP($U$280,'TAR FIN'!$A$1:$O$88,15,0)),0,VLOOKUP($U$280,'TAR FIN'!$A$1:$O$88,15,0))</f>
        <v>288.89999999999998</v>
      </c>
      <c r="Y280" s="6"/>
      <c r="Z280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80" s="6">
        <f ca="1">('TE BE'!$AB$15+'TE BF_350'!$AB$15+'TE CVA'!$AB$15)*(1-CUSTOS!$M$37)</f>
        <v>207.63042742196092</v>
      </c>
      <c r="AB280" s="6">
        <f>$K$280*$V$280</f>
        <v>0</v>
      </c>
      <c r="AC280" s="6">
        <f>$M$280*$W$280</f>
        <v>312.10520000000002</v>
      </c>
      <c r="AD280" s="6">
        <f>$O$280*$X$280</f>
        <v>460.50659999999999</v>
      </c>
      <c r="AE280" s="6">
        <f>$K$280*$Y$280</f>
        <v>0</v>
      </c>
      <c r="AF280" s="6">
        <f ca="1">$M$280*$Z$280</f>
        <v>412.31756193800931</v>
      </c>
      <c r="AG280" s="6">
        <f ca="1">$O$280*$AA$280</f>
        <v>330.96290131060573</v>
      </c>
    </row>
    <row r="281" spans="1:33" ht="11.25" customHeight="1" x14ac:dyDescent="0.25">
      <c r="A281" s="4" t="s">
        <v>21</v>
      </c>
      <c r="B281" s="4" t="s">
        <v>22</v>
      </c>
      <c r="C281" s="4" t="s">
        <v>23</v>
      </c>
      <c r="D281" s="4" t="s">
        <v>24</v>
      </c>
      <c r="E281" s="4" t="s">
        <v>31</v>
      </c>
      <c r="F281" s="4" t="s">
        <v>25</v>
      </c>
      <c r="G281" s="4" t="s">
        <v>25</v>
      </c>
      <c r="H281" s="4" t="s">
        <v>25</v>
      </c>
      <c r="I281" s="5">
        <v>44470</v>
      </c>
      <c r="J281" s="6">
        <v>0</v>
      </c>
      <c r="K281" s="6">
        <v>0</v>
      </c>
      <c r="L281" s="6">
        <v>0.61299999999999999</v>
      </c>
      <c r="M281" s="6">
        <v>0.61299999999999999</v>
      </c>
      <c r="N281" s="6">
        <v>0.61299999999999999</v>
      </c>
      <c r="O281" s="6">
        <v>0.61299999999999999</v>
      </c>
      <c r="P281" s="6">
        <v>14</v>
      </c>
      <c r="Q281" s="4" t="s">
        <v>26</v>
      </c>
      <c r="R281" s="4">
        <v>0</v>
      </c>
      <c r="S281" s="6">
        <v>0</v>
      </c>
      <c r="T281" s="6">
        <v>41</v>
      </c>
      <c r="U281" s="6">
        <v>79</v>
      </c>
      <c r="V281" s="6">
        <f>IF(ISERROR(VLOOKUP($S$281,'TAR FIN'!$A$1:$O$88,15,0)),0,VLOOKUP($S$281,'TAR FIN'!$A$1:$O$88,15,0))</f>
        <v>0</v>
      </c>
      <c r="W281" s="6">
        <f>IF(ISERROR(VLOOKUP($T$281,'TAR FIN'!$A$1:$O$88,15,0)),0,VLOOKUP($T$281,'TAR FIN'!$A$1:$O$88,15,0))</f>
        <v>195.8</v>
      </c>
      <c r="X281" s="6">
        <f>IF(ISERROR(VLOOKUP($U$281,'TAR FIN'!$A$1:$O$88,15,0)),0,VLOOKUP($U$281,'TAR FIN'!$A$1:$O$88,15,0))</f>
        <v>288.89999999999998</v>
      </c>
      <c r="Y281" s="6"/>
      <c r="Z281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81" s="6">
        <f ca="1">('TE BE'!$AB$15+'TE BF_350'!$AB$15+'TE CVA'!$AB$15)*(1-CUSTOS!$M$37)</f>
        <v>207.63042742196092</v>
      </c>
      <c r="AB281" s="6">
        <f>$K$281*$V$281</f>
        <v>0</v>
      </c>
      <c r="AC281" s="6">
        <f>$M$281*$W$281</f>
        <v>120.0254</v>
      </c>
      <c r="AD281" s="6">
        <f>$O$281*$X$281</f>
        <v>177.09569999999999</v>
      </c>
      <c r="AE281" s="6">
        <f>$K$281*$Y$281</f>
        <v>0</v>
      </c>
      <c r="AF281" s="6">
        <f ca="1">$M$281*$Z$281</f>
        <v>158.56378009284799</v>
      </c>
      <c r="AG281" s="6">
        <f ca="1">$O$281*$AA$281</f>
        <v>127.27745200966204</v>
      </c>
    </row>
    <row r="282" spans="1:33" ht="11.25" customHeight="1" x14ac:dyDescent="0.25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31</v>
      </c>
      <c r="F282" s="4" t="s">
        <v>25</v>
      </c>
      <c r="G282" s="4" t="s">
        <v>25</v>
      </c>
      <c r="H282" s="4" t="s">
        <v>25</v>
      </c>
      <c r="I282" s="5">
        <v>44501</v>
      </c>
      <c r="J282" s="6">
        <v>0</v>
      </c>
      <c r="K282" s="6">
        <v>0</v>
      </c>
      <c r="L282" s="6">
        <v>1.5680000000000001</v>
      </c>
      <c r="M282" s="6">
        <v>1.5680000000000001</v>
      </c>
      <c r="N282" s="6">
        <v>1.5680000000000001</v>
      </c>
      <c r="O282" s="6">
        <v>1.5680000000000001</v>
      </c>
      <c r="P282" s="6">
        <v>32</v>
      </c>
      <c r="Q282" s="4" t="s">
        <v>26</v>
      </c>
      <c r="R282" s="4">
        <v>0</v>
      </c>
      <c r="S282" s="6">
        <v>0</v>
      </c>
      <c r="T282" s="6">
        <v>41</v>
      </c>
      <c r="U282" s="6">
        <v>79</v>
      </c>
      <c r="V282" s="6">
        <f>IF(ISERROR(VLOOKUP($S$282,'TAR FIN'!$A$1:$O$88,15,0)),0,VLOOKUP($S$282,'TAR FIN'!$A$1:$O$88,15,0))</f>
        <v>0</v>
      </c>
      <c r="W282" s="6">
        <f>IF(ISERROR(VLOOKUP($T$282,'TAR FIN'!$A$1:$O$88,15,0)),0,VLOOKUP($T$282,'TAR FIN'!$A$1:$O$88,15,0))</f>
        <v>195.8</v>
      </c>
      <c r="X282" s="6">
        <f>IF(ISERROR(VLOOKUP($U$282,'TAR FIN'!$A$1:$O$88,15,0)),0,VLOOKUP($U$282,'TAR FIN'!$A$1:$O$88,15,0))</f>
        <v>288.89999999999998</v>
      </c>
      <c r="Y282" s="6"/>
      <c r="Z282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82" s="6">
        <f ca="1">('TE BE'!$AB$15+'TE BF_350'!$AB$15+'TE CVA'!$AB$15)*(1-CUSTOS!$M$37)</f>
        <v>207.63042742196092</v>
      </c>
      <c r="AB282" s="6">
        <f>$K$282*$V$282</f>
        <v>0</v>
      </c>
      <c r="AC282" s="6">
        <f>$M$282*$W$282</f>
        <v>307.01440000000002</v>
      </c>
      <c r="AD282" s="6">
        <f>$O$282*$X$282</f>
        <v>452.99519999999995</v>
      </c>
      <c r="AE282" s="6">
        <f>$K$282*$Y$282</f>
        <v>0</v>
      </c>
      <c r="AF282" s="6">
        <f ca="1">$M$282*$Z$282</f>
        <v>405.59218137942196</v>
      </c>
      <c r="AG282" s="6">
        <f ca="1">$O$282*$AA$282</f>
        <v>325.56451019763472</v>
      </c>
    </row>
    <row r="283" spans="1:33" ht="11.25" customHeight="1" x14ac:dyDescent="0.25">
      <c r="A283" s="4" t="s">
        <v>21</v>
      </c>
      <c r="B283" s="4" t="s">
        <v>22</v>
      </c>
      <c r="C283" s="4" t="s">
        <v>23</v>
      </c>
      <c r="D283" s="4" t="s">
        <v>24</v>
      </c>
      <c r="E283" s="4" t="s">
        <v>31</v>
      </c>
      <c r="F283" s="4" t="s">
        <v>25</v>
      </c>
      <c r="G283" s="4" t="s">
        <v>25</v>
      </c>
      <c r="H283" s="4" t="s">
        <v>25</v>
      </c>
      <c r="I283" s="5">
        <v>44531</v>
      </c>
      <c r="J283" s="6">
        <v>0</v>
      </c>
      <c r="K283" s="6">
        <v>0</v>
      </c>
      <c r="L283" s="6">
        <v>2.3109999999999999</v>
      </c>
      <c r="M283" s="6">
        <v>2.3109999999999999</v>
      </c>
      <c r="N283" s="6">
        <v>2.3109999999999999</v>
      </c>
      <c r="O283" s="6">
        <v>2.3109999999999999</v>
      </c>
      <c r="P283" s="6">
        <v>39</v>
      </c>
      <c r="Q283" s="4" t="s">
        <v>26</v>
      </c>
      <c r="R283" s="4">
        <v>0</v>
      </c>
      <c r="S283" s="6">
        <v>0</v>
      </c>
      <c r="T283" s="6">
        <v>41</v>
      </c>
      <c r="U283" s="6">
        <v>79</v>
      </c>
      <c r="V283" s="6">
        <f>IF(ISERROR(VLOOKUP($S$283,'TAR FIN'!$A$1:$O$88,15,0)),0,VLOOKUP($S$283,'TAR FIN'!$A$1:$O$88,15,0))</f>
        <v>0</v>
      </c>
      <c r="W283" s="6">
        <f>IF(ISERROR(VLOOKUP($T$283,'TAR FIN'!$A$1:$O$88,15,0)),0,VLOOKUP($T$283,'TAR FIN'!$A$1:$O$88,15,0))</f>
        <v>195.8</v>
      </c>
      <c r="X283" s="6">
        <f>IF(ISERROR(VLOOKUP($U$283,'TAR FIN'!$A$1:$O$88,15,0)),0,VLOOKUP($U$283,'TAR FIN'!$A$1:$O$88,15,0))</f>
        <v>288.89999999999998</v>
      </c>
      <c r="Y283" s="6"/>
      <c r="Z283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83" s="6">
        <f ca="1">('TE BE'!$AB$15+'TE BF_350'!$AB$15+'TE CVA'!$AB$15)*(1-CUSTOS!$M$37)</f>
        <v>207.63042742196092</v>
      </c>
      <c r="AB283" s="6">
        <f>$K$283*$V$283</f>
        <v>0</v>
      </c>
      <c r="AC283" s="6">
        <f>$M$283*$W$283</f>
        <v>452.49380000000002</v>
      </c>
      <c r="AD283" s="6">
        <f>$O$283*$X$283</f>
        <v>667.64789999999994</v>
      </c>
      <c r="AE283" s="6">
        <f>$K$283*$Y$283</f>
        <v>0</v>
      </c>
      <c r="AF283" s="6">
        <f ca="1">$M$283*$Z$283</f>
        <v>597.78286426520663</v>
      </c>
      <c r="AG283" s="6">
        <f ca="1">$O$283*$AA$283</f>
        <v>479.83391777215166</v>
      </c>
    </row>
    <row r="284" spans="1:33" ht="11.25" customHeight="1" x14ac:dyDescent="0.25">
      <c r="A284" s="4" t="s">
        <v>21</v>
      </c>
      <c r="B284" s="4" t="s">
        <v>22</v>
      </c>
      <c r="C284" s="4" t="s">
        <v>23</v>
      </c>
      <c r="D284" s="4" t="s">
        <v>24</v>
      </c>
      <c r="E284" s="4" t="s">
        <v>31</v>
      </c>
      <c r="F284" s="4" t="s">
        <v>25</v>
      </c>
      <c r="G284" s="4" t="s">
        <v>25</v>
      </c>
      <c r="H284" s="4" t="s">
        <v>25</v>
      </c>
      <c r="I284" s="5">
        <v>44562</v>
      </c>
      <c r="J284" s="6">
        <v>0</v>
      </c>
      <c r="K284" s="6">
        <v>0</v>
      </c>
      <c r="L284" s="6">
        <v>1.925</v>
      </c>
      <c r="M284" s="6">
        <v>1.925</v>
      </c>
      <c r="N284" s="6">
        <v>1.925</v>
      </c>
      <c r="O284" s="6">
        <v>1.925</v>
      </c>
      <c r="P284" s="6">
        <v>34</v>
      </c>
      <c r="Q284" s="4" t="s">
        <v>26</v>
      </c>
      <c r="R284" s="4">
        <v>0</v>
      </c>
      <c r="S284" s="6">
        <v>0</v>
      </c>
      <c r="T284" s="6">
        <v>41</v>
      </c>
      <c r="U284" s="6">
        <v>79</v>
      </c>
      <c r="V284" s="6">
        <f>IF(ISERROR(VLOOKUP($S$284,'TAR FIN'!$A$1:$O$88,15,0)),0,VLOOKUP($S$284,'TAR FIN'!$A$1:$O$88,15,0))</f>
        <v>0</v>
      </c>
      <c r="W284" s="6">
        <f>IF(ISERROR(VLOOKUP($T$284,'TAR FIN'!$A$1:$O$88,15,0)),0,VLOOKUP($T$284,'TAR FIN'!$A$1:$O$88,15,0))</f>
        <v>195.8</v>
      </c>
      <c r="X284" s="6">
        <f>IF(ISERROR(VLOOKUP($U$284,'TAR FIN'!$A$1:$O$88,15,0)),0,VLOOKUP($U$284,'TAR FIN'!$A$1:$O$88,15,0))</f>
        <v>288.89999999999998</v>
      </c>
      <c r="Y284" s="6"/>
      <c r="Z284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84" s="6">
        <f ca="1">('TE BE'!$AB$15+'TE BF_350'!$AB$15+'TE CVA'!$AB$15)*(1-CUSTOS!$M$37)</f>
        <v>207.63042742196092</v>
      </c>
      <c r="AB284" s="6">
        <f>$K$284*$V$284</f>
        <v>0</v>
      </c>
      <c r="AC284" s="6">
        <f>$M$284*$W$284</f>
        <v>376.91500000000002</v>
      </c>
      <c r="AD284" s="6">
        <f>$O$284*$X$284</f>
        <v>556.13249999999994</v>
      </c>
      <c r="AE284" s="6">
        <f>$K$284*$Y$284</f>
        <v>0</v>
      </c>
      <c r="AF284" s="6">
        <f ca="1">$M$284*$Z$284</f>
        <v>497.93682981848679</v>
      </c>
      <c r="AG284" s="6">
        <f ca="1">$O$284*$AA$284</f>
        <v>399.68857278727478</v>
      </c>
    </row>
    <row r="285" spans="1:33" ht="11.25" customHeight="1" x14ac:dyDescent="0.25">
      <c r="A285" s="4" t="s">
        <v>21</v>
      </c>
      <c r="B285" s="4" t="s">
        <v>22</v>
      </c>
      <c r="C285" s="4" t="s">
        <v>23</v>
      </c>
      <c r="D285" s="4" t="s">
        <v>24</v>
      </c>
      <c r="E285" s="4" t="s">
        <v>31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0</v>
      </c>
      <c r="K285" s="6">
        <v>0</v>
      </c>
      <c r="L285" s="6">
        <v>1.6319999999999999</v>
      </c>
      <c r="M285" s="6">
        <v>1.6319999999999999</v>
      </c>
      <c r="N285" s="6">
        <v>1.6319999999999999</v>
      </c>
      <c r="O285" s="6">
        <v>1.6319999999999999</v>
      </c>
      <c r="P285" s="6">
        <v>23</v>
      </c>
      <c r="Q285" s="4" t="s">
        <v>26</v>
      </c>
      <c r="R285" s="4">
        <v>0</v>
      </c>
      <c r="S285" s="6">
        <v>0</v>
      </c>
      <c r="T285" s="6">
        <v>41</v>
      </c>
      <c r="U285" s="6">
        <v>79</v>
      </c>
      <c r="V285" s="6">
        <f>IF(ISERROR(VLOOKUP($S$285,'TAR FIN'!$A$1:$O$88,15,0)),0,VLOOKUP($S$285,'TAR FIN'!$A$1:$O$88,15,0))</f>
        <v>0</v>
      </c>
      <c r="W285" s="6">
        <f>IF(ISERROR(VLOOKUP($T$285,'TAR FIN'!$A$1:$O$88,15,0)),0,VLOOKUP($T$285,'TAR FIN'!$A$1:$O$88,15,0))</f>
        <v>195.8</v>
      </c>
      <c r="X285" s="6">
        <f>IF(ISERROR(VLOOKUP($U$285,'TAR FIN'!$A$1:$O$88,15,0)),0,VLOOKUP($U$285,'TAR FIN'!$A$1:$O$88,15,0))</f>
        <v>288.89999999999998</v>
      </c>
      <c r="Y285" s="6"/>
      <c r="Z285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85" s="6">
        <f ca="1">('TE BE'!$AB$15+'TE BF_350'!$AB$15+'TE CVA'!$AB$15)*(1-CUSTOS!$M$37)</f>
        <v>207.63042742196092</v>
      </c>
      <c r="AB285" s="6">
        <f>$K$285*$V$285</f>
        <v>0</v>
      </c>
      <c r="AC285" s="6">
        <f>$M$285*$W$285</f>
        <v>319.54559999999998</v>
      </c>
      <c r="AD285" s="6">
        <f>$O$285*$X$285</f>
        <v>471.48479999999995</v>
      </c>
      <c r="AE285" s="6">
        <f>$K$285*$Y$285</f>
        <v>0</v>
      </c>
      <c r="AF285" s="6">
        <f ca="1">$M$285*$Z$285</f>
        <v>422.14696429286772</v>
      </c>
      <c r="AG285" s="6">
        <f ca="1">$O$285*$AA$285</f>
        <v>338.85285755264022</v>
      </c>
    </row>
    <row r="286" spans="1:33" ht="11.25" customHeight="1" x14ac:dyDescent="0.25">
      <c r="A286" s="4" t="s">
        <v>21</v>
      </c>
      <c r="B286" s="4" t="s">
        <v>22</v>
      </c>
      <c r="C286" s="4" t="s">
        <v>23</v>
      </c>
      <c r="D286" s="4" t="s">
        <v>24</v>
      </c>
      <c r="E286" s="4" t="s">
        <v>31</v>
      </c>
      <c r="F286" s="4" t="s">
        <v>25</v>
      </c>
      <c r="G286" s="4" t="s">
        <v>25</v>
      </c>
      <c r="H286" s="4" t="s">
        <v>25</v>
      </c>
      <c r="I286" s="5">
        <v>44621</v>
      </c>
      <c r="J286" s="6">
        <v>0</v>
      </c>
      <c r="K286" s="6">
        <v>0</v>
      </c>
      <c r="L286" s="6">
        <v>2.0339999999999998</v>
      </c>
      <c r="M286" s="6">
        <v>2.0339999999999998</v>
      </c>
      <c r="N286" s="6">
        <v>2.0339999999999998</v>
      </c>
      <c r="O286" s="6">
        <v>2.0339999999999998</v>
      </c>
      <c r="P286" s="6">
        <v>30</v>
      </c>
      <c r="Q286" s="4" t="s">
        <v>26</v>
      </c>
      <c r="R286" s="4">
        <v>0</v>
      </c>
      <c r="S286" s="6">
        <v>0</v>
      </c>
      <c r="T286" s="6">
        <v>41</v>
      </c>
      <c r="U286" s="6">
        <v>79</v>
      </c>
      <c r="V286" s="6">
        <f>IF(ISERROR(VLOOKUP($S$286,'TAR FIN'!$A$1:$O$88,15,0)),0,VLOOKUP($S$286,'TAR FIN'!$A$1:$O$88,15,0))</f>
        <v>0</v>
      </c>
      <c r="W286" s="6">
        <f>IF(ISERROR(VLOOKUP($T$286,'TAR FIN'!$A$1:$O$88,15,0)),0,VLOOKUP($T$286,'TAR FIN'!$A$1:$O$88,15,0))</f>
        <v>195.8</v>
      </c>
      <c r="X286" s="6">
        <f>IF(ISERROR(VLOOKUP($U$286,'TAR FIN'!$A$1:$O$88,15,0)),0,VLOOKUP($U$286,'TAR FIN'!$A$1:$O$88,15,0))</f>
        <v>288.89999999999998</v>
      </c>
      <c r="Y286" s="6"/>
      <c r="Z28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86" s="6">
        <f ca="1">('TE BE'!$AB$15+'TE BF_350'!$AB$15+'TE CVA'!$AB$15)*(1-CUSTOS!$M$37)</f>
        <v>207.63042742196092</v>
      </c>
      <c r="AB286" s="6">
        <f>$K$286*$V$286</f>
        <v>0</v>
      </c>
      <c r="AC286" s="6">
        <f>$M$286*$W$286</f>
        <v>398.25720000000001</v>
      </c>
      <c r="AD286" s="6">
        <f>$O$286*$X$286</f>
        <v>587.62259999999992</v>
      </c>
      <c r="AE286" s="6">
        <f>$K$286*$Y$286</f>
        <v>0</v>
      </c>
      <c r="AF286" s="6">
        <f ca="1">$M$286*$Z$286</f>
        <v>526.13169446794905</v>
      </c>
      <c r="AG286" s="6">
        <f ca="1">$O$286*$AA$286</f>
        <v>422.32028937626848</v>
      </c>
    </row>
    <row r="287" spans="1:33" ht="11.25" customHeight="1" x14ac:dyDescent="0.25">
      <c r="A287" s="4" t="s">
        <v>21</v>
      </c>
      <c r="B287" s="4" t="s">
        <v>22</v>
      </c>
      <c r="C287" s="4" t="s">
        <v>23</v>
      </c>
      <c r="D287" s="4" t="s">
        <v>24</v>
      </c>
      <c r="E287" s="4" t="s">
        <v>31</v>
      </c>
      <c r="F287" s="4" t="s">
        <v>25</v>
      </c>
      <c r="G287" s="4" t="s">
        <v>25</v>
      </c>
      <c r="H287" s="4" t="s">
        <v>25</v>
      </c>
      <c r="I287" s="5">
        <v>44652</v>
      </c>
      <c r="J287" s="6">
        <v>0</v>
      </c>
      <c r="K287" s="6">
        <v>0</v>
      </c>
      <c r="L287" s="6">
        <v>0.96599999999999997</v>
      </c>
      <c r="M287" s="6">
        <v>0.96599999999999997</v>
      </c>
      <c r="N287" s="6">
        <v>0.96599999999999997</v>
      </c>
      <c r="O287" s="6">
        <v>0.96599999999999997</v>
      </c>
      <c r="P287" s="6">
        <v>22</v>
      </c>
      <c r="Q287" s="4" t="s">
        <v>26</v>
      </c>
      <c r="R287" s="4">
        <v>0</v>
      </c>
      <c r="S287" s="6">
        <v>0</v>
      </c>
      <c r="T287" s="6">
        <v>41</v>
      </c>
      <c r="U287" s="6">
        <v>79</v>
      </c>
      <c r="V287" s="6">
        <f>IF(ISERROR(VLOOKUP($S$287,'TAR FIN'!$A$1:$O$88,15,0)),0,VLOOKUP($S$287,'TAR FIN'!$A$1:$O$88,15,0))</f>
        <v>0</v>
      </c>
      <c r="W287" s="6">
        <f>IF(ISERROR(VLOOKUP($T$287,'TAR FIN'!$A$1:$O$88,15,0)),0,VLOOKUP($T$287,'TAR FIN'!$A$1:$O$88,15,0))</f>
        <v>195.8</v>
      </c>
      <c r="X287" s="6">
        <f>IF(ISERROR(VLOOKUP($U$287,'TAR FIN'!$A$1:$O$88,15,0)),0,VLOOKUP($U$287,'TAR FIN'!$A$1:$O$88,15,0))</f>
        <v>288.89999999999998</v>
      </c>
      <c r="Y287" s="6"/>
      <c r="Z28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87" s="6">
        <f ca="1">('TE BE'!$AB$15+'TE BF_350'!$AB$15+'TE CVA'!$AB$15)*(1-CUSTOS!$M$37)</f>
        <v>207.63042742196092</v>
      </c>
      <c r="AB287" s="6">
        <f>$K$287*$V$287</f>
        <v>0</v>
      </c>
      <c r="AC287" s="6">
        <f>$M$287*$W$287</f>
        <v>189.14279999999999</v>
      </c>
      <c r="AD287" s="6">
        <f>$O$287*$X$287</f>
        <v>279.07739999999995</v>
      </c>
      <c r="AE287" s="6">
        <f>$K$287*$Y$287</f>
        <v>0</v>
      </c>
      <c r="AF287" s="6">
        <f ca="1">$M$287*$Z$287</f>
        <v>249.87375459982243</v>
      </c>
      <c r="AG287" s="6">
        <f ca="1">$O$287*$AA$287</f>
        <v>200.57099288961425</v>
      </c>
    </row>
    <row r="288" spans="1:33" ht="11.25" customHeight="1" x14ac:dyDescent="0.25">
      <c r="A288" s="4" t="s">
        <v>21</v>
      </c>
      <c r="B288" s="4" t="s">
        <v>22</v>
      </c>
      <c r="C288" s="4" t="s">
        <v>23</v>
      </c>
      <c r="D288" s="4" t="s">
        <v>24</v>
      </c>
      <c r="E288" s="4" t="s">
        <v>31</v>
      </c>
      <c r="F288" s="4" t="s">
        <v>25</v>
      </c>
      <c r="G288" s="4" t="s">
        <v>25</v>
      </c>
      <c r="H288" s="4" t="s">
        <v>25</v>
      </c>
      <c r="I288" s="5">
        <v>44682</v>
      </c>
      <c r="J288" s="6">
        <v>0</v>
      </c>
      <c r="K288" s="6">
        <v>0</v>
      </c>
      <c r="L288" s="6">
        <v>1.1439999999999999</v>
      </c>
      <c r="M288" s="6">
        <v>1.1439999999999999</v>
      </c>
      <c r="N288" s="6">
        <v>1.1439999999999999</v>
      </c>
      <c r="O288" s="6">
        <v>1.1439999999999999</v>
      </c>
      <c r="P288" s="6">
        <v>15</v>
      </c>
      <c r="Q288" s="4" t="s">
        <v>26</v>
      </c>
      <c r="R288" s="4">
        <v>0</v>
      </c>
      <c r="S288" s="6">
        <v>0</v>
      </c>
      <c r="T288" s="6">
        <v>41</v>
      </c>
      <c r="U288" s="6">
        <v>79</v>
      </c>
      <c r="V288" s="6">
        <f>IF(ISERROR(VLOOKUP($S$288,'TAR FIN'!$A$1:$O$88,15,0)),0,VLOOKUP($S$288,'TAR FIN'!$A$1:$O$88,15,0))</f>
        <v>0</v>
      </c>
      <c r="W288" s="6">
        <f>IF(ISERROR(VLOOKUP($T$288,'TAR FIN'!$A$1:$O$88,15,0)),0,VLOOKUP($T$288,'TAR FIN'!$A$1:$O$88,15,0))</f>
        <v>195.8</v>
      </c>
      <c r="X288" s="6">
        <f>IF(ISERROR(VLOOKUP($U$288,'TAR FIN'!$A$1:$O$88,15,0)),0,VLOOKUP($U$288,'TAR FIN'!$A$1:$O$88,15,0))</f>
        <v>288.89999999999998</v>
      </c>
      <c r="Y288" s="6"/>
      <c r="Z28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88" s="6">
        <f ca="1">('TE BE'!$AB$15+'TE BF_350'!$AB$15+'TE CVA'!$AB$15)*(1-CUSTOS!$M$37)</f>
        <v>207.63042742196092</v>
      </c>
      <c r="AB288" s="6">
        <f>$K$288*$V$288</f>
        <v>0</v>
      </c>
      <c r="AC288" s="6">
        <f>$M$288*$W$288</f>
        <v>223.99519999999998</v>
      </c>
      <c r="AD288" s="6">
        <f>$O$288*$X$288</f>
        <v>330.50159999999994</v>
      </c>
      <c r="AE288" s="6">
        <f>$K$288*$Y$288</f>
        <v>0</v>
      </c>
      <c r="AF288" s="6">
        <f ca="1">$M$288*$Z$288</f>
        <v>295.91674457784353</v>
      </c>
      <c r="AG288" s="6">
        <f ca="1">$O$288*$AA$288</f>
        <v>237.52920897072326</v>
      </c>
    </row>
    <row r="289" spans="1:33" ht="11.25" customHeight="1" x14ac:dyDescent="0.25">
      <c r="A289" s="4" t="s">
        <v>21</v>
      </c>
      <c r="B289" s="4" t="s">
        <v>22</v>
      </c>
      <c r="C289" s="4" t="s">
        <v>23</v>
      </c>
      <c r="D289" s="4" t="s">
        <v>24</v>
      </c>
      <c r="E289" s="4" t="s">
        <v>31</v>
      </c>
      <c r="F289" s="4" t="s">
        <v>25</v>
      </c>
      <c r="G289" s="4" t="s">
        <v>25</v>
      </c>
      <c r="H289" s="4" t="s">
        <v>25</v>
      </c>
      <c r="I289" s="5">
        <v>44713</v>
      </c>
      <c r="J289" s="6">
        <v>0</v>
      </c>
      <c r="K289" s="6">
        <v>0</v>
      </c>
      <c r="L289" s="6">
        <v>1.573</v>
      </c>
      <c r="M289" s="6">
        <v>1.573</v>
      </c>
      <c r="N289" s="6">
        <v>1.573</v>
      </c>
      <c r="O289" s="6">
        <v>1.573</v>
      </c>
      <c r="P289" s="6">
        <v>26</v>
      </c>
      <c r="Q289" s="4" t="s">
        <v>26</v>
      </c>
      <c r="R289" s="4">
        <v>0</v>
      </c>
      <c r="S289" s="6">
        <v>0</v>
      </c>
      <c r="T289" s="6">
        <v>41</v>
      </c>
      <c r="U289" s="6">
        <v>79</v>
      </c>
      <c r="V289" s="6">
        <f>IF(ISERROR(VLOOKUP($S$289,'TAR FIN'!$A$1:$O$88,15,0)),0,VLOOKUP($S$289,'TAR FIN'!$A$1:$O$88,15,0))</f>
        <v>0</v>
      </c>
      <c r="W289" s="6">
        <f>IF(ISERROR(VLOOKUP($T$289,'TAR FIN'!$A$1:$O$88,15,0)),0,VLOOKUP($T$289,'TAR FIN'!$A$1:$O$88,15,0))</f>
        <v>195.8</v>
      </c>
      <c r="X289" s="6">
        <f>IF(ISERROR(VLOOKUP($U$289,'TAR FIN'!$A$1:$O$88,15,0)),0,VLOOKUP($U$289,'TAR FIN'!$A$1:$O$88,15,0))</f>
        <v>288.89999999999998</v>
      </c>
      <c r="Y289" s="6"/>
      <c r="Z28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89" s="6">
        <f ca="1">('TE BE'!$AB$15+'TE BF_350'!$AB$15+'TE CVA'!$AB$15)*(1-CUSTOS!$M$37)</f>
        <v>207.63042742196092</v>
      </c>
      <c r="AB289" s="6">
        <f>$K$289*$V$289</f>
        <v>0</v>
      </c>
      <c r="AC289" s="6">
        <f>$M$289*$W$289</f>
        <v>307.99340000000001</v>
      </c>
      <c r="AD289" s="6">
        <f>$O$289*$X$289</f>
        <v>454.43969999999996</v>
      </c>
      <c r="AE289" s="6">
        <f>$K$289*$Y$289</f>
        <v>0</v>
      </c>
      <c r="AF289" s="6">
        <f ca="1">$M$289*$Z$289</f>
        <v>406.88552379453489</v>
      </c>
      <c r="AG289" s="6">
        <f ca="1">$O$289*$AA$289</f>
        <v>326.60266233474454</v>
      </c>
    </row>
    <row r="290" spans="1:33" ht="11.25" customHeight="1" x14ac:dyDescent="0.25">
      <c r="A290" s="4" t="s">
        <v>55</v>
      </c>
      <c r="B290" s="4" t="s">
        <v>22</v>
      </c>
      <c r="C290" s="4" t="s">
        <v>23</v>
      </c>
      <c r="D290" s="4" t="s">
        <v>24</v>
      </c>
      <c r="E290" s="4" t="s">
        <v>31</v>
      </c>
      <c r="F290" s="4" t="s">
        <v>25</v>
      </c>
      <c r="G290" s="4" t="s">
        <v>25</v>
      </c>
      <c r="H290" s="4" t="s">
        <v>25</v>
      </c>
      <c r="I290" s="5">
        <v>44743</v>
      </c>
      <c r="J290" s="6">
        <v>0</v>
      </c>
      <c r="K290" s="6">
        <v>0</v>
      </c>
      <c r="L290" s="6">
        <v>1.573</v>
      </c>
      <c r="M290" s="6">
        <v>1.573</v>
      </c>
      <c r="N290" s="6">
        <v>1.573</v>
      </c>
      <c r="O290" s="6">
        <v>1.573</v>
      </c>
      <c r="P290" s="6">
        <v>26</v>
      </c>
      <c r="Q290" s="4" t="s">
        <v>26</v>
      </c>
      <c r="R290" s="4">
        <v>0</v>
      </c>
      <c r="S290" s="6">
        <v>0</v>
      </c>
      <c r="T290" s="6">
        <v>41</v>
      </c>
      <c r="U290" s="6">
        <v>79</v>
      </c>
      <c r="V290" s="6">
        <f>IF(ISERROR(VLOOKUP($S$290,'TAR FIN'!$A$1:$O$88,15,0)),0,VLOOKUP($S$290,'TAR FIN'!$A$1:$O$88,15,0))</f>
        <v>0</v>
      </c>
      <c r="W290" s="6">
        <f>IF(ISERROR(VLOOKUP($T$290,'TAR FIN'!$A$1:$O$88,15,0)),0,VLOOKUP($T$290,'TAR FIN'!$A$1:$O$88,15,0))</f>
        <v>195.8</v>
      </c>
      <c r="X290" s="6">
        <f>IF(ISERROR(VLOOKUP($U$290,'TAR FIN'!$A$1:$O$88,15,0)),0,VLOOKUP($U$290,'TAR FIN'!$A$1:$O$88,15,0))</f>
        <v>288.89999999999998</v>
      </c>
      <c r="Y290" s="6"/>
      <c r="Z290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258.66848302259052</v>
      </c>
      <c r="AA290" s="6">
        <f ca="1">('TE BE'!$AB$15+'TE BF_350'!$AB$15+'TE CVA'!$AB$15)*(1-CUSTOS!$M$37)</f>
        <v>207.63042742196092</v>
      </c>
      <c r="AB290" s="6">
        <f>$K$290*$V$290</f>
        <v>0</v>
      </c>
      <c r="AC290" s="6">
        <f>$M$290*$W$290</f>
        <v>307.99340000000001</v>
      </c>
      <c r="AD290" s="6">
        <f>$O$290*$X$290</f>
        <v>454.43969999999996</v>
      </c>
      <c r="AE290" s="6">
        <f>$K$290*$Y$290</f>
        <v>0</v>
      </c>
      <c r="AF290" s="6">
        <f ca="1">$M$290*$Z$290</f>
        <v>406.88552379453489</v>
      </c>
      <c r="AG290" s="6">
        <f ca="1">$O$290*$AA$290</f>
        <v>326.60266233474454</v>
      </c>
    </row>
    <row r="291" spans="1:33" ht="11.25" customHeight="1" x14ac:dyDescent="0.25">
      <c r="A291" s="4" t="s">
        <v>21</v>
      </c>
      <c r="B291" s="4" t="s">
        <v>41</v>
      </c>
      <c r="C291" s="4" t="s">
        <v>23</v>
      </c>
      <c r="D291" s="4" t="s">
        <v>42</v>
      </c>
      <c r="E291" s="4" t="s">
        <v>50</v>
      </c>
      <c r="F291" s="4" t="s">
        <v>51</v>
      </c>
      <c r="G291" s="4" t="s">
        <v>25</v>
      </c>
      <c r="H291" s="4" t="s">
        <v>25</v>
      </c>
      <c r="I291" s="5">
        <v>44409</v>
      </c>
      <c r="J291" s="6">
        <v>0</v>
      </c>
      <c r="K291" s="6">
        <v>0</v>
      </c>
      <c r="L291" s="6">
        <v>0.25800000000000001</v>
      </c>
      <c r="M291" s="6">
        <v>0.25800000000000001</v>
      </c>
      <c r="N291" s="6">
        <v>0.25800000000000001</v>
      </c>
      <c r="O291" s="6">
        <v>0.25800000000000001</v>
      </c>
      <c r="P291" s="6">
        <v>0</v>
      </c>
      <c r="Q291" s="4" t="s">
        <v>26</v>
      </c>
      <c r="R291" s="4">
        <v>0</v>
      </c>
      <c r="S291" s="6">
        <v>0</v>
      </c>
      <c r="T291" s="6">
        <v>50</v>
      </c>
      <c r="U291" s="6">
        <v>1</v>
      </c>
      <c r="V291" s="6">
        <f>IF(ISERROR(VLOOKUP($S$291,'TAR FIN'!$A$1:$O$88,15,0)),0,VLOOKUP($S$291,'TAR FIN'!$A$1:$O$88,15,0))</f>
        <v>0</v>
      </c>
      <c r="W291" s="6">
        <f>IF(ISERROR(VLOOKUP($T$291,'TAR FIN'!$A$1:$O$88,15,0)),0,VLOOKUP($T$291,'TAR FIN'!$A$1:$O$88,15,0))</f>
        <v>237.52</v>
      </c>
      <c r="X291" s="6">
        <f>IF(ISERROR(VLOOKUP($U$291,'TAR FIN'!$A$1:$O$88,15,0)),0,VLOOKUP($U$291,'TAR FIN'!$A$1:$O$88,15,0))</f>
        <v>254.23</v>
      </c>
      <c r="Y291" s="6"/>
      <c r="Z291" s="6">
        <f ca="1">('TUSD BE'!$AM$33+'TUSD BF_350'!$AM$33+'TUSD CVA'!$AM$33)*(1-CUSTOS!$M$38)</f>
        <v>329.38655465139976</v>
      </c>
      <c r="AA291" s="6">
        <f ca="1">('TE BE'!$AB$24+'TE BF_350'!$AB$24+'TE CVA'!$AB$24)*(1-CUSTOS!$M$38)</f>
        <v>195.17260177664326</v>
      </c>
      <c r="AB291" s="6">
        <f>$K$291*$V$291</f>
        <v>0</v>
      </c>
      <c r="AC291" s="6">
        <f>$M$291*$W$291</f>
        <v>61.280160000000002</v>
      </c>
      <c r="AD291" s="6">
        <f>$O$291*$X$291</f>
        <v>65.591340000000002</v>
      </c>
      <c r="AE291" s="6">
        <f>$K$291*$Y$291</f>
        <v>0</v>
      </c>
      <c r="AF291" s="6">
        <f ca="1">$M$291*$Z$291</f>
        <v>84.98173110006114</v>
      </c>
      <c r="AG291" s="6">
        <f ca="1">$O$291*$AA$291</f>
        <v>50.35453125837396</v>
      </c>
    </row>
    <row r="292" spans="1:33" ht="11.25" customHeight="1" x14ac:dyDescent="0.25">
      <c r="A292" s="4" t="s">
        <v>21</v>
      </c>
      <c r="B292" s="4" t="s">
        <v>41</v>
      </c>
      <c r="C292" s="4" t="s">
        <v>23</v>
      </c>
      <c r="D292" s="4" t="s">
        <v>42</v>
      </c>
      <c r="E292" s="4" t="s">
        <v>50</v>
      </c>
      <c r="F292" s="4" t="s">
        <v>51</v>
      </c>
      <c r="G292" s="4" t="s">
        <v>25</v>
      </c>
      <c r="H292" s="4" t="s">
        <v>25</v>
      </c>
      <c r="I292" s="5">
        <v>44440</v>
      </c>
      <c r="J292" s="6">
        <v>0</v>
      </c>
      <c r="K292" s="6">
        <v>0</v>
      </c>
      <c r="L292" s="6">
        <v>0.254</v>
      </c>
      <c r="M292" s="6">
        <v>0.254</v>
      </c>
      <c r="N292" s="6">
        <v>0.254</v>
      </c>
      <c r="O292" s="6">
        <v>0.254</v>
      </c>
      <c r="P292" s="6">
        <v>0</v>
      </c>
      <c r="Q292" s="4" t="s">
        <v>26</v>
      </c>
      <c r="R292" s="4">
        <v>0</v>
      </c>
      <c r="S292" s="6">
        <v>0</v>
      </c>
      <c r="T292" s="6">
        <v>50</v>
      </c>
      <c r="U292" s="6">
        <v>1</v>
      </c>
      <c r="V292" s="6">
        <f>IF(ISERROR(VLOOKUP($S$292,'TAR FIN'!$A$1:$O$88,15,0)),0,VLOOKUP($S$292,'TAR FIN'!$A$1:$O$88,15,0))</f>
        <v>0</v>
      </c>
      <c r="W292" s="6">
        <f>IF(ISERROR(VLOOKUP($T$292,'TAR FIN'!$A$1:$O$88,15,0)),0,VLOOKUP($T$292,'TAR FIN'!$A$1:$O$88,15,0))</f>
        <v>237.52</v>
      </c>
      <c r="X292" s="6">
        <f>IF(ISERROR(VLOOKUP($U$292,'TAR FIN'!$A$1:$O$88,15,0)),0,VLOOKUP($U$292,'TAR FIN'!$A$1:$O$88,15,0))</f>
        <v>254.23</v>
      </c>
      <c r="Y292" s="6"/>
      <c r="Z292" s="6">
        <f ca="1">('TUSD BE'!$AM$33+'TUSD BF_350'!$AM$33+'TUSD CVA'!$AM$33)*(1-CUSTOS!$M$38)</f>
        <v>329.38655465139976</v>
      </c>
      <c r="AA292" s="6">
        <f ca="1">('TE BE'!$AB$24+'TE BF_350'!$AB$24+'TE CVA'!$AB$24)*(1-CUSTOS!$M$38)</f>
        <v>195.17260177664326</v>
      </c>
      <c r="AB292" s="6">
        <f>$K$292*$V$292</f>
        <v>0</v>
      </c>
      <c r="AC292" s="6">
        <f>$M$292*$W$292</f>
        <v>60.330080000000002</v>
      </c>
      <c r="AD292" s="6">
        <f>$O$292*$X$292</f>
        <v>64.574420000000003</v>
      </c>
      <c r="AE292" s="6">
        <f>$K$292*$Y$292</f>
        <v>0</v>
      </c>
      <c r="AF292" s="6">
        <f ca="1">$M$292*$Z$292</f>
        <v>83.66418488145554</v>
      </c>
      <c r="AG292" s="6">
        <f ca="1">$O$292*$AA$292</f>
        <v>49.573840851267391</v>
      </c>
    </row>
    <row r="293" spans="1:33" ht="11.25" customHeight="1" x14ac:dyDescent="0.25">
      <c r="A293" s="4" t="s">
        <v>21</v>
      </c>
      <c r="B293" s="4" t="s">
        <v>41</v>
      </c>
      <c r="C293" s="4" t="s">
        <v>23</v>
      </c>
      <c r="D293" s="4" t="s">
        <v>42</v>
      </c>
      <c r="E293" s="4" t="s">
        <v>50</v>
      </c>
      <c r="F293" s="4" t="s">
        <v>51</v>
      </c>
      <c r="G293" s="4" t="s">
        <v>25</v>
      </c>
      <c r="H293" s="4" t="s">
        <v>25</v>
      </c>
      <c r="I293" s="5">
        <v>44470</v>
      </c>
      <c r="J293" s="6">
        <v>0</v>
      </c>
      <c r="K293" s="6">
        <v>0</v>
      </c>
      <c r="L293" s="6">
        <v>0.224</v>
      </c>
      <c r="M293" s="6">
        <v>0.224</v>
      </c>
      <c r="N293" s="6">
        <v>0.224</v>
      </c>
      <c r="O293" s="6">
        <v>0.224</v>
      </c>
      <c r="P293" s="6">
        <v>0</v>
      </c>
      <c r="Q293" s="4" t="s">
        <v>26</v>
      </c>
      <c r="R293" s="4">
        <v>0</v>
      </c>
      <c r="S293" s="6">
        <v>0</v>
      </c>
      <c r="T293" s="6">
        <v>50</v>
      </c>
      <c r="U293" s="6">
        <v>1</v>
      </c>
      <c r="V293" s="6">
        <f>IF(ISERROR(VLOOKUP($S$293,'TAR FIN'!$A$1:$O$88,15,0)),0,VLOOKUP($S$293,'TAR FIN'!$A$1:$O$88,15,0))</f>
        <v>0</v>
      </c>
      <c r="W293" s="6">
        <f>IF(ISERROR(VLOOKUP($T$293,'TAR FIN'!$A$1:$O$88,15,0)),0,VLOOKUP($T$293,'TAR FIN'!$A$1:$O$88,15,0))</f>
        <v>237.52</v>
      </c>
      <c r="X293" s="6">
        <f>IF(ISERROR(VLOOKUP($U$293,'TAR FIN'!$A$1:$O$88,15,0)),0,VLOOKUP($U$293,'TAR FIN'!$A$1:$O$88,15,0))</f>
        <v>254.23</v>
      </c>
      <c r="Y293" s="6"/>
      <c r="Z293" s="6">
        <f ca="1">('TUSD BE'!$AM$33+'TUSD BF_350'!$AM$33+'TUSD CVA'!$AM$33)*(1-CUSTOS!$M$38)</f>
        <v>329.38655465139976</v>
      </c>
      <c r="AA293" s="6">
        <f ca="1">('TE BE'!$AB$24+'TE BF_350'!$AB$24+'TE CVA'!$AB$24)*(1-CUSTOS!$M$38)</f>
        <v>195.17260177664326</v>
      </c>
      <c r="AB293" s="6">
        <f>$K$293*$V$293</f>
        <v>0</v>
      </c>
      <c r="AC293" s="6">
        <f>$M$293*$W$293</f>
        <v>53.204480000000004</v>
      </c>
      <c r="AD293" s="6">
        <f>$O$293*$X$293</f>
        <v>56.947519999999997</v>
      </c>
      <c r="AE293" s="6">
        <f>$K$293*$Y$293</f>
        <v>0</v>
      </c>
      <c r="AF293" s="6">
        <f ca="1">$M$293*$Z$293</f>
        <v>73.782588241913544</v>
      </c>
      <c r="AG293" s="6">
        <f ca="1">$O$293*$AA$293</f>
        <v>43.718662797968094</v>
      </c>
    </row>
    <row r="294" spans="1:33" ht="11.25" customHeight="1" x14ac:dyDescent="0.25">
      <c r="A294" s="4" t="s">
        <v>21</v>
      </c>
      <c r="B294" s="4" t="s">
        <v>41</v>
      </c>
      <c r="C294" s="4" t="s">
        <v>23</v>
      </c>
      <c r="D294" s="4" t="s">
        <v>42</v>
      </c>
      <c r="E294" s="4" t="s">
        <v>50</v>
      </c>
      <c r="F294" s="4" t="s">
        <v>51</v>
      </c>
      <c r="G294" s="4" t="s">
        <v>25</v>
      </c>
      <c r="H294" s="4" t="s">
        <v>25</v>
      </c>
      <c r="I294" s="5">
        <v>44501</v>
      </c>
      <c r="J294" s="6">
        <v>0</v>
      </c>
      <c r="K294" s="6">
        <v>0</v>
      </c>
      <c r="L294" s="6">
        <v>0.25800000000000001</v>
      </c>
      <c r="M294" s="6">
        <v>0.25800000000000001</v>
      </c>
      <c r="N294" s="6">
        <v>0.25800000000000001</v>
      </c>
      <c r="O294" s="6">
        <v>0.25800000000000001</v>
      </c>
      <c r="P294" s="6">
        <v>0</v>
      </c>
      <c r="Q294" s="4" t="s">
        <v>26</v>
      </c>
      <c r="R294" s="4">
        <v>0</v>
      </c>
      <c r="S294" s="6">
        <v>0</v>
      </c>
      <c r="T294" s="6">
        <v>50</v>
      </c>
      <c r="U294" s="6">
        <v>1</v>
      </c>
      <c r="V294" s="6">
        <f>IF(ISERROR(VLOOKUP($S$294,'TAR FIN'!$A$1:$O$88,15,0)),0,VLOOKUP($S$294,'TAR FIN'!$A$1:$O$88,15,0))</f>
        <v>0</v>
      </c>
      <c r="W294" s="6">
        <f>IF(ISERROR(VLOOKUP($T$294,'TAR FIN'!$A$1:$O$88,15,0)),0,VLOOKUP($T$294,'TAR FIN'!$A$1:$O$88,15,0))</f>
        <v>237.52</v>
      </c>
      <c r="X294" s="6">
        <f>IF(ISERROR(VLOOKUP($U$294,'TAR FIN'!$A$1:$O$88,15,0)),0,VLOOKUP($U$294,'TAR FIN'!$A$1:$O$88,15,0))</f>
        <v>254.23</v>
      </c>
      <c r="Y294" s="6"/>
      <c r="Z294" s="6">
        <f ca="1">('TUSD BE'!$AM$33+'TUSD BF_350'!$AM$33+'TUSD CVA'!$AM$33)*(1-CUSTOS!$M$38)</f>
        <v>329.38655465139976</v>
      </c>
      <c r="AA294" s="6">
        <f ca="1">('TE BE'!$AB$24+'TE BF_350'!$AB$24+'TE CVA'!$AB$24)*(1-CUSTOS!$M$38)</f>
        <v>195.17260177664326</v>
      </c>
      <c r="AB294" s="6">
        <f>$K$294*$V$294</f>
        <v>0</v>
      </c>
      <c r="AC294" s="6">
        <f>$M$294*$W$294</f>
        <v>61.280160000000002</v>
      </c>
      <c r="AD294" s="6">
        <f>$O$294*$X$294</f>
        <v>65.591340000000002</v>
      </c>
      <c r="AE294" s="6">
        <f>$K$294*$Y$294</f>
        <v>0</v>
      </c>
      <c r="AF294" s="6">
        <f ca="1">$M$294*$Z$294</f>
        <v>84.98173110006114</v>
      </c>
      <c r="AG294" s="6">
        <f ca="1">$O$294*$AA$294</f>
        <v>50.35453125837396</v>
      </c>
    </row>
    <row r="295" spans="1:33" ht="11.25" customHeight="1" x14ac:dyDescent="0.25">
      <c r="A295" s="4" t="s">
        <v>21</v>
      </c>
      <c r="B295" s="4" t="s">
        <v>41</v>
      </c>
      <c r="C295" s="4" t="s">
        <v>23</v>
      </c>
      <c r="D295" s="4" t="s">
        <v>42</v>
      </c>
      <c r="E295" s="4" t="s">
        <v>50</v>
      </c>
      <c r="F295" s="4" t="s">
        <v>51</v>
      </c>
      <c r="G295" s="4" t="s">
        <v>25</v>
      </c>
      <c r="H295" s="4" t="s">
        <v>25</v>
      </c>
      <c r="I295" s="5">
        <v>44531</v>
      </c>
      <c r="J295" s="6">
        <v>0</v>
      </c>
      <c r="K295" s="6">
        <v>0</v>
      </c>
      <c r="L295" s="6">
        <v>0.377</v>
      </c>
      <c r="M295" s="6">
        <v>0.377</v>
      </c>
      <c r="N295" s="6">
        <v>0.377</v>
      </c>
      <c r="O295" s="6">
        <v>0.377</v>
      </c>
      <c r="P295" s="6">
        <v>0</v>
      </c>
      <c r="Q295" s="4" t="s">
        <v>26</v>
      </c>
      <c r="R295" s="4">
        <v>0</v>
      </c>
      <c r="S295" s="6">
        <v>0</v>
      </c>
      <c r="T295" s="6">
        <v>50</v>
      </c>
      <c r="U295" s="6">
        <v>1</v>
      </c>
      <c r="V295" s="6">
        <f>IF(ISERROR(VLOOKUP($S$295,'TAR FIN'!$A$1:$O$88,15,0)),0,VLOOKUP($S$295,'TAR FIN'!$A$1:$O$88,15,0))</f>
        <v>0</v>
      </c>
      <c r="W295" s="6">
        <f>IF(ISERROR(VLOOKUP($T$295,'TAR FIN'!$A$1:$O$88,15,0)),0,VLOOKUP($T$295,'TAR FIN'!$A$1:$O$88,15,0))</f>
        <v>237.52</v>
      </c>
      <c r="X295" s="6">
        <f>IF(ISERROR(VLOOKUP($U$295,'TAR FIN'!$A$1:$O$88,15,0)),0,VLOOKUP($U$295,'TAR FIN'!$A$1:$O$88,15,0))</f>
        <v>254.23</v>
      </c>
      <c r="Y295" s="6"/>
      <c r="Z295" s="6">
        <f ca="1">('TUSD BE'!$AM$33+'TUSD BF_350'!$AM$33+'TUSD CVA'!$AM$33)*(1-CUSTOS!$M$38)</f>
        <v>329.38655465139976</v>
      </c>
      <c r="AA295" s="6">
        <f ca="1">('TE BE'!$AB$24+'TE BF_350'!$AB$24+'TE CVA'!$AB$24)*(1-CUSTOS!$M$38)</f>
        <v>195.17260177664326</v>
      </c>
      <c r="AB295" s="6">
        <f>$K$295*$V$295</f>
        <v>0</v>
      </c>
      <c r="AC295" s="6">
        <f>$M$295*$W$295</f>
        <v>89.54504</v>
      </c>
      <c r="AD295" s="6">
        <f>$O$295*$X$295</f>
        <v>95.844709999999992</v>
      </c>
      <c r="AE295" s="6">
        <f>$K$295*$Y$295</f>
        <v>0</v>
      </c>
      <c r="AF295" s="6">
        <f ca="1">$M$295*$Z$295</f>
        <v>124.17873110357772</v>
      </c>
      <c r="AG295" s="6">
        <f ca="1">$O$295*$AA$295</f>
        <v>73.580070869794511</v>
      </c>
    </row>
    <row r="296" spans="1:33" ht="11.25" customHeight="1" x14ac:dyDescent="0.25">
      <c r="A296" s="4" t="s">
        <v>21</v>
      </c>
      <c r="B296" s="4" t="s">
        <v>41</v>
      </c>
      <c r="C296" s="4" t="s">
        <v>23</v>
      </c>
      <c r="D296" s="4" t="s">
        <v>42</v>
      </c>
      <c r="E296" s="4" t="s">
        <v>50</v>
      </c>
      <c r="F296" s="4" t="s">
        <v>51</v>
      </c>
      <c r="G296" s="4" t="s">
        <v>25</v>
      </c>
      <c r="H296" s="4" t="s">
        <v>25</v>
      </c>
      <c r="I296" s="5">
        <v>44562</v>
      </c>
      <c r="J296" s="6">
        <v>0</v>
      </c>
      <c r="K296" s="6">
        <v>0</v>
      </c>
      <c r="L296" s="6">
        <v>0.316</v>
      </c>
      <c r="M296" s="6">
        <v>0.316</v>
      </c>
      <c r="N296" s="6">
        <v>0.316</v>
      </c>
      <c r="O296" s="6">
        <v>0.316</v>
      </c>
      <c r="P296" s="6">
        <v>0</v>
      </c>
      <c r="Q296" s="4" t="s">
        <v>26</v>
      </c>
      <c r="R296" s="4">
        <v>0</v>
      </c>
      <c r="S296" s="6">
        <v>0</v>
      </c>
      <c r="T296" s="6">
        <v>50</v>
      </c>
      <c r="U296" s="6">
        <v>1</v>
      </c>
      <c r="V296" s="6">
        <f>IF(ISERROR(VLOOKUP($S$296,'TAR FIN'!$A$1:$O$88,15,0)),0,VLOOKUP($S$296,'TAR FIN'!$A$1:$O$88,15,0))</f>
        <v>0</v>
      </c>
      <c r="W296" s="6">
        <f>IF(ISERROR(VLOOKUP($T$296,'TAR FIN'!$A$1:$O$88,15,0)),0,VLOOKUP($T$296,'TAR FIN'!$A$1:$O$88,15,0))</f>
        <v>237.52</v>
      </c>
      <c r="X296" s="6">
        <f>IF(ISERROR(VLOOKUP($U$296,'TAR FIN'!$A$1:$O$88,15,0)),0,VLOOKUP($U$296,'TAR FIN'!$A$1:$O$88,15,0))</f>
        <v>254.23</v>
      </c>
      <c r="Y296" s="6"/>
      <c r="Z296" s="6">
        <f ca="1">('TUSD BE'!$AM$33+'TUSD BF_350'!$AM$33+'TUSD CVA'!$AM$33)*(1-CUSTOS!$M$38)</f>
        <v>329.38655465139976</v>
      </c>
      <c r="AA296" s="6">
        <f ca="1">('TE BE'!$AB$24+'TE BF_350'!$AB$24+'TE CVA'!$AB$24)*(1-CUSTOS!$M$38)</f>
        <v>195.17260177664326</v>
      </c>
      <c r="AB296" s="6">
        <f>$K$296*$V$296</f>
        <v>0</v>
      </c>
      <c r="AC296" s="6">
        <f>$M$296*$W$296</f>
        <v>75.056319999999999</v>
      </c>
      <c r="AD296" s="6">
        <f>$O$296*$X$296</f>
        <v>80.336680000000001</v>
      </c>
      <c r="AE296" s="6">
        <f>$K$296*$Y$296</f>
        <v>0</v>
      </c>
      <c r="AF296" s="6">
        <f ca="1">$M$296*$Z$296</f>
        <v>104.08615126984233</v>
      </c>
      <c r="AG296" s="6">
        <f ca="1">$O$296*$AA$296</f>
        <v>61.674542161419268</v>
      </c>
    </row>
    <row r="297" spans="1:33" ht="11.25" customHeight="1" x14ac:dyDescent="0.25">
      <c r="A297" s="4" t="s">
        <v>21</v>
      </c>
      <c r="B297" s="4" t="s">
        <v>41</v>
      </c>
      <c r="C297" s="4" t="s">
        <v>23</v>
      </c>
      <c r="D297" s="4" t="s">
        <v>42</v>
      </c>
      <c r="E297" s="4" t="s">
        <v>50</v>
      </c>
      <c r="F297" s="4" t="s">
        <v>51</v>
      </c>
      <c r="G297" s="4" t="s">
        <v>25</v>
      </c>
      <c r="H297" s="4" t="s">
        <v>25</v>
      </c>
      <c r="I297" s="5">
        <v>44593</v>
      </c>
      <c r="J297" s="6">
        <v>0</v>
      </c>
      <c r="K297" s="6">
        <v>0</v>
      </c>
      <c r="L297" s="6">
        <v>0.61</v>
      </c>
      <c r="M297" s="6">
        <v>0.61</v>
      </c>
      <c r="N297" s="6">
        <v>0.61</v>
      </c>
      <c r="O297" s="6">
        <v>0.61</v>
      </c>
      <c r="P297" s="6">
        <v>0</v>
      </c>
      <c r="Q297" s="4" t="s">
        <v>26</v>
      </c>
      <c r="R297" s="4">
        <v>0</v>
      </c>
      <c r="S297" s="6">
        <v>0</v>
      </c>
      <c r="T297" s="6">
        <v>50</v>
      </c>
      <c r="U297" s="6">
        <v>1</v>
      </c>
      <c r="V297" s="6">
        <f>IF(ISERROR(VLOOKUP($S$297,'TAR FIN'!$A$1:$O$88,15,0)),0,VLOOKUP($S$297,'TAR FIN'!$A$1:$O$88,15,0))</f>
        <v>0</v>
      </c>
      <c r="W297" s="6">
        <f>IF(ISERROR(VLOOKUP($T$297,'TAR FIN'!$A$1:$O$88,15,0)),0,VLOOKUP($T$297,'TAR FIN'!$A$1:$O$88,15,0))</f>
        <v>237.52</v>
      </c>
      <c r="X297" s="6">
        <f>IF(ISERROR(VLOOKUP($U$297,'TAR FIN'!$A$1:$O$88,15,0)),0,VLOOKUP($U$297,'TAR FIN'!$A$1:$O$88,15,0))</f>
        <v>254.23</v>
      </c>
      <c r="Y297" s="6"/>
      <c r="Z297" s="6">
        <f ca="1">('TUSD BE'!$AM$33+'TUSD BF_350'!$AM$33+'TUSD CVA'!$AM$33)*(1-CUSTOS!$M$38)</f>
        <v>329.38655465139976</v>
      </c>
      <c r="AA297" s="6">
        <f ca="1">('TE BE'!$AB$24+'TE BF_350'!$AB$24+'TE CVA'!$AB$24)*(1-CUSTOS!$M$38)</f>
        <v>195.17260177664326</v>
      </c>
      <c r="AB297" s="6">
        <f>$K$297*$V$297</f>
        <v>0</v>
      </c>
      <c r="AC297" s="6">
        <f>$M$297*$W$297</f>
        <v>144.88720000000001</v>
      </c>
      <c r="AD297" s="6">
        <f>$O$297*$X$297</f>
        <v>155.08029999999999</v>
      </c>
      <c r="AE297" s="6">
        <f>$K$297*$Y$297</f>
        <v>0</v>
      </c>
      <c r="AF297" s="6">
        <f ca="1">$M$297*$Z$297</f>
        <v>200.92579833735385</v>
      </c>
      <c r="AG297" s="6">
        <f ca="1">$O$297*$AA$297</f>
        <v>119.05528708375239</v>
      </c>
    </row>
    <row r="298" spans="1:33" ht="11.25" customHeight="1" x14ac:dyDescent="0.25">
      <c r="A298" s="4" t="s">
        <v>21</v>
      </c>
      <c r="B298" s="4" t="s">
        <v>41</v>
      </c>
      <c r="C298" s="4" t="s">
        <v>23</v>
      </c>
      <c r="D298" s="4" t="s">
        <v>42</v>
      </c>
      <c r="E298" s="4" t="s">
        <v>50</v>
      </c>
      <c r="F298" s="4" t="s">
        <v>51</v>
      </c>
      <c r="G298" s="4" t="s">
        <v>25</v>
      </c>
      <c r="H298" s="4" t="s">
        <v>25</v>
      </c>
      <c r="I298" s="5">
        <v>44621</v>
      </c>
      <c r="J298" s="6">
        <v>0</v>
      </c>
      <c r="K298" s="6">
        <v>0</v>
      </c>
      <c r="L298" s="6">
        <v>0.22900000000000001</v>
      </c>
      <c r="M298" s="6">
        <v>0.22900000000000001</v>
      </c>
      <c r="N298" s="6">
        <v>0.22900000000000001</v>
      </c>
      <c r="O298" s="6">
        <v>0.22900000000000001</v>
      </c>
      <c r="P298" s="6">
        <v>0</v>
      </c>
      <c r="Q298" s="4" t="s">
        <v>26</v>
      </c>
      <c r="R298" s="4">
        <v>0</v>
      </c>
      <c r="S298" s="6">
        <v>0</v>
      </c>
      <c r="T298" s="6">
        <v>50</v>
      </c>
      <c r="U298" s="6">
        <v>1</v>
      </c>
      <c r="V298" s="6">
        <f>IF(ISERROR(VLOOKUP($S$298,'TAR FIN'!$A$1:$O$88,15,0)),0,VLOOKUP($S$298,'TAR FIN'!$A$1:$O$88,15,0))</f>
        <v>0</v>
      </c>
      <c r="W298" s="6">
        <f>IF(ISERROR(VLOOKUP($T$298,'TAR FIN'!$A$1:$O$88,15,0)),0,VLOOKUP($T$298,'TAR FIN'!$A$1:$O$88,15,0))</f>
        <v>237.52</v>
      </c>
      <c r="X298" s="6">
        <f>IF(ISERROR(VLOOKUP($U$298,'TAR FIN'!$A$1:$O$88,15,0)),0,VLOOKUP($U$298,'TAR FIN'!$A$1:$O$88,15,0))</f>
        <v>254.23</v>
      </c>
      <c r="Y298" s="6"/>
      <c r="Z298" s="6">
        <f ca="1">('TUSD BE'!$AM$33+'TUSD BF_350'!$AM$33+'TUSD CVA'!$AM$33)*(1-CUSTOS!$M$38)</f>
        <v>329.38655465139976</v>
      </c>
      <c r="AA298" s="6">
        <f ca="1">('TE BE'!$AB$24+'TE BF_350'!$AB$24+'TE CVA'!$AB$24)*(1-CUSTOS!$M$38)</f>
        <v>195.17260177664326</v>
      </c>
      <c r="AB298" s="6">
        <f>$K$298*$V$298</f>
        <v>0</v>
      </c>
      <c r="AC298" s="6">
        <f>$M$298*$W$298</f>
        <v>54.392080000000007</v>
      </c>
      <c r="AD298" s="6">
        <f>$O$298*$X$298</f>
        <v>58.218670000000003</v>
      </c>
      <c r="AE298" s="6">
        <f>$K$298*$Y$298</f>
        <v>0</v>
      </c>
      <c r="AF298" s="6">
        <f ca="1">$M$298*$Z$298</f>
        <v>75.42952101517055</v>
      </c>
      <c r="AG298" s="6">
        <f ca="1">$O$298*$AA$298</f>
        <v>44.69452580685131</v>
      </c>
    </row>
    <row r="299" spans="1:33" ht="11.25" customHeight="1" x14ac:dyDescent="0.25">
      <c r="A299" s="4" t="s">
        <v>21</v>
      </c>
      <c r="B299" s="4" t="s">
        <v>41</v>
      </c>
      <c r="C299" s="4" t="s">
        <v>23</v>
      </c>
      <c r="D299" s="4" t="s">
        <v>42</v>
      </c>
      <c r="E299" s="4" t="s">
        <v>50</v>
      </c>
      <c r="F299" s="4" t="s">
        <v>51</v>
      </c>
      <c r="G299" s="4" t="s">
        <v>25</v>
      </c>
      <c r="H299" s="4" t="s">
        <v>25</v>
      </c>
      <c r="I299" s="5">
        <v>44652</v>
      </c>
      <c r="J299" s="6">
        <v>0</v>
      </c>
      <c r="K299" s="6">
        <v>0</v>
      </c>
      <c r="L299" s="6">
        <v>0.29899999999999999</v>
      </c>
      <c r="M299" s="6">
        <v>0.29899999999999999</v>
      </c>
      <c r="N299" s="6">
        <v>0.29899999999999999</v>
      </c>
      <c r="O299" s="6">
        <v>0.29899999999999999</v>
      </c>
      <c r="P299" s="6">
        <v>0</v>
      </c>
      <c r="Q299" s="4" t="s">
        <v>26</v>
      </c>
      <c r="R299" s="4">
        <v>0</v>
      </c>
      <c r="S299" s="6">
        <v>0</v>
      </c>
      <c r="T299" s="6">
        <v>50</v>
      </c>
      <c r="U299" s="6">
        <v>1</v>
      </c>
      <c r="V299" s="6">
        <f>IF(ISERROR(VLOOKUP($S$299,'TAR FIN'!$A$1:$O$88,15,0)),0,VLOOKUP($S$299,'TAR FIN'!$A$1:$O$88,15,0))</f>
        <v>0</v>
      </c>
      <c r="W299" s="6">
        <f>IF(ISERROR(VLOOKUP($T$299,'TAR FIN'!$A$1:$O$88,15,0)),0,VLOOKUP($T$299,'TAR FIN'!$A$1:$O$88,15,0))</f>
        <v>237.52</v>
      </c>
      <c r="X299" s="6">
        <f>IF(ISERROR(VLOOKUP($U$299,'TAR FIN'!$A$1:$O$88,15,0)),0,VLOOKUP($U$299,'TAR FIN'!$A$1:$O$88,15,0))</f>
        <v>254.23</v>
      </c>
      <c r="Y299" s="6"/>
      <c r="Z299" s="6">
        <f ca="1">('TUSD BE'!$AM$33+'TUSD BF_350'!$AM$33+'TUSD CVA'!$AM$33)*(1-CUSTOS!$M$38)</f>
        <v>329.38655465139976</v>
      </c>
      <c r="AA299" s="6">
        <f ca="1">('TE BE'!$AB$24+'TE BF_350'!$AB$24+'TE CVA'!$AB$24)*(1-CUSTOS!$M$38)</f>
        <v>195.17260177664326</v>
      </c>
      <c r="AB299" s="6">
        <f>$K$299*$V$299</f>
        <v>0</v>
      </c>
      <c r="AC299" s="6">
        <f>$M$299*$W$299</f>
        <v>71.018479999999997</v>
      </c>
      <c r="AD299" s="6">
        <f>$O$299*$X$299</f>
        <v>76.014769999999999</v>
      </c>
      <c r="AE299" s="6">
        <f>$K$299*$Y$299</f>
        <v>0</v>
      </c>
      <c r="AF299" s="6">
        <f ca="1">$M$299*$Z$299</f>
        <v>98.486579840768528</v>
      </c>
      <c r="AG299" s="6">
        <f ca="1">$O$299*$AA$299</f>
        <v>58.356607931216331</v>
      </c>
    </row>
    <row r="300" spans="1:33" ht="11.25" customHeight="1" x14ac:dyDescent="0.25">
      <c r="A300" s="4" t="s">
        <v>21</v>
      </c>
      <c r="B300" s="4" t="s">
        <v>41</v>
      </c>
      <c r="C300" s="4" t="s">
        <v>23</v>
      </c>
      <c r="D300" s="4" t="s">
        <v>42</v>
      </c>
      <c r="E300" s="4" t="s">
        <v>50</v>
      </c>
      <c r="F300" s="4" t="s">
        <v>51</v>
      </c>
      <c r="G300" s="4" t="s">
        <v>25</v>
      </c>
      <c r="H300" s="4" t="s">
        <v>25</v>
      </c>
      <c r="I300" s="5">
        <v>44682</v>
      </c>
      <c r="J300" s="6">
        <v>0</v>
      </c>
      <c r="K300" s="6">
        <v>0</v>
      </c>
      <c r="L300" s="6">
        <v>0.2</v>
      </c>
      <c r="M300" s="6">
        <v>0.2</v>
      </c>
      <c r="N300" s="6">
        <v>0.2</v>
      </c>
      <c r="O300" s="6">
        <v>0.2</v>
      </c>
      <c r="P300" s="6">
        <v>0</v>
      </c>
      <c r="Q300" s="4" t="s">
        <v>26</v>
      </c>
      <c r="R300" s="4">
        <v>0</v>
      </c>
      <c r="S300" s="6">
        <v>0</v>
      </c>
      <c r="T300" s="6">
        <v>50</v>
      </c>
      <c r="U300" s="6">
        <v>1</v>
      </c>
      <c r="V300" s="6">
        <f>IF(ISERROR(VLOOKUP($S$300,'TAR FIN'!$A$1:$O$88,15,0)),0,VLOOKUP($S$300,'TAR FIN'!$A$1:$O$88,15,0))</f>
        <v>0</v>
      </c>
      <c r="W300" s="6">
        <f>IF(ISERROR(VLOOKUP($T$300,'TAR FIN'!$A$1:$O$88,15,0)),0,VLOOKUP($T$300,'TAR FIN'!$A$1:$O$88,15,0))</f>
        <v>237.52</v>
      </c>
      <c r="X300" s="6">
        <f>IF(ISERROR(VLOOKUP($U$300,'TAR FIN'!$A$1:$O$88,15,0)),0,VLOOKUP($U$300,'TAR FIN'!$A$1:$O$88,15,0))</f>
        <v>254.23</v>
      </c>
      <c r="Y300" s="6"/>
      <c r="Z300" s="6">
        <f ca="1">('TUSD BE'!$AM$33+'TUSD BF_350'!$AM$33+'TUSD CVA'!$AM$33)*(1-CUSTOS!$M$38)</f>
        <v>329.38655465139976</v>
      </c>
      <c r="AA300" s="6">
        <f ca="1">('TE BE'!$AB$24+'TE BF_350'!$AB$24+'TE CVA'!$AB$24)*(1-CUSTOS!$M$38)</f>
        <v>195.17260177664326</v>
      </c>
      <c r="AB300" s="6">
        <f>$K$300*$V$300</f>
        <v>0</v>
      </c>
      <c r="AC300" s="6">
        <f>$M$300*$W$300</f>
        <v>47.504000000000005</v>
      </c>
      <c r="AD300" s="6">
        <f>$O$300*$X$300</f>
        <v>50.846000000000004</v>
      </c>
      <c r="AE300" s="6">
        <f>$K$300*$Y$300</f>
        <v>0</v>
      </c>
      <c r="AF300" s="6">
        <f ca="1">$M$300*$Z$300</f>
        <v>65.877310930279961</v>
      </c>
      <c r="AG300" s="6">
        <f ca="1">$O$300*$AA$300</f>
        <v>39.034520355328652</v>
      </c>
    </row>
    <row r="301" spans="1:33" ht="11.25" customHeight="1" x14ac:dyDescent="0.25">
      <c r="A301" s="4" t="s">
        <v>21</v>
      </c>
      <c r="B301" s="4" t="s">
        <v>41</v>
      </c>
      <c r="C301" s="4" t="s">
        <v>23</v>
      </c>
      <c r="D301" s="4" t="s">
        <v>42</v>
      </c>
      <c r="E301" s="4" t="s">
        <v>50</v>
      </c>
      <c r="F301" s="4" t="s">
        <v>51</v>
      </c>
      <c r="G301" s="4" t="s">
        <v>25</v>
      </c>
      <c r="H301" s="4" t="s">
        <v>25</v>
      </c>
      <c r="I301" s="5">
        <v>44713</v>
      </c>
      <c r="J301" s="6">
        <v>0</v>
      </c>
      <c r="K301" s="6">
        <v>0</v>
      </c>
      <c r="L301" s="6">
        <v>0.51900000000000002</v>
      </c>
      <c r="M301" s="6">
        <v>0.51900000000000002</v>
      </c>
      <c r="N301" s="6">
        <v>0.51900000000000002</v>
      </c>
      <c r="O301" s="6">
        <v>0.51900000000000002</v>
      </c>
      <c r="P301" s="6">
        <v>0</v>
      </c>
      <c r="Q301" s="4" t="s">
        <v>26</v>
      </c>
      <c r="R301" s="4">
        <v>0</v>
      </c>
      <c r="S301" s="6">
        <v>0</v>
      </c>
      <c r="T301" s="6">
        <v>50</v>
      </c>
      <c r="U301" s="6">
        <v>1</v>
      </c>
      <c r="V301" s="6">
        <f>IF(ISERROR(VLOOKUP($S$301,'TAR FIN'!$A$1:$O$88,15,0)),0,VLOOKUP($S$301,'TAR FIN'!$A$1:$O$88,15,0))</f>
        <v>0</v>
      </c>
      <c r="W301" s="6">
        <f>IF(ISERROR(VLOOKUP($T$301,'TAR FIN'!$A$1:$O$88,15,0)),0,VLOOKUP($T$301,'TAR FIN'!$A$1:$O$88,15,0))</f>
        <v>237.52</v>
      </c>
      <c r="X301" s="6">
        <f>IF(ISERROR(VLOOKUP($U$301,'TAR FIN'!$A$1:$O$88,15,0)),0,VLOOKUP($U$301,'TAR FIN'!$A$1:$O$88,15,0))</f>
        <v>254.23</v>
      </c>
      <c r="Y301" s="6"/>
      <c r="Z301" s="6">
        <f ca="1">('TUSD BE'!$AM$33+'TUSD BF_350'!$AM$33+'TUSD CVA'!$AM$33)*(1-CUSTOS!$M$38)</f>
        <v>329.38655465139976</v>
      </c>
      <c r="AA301" s="6">
        <f ca="1">('TE BE'!$AB$24+'TE BF_350'!$AB$24+'TE CVA'!$AB$24)*(1-CUSTOS!$M$38)</f>
        <v>195.17260177664326</v>
      </c>
      <c r="AB301" s="6">
        <f>$K$301*$V$301</f>
        <v>0</v>
      </c>
      <c r="AC301" s="6">
        <f>$M$301*$W$301</f>
        <v>123.27288000000001</v>
      </c>
      <c r="AD301" s="6">
        <f>$O$301*$X$301</f>
        <v>131.94537</v>
      </c>
      <c r="AE301" s="6">
        <f>$K$301*$Y$301</f>
        <v>0</v>
      </c>
      <c r="AF301" s="6">
        <f ca="1">$M$301*$Z$301</f>
        <v>170.95162186407649</v>
      </c>
      <c r="AG301" s="6">
        <f ca="1">$O$301*$AA$301</f>
        <v>101.29458032207786</v>
      </c>
    </row>
    <row r="302" spans="1:33" ht="11.25" customHeight="1" x14ac:dyDescent="0.25">
      <c r="A302" s="4" t="s">
        <v>55</v>
      </c>
      <c r="B302" s="4" t="s">
        <v>41</v>
      </c>
      <c r="C302" s="4" t="s">
        <v>23</v>
      </c>
      <c r="D302" s="4" t="s">
        <v>42</v>
      </c>
      <c r="E302" s="4" t="s">
        <v>50</v>
      </c>
      <c r="F302" s="4" t="s">
        <v>51</v>
      </c>
      <c r="G302" s="4" t="s">
        <v>25</v>
      </c>
      <c r="H302" s="4" t="s">
        <v>25</v>
      </c>
      <c r="I302" s="5">
        <v>44743</v>
      </c>
      <c r="J302" s="6">
        <v>0</v>
      </c>
      <c r="K302" s="6">
        <v>0</v>
      </c>
      <c r="L302" s="6">
        <v>0.51900000000000002</v>
      </c>
      <c r="M302" s="6">
        <v>0.51900000000000002</v>
      </c>
      <c r="N302" s="6">
        <v>0.51900000000000002</v>
      </c>
      <c r="O302" s="6">
        <v>0.51900000000000002</v>
      </c>
      <c r="P302" s="6">
        <v>0</v>
      </c>
      <c r="Q302" s="4" t="s">
        <v>26</v>
      </c>
      <c r="R302" s="4">
        <v>0</v>
      </c>
      <c r="S302" s="6">
        <v>0</v>
      </c>
      <c r="T302" s="6">
        <v>50</v>
      </c>
      <c r="U302" s="6">
        <v>1</v>
      </c>
      <c r="V302" s="6">
        <f>IF(ISERROR(VLOOKUP($S$302,'TAR FIN'!$A$1:$O$88,15,0)),0,VLOOKUP($S$302,'TAR FIN'!$A$1:$O$88,15,0))</f>
        <v>0</v>
      </c>
      <c r="W302" s="6">
        <f>IF(ISERROR(VLOOKUP($T$302,'TAR FIN'!$A$1:$O$88,15,0)),0,VLOOKUP($T$302,'TAR FIN'!$A$1:$O$88,15,0))</f>
        <v>237.52</v>
      </c>
      <c r="X302" s="6">
        <f>IF(ISERROR(VLOOKUP($U$302,'TAR FIN'!$A$1:$O$88,15,0)),0,VLOOKUP($U$302,'TAR FIN'!$A$1:$O$88,15,0))</f>
        <v>254.23</v>
      </c>
      <c r="Y302" s="6"/>
      <c r="Z302" s="6">
        <f ca="1">('TUSD BE'!$AM$33+'TUSD BF_350'!$AM$33+'TUSD CVA'!$AM$33)*(1-CUSTOS!$M$38)</f>
        <v>329.38655465139976</v>
      </c>
      <c r="AA302" s="6">
        <f ca="1">('TE BE'!$AB$24+'TE BF_350'!$AB$24+'TE CVA'!$AB$24)*(1-CUSTOS!$M$38)</f>
        <v>195.17260177664326</v>
      </c>
      <c r="AB302" s="6">
        <f>$K$302*$V$302</f>
        <v>0</v>
      </c>
      <c r="AC302" s="6">
        <f>$M$302*$W$302</f>
        <v>123.27288000000001</v>
      </c>
      <c r="AD302" s="6">
        <f>$O$302*$X$302</f>
        <v>131.94537</v>
      </c>
      <c r="AE302" s="6">
        <f>$K$302*$Y$302</f>
        <v>0</v>
      </c>
      <c r="AF302" s="6">
        <f ca="1">$M$302*$Z$302</f>
        <v>170.95162186407649</v>
      </c>
      <c r="AG302" s="6">
        <f ca="1">$O$302*$AA$302</f>
        <v>101.29458032207786</v>
      </c>
    </row>
    <row r="303" spans="1:33" ht="11.25" customHeight="1" x14ac:dyDescent="0.25">
      <c r="A303" s="4" t="s">
        <v>21</v>
      </c>
      <c r="B303" s="4" t="s">
        <v>41</v>
      </c>
      <c r="C303" s="4" t="s">
        <v>23</v>
      </c>
      <c r="D303" s="4" t="s">
        <v>42</v>
      </c>
      <c r="E303" s="4" t="s">
        <v>50</v>
      </c>
      <c r="F303" s="4" t="s">
        <v>52</v>
      </c>
      <c r="G303" s="4" t="s">
        <v>25</v>
      </c>
      <c r="H303" s="4" t="s">
        <v>25</v>
      </c>
      <c r="I303" s="5">
        <v>44409</v>
      </c>
      <c r="J303" s="6">
        <v>0</v>
      </c>
      <c r="K303" s="6">
        <v>0</v>
      </c>
      <c r="L303" s="6">
        <v>0.374</v>
      </c>
      <c r="M303" s="6">
        <v>0.14960000000000001</v>
      </c>
      <c r="N303" s="6">
        <v>0.374</v>
      </c>
      <c r="O303" s="6">
        <v>0.14960000000000001</v>
      </c>
      <c r="P303" s="6">
        <v>0</v>
      </c>
      <c r="Q303" s="4" t="s">
        <v>26</v>
      </c>
      <c r="R303" s="4">
        <v>0</v>
      </c>
      <c r="S303" s="6">
        <v>0</v>
      </c>
      <c r="T303" s="6">
        <v>50</v>
      </c>
      <c r="U303" s="6">
        <v>1</v>
      </c>
      <c r="V303" s="6">
        <f>IF(ISERROR(VLOOKUP($S$303,'TAR FIN'!$A$1:$O$88,15,0)),0,VLOOKUP($S$303,'TAR FIN'!$A$1:$O$88,15,0))</f>
        <v>0</v>
      </c>
      <c r="W303" s="6">
        <f>IF(ISERROR(VLOOKUP($T$303,'TAR FIN'!$A$1:$O$88,15,0)),0,VLOOKUP($T$303,'TAR FIN'!$A$1:$O$88,15,0))</f>
        <v>237.52</v>
      </c>
      <c r="X303" s="6">
        <f>IF(ISERROR(VLOOKUP($U$303,'TAR FIN'!$A$1:$O$88,15,0)),0,VLOOKUP($U$303,'TAR FIN'!$A$1:$O$88,15,0))</f>
        <v>254.23</v>
      </c>
      <c r="Y303" s="6"/>
      <c r="Z303" s="6">
        <f ca="1">('TUSD BE'!$AM$33+'TUSD BF_350'!$AM$33+'TUSD CVA'!$AM$33)*(1-CUSTOS!$M$38)</f>
        <v>329.38655465139976</v>
      </c>
      <c r="AA303" s="6">
        <f ca="1">('TE BE'!$AB$24+'TE BF_350'!$AB$24+'TE CVA'!$AB$24)*(1-CUSTOS!$M$38)</f>
        <v>195.17260177664326</v>
      </c>
      <c r="AB303" s="6">
        <f>$K$303*$V$303</f>
        <v>0</v>
      </c>
      <c r="AC303" s="6">
        <f>$M$303*$W$303</f>
        <v>35.532992000000007</v>
      </c>
      <c r="AD303" s="6">
        <f>$O$303*$X$303</f>
        <v>38.032808000000003</v>
      </c>
      <c r="AE303" s="6">
        <f>$K$303*$Y$303</f>
        <v>0</v>
      </c>
      <c r="AF303" s="6">
        <f ca="1">$M$303*$Z$303</f>
        <v>49.276228575849409</v>
      </c>
      <c r="AG303" s="6">
        <f ca="1">$O$303*$AA$303</f>
        <v>29.197821225785834</v>
      </c>
    </row>
    <row r="304" spans="1:33" ht="11.25" customHeight="1" x14ac:dyDescent="0.25">
      <c r="A304" s="4" t="s">
        <v>21</v>
      </c>
      <c r="B304" s="4" t="s">
        <v>41</v>
      </c>
      <c r="C304" s="4" t="s">
        <v>23</v>
      </c>
      <c r="D304" s="4" t="s">
        <v>42</v>
      </c>
      <c r="E304" s="4" t="s">
        <v>50</v>
      </c>
      <c r="F304" s="4" t="s">
        <v>52</v>
      </c>
      <c r="G304" s="4" t="s">
        <v>25</v>
      </c>
      <c r="H304" s="4" t="s">
        <v>25</v>
      </c>
      <c r="I304" s="5">
        <v>44440</v>
      </c>
      <c r="J304" s="6">
        <v>0</v>
      </c>
      <c r="K304" s="6">
        <v>0</v>
      </c>
      <c r="L304" s="6">
        <v>0.47699999999999998</v>
      </c>
      <c r="M304" s="6">
        <v>0.1908</v>
      </c>
      <c r="N304" s="6">
        <v>0.47699999999999998</v>
      </c>
      <c r="O304" s="6">
        <v>0.1908</v>
      </c>
      <c r="P304" s="6">
        <v>0</v>
      </c>
      <c r="Q304" s="4" t="s">
        <v>26</v>
      </c>
      <c r="R304" s="4">
        <v>0</v>
      </c>
      <c r="S304" s="6">
        <v>0</v>
      </c>
      <c r="T304" s="6">
        <v>50</v>
      </c>
      <c r="U304" s="6">
        <v>1</v>
      </c>
      <c r="V304" s="6">
        <f>IF(ISERROR(VLOOKUP($S$304,'TAR FIN'!$A$1:$O$88,15,0)),0,VLOOKUP($S$304,'TAR FIN'!$A$1:$O$88,15,0))</f>
        <v>0</v>
      </c>
      <c r="W304" s="6">
        <f>IF(ISERROR(VLOOKUP($T$304,'TAR FIN'!$A$1:$O$88,15,0)),0,VLOOKUP($T$304,'TAR FIN'!$A$1:$O$88,15,0))</f>
        <v>237.52</v>
      </c>
      <c r="X304" s="6">
        <f>IF(ISERROR(VLOOKUP($U$304,'TAR FIN'!$A$1:$O$88,15,0)),0,VLOOKUP($U$304,'TAR FIN'!$A$1:$O$88,15,0))</f>
        <v>254.23</v>
      </c>
      <c r="Y304" s="6"/>
      <c r="Z304" s="6">
        <f ca="1">('TUSD BE'!$AM$33+'TUSD BF_350'!$AM$33+'TUSD CVA'!$AM$33)*(1-CUSTOS!$M$38)</f>
        <v>329.38655465139976</v>
      </c>
      <c r="AA304" s="6">
        <f ca="1">('TE BE'!$AB$24+'TE BF_350'!$AB$24+'TE CVA'!$AB$24)*(1-CUSTOS!$M$38)</f>
        <v>195.17260177664326</v>
      </c>
      <c r="AB304" s="6">
        <f>$K$304*$V$304</f>
        <v>0</v>
      </c>
      <c r="AC304" s="6">
        <f>$M$304*$W$304</f>
        <v>45.318815999999998</v>
      </c>
      <c r="AD304" s="6">
        <f>$O$304*$X$304</f>
        <v>48.507083999999999</v>
      </c>
      <c r="AE304" s="6">
        <f>$K$304*$Y$304</f>
        <v>0</v>
      </c>
      <c r="AF304" s="6">
        <f ca="1">$M$304*$Z$304</f>
        <v>62.846954627487072</v>
      </c>
      <c r="AG304" s="6">
        <f ca="1">$O$304*$AA$304</f>
        <v>37.238932418983531</v>
      </c>
    </row>
    <row r="305" spans="1:33" ht="11.25" customHeight="1" x14ac:dyDescent="0.25">
      <c r="A305" s="4" t="s">
        <v>21</v>
      </c>
      <c r="B305" s="4" t="s">
        <v>41</v>
      </c>
      <c r="C305" s="4" t="s">
        <v>23</v>
      </c>
      <c r="D305" s="4" t="s">
        <v>42</v>
      </c>
      <c r="E305" s="4" t="s">
        <v>50</v>
      </c>
      <c r="F305" s="4" t="s">
        <v>52</v>
      </c>
      <c r="G305" s="4" t="s">
        <v>25</v>
      </c>
      <c r="H305" s="4" t="s">
        <v>25</v>
      </c>
      <c r="I305" s="5">
        <v>44470</v>
      </c>
      <c r="J305" s="6">
        <v>0</v>
      </c>
      <c r="K305" s="6">
        <v>0</v>
      </c>
      <c r="L305" s="6">
        <v>0.41799999999999998</v>
      </c>
      <c r="M305" s="6">
        <v>0.16719999999999999</v>
      </c>
      <c r="N305" s="6">
        <v>0.41799999999999998</v>
      </c>
      <c r="O305" s="6">
        <v>0.16719999999999999</v>
      </c>
      <c r="P305" s="6">
        <v>0</v>
      </c>
      <c r="Q305" s="4" t="s">
        <v>26</v>
      </c>
      <c r="R305" s="4">
        <v>0</v>
      </c>
      <c r="S305" s="6">
        <v>0</v>
      </c>
      <c r="T305" s="6">
        <v>50</v>
      </c>
      <c r="U305" s="6">
        <v>1</v>
      </c>
      <c r="V305" s="6">
        <f>IF(ISERROR(VLOOKUP($S$305,'TAR FIN'!$A$1:$O$88,15,0)),0,VLOOKUP($S$305,'TAR FIN'!$A$1:$O$88,15,0))</f>
        <v>0</v>
      </c>
      <c r="W305" s="6">
        <f>IF(ISERROR(VLOOKUP($T$305,'TAR FIN'!$A$1:$O$88,15,0)),0,VLOOKUP($T$305,'TAR FIN'!$A$1:$O$88,15,0))</f>
        <v>237.52</v>
      </c>
      <c r="X305" s="6">
        <f>IF(ISERROR(VLOOKUP($U$305,'TAR FIN'!$A$1:$O$88,15,0)),0,VLOOKUP($U$305,'TAR FIN'!$A$1:$O$88,15,0))</f>
        <v>254.23</v>
      </c>
      <c r="Y305" s="6"/>
      <c r="Z305" s="6">
        <f ca="1">('TUSD BE'!$AM$33+'TUSD BF_350'!$AM$33+'TUSD CVA'!$AM$33)*(1-CUSTOS!$M$38)</f>
        <v>329.38655465139976</v>
      </c>
      <c r="AA305" s="6">
        <f ca="1">('TE BE'!$AB$24+'TE BF_350'!$AB$24+'TE CVA'!$AB$24)*(1-CUSTOS!$M$38)</f>
        <v>195.17260177664326</v>
      </c>
      <c r="AB305" s="6">
        <f>$K$305*$V$305</f>
        <v>0</v>
      </c>
      <c r="AC305" s="6">
        <f>$M$305*$W$305</f>
        <v>39.713343999999999</v>
      </c>
      <c r="AD305" s="6">
        <f>$O$305*$X$305</f>
        <v>42.507255999999998</v>
      </c>
      <c r="AE305" s="6">
        <f>$K$305*$Y$305</f>
        <v>0</v>
      </c>
      <c r="AF305" s="6">
        <f ca="1">$M$305*$Z$305</f>
        <v>55.073431937714034</v>
      </c>
      <c r="AG305" s="6">
        <f ca="1">$O$305*$AA$305</f>
        <v>32.632859017054749</v>
      </c>
    </row>
    <row r="306" spans="1:33" ht="11.25" customHeight="1" x14ac:dyDescent="0.25">
      <c r="A306" s="4" t="s">
        <v>21</v>
      </c>
      <c r="B306" s="4" t="s">
        <v>41</v>
      </c>
      <c r="C306" s="4" t="s">
        <v>23</v>
      </c>
      <c r="D306" s="4" t="s">
        <v>42</v>
      </c>
      <c r="E306" s="4" t="s">
        <v>50</v>
      </c>
      <c r="F306" s="4" t="s">
        <v>52</v>
      </c>
      <c r="G306" s="4" t="s">
        <v>25</v>
      </c>
      <c r="H306" s="4" t="s">
        <v>25</v>
      </c>
      <c r="I306" s="5">
        <v>44501</v>
      </c>
      <c r="J306" s="6">
        <v>0</v>
      </c>
      <c r="K306" s="6">
        <v>0</v>
      </c>
      <c r="L306" s="6">
        <v>1.002</v>
      </c>
      <c r="M306" s="6">
        <v>0.40079999999999999</v>
      </c>
      <c r="N306" s="6">
        <v>1.002</v>
      </c>
      <c r="O306" s="6">
        <v>0.40079999999999999</v>
      </c>
      <c r="P306" s="6">
        <v>0</v>
      </c>
      <c r="Q306" s="4" t="s">
        <v>26</v>
      </c>
      <c r="R306" s="4">
        <v>0</v>
      </c>
      <c r="S306" s="6">
        <v>0</v>
      </c>
      <c r="T306" s="6">
        <v>50</v>
      </c>
      <c r="U306" s="6">
        <v>1</v>
      </c>
      <c r="V306" s="6">
        <f>IF(ISERROR(VLOOKUP($S$306,'TAR FIN'!$A$1:$O$88,15,0)),0,VLOOKUP($S$306,'TAR FIN'!$A$1:$O$88,15,0))</f>
        <v>0</v>
      </c>
      <c r="W306" s="6">
        <f>IF(ISERROR(VLOOKUP($T$306,'TAR FIN'!$A$1:$O$88,15,0)),0,VLOOKUP($T$306,'TAR FIN'!$A$1:$O$88,15,0))</f>
        <v>237.52</v>
      </c>
      <c r="X306" s="6">
        <f>IF(ISERROR(VLOOKUP($U$306,'TAR FIN'!$A$1:$O$88,15,0)),0,VLOOKUP($U$306,'TAR FIN'!$A$1:$O$88,15,0))</f>
        <v>254.23</v>
      </c>
      <c r="Y306" s="6"/>
      <c r="Z306" s="6">
        <f ca="1">('TUSD BE'!$AM$33+'TUSD BF_350'!$AM$33+'TUSD CVA'!$AM$33)*(1-CUSTOS!$M$38)</f>
        <v>329.38655465139976</v>
      </c>
      <c r="AA306" s="6">
        <f ca="1">('TE BE'!$AB$24+'TE BF_350'!$AB$24+'TE CVA'!$AB$24)*(1-CUSTOS!$M$38)</f>
        <v>195.17260177664326</v>
      </c>
      <c r="AB306" s="6">
        <f>$K$306*$V$306</f>
        <v>0</v>
      </c>
      <c r="AC306" s="6">
        <f>$M$306*$W$306</f>
        <v>95.198015999999996</v>
      </c>
      <c r="AD306" s="6">
        <f>$O$306*$X$306</f>
        <v>101.89538399999999</v>
      </c>
      <c r="AE306" s="6">
        <f>$K$306*$Y$306</f>
        <v>0</v>
      </c>
      <c r="AF306" s="6">
        <f ca="1">$M$306*$Z$306</f>
        <v>132.01813110428103</v>
      </c>
      <c r="AG306" s="6">
        <f ca="1">$O$306*$AA$306</f>
        <v>78.225178792078623</v>
      </c>
    </row>
    <row r="307" spans="1:33" ht="11.25" customHeight="1" x14ac:dyDescent="0.25">
      <c r="A307" s="4" t="s">
        <v>21</v>
      </c>
      <c r="B307" s="4" t="s">
        <v>41</v>
      </c>
      <c r="C307" s="4" t="s">
        <v>23</v>
      </c>
      <c r="D307" s="4" t="s">
        <v>42</v>
      </c>
      <c r="E307" s="4" t="s">
        <v>50</v>
      </c>
      <c r="F307" s="4" t="s">
        <v>52</v>
      </c>
      <c r="G307" s="4" t="s">
        <v>25</v>
      </c>
      <c r="H307" s="4" t="s">
        <v>25</v>
      </c>
      <c r="I307" s="5">
        <v>44531</v>
      </c>
      <c r="J307" s="6">
        <v>0</v>
      </c>
      <c r="K307" s="6">
        <v>0</v>
      </c>
      <c r="L307" s="6">
        <v>3.3149999999999999</v>
      </c>
      <c r="M307" s="6">
        <v>1.3260000000000001</v>
      </c>
      <c r="N307" s="6">
        <v>3.3149999999999999</v>
      </c>
      <c r="O307" s="6">
        <v>1.3260000000000001</v>
      </c>
      <c r="P307" s="6">
        <v>0</v>
      </c>
      <c r="Q307" s="4" t="s">
        <v>26</v>
      </c>
      <c r="R307" s="4">
        <v>0</v>
      </c>
      <c r="S307" s="6">
        <v>0</v>
      </c>
      <c r="T307" s="6">
        <v>50</v>
      </c>
      <c r="U307" s="6">
        <v>1</v>
      </c>
      <c r="V307" s="6">
        <f>IF(ISERROR(VLOOKUP($S$307,'TAR FIN'!$A$1:$O$88,15,0)),0,VLOOKUP($S$307,'TAR FIN'!$A$1:$O$88,15,0))</f>
        <v>0</v>
      </c>
      <c r="W307" s="6">
        <f>IF(ISERROR(VLOOKUP($T$307,'TAR FIN'!$A$1:$O$88,15,0)),0,VLOOKUP($T$307,'TAR FIN'!$A$1:$O$88,15,0))</f>
        <v>237.52</v>
      </c>
      <c r="X307" s="6">
        <f>IF(ISERROR(VLOOKUP($U$307,'TAR FIN'!$A$1:$O$88,15,0)),0,VLOOKUP($U$307,'TAR FIN'!$A$1:$O$88,15,0))</f>
        <v>254.23</v>
      </c>
      <c r="Y307" s="6"/>
      <c r="Z307" s="6">
        <f ca="1">('TUSD BE'!$AM$33+'TUSD BF_350'!$AM$33+'TUSD CVA'!$AM$33)*(1-CUSTOS!$M$38)</f>
        <v>329.38655465139976</v>
      </c>
      <c r="AA307" s="6">
        <f ca="1">('TE BE'!$AB$24+'TE BF_350'!$AB$24+'TE CVA'!$AB$24)*(1-CUSTOS!$M$38)</f>
        <v>195.17260177664326</v>
      </c>
      <c r="AB307" s="6">
        <f>$K$307*$V$307</f>
        <v>0</v>
      </c>
      <c r="AC307" s="6">
        <f>$M$307*$W$307</f>
        <v>314.95152000000002</v>
      </c>
      <c r="AD307" s="6">
        <f>$O$307*$X$307</f>
        <v>337.10898000000003</v>
      </c>
      <c r="AE307" s="6">
        <f>$K$307*$Y$307</f>
        <v>0</v>
      </c>
      <c r="AF307" s="6">
        <f ca="1">$M$307*$Z$307</f>
        <v>436.76657146775608</v>
      </c>
      <c r="AG307" s="6">
        <f ca="1">$O$307*$AA$307</f>
        <v>258.79886995582899</v>
      </c>
    </row>
    <row r="308" spans="1:33" ht="11.25" customHeight="1" x14ac:dyDescent="0.25">
      <c r="A308" s="4" t="s">
        <v>21</v>
      </c>
      <c r="B308" s="4" t="s">
        <v>41</v>
      </c>
      <c r="C308" s="4" t="s">
        <v>23</v>
      </c>
      <c r="D308" s="4" t="s">
        <v>42</v>
      </c>
      <c r="E308" s="4" t="s">
        <v>50</v>
      </c>
      <c r="F308" s="4" t="s">
        <v>52</v>
      </c>
      <c r="G308" s="4" t="s">
        <v>25</v>
      </c>
      <c r="H308" s="4" t="s">
        <v>25</v>
      </c>
      <c r="I308" s="5">
        <v>44562</v>
      </c>
      <c r="J308" s="6">
        <v>0</v>
      </c>
      <c r="K308" s="6">
        <v>0</v>
      </c>
      <c r="L308" s="6">
        <v>1.873</v>
      </c>
      <c r="M308" s="6">
        <v>0.74919999999999998</v>
      </c>
      <c r="N308" s="6">
        <v>1.873</v>
      </c>
      <c r="O308" s="6">
        <v>0.74919999999999998</v>
      </c>
      <c r="P308" s="6">
        <v>0</v>
      </c>
      <c r="Q308" s="4" t="s">
        <v>26</v>
      </c>
      <c r="R308" s="4">
        <v>0</v>
      </c>
      <c r="S308" s="6">
        <v>0</v>
      </c>
      <c r="T308" s="6">
        <v>50</v>
      </c>
      <c r="U308" s="6">
        <v>1</v>
      </c>
      <c r="V308" s="6">
        <f>IF(ISERROR(VLOOKUP($S$308,'TAR FIN'!$A$1:$O$88,15,0)),0,VLOOKUP($S$308,'TAR FIN'!$A$1:$O$88,15,0))</f>
        <v>0</v>
      </c>
      <c r="W308" s="6">
        <f>IF(ISERROR(VLOOKUP($T$308,'TAR FIN'!$A$1:$O$88,15,0)),0,VLOOKUP($T$308,'TAR FIN'!$A$1:$O$88,15,0))</f>
        <v>237.52</v>
      </c>
      <c r="X308" s="6">
        <f>IF(ISERROR(VLOOKUP($U$308,'TAR FIN'!$A$1:$O$88,15,0)),0,VLOOKUP($U$308,'TAR FIN'!$A$1:$O$88,15,0))</f>
        <v>254.23</v>
      </c>
      <c r="Y308" s="6"/>
      <c r="Z308" s="6">
        <f ca="1">('TUSD BE'!$AM$33+'TUSD BF_350'!$AM$33+'TUSD CVA'!$AM$33)*(1-CUSTOS!$M$38)</f>
        <v>329.38655465139976</v>
      </c>
      <c r="AA308" s="6">
        <f ca="1">('TE BE'!$AB$24+'TE BF_350'!$AB$24+'TE CVA'!$AB$24)*(1-CUSTOS!$M$38)</f>
        <v>195.17260177664326</v>
      </c>
      <c r="AB308" s="6">
        <f>$K$308*$V$308</f>
        <v>0</v>
      </c>
      <c r="AC308" s="6">
        <f>$M$308*$W$308</f>
        <v>177.949984</v>
      </c>
      <c r="AD308" s="6">
        <f>$O$308*$X$308</f>
        <v>190.46911599999999</v>
      </c>
      <c r="AE308" s="6">
        <f>$K$308*$Y$308</f>
        <v>0</v>
      </c>
      <c r="AF308" s="6">
        <f ca="1">$M$308*$Z$308</f>
        <v>246.77640674482871</v>
      </c>
      <c r="AG308" s="6">
        <f ca="1">$O$308*$AA$308</f>
        <v>146.22331325106111</v>
      </c>
    </row>
    <row r="309" spans="1:33" ht="11.25" customHeight="1" x14ac:dyDescent="0.25">
      <c r="A309" s="4" t="s">
        <v>21</v>
      </c>
      <c r="B309" s="4" t="s">
        <v>41</v>
      </c>
      <c r="C309" s="4" t="s">
        <v>23</v>
      </c>
      <c r="D309" s="4" t="s">
        <v>42</v>
      </c>
      <c r="E309" s="4" t="s">
        <v>50</v>
      </c>
      <c r="F309" s="4" t="s">
        <v>52</v>
      </c>
      <c r="G309" s="4" t="s">
        <v>25</v>
      </c>
      <c r="H309" s="4" t="s">
        <v>25</v>
      </c>
      <c r="I309" s="5">
        <v>44593</v>
      </c>
      <c r="J309" s="6">
        <v>0</v>
      </c>
      <c r="K309" s="6">
        <v>0</v>
      </c>
      <c r="L309" s="6">
        <v>0.86899999999999999</v>
      </c>
      <c r="M309" s="6">
        <v>0.34760000000000002</v>
      </c>
      <c r="N309" s="6">
        <v>0.86899999999999999</v>
      </c>
      <c r="O309" s="6">
        <v>0.34760000000000002</v>
      </c>
      <c r="P309" s="6">
        <v>0</v>
      </c>
      <c r="Q309" s="4" t="s">
        <v>26</v>
      </c>
      <c r="R309" s="4">
        <v>0</v>
      </c>
      <c r="S309" s="6">
        <v>0</v>
      </c>
      <c r="T309" s="6">
        <v>50</v>
      </c>
      <c r="U309" s="6">
        <v>1</v>
      </c>
      <c r="V309" s="6">
        <f>IF(ISERROR(VLOOKUP($S$309,'TAR FIN'!$A$1:$O$88,15,0)),0,VLOOKUP($S$309,'TAR FIN'!$A$1:$O$88,15,0))</f>
        <v>0</v>
      </c>
      <c r="W309" s="6">
        <f>IF(ISERROR(VLOOKUP($T$309,'TAR FIN'!$A$1:$O$88,15,0)),0,VLOOKUP($T$309,'TAR FIN'!$A$1:$O$88,15,0))</f>
        <v>237.52</v>
      </c>
      <c r="X309" s="6">
        <f>IF(ISERROR(VLOOKUP($U$309,'TAR FIN'!$A$1:$O$88,15,0)),0,VLOOKUP($U$309,'TAR FIN'!$A$1:$O$88,15,0))</f>
        <v>254.23</v>
      </c>
      <c r="Y309" s="6"/>
      <c r="Z309" s="6">
        <f ca="1">('TUSD BE'!$AM$33+'TUSD BF_350'!$AM$33+'TUSD CVA'!$AM$33)*(1-CUSTOS!$M$38)</f>
        <v>329.38655465139976</v>
      </c>
      <c r="AA309" s="6">
        <f ca="1">('TE BE'!$AB$24+'TE BF_350'!$AB$24+'TE CVA'!$AB$24)*(1-CUSTOS!$M$38)</f>
        <v>195.17260177664326</v>
      </c>
      <c r="AB309" s="6">
        <f>$K$309*$V$309</f>
        <v>0</v>
      </c>
      <c r="AC309" s="6">
        <f>$M$309*$W$309</f>
        <v>82.561952000000005</v>
      </c>
      <c r="AD309" s="6">
        <f>$O$309*$X$309</f>
        <v>88.370348000000007</v>
      </c>
      <c r="AE309" s="6">
        <f>$K$309*$Y$309</f>
        <v>0</v>
      </c>
      <c r="AF309" s="6">
        <f ca="1">$M$309*$Z$309</f>
        <v>114.49476639682656</v>
      </c>
      <c r="AG309" s="6">
        <f ca="1">$O$309*$AA$309</f>
        <v>67.841996377561202</v>
      </c>
    </row>
    <row r="310" spans="1:33" ht="11.25" customHeight="1" x14ac:dyDescent="0.25">
      <c r="A310" s="4" t="s">
        <v>21</v>
      </c>
      <c r="B310" s="4" t="s">
        <v>41</v>
      </c>
      <c r="C310" s="4" t="s">
        <v>23</v>
      </c>
      <c r="D310" s="4" t="s">
        <v>42</v>
      </c>
      <c r="E310" s="4" t="s">
        <v>50</v>
      </c>
      <c r="F310" s="4" t="s">
        <v>52</v>
      </c>
      <c r="G310" s="4" t="s">
        <v>25</v>
      </c>
      <c r="H310" s="4" t="s">
        <v>25</v>
      </c>
      <c r="I310" s="5">
        <v>44621</v>
      </c>
      <c r="J310" s="6">
        <v>0</v>
      </c>
      <c r="K310" s="6">
        <v>0</v>
      </c>
      <c r="L310" s="6">
        <v>0.53500000000000003</v>
      </c>
      <c r="M310" s="6">
        <v>0.214</v>
      </c>
      <c r="N310" s="6">
        <v>0.53500000000000003</v>
      </c>
      <c r="O310" s="6">
        <v>0.214</v>
      </c>
      <c r="P310" s="6">
        <v>0</v>
      </c>
      <c r="Q310" s="4" t="s">
        <v>26</v>
      </c>
      <c r="R310" s="4">
        <v>0</v>
      </c>
      <c r="S310" s="6">
        <v>0</v>
      </c>
      <c r="T310" s="6">
        <v>50</v>
      </c>
      <c r="U310" s="6">
        <v>1</v>
      </c>
      <c r="V310" s="6">
        <f>IF(ISERROR(VLOOKUP($S$310,'TAR FIN'!$A$1:$O$88,15,0)),0,VLOOKUP($S$310,'TAR FIN'!$A$1:$O$88,15,0))</f>
        <v>0</v>
      </c>
      <c r="W310" s="6">
        <f>IF(ISERROR(VLOOKUP($T$310,'TAR FIN'!$A$1:$O$88,15,0)),0,VLOOKUP($T$310,'TAR FIN'!$A$1:$O$88,15,0))</f>
        <v>237.52</v>
      </c>
      <c r="X310" s="6">
        <f>IF(ISERROR(VLOOKUP($U$310,'TAR FIN'!$A$1:$O$88,15,0)),0,VLOOKUP($U$310,'TAR FIN'!$A$1:$O$88,15,0))</f>
        <v>254.23</v>
      </c>
      <c r="Y310" s="6"/>
      <c r="Z310" s="6">
        <f ca="1">('TUSD BE'!$AM$33+'TUSD BF_350'!$AM$33+'TUSD CVA'!$AM$33)*(1-CUSTOS!$M$38)</f>
        <v>329.38655465139976</v>
      </c>
      <c r="AA310" s="6">
        <f ca="1">('TE BE'!$AB$24+'TE BF_350'!$AB$24+'TE CVA'!$AB$24)*(1-CUSTOS!$M$38)</f>
        <v>195.17260177664326</v>
      </c>
      <c r="AB310" s="6">
        <f>$K$310*$V$310</f>
        <v>0</v>
      </c>
      <c r="AC310" s="6">
        <f>$M$310*$W$310</f>
        <v>50.829280000000004</v>
      </c>
      <c r="AD310" s="6">
        <f>$O$310*$X$310</f>
        <v>54.40522</v>
      </c>
      <c r="AE310" s="6">
        <f>$K$310*$Y$310</f>
        <v>0</v>
      </c>
      <c r="AF310" s="6">
        <f ca="1">$M$310*$Z$310</f>
        <v>70.488722695399545</v>
      </c>
      <c r="AG310" s="6">
        <f ca="1">$O$310*$AA$310</f>
        <v>41.766936780201654</v>
      </c>
    </row>
    <row r="311" spans="1:33" ht="11.25" customHeight="1" x14ac:dyDescent="0.25">
      <c r="A311" s="4" t="s">
        <v>21</v>
      </c>
      <c r="B311" s="4" t="s">
        <v>41</v>
      </c>
      <c r="C311" s="4" t="s">
        <v>23</v>
      </c>
      <c r="D311" s="4" t="s">
        <v>42</v>
      </c>
      <c r="E311" s="4" t="s">
        <v>50</v>
      </c>
      <c r="F311" s="4" t="s">
        <v>52</v>
      </c>
      <c r="G311" s="4" t="s">
        <v>25</v>
      </c>
      <c r="H311" s="4" t="s">
        <v>25</v>
      </c>
      <c r="I311" s="5">
        <v>44652</v>
      </c>
      <c r="J311" s="6">
        <v>0</v>
      </c>
      <c r="K311" s="6">
        <v>0</v>
      </c>
      <c r="L311" s="6">
        <v>0.30099999999999999</v>
      </c>
      <c r="M311" s="6">
        <v>0.12039999999999999</v>
      </c>
      <c r="N311" s="6">
        <v>0.30099999999999999</v>
      </c>
      <c r="O311" s="6">
        <v>0.12039999999999999</v>
      </c>
      <c r="P311" s="6">
        <v>0</v>
      </c>
      <c r="Q311" s="4" t="s">
        <v>26</v>
      </c>
      <c r="R311" s="4">
        <v>0</v>
      </c>
      <c r="S311" s="6">
        <v>0</v>
      </c>
      <c r="T311" s="6">
        <v>50</v>
      </c>
      <c r="U311" s="6">
        <v>1</v>
      </c>
      <c r="V311" s="6">
        <f>IF(ISERROR(VLOOKUP($S$311,'TAR FIN'!$A$1:$O$88,15,0)),0,VLOOKUP($S$311,'TAR FIN'!$A$1:$O$88,15,0))</f>
        <v>0</v>
      </c>
      <c r="W311" s="6">
        <f>IF(ISERROR(VLOOKUP($T$311,'TAR FIN'!$A$1:$O$88,15,0)),0,VLOOKUP($T$311,'TAR FIN'!$A$1:$O$88,15,0))</f>
        <v>237.52</v>
      </c>
      <c r="X311" s="6">
        <f>IF(ISERROR(VLOOKUP($U$311,'TAR FIN'!$A$1:$O$88,15,0)),0,VLOOKUP($U$311,'TAR FIN'!$A$1:$O$88,15,0))</f>
        <v>254.23</v>
      </c>
      <c r="Y311" s="6"/>
      <c r="Z311" s="6">
        <f ca="1">('TUSD BE'!$AM$33+'TUSD BF_350'!$AM$33+'TUSD CVA'!$AM$33)*(1-CUSTOS!$M$38)</f>
        <v>329.38655465139976</v>
      </c>
      <c r="AA311" s="6">
        <f ca="1">('TE BE'!$AB$24+'TE BF_350'!$AB$24+'TE CVA'!$AB$24)*(1-CUSTOS!$M$38)</f>
        <v>195.17260177664326</v>
      </c>
      <c r="AB311" s="6">
        <f>$K$311*$V$311</f>
        <v>0</v>
      </c>
      <c r="AC311" s="6">
        <f>$M$311*$W$311</f>
        <v>28.597407999999998</v>
      </c>
      <c r="AD311" s="6">
        <f>$O$311*$X$311</f>
        <v>30.609291999999996</v>
      </c>
      <c r="AE311" s="6">
        <f>$K$311*$Y$311</f>
        <v>0</v>
      </c>
      <c r="AF311" s="6">
        <f ca="1">$M$311*$Z$311</f>
        <v>39.65814118002853</v>
      </c>
      <c r="AG311" s="6">
        <f ca="1">$O$311*$AA$311</f>
        <v>23.498781253907847</v>
      </c>
    </row>
    <row r="312" spans="1:33" ht="11.25" customHeight="1" x14ac:dyDescent="0.25">
      <c r="A312" s="4" t="s">
        <v>21</v>
      </c>
      <c r="B312" s="4" t="s">
        <v>41</v>
      </c>
      <c r="C312" s="4" t="s">
        <v>23</v>
      </c>
      <c r="D312" s="4" t="s">
        <v>42</v>
      </c>
      <c r="E312" s="4" t="s">
        <v>50</v>
      </c>
      <c r="F312" s="4" t="s">
        <v>52</v>
      </c>
      <c r="G312" s="4" t="s">
        <v>25</v>
      </c>
      <c r="H312" s="4" t="s">
        <v>25</v>
      </c>
      <c r="I312" s="5">
        <v>44682</v>
      </c>
      <c r="J312" s="6">
        <v>0</v>
      </c>
      <c r="K312" s="6">
        <v>0</v>
      </c>
      <c r="L312" s="6">
        <v>0.2</v>
      </c>
      <c r="M312" s="6">
        <v>0.08</v>
      </c>
      <c r="N312" s="6">
        <v>0.2</v>
      </c>
      <c r="O312" s="6">
        <v>0.08</v>
      </c>
      <c r="P312" s="6">
        <v>0</v>
      </c>
      <c r="Q312" s="4" t="s">
        <v>26</v>
      </c>
      <c r="R312" s="4">
        <v>0</v>
      </c>
      <c r="S312" s="6">
        <v>0</v>
      </c>
      <c r="T312" s="6">
        <v>50</v>
      </c>
      <c r="U312" s="6">
        <v>1</v>
      </c>
      <c r="V312" s="6">
        <f>IF(ISERROR(VLOOKUP($S$312,'TAR FIN'!$A$1:$O$88,15,0)),0,VLOOKUP($S$312,'TAR FIN'!$A$1:$O$88,15,0))</f>
        <v>0</v>
      </c>
      <c r="W312" s="6">
        <f>IF(ISERROR(VLOOKUP($T$312,'TAR FIN'!$A$1:$O$88,15,0)),0,VLOOKUP($T$312,'TAR FIN'!$A$1:$O$88,15,0))</f>
        <v>237.52</v>
      </c>
      <c r="X312" s="6">
        <f>IF(ISERROR(VLOOKUP($U$312,'TAR FIN'!$A$1:$O$88,15,0)),0,VLOOKUP($U$312,'TAR FIN'!$A$1:$O$88,15,0))</f>
        <v>254.23</v>
      </c>
      <c r="Y312" s="6"/>
      <c r="Z312" s="6">
        <f ca="1">('TUSD BE'!$AM$33+'TUSD BF_350'!$AM$33+'TUSD CVA'!$AM$33)*(1-CUSTOS!$M$38)</f>
        <v>329.38655465139976</v>
      </c>
      <c r="AA312" s="6">
        <f ca="1">('TE BE'!$AB$24+'TE BF_350'!$AB$24+'TE CVA'!$AB$24)*(1-CUSTOS!$M$38)</f>
        <v>195.17260177664326</v>
      </c>
      <c r="AB312" s="6">
        <f>$K$312*$V$312</f>
        <v>0</v>
      </c>
      <c r="AC312" s="6">
        <f>$M$312*$W$312</f>
        <v>19.0016</v>
      </c>
      <c r="AD312" s="6">
        <f>$O$312*$X$312</f>
        <v>20.3384</v>
      </c>
      <c r="AE312" s="6">
        <f>$K$312*$Y$312</f>
        <v>0</v>
      </c>
      <c r="AF312" s="6">
        <f ca="1">$M$312*$Z$312</f>
        <v>26.350924372111983</v>
      </c>
      <c r="AG312" s="6">
        <f ca="1">$O$312*$AA$312</f>
        <v>15.613808142131461</v>
      </c>
    </row>
    <row r="313" spans="1:33" ht="11.25" customHeight="1" x14ac:dyDescent="0.25">
      <c r="A313" s="4" t="s">
        <v>21</v>
      </c>
      <c r="B313" s="4" t="s">
        <v>41</v>
      </c>
      <c r="C313" s="4" t="s">
        <v>23</v>
      </c>
      <c r="D313" s="4" t="s">
        <v>42</v>
      </c>
      <c r="E313" s="4" t="s">
        <v>50</v>
      </c>
      <c r="F313" s="4" t="s">
        <v>52</v>
      </c>
      <c r="G313" s="4" t="s">
        <v>25</v>
      </c>
      <c r="H313" s="4" t="s">
        <v>25</v>
      </c>
      <c r="I313" s="5">
        <v>44713</v>
      </c>
      <c r="J313" s="6">
        <v>0</v>
      </c>
      <c r="K313" s="6">
        <v>0</v>
      </c>
      <c r="L313" s="6">
        <v>0.54</v>
      </c>
      <c r="M313" s="6">
        <v>0.216</v>
      </c>
      <c r="N313" s="6">
        <v>0.54</v>
      </c>
      <c r="O313" s="6">
        <v>0.216</v>
      </c>
      <c r="P313" s="6">
        <v>0</v>
      </c>
      <c r="Q313" s="4" t="s">
        <v>26</v>
      </c>
      <c r="R313" s="4">
        <v>0</v>
      </c>
      <c r="S313" s="6">
        <v>0</v>
      </c>
      <c r="T313" s="6">
        <v>50</v>
      </c>
      <c r="U313" s="6">
        <v>1</v>
      </c>
      <c r="V313" s="6">
        <f>IF(ISERROR(VLOOKUP($S$313,'TAR FIN'!$A$1:$O$88,15,0)),0,VLOOKUP($S$313,'TAR FIN'!$A$1:$O$88,15,0))</f>
        <v>0</v>
      </c>
      <c r="W313" s="6">
        <f>IF(ISERROR(VLOOKUP($T$313,'TAR FIN'!$A$1:$O$88,15,0)),0,VLOOKUP($T$313,'TAR FIN'!$A$1:$O$88,15,0))</f>
        <v>237.52</v>
      </c>
      <c r="X313" s="6">
        <f>IF(ISERROR(VLOOKUP($U$313,'TAR FIN'!$A$1:$O$88,15,0)),0,VLOOKUP($U$313,'TAR FIN'!$A$1:$O$88,15,0))</f>
        <v>254.23</v>
      </c>
      <c r="Y313" s="6"/>
      <c r="Z313" s="6">
        <f ca="1">('TUSD BE'!$AM$33+'TUSD BF_350'!$AM$33+'TUSD CVA'!$AM$33)*(1-CUSTOS!$M$38)</f>
        <v>329.38655465139976</v>
      </c>
      <c r="AA313" s="6">
        <f ca="1">('TE BE'!$AB$24+'TE BF_350'!$AB$24+'TE CVA'!$AB$24)*(1-CUSTOS!$M$38)</f>
        <v>195.17260177664326</v>
      </c>
      <c r="AB313" s="6">
        <f>$K$313*$V$313</f>
        <v>0</v>
      </c>
      <c r="AC313" s="6">
        <f>$M$313*$W$313</f>
        <v>51.304320000000004</v>
      </c>
      <c r="AD313" s="6">
        <f>$O$313*$X$313</f>
        <v>54.913679999999999</v>
      </c>
      <c r="AE313" s="6">
        <f>$K$313*$Y$313</f>
        <v>0</v>
      </c>
      <c r="AF313" s="6">
        <f ca="1">$M$313*$Z$313</f>
        <v>71.147495804702345</v>
      </c>
      <c r="AG313" s="6">
        <f ca="1">$O$313*$AA$313</f>
        <v>42.157281983754942</v>
      </c>
    </row>
    <row r="314" spans="1:33" ht="11.25" customHeight="1" x14ac:dyDescent="0.25">
      <c r="A314" s="4" t="s">
        <v>55</v>
      </c>
      <c r="B314" s="4" t="s">
        <v>41</v>
      </c>
      <c r="C314" s="4" t="s">
        <v>23</v>
      </c>
      <c r="D314" s="4" t="s">
        <v>42</v>
      </c>
      <c r="E314" s="4" t="s">
        <v>50</v>
      </c>
      <c r="F314" s="4" t="s">
        <v>52</v>
      </c>
      <c r="G314" s="4" t="s">
        <v>25</v>
      </c>
      <c r="H314" s="4" t="s">
        <v>25</v>
      </c>
      <c r="I314" s="5">
        <v>44743</v>
      </c>
      <c r="J314" s="6">
        <v>0</v>
      </c>
      <c r="K314" s="6">
        <v>0</v>
      </c>
      <c r="L314" s="6">
        <v>0.54</v>
      </c>
      <c r="M314" s="6">
        <v>0.216</v>
      </c>
      <c r="N314" s="6">
        <v>0.54</v>
      </c>
      <c r="O314" s="6">
        <v>0.216</v>
      </c>
      <c r="P314" s="6">
        <v>0</v>
      </c>
      <c r="Q314" s="4" t="s">
        <v>26</v>
      </c>
      <c r="R314" s="4">
        <v>0</v>
      </c>
      <c r="S314" s="6">
        <v>0</v>
      </c>
      <c r="T314" s="6">
        <v>50</v>
      </c>
      <c r="U314" s="6">
        <v>1</v>
      </c>
      <c r="V314" s="6">
        <f>IF(ISERROR(VLOOKUP($S$314,'TAR FIN'!$A$1:$O$88,15,0)),0,VLOOKUP($S$314,'TAR FIN'!$A$1:$O$88,15,0))</f>
        <v>0</v>
      </c>
      <c r="W314" s="6">
        <f>IF(ISERROR(VLOOKUP($T$314,'TAR FIN'!$A$1:$O$88,15,0)),0,VLOOKUP($T$314,'TAR FIN'!$A$1:$O$88,15,0))</f>
        <v>237.52</v>
      </c>
      <c r="X314" s="6">
        <f>IF(ISERROR(VLOOKUP($U$314,'TAR FIN'!$A$1:$O$88,15,0)),0,VLOOKUP($U$314,'TAR FIN'!$A$1:$O$88,15,0))</f>
        <v>254.23</v>
      </c>
      <c r="Y314" s="6"/>
      <c r="Z314" s="6">
        <f ca="1">('TUSD BE'!$AM$33+'TUSD BF_350'!$AM$33+'TUSD CVA'!$AM$33)*(1-CUSTOS!$M$38)</f>
        <v>329.38655465139976</v>
      </c>
      <c r="AA314" s="6">
        <f ca="1">('TE BE'!$AB$24+'TE BF_350'!$AB$24+'TE CVA'!$AB$24)*(1-CUSTOS!$M$38)</f>
        <v>195.17260177664326</v>
      </c>
      <c r="AB314" s="6">
        <f>$K$314*$V$314</f>
        <v>0</v>
      </c>
      <c r="AC314" s="6">
        <f>$M$314*$W$314</f>
        <v>51.304320000000004</v>
      </c>
      <c r="AD314" s="6">
        <f>$O$314*$X$314</f>
        <v>54.913679999999999</v>
      </c>
      <c r="AE314" s="6">
        <f>$K$314*$Y$314</f>
        <v>0</v>
      </c>
      <c r="AF314" s="6">
        <f ca="1">$M$314*$Z$314</f>
        <v>71.147495804702345</v>
      </c>
      <c r="AG314" s="6">
        <f ca="1">$O$314*$AA$314</f>
        <v>42.157281983754942</v>
      </c>
    </row>
    <row r="315" spans="1:33" ht="11.25" customHeight="1" x14ac:dyDescent="0.25">
      <c r="A315" s="4" t="s">
        <v>21</v>
      </c>
      <c r="B315" s="4" t="s">
        <v>41</v>
      </c>
      <c r="C315" s="4" t="s">
        <v>23</v>
      </c>
      <c r="D315" s="4" t="s">
        <v>42</v>
      </c>
      <c r="E315" s="4" t="s">
        <v>53</v>
      </c>
      <c r="F315" s="4" t="s">
        <v>51</v>
      </c>
      <c r="G315" s="4" t="s">
        <v>25</v>
      </c>
      <c r="H315" s="4" t="s">
        <v>25</v>
      </c>
      <c r="I315" s="5">
        <v>44409</v>
      </c>
      <c r="J315" s="6">
        <v>0</v>
      </c>
      <c r="K315" s="6">
        <v>0</v>
      </c>
      <c r="L315" s="6">
        <v>0.496</v>
      </c>
      <c r="M315" s="6">
        <v>0.496</v>
      </c>
      <c r="N315" s="6">
        <v>0.496</v>
      </c>
      <c r="O315" s="6">
        <v>0.496</v>
      </c>
      <c r="P315" s="6">
        <v>0</v>
      </c>
      <c r="Q315" s="4" t="s">
        <v>26</v>
      </c>
      <c r="R315" s="4">
        <v>0</v>
      </c>
      <c r="S315" s="6">
        <v>0</v>
      </c>
      <c r="T315" s="6">
        <v>50</v>
      </c>
      <c r="U315" s="6">
        <v>1</v>
      </c>
      <c r="V315" s="6">
        <f>IF(ISERROR(VLOOKUP($S$315,'TAR FIN'!$A$1:$O$88,15,0)),0,VLOOKUP($S$315,'TAR FIN'!$A$1:$O$88,15,0))</f>
        <v>0</v>
      </c>
      <c r="W315" s="6">
        <f>IF(ISERROR(VLOOKUP($T$315,'TAR FIN'!$A$1:$O$88,15,0)),0,VLOOKUP($T$315,'TAR FIN'!$A$1:$O$88,15,0))</f>
        <v>237.52</v>
      </c>
      <c r="X315" s="6">
        <f>IF(ISERROR(VLOOKUP($U$315,'TAR FIN'!$A$1:$O$88,15,0)),0,VLOOKUP($U$315,'TAR FIN'!$A$1:$O$88,15,0))</f>
        <v>254.23</v>
      </c>
      <c r="Y315" s="6"/>
      <c r="Z315" s="6">
        <f ca="1">('TUSD BE'!$AM$33+'TUSD BF_350'!$AM$33+'TUSD CVA'!$AM$33)*(1-CUSTOS!$M$38)</f>
        <v>329.38655465139976</v>
      </c>
      <c r="AA315" s="6">
        <f ca="1">('TE BE'!$AB$24+'TE BF_350'!$AB$24+'TE CVA'!$AB$24)*(1-CUSTOS!$M$38)</f>
        <v>195.17260177664326</v>
      </c>
      <c r="AB315" s="6">
        <f>$K$315*$V$315</f>
        <v>0</v>
      </c>
      <c r="AC315" s="6">
        <f>$M$315*$W$315</f>
        <v>117.80992000000001</v>
      </c>
      <c r="AD315" s="6">
        <f>$O$315*$X$315</f>
        <v>126.09808</v>
      </c>
      <c r="AE315" s="6">
        <f>$K$315*$Y$315</f>
        <v>0</v>
      </c>
      <c r="AF315" s="6">
        <f ca="1">$M$315*$Z$315</f>
        <v>163.37573110709428</v>
      </c>
      <c r="AG315" s="6">
        <f ca="1">$O$315*$AA$315</f>
        <v>96.805610481215055</v>
      </c>
    </row>
    <row r="316" spans="1:33" ht="11.25" customHeight="1" x14ac:dyDescent="0.25">
      <c r="A316" s="4" t="s">
        <v>21</v>
      </c>
      <c r="B316" s="4" t="s">
        <v>41</v>
      </c>
      <c r="C316" s="4" t="s">
        <v>23</v>
      </c>
      <c r="D316" s="4" t="s">
        <v>42</v>
      </c>
      <c r="E316" s="4" t="s">
        <v>53</v>
      </c>
      <c r="F316" s="4" t="s">
        <v>51</v>
      </c>
      <c r="G316" s="4" t="s">
        <v>25</v>
      </c>
      <c r="H316" s="4" t="s">
        <v>25</v>
      </c>
      <c r="I316" s="5">
        <v>44440</v>
      </c>
      <c r="J316" s="6">
        <v>0</v>
      </c>
      <c r="K316" s="6">
        <v>0</v>
      </c>
      <c r="L316" s="6">
        <v>9.2999999999999999E-2</v>
      </c>
      <c r="M316" s="6">
        <v>9.2999999999999999E-2</v>
      </c>
      <c r="N316" s="6">
        <v>9.2999999999999999E-2</v>
      </c>
      <c r="O316" s="6">
        <v>9.2999999999999999E-2</v>
      </c>
      <c r="P316" s="6">
        <v>0</v>
      </c>
      <c r="Q316" s="4" t="s">
        <v>26</v>
      </c>
      <c r="R316" s="4">
        <v>0</v>
      </c>
      <c r="S316" s="6">
        <v>0</v>
      </c>
      <c r="T316" s="6">
        <v>50</v>
      </c>
      <c r="U316" s="6">
        <v>1</v>
      </c>
      <c r="V316" s="6">
        <f>IF(ISERROR(VLOOKUP($S$316,'TAR FIN'!$A$1:$O$88,15,0)),0,VLOOKUP($S$316,'TAR FIN'!$A$1:$O$88,15,0))</f>
        <v>0</v>
      </c>
      <c r="W316" s="6">
        <f>IF(ISERROR(VLOOKUP($T$316,'TAR FIN'!$A$1:$O$88,15,0)),0,VLOOKUP($T$316,'TAR FIN'!$A$1:$O$88,15,0))</f>
        <v>237.52</v>
      </c>
      <c r="X316" s="6">
        <f>IF(ISERROR(VLOOKUP($U$316,'TAR FIN'!$A$1:$O$88,15,0)),0,VLOOKUP($U$316,'TAR FIN'!$A$1:$O$88,15,0))</f>
        <v>254.23</v>
      </c>
      <c r="Y316" s="6"/>
      <c r="Z316" s="6">
        <f ca="1">('TUSD BE'!$AM$33+'TUSD BF_350'!$AM$33+'TUSD CVA'!$AM$33)*(1-CUSTOS!$M$38)</f>
        <v>329.38655465139976</v>
      </c>
      <c r="AA316" s="6">
        <f ca="1">('TE BE'!$AB$24+'TE BF_350'!$AB$24+'TE CVA'!$AB$24)*(1-CUSTOS!$M$38)</f>
        <v>195.17260177664326</v>
      </c>
      <c r="AB316" s="6">
        <f>$K$316*$V$316</f>
        <v>0</v>
      </c>
      <c r="AC316" s="6">
        <f>$M$316*$W$316</f>
        <v>22.089359999999999</v>
      </c>
      <c r="AD316" s="6">
        <f>$O$316*$X$316</f>
        <v>23.64339</v>
      </c>
      <c r="AE316" s="6">
        <f>$K$316*$Y$316</f>
        <v>0</v>
      </c>
      <c r="AF316" s="6">
        <f ca="1">$M$316*$Z$316</f>
        <v>30.632949582580178</v>
      </c>
      <c r="AG316" s="6">
        <f ca="1">$O$316*$AA$316</f>
        <v>18.151051965227822</v>
      </c>
    </row>
    <row r="317" spans="1:33" ht="11.25" customHeight="1" x14ac:dyDescent="0.25">
      <c r="A317" s="4" t="s">
        <v>21</v>
      </c>
      <c r="B317" s="4" t="s">
        <v>41</v>
      </c>
      <c r="C317" s="4" t="s">
        <v>23</v>
      </c>
      <c r="D317" s="4" t="s">
        <v>42</v>
      </c>
      <c r="E317" s="4" t="s">
        <v>53</v>
      </c>
      <c r="F317" s="4" t="s">
        <v>52</v>
      </c>
      <c r="G317" s="4" t="s">
        <v>25</v>
      </c>
      <c r="H317" s="4" t="s">
        <v>25</v>
      </c>
      <c r="I317" s="5">
        <v>44409</v>
      </c>
      <c r="J317" s="6">
        <v>0</v>
      </c>
      <c r="K317" s="6">
        <v>0</v>
      </c>
      <c r="L317" s="6">
        <v>1.4019999999999999</v>
      </c>
      <c r="M317" s="6">
        <v>0.56079999999999997</v>
      </c>
      <c r="N317" s="6">
        <v>1.4019999999999999</v>
      </c>
      <c r="O317" s="6">
        <v>0.56079999999999997</v>
      </c>
      <c r="P317" s="6">
        <v>0</v>
      </c>
      <c r="Q317" s="4" t="s">
        <v>26</v>
      </c>
      <c r="R317" s="4">
        <v>0</v>
      </c>
      <c r="S317" s="6">
        <v>0</v>
      </c>
      <c r="T317" s="6">
        <v>50</v>
      </c>
      <c r="U317" s="6">
        <v>1</v>
      </c>
      <c r="V317" s="6">
        <f>IF(ISERROR(VLOOKUP($S$317,'TAR FIN'!$A$1:$O$88,15,0)),0,VLOOKUP($S$317,'TAR FIN'!$A$1:$O$88,15,0))</f>
        <v>0</v>
      </c>
      <c r="W317" s="6">
        <f>IF(ISERROR(VLOOKUP($T$317,'TAR FIN'!$A$1:$O$88,15,0)),0,VLOOKUP($T$317,'TAR FIN'!$A$1:$O$88,15,0))</f>
        <v>237.52</v>
      </c>
      <c r="X317" s="6">
        <f>IF(ISERROR(VLOOKUP($U$317,'TAR FIN'!$A$1:$O$88,15,0)),0,VLOOKUP($U$317,'TAR FIN'!$A$1:$O$88,15,0))</f>
        <v>254.23</v>
      </c>
      <c r="Y317" s="6"/>
      <c r="Z317" s="6">
        <f ca="1">('TUSD BE'!$AM$33+'TUSD BF_350'!$AM$33+'TUSD CVA'!$AM$33)*(1-CUSTOS!$M$38)</f>
        <v>329.38655465139976</v>
      </c>
      <c r="AA317" s="6">
        <f ca="1">('TE BE'!$AB$24+'TE BF_350'!$AB$24+'TE CVA'!$AB$24)*(1-CUSTOS!$M$38)</f>
        <v>195.17260177664326</v>
      </c>
      <c r="AB317" s="6">
        <f>$K$317*$V$317</f>
        <v>0</v>
      </c>
      <c r="AC317" s="6">
        <f>$M$317*$W$317</f>
        <v>133.20121599999999</v>
      </c>
      <c r="AD317" s="6">
        <f>$O$317*$X$317</f>
        <v>142.57218399999999</v>
      </c>
      <c r="AE317" s="6">
        <f>$K$317*$Y$317</f>
        <v>0</v>
      </c>
      <c r="AF317" s="6">
        <f ca="1">$M$317*$Z$317</f>
        <v>184.71997984850498</v>
      </c>
      <c r="AG317" s="6">
        <f ca="1">$O$317*$AA$317</f>
        <v>109.45279507634153</v>
      </c>
    </row>
    <row r="318" spans="1:33" ht="11.25" customHeight="1" x14ac:dyDescent="0.25">
      <c r="A318" s="4" t="s">
        <v>21</v>
      </c>
      <c r="B318" s="4" t="s">
        <v>41</v>
      </c>
      <c r="C318" s="4" t="s">
        <v>23</v>
      </c>
      <c r="D318" s="4" t="s">
        <v>42</v>
      </c>
      <c r="E318" s="4" t="s">
        <v>53</v>
      </c>
      <c r="F318" s="4" t="s">
        <v>52</v>
      </c>
      <c r="G318" s="4" t="s">
        <v>25</v>
      </c>
      <c r="H318" s="4" t="s">
        <v>25</v>
      </c>
      <c r="I318" s="5">
        <v>44440</v>
      </c>
      <c r="J318" s="6">
        <v>0</v>
      </c>
      <c r="K318" s="6">
        <v>0</v>
      </c>
      <c r="L318" s="6">
        <v>7.0000000000000001E-3</v>
      </c>
      <c r="M318" s="6">
        <v>2.8E-3</v>
      </c>
      <c r="N318" s="6">
        <v>7.0000000000000001E-3</v>
      </c>
      <c r="O318" s="6">
        <v>2.8E-3</v>
      </c>
      <c r="P318" s="6">
        <v>0</v>
      </c>
      <c r="Q318" s="4" t="s">
        <v>26</v>
      </c>
      <c r="R318" s="4">
        <v>0</v>
      </c>
      <c r="S318" s="6">
        <v>0</v>
      </c>
      <c r="T318" s="6">
        <v>50</v>
      </c>
      <c r="U318" s="6">
        <v>1</v>
      </c>
      <c r="V318" s="6">
        <f>IF(ISERROR(VLOOKUP($S$318,'TAR FIN'!$A$1:$O$88,15,0)),0,VLOOKUP($S$318,'TAR FIN'!$A$1:$O$88,15,0))</f>
        <v>0</v>
      </c>
      <c r="W318" s="6">
        <f>IF(ISERROR(VLOOKUP($T$318,'TAR FIN'!$A$1:$O$88,15,0)),0,VLOOKUP($T$318,'TAR FIN'!$A$1:$O$88,15,0))</f>
        <v>237.52</v>
      </c>
      <c r="X318" s="6">
        <f>IF(ISERROR(VLOOKUP($U$318,'TAR FIN'!$A$1:$O$88,15,0)),0,VLOOKUP($U$318,'TAR FIN'!$A$1:$O$88,15,0))</f>
        <v>254.23</v>
      </c>
      <c r="Y318" s="6"/>
      <c r="Z318" s="6">
        <f ca="1">('TUSD BE'!$AM$33+'TUSD BF_350'!$AM$33+'TUSD CVA'!$AM$33)*(1-CUSTOS!$M$38)</f>
        <v>329.38655465139976</v>
      </c>
      <c r="AA318" s="6">
        <f ca="1">('TE BE'!$AB$24+'TE BF_350'!$AB$24+'TE CVA'!$AB$24)*(1-CUSTOS!$M$38)</f>
        <v>195.17260177664326</v>
      </c>
      <c r="AB318" s="6">
        <f>$K$318*$V$318</f>
        <v>0</v>
      </c>
      <c r="AC318" s="6">
        <f>$M$318*$W$318</f>
        <v>0.66505599999999998</v>
      </c>
      <c r="AD318" s="6">
        <f>$O$318*$X$318</f>
        <v>0.71184399999999992</v>
      </c>
      <c r="AE318" s="6">
        <f>$K$318*$Y$318</f>
        <v>0</v>
      </c>
      <c r="AF318" s="6">
        <f ca="1">$M$318*$Z$318</f>
        <v>0.92228235302391937</v>
      </c>
      <c r="AG318" s="6">
        <f ca="1">$O$318*$AA$318</f>
        <v>0.54648328497460108</v>
      </c>
    </row>
    <row r="319" spans="1:33" ht="11.25" customHeight="1" x14ac:dyDescent="0.25">
      <c r="A319" s="4" t="s">
        <v>21</v>
      </c>
      <c r="B319" s="4" t="s">
        <v>41</v>
      </c>
      <c r="C319" s="4" t="s">
        <v>23</v>
      </c>
      <c r="D319" s="4" t="s">
        <v>42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44409</v>
      </c>
      <c r="J319" s="6">
        <v>0</v>
      </c>
      <c r="K319" s="6">
        <v>0</v>
      </c>
      <c r="L319" s="6">
        <v>274.19200000000001</v>
      </c>
      <c r="M319" s="6">
        <v>274.19200000000001</v>
      </c>
      <c r="N319" s="6">
        <v>274.19200000000001</v>
      </c>
      <c r="O319" s="6">
        <v>274.19200000000001</v>
      </c>
      <c r="P319" s="6">
        <v>711</v>
      </c>
      <c r="Q319" s="4" t="s">
        <v>26</v>
      </c>
      <c r="R319" s="4">
        <v>0</v>
      </c>
      <c r="S319" s="6">
        <v>0</v>
      </c>
      <c r="T319" s="6">
        <v>50</v>
      </c>
      <c r="U319" s="6">
        <v>1</v>
      </c>
      <c r="V319" s="6">
        <f>IF(ISERROR(VLOOKUP($S$319,'TAR FIN'!$A$1:$O$88,15,0)),0,VLOOKUP($S$319,'TAR FIN'!$A$1:$O$88,15,0))</f>
        <v>0</v>
      </c>
      <c r="W319" s="6">
        <f>IF(ISERROR(VLOOKUP($T$319,'TAR FIN'!$A$1:$O$88,15,0)),0,VLOOKUP($T$319,'TAR FIN'!$A$1:$O$88,15,0))</f>
        <v>237.52</v>
      </c>
      <c r="X319" s="6">
        <f>IF(ISERROR(VLOOKUP($U$319,'TAR FIN'!$A$1:$O$88,15,0)),0,VLOOKUP($U$319,'TAR FIN'!$A$1:$O$88,15,0))</f>
        <v>254.23</v>
      </c>
      <c r="Y319" s="6"/>
      <c r="Z319" s="6">
        <f ca="1">('TUSD BE'!$AM$33+'TUSD BF_350'!$AM$33+'TUSD CVA'!$AM$33)*(1-CUSTOS!$M$38)</f>
        <v>329.38655465139976</v>
      </c>
      <c r="AA319" s="6">
        <f ca="1">('TE BE'!$AB$24+'TE BF_350'!$AB$24+'TE CVA'!$AB$24)*(1-CUSTOS!$M$38)</f>
        <v>195.17260177664326</v>
      </c>
      <c r="AB319" s="6">
        <f>$K$319*$V$319</f>
        <v>0</v>
      </c>
      <c r="AC319" s="6">
        <f>$M$319*$W$319</f>
        <v>65126.083840000007</v>
      </c>
      <c r="AD319" s="6">
        <f>$O$319*$X$319</f>
        <v>69707.832160000005</v>
      </c>
      <c r="AE319" s="6">
        <f>$K$319*$Y$319</f>
        <v>0</v>
      </c>
      <c r="AF319" s="6">
        <f ca="1">$M$319*$Z$319</f>
        <v>90315.158192976611</v>
      </c>
      <c r="AG319" s="6">
        <f ca="1">$O$319*$AA$319</f>
        <v>53514.766026341371</v>
      </c>
    </row>
    <row r="320" spans="1:33" ht="11.25" customHeight="1" x14ac:dyDescent="0.25">
      <c r="A320" s="4" t="s">
        <v>27</v>
      </c>
      <c r="B320" s="4" t="s">
        <v>41</v>
      </c>
      <c r="C320" s="4" t="s">
        <v>23</v>
      </c>
      <c r="D320" s="4" t="s">
        <v>42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44409</v>
      </c>
      <c r="J320" s="6">
        <v>0</v>
      </c>
      <c r="K320" s="6">
        <v>0</v>
      </c>
      <c r="L320" s="6">
        <v>2.69</v>
      </c>
      <c r="M320" s="6">
        <v>2.69</v>
      </c>
      <c r="N320" s="6">
        <v>2.69</v>
      </c>
      <c r="O320" s="6">
        <v>2.69</v>
      </c>
      <c r="P320" s="6">
        <v>17</v>
      </c>
      <c r="Q320" s="4" t="s">
        <v>26</v>
      </c>
      <c r="R320" s="4">
        <v>0</v>
      </c>
      <c r="S320" s="6">
        <v>0</v>
      </c>
      <c r="T320" s="6">
        <v>50</v>
      </c>
      <c r="U320" s="6">
        <v>1</v>
      </c>
      <c r="V320" s="6">
        <f>IF(ISERROR(VLOOKUP($S$320,'TAR FIN'!$A$1:$O$88,15,0)),0,VLOOKUP($S$320,'TAR FIN'!$A$1:$O$88,15,0))</f>
        <v>0</v>
      </c>
      <c r="W320" s="6">
        <f>IF(ISERROR(VLOOKUP($T$320,'TAR FIN'!$A$1:$O$88,15,0)),0,VLOOKUP($T$320,'TAR FIN'!$A$1:$O$88,15,0))</f>
        <v>237.52</v>
      </c>
      <c r="X320" s="6">
        <f>IF(ISERROR(VLOOKUP($U$320,'TAR FIN'!$A$1:$O$88,15,0)),0,VLOOKUP($U$320,'TAR FIN'!$A$1:$O$88,15,0))</f>
        <v>254.23</v>
      </c>
      <c r="Y320" s="6"/>
      <c r="Z320" s="6">
        <f ca="1">('TUSD BE'!$AM$33+'TUSD BF_350'!$AM$33+'TUSD CVA'!$AM$33)*(1-CUSTOS!$M$38)</f>
        <v>329.38655465139976</v>
      </c>
      <c r="AA320" s="6">
        <f ca="1">('TE BE'!$AB$24+'TE BF_350'!$AB$24+'TE CVA'!$AB$24)*(1-CUSTOS!$M$38)</f>
        <v>195.17260177664326</v>
      </c>
      <c r="AB320" s="6">
        <f>$K$320*$V$320</f>
        <v>0</v>
      </c>
      <c r="AC320" s="6">
        <f>$M$320*$W$320</f>
        <v>638.92880000000002</v>
      </c>
      <c r="AD320" s="6">
        <f>$O$320*$X$320</f>
        <v>683.87869999999998</v>
      </c>
      <c r="AE320" s="6">
        <f>$K$320*$Y$320</f>
        <v>0</v>
      </c>
      <c r="AF320" s="6">
        <f ca="1">$M$320*$Z$320</f>
        <v>886.04983201226537</v>
      </c>
      <c r="AG320" s="6">
        <f ca="1">$O$320*$AA$320</f>
        <v>525.01429877917042</v>
      </c>
    </row>
    <row r="321" spans="1:33" ht="11.25" customHeight="1" x14ac:dyDescent="0.25">
      <c r="A321" s="4" t="s">
        <v>21</v>
      </c>
      <c r="B321" s="4" t="s">
        <v>41</v>
      </c>
      <c r="C321" s="4" t="s">
        <v>23</v>
      </c>
      <c r="D321" s="4" t="s">
        <v>42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44440</v>
      </c>
      <c r="J321" s="6">
        <v>0</v>
      </c>
      <c r="K321" s="6">
        <v>0</v>
      </c>
      <c r="L321" s="6">
        <v>270.55799999999999</v>
      </c>
      <c r="M321" s="6">
        <v>270.55799999999999</v>
      </c>
      <c r="N321" s="6">
        <v>270.55799999999999</v>
      </c>
      <c r="O321" s="6">
        <v>270.55799999999999</v>
      </c>
      <c r="P321" s="6">
        <v>712</v>
      </c>
      <c r="Q321" s="4" t="s">
        <v>26</v>
      </c>
      <c r="R321" s="4">
        <v>0</v>
      </c>
      <c r="S321" s="6">
        <v>0</v>
      </c>
      <c r="T321" s="6">
        <v>50</v>
      </c>
      <c r="U321" s="6">
        <v>1</v>
      </c>
      <c r="V321" s="6">
        <f>IF(ISERROR(VLOOKUP($S$321,'TAR FIN'!$A$1:$O$88,15,0)),0,VLOOKUP($S$321,'TAR FIN'!$A$1:$O$88,15,0))</f>
        <v>0</v>
      </c>
      <c r="W321" s="6">
        <f>IF(ISERROR(VLOOKUP($T$321,'TAR FIN'!$A$1:$O$88,15,0)),0,VLOOKUP($T$321,'TAR FIN'!$A$1:$O$88,15,0))</f>
        <v>237.52</v>
      </c>
      <c r="X321" s="6">
        <f>IF(ISERROR(VLOOKUP($U$321,'TAR FIN'!$A$1:$O$88,15,0)),0,VLOOKUP($U$321,'TAR FIN'!$A$1:$O$88,15,0))</f>
        <v>254.23</v>
      </c>
      <c r="Y321" s="6"/>
      <c r="Z321" s="6">
        <f ca="1">('TUSD BE'!$AM$33+'TUSD BF_350'!$AM$33+'TUSD CVA'!$AM$33)*(1-CUSTOS!$M$38)</f>
        <v>329.38655465139976</v>
      </c>
      <c r="AA321" s="6">
        <f ca="1">('TE BE'!$AB$24+'TE BF_350'!$AB$24+'TE CVA'!$AB$24)*(1-CUSTOS!$M$38)</f>
        <v>195.17260177664326</v>
      </c>
      <c r="AB321" s="6">
        <f>$K$321*$V$321</f>
        <v>0</v>
      </c>
      <c r="AC321" s="6">
        <f>$M$321*$W$321</f>
        <v>64262.936159999997</v>
      </c>
      <c r="AD321" s="6">
        <f>$O$321*$X$321</f>
        <v>68783.960339999991</v>
      </c>
      <c r="AE321" s="6">
        <f>$K$321*$Y$321</f>
        <v>0</v>
      </c>
      <c r="AF321" s="6">
        <f ca="1">$M$321*$Z$321</f>
        <v>89118.167453373419</v>
      </c>
      <c r="AG321" s="6">
        <f ca="1">$O$321*$AA$321</f>
        <v>52805.508791485045</v>
      </c>
    </row>
    <row r="322" spans="1:33" ht="11.25" customHeight="1" x14ac:dyDescent="0.25">
      <c r="A322" s="4" t="s">
        <v>27</v>
      </c>
      <c r="B322" s="4" t="s">
        <v>41</v>
      </c>
      <c r="C322" s="4" t="s">
        <v>23</v>
      </c>
      <c r="D322" s="4" t="s">
        <v>42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44440</v>
      </c>
      <c r="J322" s="6">
        <v>0</v>
      </c>
      <c r="K322" s="6">
        <v>0</v>
      </c>
      <c r="L322" s="6">
        <v>6.202</v>
      </c>
      <c r="M322" s="6">
        <v>6.202</v>
      </c>
      <c r="N322" s="6">
        <v>6.202</v>
      </c>
      <c r="O322" s="6">
        <v>6.202</v>
      </c>
      <c r="P322" s="6">
        <v>19</v>
      </c>
      <c r="Q322" s="4" t="s">
        <v>26</v>
      </c>
      <c r="R322" s="4">
        <v>0</v>
      </c>
      <c r="S322" s="6">
        <v>0</v>
      </c>
      <c r="T322" s="6">
        <v>50</v>
      </c>
      <c r="U322" s="6">
        <v>1</v>
      </c>
      <c r="V322" s="6">
        <f>IF(ISERROR(VLOOKUP($S$322,'TAR FIN'!$A$1:$O$88,15,0)),0,VLOOKUP($S$322,'TAR FIN'!$A$1:$O$88,15,0))</f>
        <v>0</v>
      </c>
      <c r="W322" s="6">
        <f>IF(ISERROR(VLOOKUP($T$322,'TAR FIN'!$A$1:$O$88,15,0)),0,VLOOKUP($T$322,'TAR FIN'!$A$1:$O$88,15,0))</f>
        <v>237.52</v>
      </c>
      <c r="X322" s="6">
        <f>IF(ISERROR(VLOOKUP($U$322,'TAR FIN'!$A$1:$O$88,15,0)),0,VLOOKUP($U$322,'TAR FIN'!$A$1:$O$88,15,0))</f>
        <v>254.23</v>
      </c>
      <c r="Y322" s="6"/>
      <c r="Z322" s="6">
        <f ca="1">('TUSD BE'!$AM$33+'TUSD BF_350'!$AM$33+'TUSD CVA'!$AM$33)*(1-CUSTOS!$M$38)</f>
        <v>329.38655465139976</v>
      </c>
      <c r="AA322" s="6">
        <f ca="1">('TE BE'!$AB$24+'TE BF_350'!$AB$24+'TE CVA'!$AB$24)*(1-CUSTOS!$M$38)</f>
        <v>195.17260177664326</v>
      </c>
      <c r="AB322" s="6">
        <f>$K$322*$V$322</f>
        <v>0</v>
      </c>
      <c r="AC322" s="6">
        <f>$M$322*$W$322</f>
        <v>1473.0990400000001</v>
      </c>
      <c r="AD322" s="6">
        <f>$O$322*$X$322</f>
        <v>1576.7344599999999</v>
      </c>
      <c r="AE322" s="6">
        <f>$K$322*$Y$322</f>
        <v>0</v>
      </c>
      <c r="AF322" s="6">
        <f ca="1">$M$322*$Z$322</f>
        <v>2042.8554119479813</v>
      </c>
      <c r="AG322" s="6">
        <f ca="1">$O$322*$AA$322</f>
        <v>1210.4604762187414</v>
      </c>
    </row>
    <row r="323" spans="1:33" ht="11.25" customHeight="1" x14ac:dyDescent="0.25">
      <c r="A323" s="4" t="s">
        <v>21</v>
      </c>
      <c r="B323" s="4" t="s">
        <v>41</v>
      </c>
      <c r="C323" s="4" t="s">
        <v>23</v>
      </c>
      <c r="D323" s="4" t="s">
        <v>42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44470</v>
      </c>
      <c r="J323" s="6">
        <v>0</v>
      </c>
      <c r="K323" s="6">
        <v>0</v>
      </c>
      <c r="L323" s="6">
        <v>266.101</v>
      </c>
      <c r="M323" s="6">
        <v>266.101</v>
      </c>
      <c r="N323" s="6">
        <v>266.101</v>
      </c>
      <c r="O323" s="6">
        <v>266.101</v>
      </c>
      <c r="P323" s="6">
        <v>712</v>
      </c>
      <c r="Q323" s="4" t="s">
        <v>26</v>
      </c>
      <c r="R323" s="4">
        <v>0</v>
      </c>
      <c r="S323" s="6">
        <v>0</v>
      </c>
      <c r="T323" s="6">
        <v>50</v>
      </c>
      <c r="U323" s="6">
        <v>1</v>
      </c>
      <c r="V323" s="6">
        <f>IF(ISERROR(VLOOKUP($S$323,'TAR FIN'!$A$1:$O$88,15,0)),0,VLOOKUP($S$323,'TAR FIN'!$A$1:$O$88,15,0))</f>
        <v>0</v>
      </c>
      <c r="W323" s="6">
        <f>IF(ISERROR(VLOOKUP($T$323,'TAR FIN'!$A$1:$O$88,15,0)),0,VLOOKUP($T$323,'TAR FIN'!$A$1:$O$88,15,0))</f>
        <v>237.52</v>
      </c>
      <c r="X323" s="6">
        <f>IF(ISERROR(VLOOKUP($U$323,'TAR FIN'!$A$1:$O$88,15,0)),0,VLOOKUP($U$323,'TAR FIN'!$A$1:$O$88,15,0))</f>
        <v>254.23</v>
      </c>
      <c r="Y323" s="6"/>
      <c r="Z323" s="6">
        <f ca="1">('TUSD BE'!$AM$33+'TUSD BF_350'!$AM$33+'TUSD CVA'!$AM$33)*(1-CUSTOS!$M$38)</f>
        <v>329.38655465139976</v>
      </c>
      <c r="AA323" s="6">
        <f ca="1">('TE BE'!$AB$24+'TE BF_350'!$AB$24+'TE CVA'!$AB$24)*(1-CUSTOS!$M$38)</f>
        <v>195.17260177664326</v>
      </c>
      <c r="AB323" s="6">
        <f>$K$323*$V$323</f>
        <v>0</v>
      </c>
      <c r="AC323" s="6">
        <f>$M$323*$W$323</f>
        <v>63204.309520000003</v>
      </c>
      <c r="AD323" s="6">
        <f>$O$323*$X$323</f>
        <v>67650.857229999994</v>
      </c>
      <c r="AE323" s="6">
        <f>$K$323*$Y$323</f>
        <v>0</v>
      </c>
      <c r="AF323" s="6">
        <f ca="1">$M$323*$Z$323</f>
        <v>87650.09157929213</v>
      </c>
      <c r="AG323" s="6">
        <f ca="1">$O$323*$AA$323</f>
        <v>51935.624505366548</v>
      </c>
    </row>
    <row r="324" spans="1:33" ht="11.25" customHeight="1" x14ac:dyDescent="0.25">
      <c r="A324" s="4" t="s">
        <v>27</v>
      </c>
      <c r="B324" s="4" t="s">
        <v>41</v>
      </c>
      <c r="C324" s="4" t="s">
        <v>23</v>
      </c>
      <c r="D324" s="4" t="s">
        <v>42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44470</v>
      </c>
      <c r="J324" s="6">
        <v>0</v>
      </c>
      <c r="K324" s="6">
        <v>0</v>
      </c>
      <c r="L324" s="6">
        <v>4.1890000000000001</v>
      </c>
      <c r="M324" s="6">
        <v>4.1890000000000001</v>
      </c>
      <c r="N324" s="6">
        <v>4.1890000000000001</v>
      </c>
      <c r="O324" s="6">
        <v>4.1890000000000001</v>
      </c>
      <c r="P324" s="6">
        <v>20</v>
      </c>
      <c r="Q324" s="4" t="s">
        <v>26</v>
      </c>
      <c r="R324" s="4">
        <v>0</v>
      </c>
      <c r="S324" s="6">
        <v>0</v>
      </c>
      <c r="T324" s="6">
        <v>50</v>
      </c>
      <c r="U324" s="6">
        <v>1</v>
      </c>
      <c r="V324" s="6">
        <f>IF(ISERROR(VLOOKUP($S$324,'TAR FIN'!$A$1:$O$88,15,0)),0,VLOOKUP($S$324,'TAR FIN'!$A$1:$O$88,15,0))</f>
        <v>0</v>
      </c>
      <c r="W324" s="6">
        <f>IF(ISERROR(VLOOKUP($T$324,'TAR FIN'!$A$1:$O$88,15,0)),0,VLOOKUP($T$324,'TAR FIN'!$A$1:$O$88,15,0))</f>
        <v>237.52</v>
      </c>
      <c r="X324" s="6">
        <f>IF(ISERROR(VLOOKUP($U$324,'TAR FIN'!$A$1:$O$88,15,0)),0,VLOOKUP($U$324,'TAR FIN'!$A$1:$O$88,15,0))</f>
        <v>254.23</v>
      </c>
      <c r="Y324" s="6"/>
      <c r="Z324" s="6">
        <f ca="1">('TUSD BE'!$AM$33+'TUSD BF_350'!$AM$33+'TUSD CVA'!$AM$33)*(1-CUSTOS!$M$38)</f>
        <v>329.38655465139976</v>
      </c>
      <c r="AA324" s="6">
        <f ca="1">('TE BE'!$AB$24+'TE BF_350'!$AB$24+'TE CVA'!$AB$24)*(1-CUSTOS!$M$38)</f>
        <v>195.17260177664326</v>
      </c>
      <c r="AB324" s="6">
        <f>$K$324*$V$324</f>
        <v>0</v>
      </c>
      <c r="AC324" s="6">
        <f>$M$324*$W$324</f>
        <v>994.97128000000009</v>
      </c>
      <c r="AD324" s="6">
        <f>$O$324*$X$324</f>
        <v>1064.96947</v>
      </c>
      <c r="AE324" s="6">
        <f>$K$324*$Y$324</f>
        <v>0</v>
      </c>
      <c r="AF324" s="6">
        <f ca="1">$M$324*$Z$324</f>
        <v>1379.8002774347137</v>
      </c>
      <c r="AG324" s="6">
        <f ca="1">$O$324*$AA$324</f>
        <v>817.57802884235866</v>
      </c>
    </row>
    <row r="325" spans="1:33" ht="11.25" customHeight="1" x14ac:dyDescent="0.25">
      <c r="A325" s="4" t="s">
        <v>21</v>
      </c>
      <c r="B325" s="4" t="s">
        <v>41</v>
      </c>
      <c r="C325" s="4" t="s">
        <v>23</v>
      </c>
      <c r="D325" s="4" t="s">
        <v>42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44501</v>
      </c>
      <c r="J325" s="6">
        <v>0</v>
      </c>
      <c r="K325" s="6">
        <v>0</v>
      </c>
      <c r="L325" s="6">
        <v>276.16699999999997</v>
      </c>
      <c r="M325" s="6">
        <v>276.16699999999997</v>
      </c>
      <c r="N325" s="6">
        <v>276.16699999999997</v>
      </c>
      <c r="O325" s="6">
        <v>276.16699999999997</v>
      </c>
      <c r="P325" s="6">
        <v>711</v>
      </c>
      <c r="Q325" s="4" t="s">
        <v>26</v>
      </c>
      <c r="R325" s="4">
        <v>0</v>
      </c>
      <c r="S325" s="6">
        <v>0</v>
      </c>
      <c r="T325" s="6">
        <v>50</v>
      </c>
      <c r="U325" s="6">
        <v>1</v>
      </c>
      <c r="V325" s="6">
        <f>IF(ISERROR(VLOOKUP($S$325,'TAR FIN'!$A$1:$O$88,15,0)),0,VLOOKUP($S$325,'TAR FIN'!$A$1:$O$88,15,0))</f>
        <v>0</v>
      </c>
      <c r="W325" s="6">
        <f>IF(ISERROR(VLOOKUP($T$325,'TAR FIN'!$A$1:$O$88,15,0)),0,VLOOKUP($T$325,'TAR FIN'!$A$1:$O$88,15,0))</f>
        <v>237.52</v>
      </c>
      <c r="X325" s="6">
        <f>IF(ISERROR(VLOOKUP($U$325,'TAR FIN'!$A$1:$O$88,15,0)),0,VLOOKUP($U$325,'TAR FIN'!$A$1:$O$88,15,0))</f>
        <v>254.23</v>
      </c>
      <c r="Y325" s="6"/>
      <c r="Z325" s="6">
        <f ca="1">('TUSD BE'!$AM$33+'TUSD BF_350'!$AM$33+'TUSD CVA'!$AM$33)*(1-CUSTOS!$M$38)</f>
        <v>329.38655465139976</v>
      </c>
      <c r="AA325" s="6">
        <f ca="1">('TE BE'!$AB$24+'TE BF_350'!$AB$24+'TE CVA'!$AB$24)*(1-CUSTOS!$M$38)</f>
        <v>195.17260177664326</v>
      </c>
      <c r="AB325" s="6">
        <f>$K$325*$V$325</f>
        <v>0</v>
      </c>
      <c r="AC325" s="6">
        <f>$M$325*$W$325</f>
        <v>65595.185839999991</v>
      </c>
      <c r="AD325" s="6">
        <f>$O$325*$X$325</f>
        <v>70209.936409999995</v>
      </c>
      <c r="AE325" s="6">
        <f>$K$325*$Y$325</f>
        <v>0</v>
      </c>
      <c r="AF325" s="6">
        <f ca="1">$M$325*$Z$325</f>
        <v>90965.696638413108</v>
      </c>
      <c r="AG325" s="6">
        <f ca="1">$O$325*$AA$325</f>
        <v>53900.231914850236</v>
      </c>
    </row>
    <row r="326" spans="1:33" ht="11.25" customHeight="1" x14ac:dyDescent="0.25">
      <c r="A326" s="4" t="s">
        <v>27</v>
      </c>
      <c r="B326" s="4" t="s">
        <v>41</v>
      </c>
      <c r="C326" s="4" t="s">
        <v>23</v>
      </c>
      <c r="D326" s="4" t="s">
        <v>42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44501</v>
      </c>
      <c r="J326" s="6">
        <v>0</v>
      </c>
      <c r="K326" s="6">
        <v>0</v>
      </c>
      <c r="L326" s="6">
        <v>8.4710000000000001</v>
      </c>
      <c r="M326" s="6">
        <v>8.4710000000000001</v>
      </c>
      <c r="N326" s="6">
        <v>8.4710000000000001</v>
      </c>
      <c r="O326" s="6">
        <v>8.4710000000000001</v>
      </c>
      <c r="P326" s="6">
        <v>23</v>
      </c>
      <c r="Q326" s="4" t="s">
        <v>26</v>
      </c>
      <c r="R326" s="4">
        <v>0</v>
      </c>
      <c r="S326" s="6">
        <v>0</v>
      </c>
      <c r="T326" s="6">
        <v>50</v>
      </c>
      <c r="U326" s="6">
        <v>1</v>
      </c>
      <c r="V326" s="6">
        <f>IF(ISERROR(VLOOKUP($S$326,'TAR FIN'!$A$1:$O$88,15,0)),0,VLOOKUP($S$326,'TAR FIN'!$A$1:$O$88,15,0))</f>
        <v>0</v>
      </c>
      <c r="W326" s="6">
        <f>IF(ISERROR(VLOOKUP($T$326,'TAR FIN'!$A$1:$O$88,15,0)),0,VLOOKUP($T$326,'TAR FIN'!$A$1:$O$88,15,0))</f>
        <v>237.52</v>
      </c>
      <c r="X326" s="6">
        <f>IF(ISERROR(VLOOKUP($U$326,'TAR FIN'!$A$1:$O$88,15,0)),0,VLOOKUP($U$326,'TAR FIN'!$A$1:$O$88,15,0))</f>
        <v>254.23</v>
      </c>
      <c r="Y326" s="6"/>
      <c r="Z326" s="6">
        <f ca="1">('TUSD BE'!$AM$33+'TUSD BF_350'!$AM$33+'TUSD CVA'!$AM$33)*(1-CUSTOS!$M$38)</f>
        <v>329.38655465139976</v>
      </c>
      <c r="AA326" s="6">
        <f ca="1">('TE BE'!$AB$24+'TE BF_350'!$AB$24+'TE CVA'!$AB$24)*(1-CUSTOS!$M$38)</f>
        <v>195.17260177664326</v>
      </c>
      <c r="AB326" s="6">
        <f>$K$326*$V$326</f>
        <v>0</v>
      </c>
      <c r="AC326" s="6">
        <f>$M$326*$W$326</f>
        <v>2012.0319200000001</v>
      </c>
      <c r="AD326" s="6">
        <f>$O$326*$X$326</f>
        <v>2153.5823299999997</v>
      </c>
      <c r="AE326" s="6">
        <f>$K$326*$Y$326</f>
        <v>0</v>
      </c>
      <c r="AF326" s="6">
        <f ca="1">$M$326*$Z$326</f>
        <v>2790.2335044520073</v>
      </c>
      <c r="AG326" s="6">
        <f ca="1">$O$326*$AA$326</f>
        <v>1653.307109649945</v>
      </c>
    </row>
    <row r="327" spans="1:33" ht="11.25" customHeight="1" x14ac:dyDescent="0.25">
      <c r="A327" s="4" t="s">
        <v>21</v>
      </c>
      <c r="B327" s="4" t="s">
        <v>41</v>
      </c>
      <c r="C327" s="4" t="s">
        <v>23</v>
      </c>
      <c r="D327" s="4" t="s">
        <v>42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44531</v>
      </c>
      <c r="J327" s="6">
        <v>0</v>
      </c>
      <c r="K327" s="6">
        <v>0</v>
      </c>
      <c r="L327" s="6">
        <v>279.435</v>
      </c>
      <c r="M327" s="6">
        <v>279.435</v>
      </c>
      <c r="N327" s="6">
        <v>279.435</v>
      </c>
      <c r="O327" s="6">
        <v>279.435</v>
      </c>
      <c r="P327" s="6">
        <v>707</v>
      </c>
      <c r="Q327" s="4" t="s">
        <v>26</v>
      </c>
      <c r="R327" s="4">
        <v>0</v>
      </c>
      <c r="S327" s="6">
        <v>0</v>
      </c>
      <c r="T327" s="6">
        <v>50</v>
      </c>
      <c r="U327" s="6">
        <v>1</v>
      </c>
      <c r="V327" s="6">
        <f>IF(ISERROR(VLOOKUP($S$327,'TAR FIN'!$A$1:$O$88,15,0)),0,VLOOKUP($S$327,'TAR FIN'!$A$1:$O$88,15,0))</f>
        <v>0</v>
      </c>
      <c r="W327" s="6">
        <f>IF(ISERROR(VLOOKUP($T$327,'TAR FIN'!$A$1:$O$88,15,0)),0,VLOOKUP($T$327,'TAR FIN'!$A$1:$O$88,15,0))</f>
        <v>237.52</v>
      </c>
      <c r="X327" s="6">
        <f>IF(ISERROR(VLOOKUP($U$327,'TAR FIN'!$A$1:$O$88,15,0)),0,VLOOKUP($U$327,'TAR FIN'!$A$1:$O$88,15,0))</f>
        <v>254.23</v>
      </c>
      <c r="Y327" s="6"/>
      <c r="Z327" s="6">
        <f ca="1">('TUSD BE'!$AM$33+'TUSD BF_350'!$AM$33+'TUSD CVA'!$AM$33)*(1-CUSTOS!$M$38)</f>
        <v>329.38655465139976</v>
      </c>
      <c r="AA327" s="6">
        <f ca="1">('TE BE'!$AB$24+'TE BF_350'!$AB$24+'TE CVA'!$AB$24)*(1-CUSTOS!$M$38)</f>
        <v>195.17260177664326</v>
      </c>
      <c r="AB327" s="6">
        <f>$K$327*$V$327</f>
        <v>0</v>
      </c>
      <c r="AC327" s="6">
        <f>$M$327*$W$327</f>
        <v>66371.401200000008</v>
      </c>
      <c r="AD327" s="6">
        <f>$O$327*$X$327</f>
        <v>71040.760049999997</v>
      </c>
      <c r="AE327" s="6">
        <f>$K$327*$Y$327</f>
        <v>0</v>
      </c>
      <c r="AF327" s="6">
        <f ca="1">$M$327*$Z$327</f>
        <v>92042.131899013897</v>
      </c>
      <c r="AG327" s="6">
        <f ca="1">$O$327*$AA$327</f>
        <v>54538.055977456308</v>
      </c>
    </row>
    <row r="328" spans="1:33" ht="11.25" customHeight="1" x14ac:dyDescent="0.25">
      <c r="A328" s="4" t="s">
        <v>27</v>
      </c>
      <c r="B328" s="4" t="s">
        <v>41</v>
      </c>
      <c r="C328" s="4" t="s">
        <v>23</v>
      </c>
      <c r="D328" s="4" t="s">
        <v>42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44531</v>
      </c>
      <c r="J328" s="6">
        <v>0</v>
      </c>
      <c r="K328" s="6">
        <v>0</v>
      </c>
      <c r="L328" s="6">
        <v>9.2650000000000006</v>
      </c>
      <c r="M328" s="6">
        <v>9.2650000000000006</v>
      </c>
      <c r="N328" s="6">
        <v>9.2650000000000006</v>
      </c>
      <c r="O328" s="6">
        <v>9.2650000000000006</v>
      </c>
      <c r="P328" s="6">
        <v>26</v>
      </c>
      <c r="Q328" s="4" t="s">
        <v>26</v>
      </c>
      <c r="R328" s="4">
        <v>0</v>
      </c>
      <c r="S328" s="6">
        <v>0</v>
      </c>
      <c r="T328" s="6">
        <v>50</v>
      </c>
      <c r="U328" s="6">
        <v>1</v>
      </c>
      <c r="V328" s="6">
        <f>IF(ISERROR(VLOOKUP($S$328,'TAR FIN'!$A$1:$O$88,15,0)),0,VLOOKUP($S$328,'TAR FIN'!$A$1:$O$88,15,0))</f>
        <v>0</v>
      </c>
      <c r="W328" s="6">
        <f>IF(ISERROR(VLOOKUP($T$328,'TAR FIN'!$A$1:$O$88,15,0)),0,VLOOKUP($T$328,'TAR FIN'!$A$1:$O$88,15,0))</f>
        <v>237.52</v>
      </c>
      <c r="X328" s="6">
        <f>IF(ISERROR(VLOOKUP($U$328,'TAR FIN'!$A$1:$O$88,15,0)),0,VLOOKUP($U$328,'TAR FIN'!$A$1:$O$88,15,0))</f>
        <v>254.23</v>
      </c>
      <c r="Y328" s="6"/>
      <c r="Z328" s="6">
        <f ca="1">('TUSD BE'!$AM$33+'TUSD BF_350'!$AM$33+'TUSD CVA'!$AM$33)*(1-CUSTOS!$M$38)</f>
        <v>329.38655465139976</v>
      </c>
      <c r="AA328" s="6">
        <f ca="1">('TE BE'!$AB$24+'TE BF_350'!$AB$24+'TE CVA'!$AB$24)*(1-CUSTOS!$M$38)</f>
        <v>195.17260177664326</v>
      </c>
      <c r="AB328" s="6">
        <f>$K$328*$V$328</f>
        <v>0</v>
      </c>
      <c r="AC328" s="6">
        <f>$M$328*$W$328</f>
        <v>2200.6228000000001</v>
      </c>
      <c r="AD328" s="6">
        <f>$O$328*$X$328</f>
        <v>2355.4409500000002</v>
      </c>
      <c r="AE328" s="6">
        <f>$K$328*$Y$328</f>
        <v>0</v>
      </c>
      <c r="AF328" s="6">
        <f ca="1">$M$328*$Z$328</f>
        <v>3051.7664288452188</v>
      </c>
      <c r="AG328" s="6">
        <f ca="1">$O$328*$AA$328</f>
        <v>1808.2741554606</v>
      </c>
    </row>
    <row r="329" spans="1:33" ht="11.25" customHeight="1" x14ac:dyDescent="0.25">
      <c r="A329" s="4" t="s">
        <v>21</v>
      </c>
      <c r="B329" s="4" t="s">
        <v>41</v>
      </c>
      <c r="C329" s="4" t="s">
        <v>23</v>
      </c>
      <c r="D329" s="4" t="s">
        <v>42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44562</v>
      </c>
      <c r="J329" s="6">
        <v>0</v>
      </c>
      <c r="K329" s="6">
        <v>0</v>
      </c>
      <c r="L329" s="6">
        <v>277.08</v>
      </c>
      <c r="M329" s="6">
        <v>277.08</v>
      </c>
      <c r="N329" s="6">
        <v>277.08</v>
      </c>
      <c r="O329" s="6">
        <v>277.08</v>
      </c>
      <c r="P329" s="6">
        <v>707</v>
      </c>
      <c r="Q329" s="4" t="s">
        <v>26</v>
      </c>
      <c r="R329" s="4">
        <v>0</v>
      </c>
      <c r="S329" s="6">
        <v>0</v>
      </c>
      <c r="T329" s="6">
        <v>50</v>
      </c>
      <c r="U329" s="6">
        <v>1</v>
      </c>
      <c r="V329" s="6">
        <f>IF(ISERROR(VLOOKUP($S$329,'TAR FIN'!$A$1:$O$88,15,0)),0,VLOOKUP($S$329,'TAR FIN'!$A$1:$O$88,15,0))</f>
        <v>0</v>
      </c>
      <c r="W329" s="6">
        <f>IF(ISERROR(VLOOKUP($T$329,'TAR FIN'!$A$1:$O$88,15,0)),0,VLOOKUP($T$329,'TAR FIN'!$A$1:$O$88,15,0))</f>
        <v>237.52</v>
      </c>
      <c r="X329" s="6">
        <f>IF(ISERROR(VLOOKUP($U$329,'TAR FIN'!$A$1:$O$88,15,0)),0,VLOOKUP($U$329,'TAR FIN'!$A$1:$O$88,15,0))</f>
        <v>254.23</v>
      </c>
      <c r="Y329" s="6"/>
      <c r="Z329" s="6">
        <f ca="1">('TUSD BE'!$AM$33+'TUSD BF_350'!$AM$33+'TUSD CVA'!$AM$33)*(1-CUSTOS!$M$38)</f>
        <v>329.38655465139976</v>
      </c>
      <c r="AA329" s="6">
        <f ca="1">('TE BE'!$AB$24+'TE BF_350'!$AB$24+'TE CVA'!$AB$24)*(1-CUSTOS!$M$38)</f>
        <v>195.17260177664326</v>
      </c>
      <c r="AB329" s="6">
        <f>$K$329*$V$329</f>
        <v>0</v>
      </c>
      <c r="AC329" s="6">
        <f>$M$329*$W$329</f>
        <v>65812.041599999997</v>
      </c>
      <c r="AD329" s="6">
        <f>$O$329*$X$329</f>
        <v>70442.0484</v>
      </c>
      <c r="AE329" s="6">
        <f>$K$329*$Y$329</f>
        <v>0</v>
      </c>
      <c r="AF329" s="6">
        <f ca="1">$M$329*$Z$329</f>
        <v>91266.426562809836</v>
      </c>
      <c r="AG329" s="6">
        <f ca="1">$O$329*$AA$329</f>
        <v>54078.424500272311</v>
      </c>
    </row>
    <row r="330" spans="1:33" ht="11.25" customHeight="1" x14ac:dyDescent="0.25">
      <c r="A330" s="4" t="s">
        <v>27</v>
      </c>
      <c r="B330" s="4" t="s">
        <v>41</v>
      </c>
      <c r="C330" s="4" t="s">
        <v>23</v>
      </c>
      <c r="D330" s="4" t="s">
        <v>42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44562</v>
      </c>
      <c r="J330" s="6">
        <v>0</v>
      </c>
      <c r="K330" s="6">
        <v>0</v>
      </c>
      <c r="L330" s="6">
        <v>11.061999999999999</v>
      </c>
      <c r="M330" s="6">
        <v>11.061999999999999</v>
      </c>
      <c r="N330" s="6">
        <v>11.061999999999999</v>
      </c>
      <c r="O330" s="6">
        <v>11.061999999999999</v>
      </c>
      <c r="P330" s="6">
        <v>27</v>
      </c>
      <c r="Q330" s="4" t="s">
        <v>26</v>
      </c>
      <c r="R330" s="4">
        <v>0</v>
      </c>
      <c r="S330" s="6">
        <v>0</v>
      </c>
      <c r="T330" s="6">
        <v>50</v>
      </c>
      <c r="U330" s="6">
        <v>1</v>
      </c>
      <c r="V330" s="6">
        <f>IF(ISERROR(VLOOKUP($S$330,'TAR FIN'!$A$1:$O$88,15,0)),0,VLOOKUP($S$330,'TAR FIN'!$A$1:$O$88,15,0))</f>
        <v>0</v>
      </c>
      <c r="W330" s="6">
        <f>IF(ISERROR(VLOOKUP($T$330,'TAR FIN'!$A$1:$O$88,15,0)),0,VLOOKUP($T$330,'TAR FIN'!$A$1:$O$88,15,0))</f>
        <v>237.52</v>
      </c>
      <c r="X330" s="6">
        <f>IF(ISERROR(VLOOKUP($U$330,'TAR FIN'!$A$1:$O$88,15,0)),0,VLOOKUP($U$330,'TAR FIN'!$A$1:$O$88,15,0))</f>
        <v>254.23</v>
      </c>
      <c r="Y330" s="6"/>
      <c r="Z330" s="6">
        <f ca="1">('TUSD BE'!$AM$33+'TUSD BF_350'!$AM$33+'TUSD CVA'!$AM$33)*(1-CUSTOS!$M$38)</f>
        <v>329.38655465139976</v>
      </c>
      <c r="AA330" s="6">
        <f ca="1">('TE BE'!$AB$24+'TE BF_350'!$AB$24+'TE CVA'!$AB$24)*(1-CUSTOS!$M$38)</f>
        <v>195.17260177664326</v>
      </c>
      <c r="AB330" s="6">
        <f>$K$330*$V$330</f>
        <v>0</v>
      </c>
      <c r="AC330" s="6">
        <f>$M$330*$W$330</f>
        <v>2627.4462399999998</v>
      </c>
      <c r="AD330" s="6">
        <f>$O$330*$X$330</f>
        <v>2812.2922599999997</v>
      </c>
      <c r="AE330" s="6">
        <f>$K$330*$Y$330</f>
        <v>0</v>
      </c>
      <c r="AF330" s="6">
        <f ca="1">$M$330*$Z$330</f>
        <v>3643.674067553784</v>
      </c>
      <c r="AG330" s="6">
        <f ca="1">$O$330*$AA$330</f>
        <v>2158.9993208532278</v>
      </c>
    </row>
    <row r="331" spans="1:33" ht="11.25" customHeight="1" x14ac:dyDescent="0.25">
      <c r="A331" s="4" t="s">
        <v>21</v>
      </c>
      <c r="B331" s="4" t="s">
        <v>41</v>
      </c>
      <c r="C331" s="4" t="s">
        <v>23</v>
      </c>
      <c r="D331" s="4" t="s">
        <v>42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44593</v>
      </c>
      <c r="J331" s="6">
        <v>0</v>
      </c>
      <c r="K331" s="6">
        <v>0</v>
      </c>
      <c r="L331" s="6">
        <v>264.673</v>
      </c>
      <c r="M331" s="6">
        <v>264.673</v>
      </c>
      <c r="N331" s="6">
        <v>264.673</v>
      </c>
      <c r="O331" s="6">
        <v>264.673</v>
      </c>
      <c r="P331" s="6">
        <v>700</v>
      </c>
      <c r="Q331" s="4" t="s">
        <v>26</v>
      </c>
      <c r="R331" s="4">
        <v>0</v>
      </c>
      <c r="S331" s="6">
        <v>0</v>
      </c>
      <c r="T331" s="6">
        <v>50</v>
      </c>
      <c r="U331" s="6">
        <v>1</v>
      </c>
      <c r="V331" s="6">
        <f>IF(ISERROR(VLOOKUP($S$331,'TAR FIN'!$A$1:$O$88,15,0)),0,VLOOKUP($S$331,'TAR FIN'!$A$1:$O$88,15,0))</f>
        <v>0</v>
      </c>
      <c r="W331" s="6">
        <f>IF(ISERROR(VLOOKUP($T$331,'TAR FIN'!$A$1:$O$88,15,0)),0,VLOOKUP($T$331,'TAR FIN'!$A$1:$O$88,15,0))</f>
        <v>237.52</v>
      </c>
      <c r="X331" s="6">
        <f>IF(ISERROR(VLOOKUP($U$331,'TAR FIN'!$A$1:$O$88,15,0)),0,VLOOKUP($U$331,'TAR FIN'!$A$1:$O$88,15,0))</f>
        <v>254.23</v>
      </c>
      <c r="Y331" s="6"/>
      <c r="Z331" s="6">
        <f ca="1">('TUSD BE'!$AM$33+'TUSD BF_350'!$AM$33+'TUSD CVA'!$AM$33)*(1-CUSTOS!$M$38)</f>
        <v>329.38655465139976</v>
      </c>
      <c r="AA331" s="6">
        <f ca="1">('TE BE'!$AB$24+'TE BF_350'!$AB$24+'TE CVA'!$AB$24)*(1-CUSTOS!$M$38)</f>
        <v>195.17260177664326</v>
      </c>
      <c r="AB331" s="6">
        <f>$K$331*$V$331</f>
        <v>0</v>
      </c>
      <c r="AC331" s="6">
        <f>$M$331*$W$331</f>
        <v>62865.130960000002</v>
      </c>
      <c r="AD331" s="6">
        <f>$O$331*$X$331</f>
        <v>67287.816789999997</v>
      </c>
      <c r="AE331" s="6">
        <f>$K$331*$Y$331</f>
        <v>0</v>
      </c>
      <c r="AF331" s="6">
        <f ca="1">$M$331*$Z$331</f>
        <v>87179.727579249928</v>
      </c>
      <c r="AG331" s="6">
        <f ca="1">$O$331*$AA$331</f>
        <v>51656.918030029505</v>
      </c>
    </row>
    <row r="332" spans="1:33" ht="11.25" customHeight="1" x14ac:dyDescent="0.25">
      <c r="A332" s="4" t="s">
        <v>27</v>
      </c>
      <c r="B332" s="4" t="s">
        <v>41</v>
      </c>
      <c r="C332" s="4" t="s">
        <v>23</v>
      </c>
      <c r="D332" s="4" t="s">
        <v>42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44593</v>
      </c>
      <c r="J332" s="6">
        <v>0</v>
      </c>
      <c r="K332" s="6">
        <v>0</v>
      </c>
      <c r="L332" s="6">
        <v>10.478999999999999</v>
      </c>
      <c r="M332" s="6">
        <v>10.478999999999999</v>
      </c>
      <c r="N332" s="6">
        <v>10.478999999999999</v>
      </c>
      <c r="O332" s="6">
        <v>10.478999999999999</v>
      </c>
      <c r="P332" s="6">
        <v>33</v>
      </c>
      <c r="Q332" s="4" t="s">
        <v>26</v>
      </c>
      <c r="R332" s="4">
        <v>0</v>
      </c>
      <c r="S332" s="6">
        <v>0</v>
      </c>
      <c r="T332" s="6">
        <v>50</v>
      </c>
      <c r="U332" s="6">
        <v>1</v>
      </c>
      <c r="V332" s="6">
        <f>IF(ISERROR(VLOOKUP($S$332,'TAR FIN'!$A$1:$O$88,15,0)),0,VLOOKUP($S$332,'TAR FIN'!$A$1:$O$88,15,0))</f>
        <v>0</v>
      </c>
      <c r="W332" s="6">
        <f>IF(ISERROR(VLOOKUP($T$332,'TAR FIN'!$A$1:$O$88,15,0)),0,VLOOKUP($T$332,'TAR FIN'!$A$1:$O$88,15,0))</f>
        <v>237.52</v>
      </c>
      <c r="X332" s="6">
        <f>IF(ISERROR(VLOOKUP($U$332,'TAR FIN'!$A$1:$O$88,15,0)),0,VLOOKUP($U$332,'TAR FIN'!$A$1:$O$88,15,0))</f>
        <v>254.23</v>
      </c>
      <c r="Y332" s="6"/>
      <c r="Z332" s="6">
        <f ca="1">('TUSD BE'!$AM$33+'TUSD BF_350'!$AM$33+'TUSD CVA'!$AM$33)*(1-CUSTOS!$M$38)</f>
        <v>329.38655465139976</v>
      </c>
      <c r="AA332" s="6">
        <f ca="1">('TE BE'!$AB$24+'TE BF_350'!$AB$24+'TE CVA'!$AB$24)*(1-CUSTOS!$M$38)</f>
        <v>195.17260177664326</v>
      </c>
      <c r="AB332" s="6">
        <f>$K$332*$V$332</f>
        <v>0</v>
      </c>
      <c r="AC332" s="6">
        <f>$M$332*$W$332</f>
        <v>2488.97208</v>
      </c>
      <c r="AD332" s="6">
        <f>$O$332*$X$332</f>
        <v>2664.0761699999998</v>
      </c>
      <c r="AE332" s="6">
        <f>$K$332*$Y$332</f>
        <v>0</v>
      </c>
      <c r="AF332" s="6">
        <f ca="1">$M$332*$Z$332</f>
        <v>3451.6417061920179</v>
      </c>
      <c r="AG332" s="6">
        <f ca="1">$O$332*$AA$332</f>
        <v>2045.2136940174446</v>
      </c>
    </row>
    <row r="333" spans="1:33" ht="11.25" customHeight="1" x14ac:dyDescent="0.25">
      <c r="A333" s="4" t="s">
        <v>21</v>
      </c>
      <c r="B333" s="4" t="s">
        <v>41</v>
      </c>
      <c r="C333" s="4" t="s">
        <v>23</v>
      </c>
      <c r="D333" s="4" t="s">
        <v>42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44621</v>
      </c>
      <c r="J333" s="6">
        <v>0</v>
      </c>
      <c r="K333" s="6">
        <v>0</v>
      </c>
      <c r="L333" s="6">
        <v>263.85599999999999</v>
      </c>
      <c r="M333" s="6">
        <v>263.85599999999999</v>
      </c>
      <c r="N333" s="6">
        <v>263.85599999999999</v>
      </c>
      <c r="O333" s="6">
        <v>263.85599999999999</v>
      </c>
      <c r="P333" s="6">
        <v>697</v>
      </c>
      <c r="Q333" s="4" t="s">
        <v>26</v>
      </c>
      <c r="R333" s="4">
        <v>0</v>
      </c>
      <c r="S333" s="6">
        <v>0</v>
      </c>
      <c r="T333" s="6">
        <v>50</v>
      </c>
      <c r="U333" s="6">
        <v>1</v>
      </c>
      <c r="V333" s="6">
        <f>IF(ISERROR(VLOOKUP($S$333,'TAR FIN'!$A$1:$O$88,15,0)),0,VLOOKUP($S$333,'TAR FIN'!$A$1:$O$88,15,0))</f>
        <v>0</v>
      </c>
      <c r="W333" s="6">
        <f>IF(ISERROR(VLOOKUP($T$333,'TAR FIN'!$A$1:$O$88,15,0)),0,VLOOKUP($T$333,'TAR FIN'!$A$1:$O$88,15,0))</f>
        <v>237.52</v>
      </c>
      <c r="X333" s="6">
        <f>IF(ISERROR(VLOOKUP($U$333,'TAR FIN'!$A$1:$O$88,15,0)),0,VLOOKUP($U$333,'TAR FIN'!$A$1:$O$88,15,0))</f>
        <v>254.23</v>
      </c>
      <c r="Y333" s="6"/>
      <c r="Z333" s="6">
        <f ca="1">('TUSD BE'!$AM$33+'TUSD BF_350'!$AM$33+'TUSD CVA'!$AM$33)*(1-CUSTOS!$M$38)</f>
        <v>329.38655465139976</v>
      </c>
      <c r="AA333" s="6">
        <f ca="1">('TE BE'!$AB$24+'TE BF_350'!$AB$24+'TE CVA'!$AB$24)*(1-CUSTOS!$M$38)</f>
        <v>195.17260177664326</v>
      </c>
      <c r="AB333" s="6">
        <f>$K$333*$V$333</f>
        <v>0</v>
      </c>
      <c r="AC333" s="6">
        <f>$M$333*$W$333</f>
        <v>62671.077120000002</v>
      </c>
      <c r="AD333" s="6">
        <f>$O$333*$X$333</f>
        <v>67080.110879999993</v>
      </c>
      <c r="AE333" s="6">
        <f>$K$333*$Y$333</f>
        <v>0</v>
      </c>
      <c r="AF333" s="6">
        <f ca="1">$M$333*$Z$333</f>
        <v>86910.618764099738</v>
      </c>
      <c r="AG333" s="6">
        <f ca="1">$O$333*$AA$333</f>
        <v>51497.462014377983</v>
      </c>
    </row>
    <row r="334" spans="1:33" ht="11.25" customHeight="1" x14ac:dyDescent="0.25">
      <c r="A334" s="4" t="s">
        <v>27</v>
      </c>
      <c r="B334" s="4" t="s">
        <v>41</v>
      </c>
      <c r="C334" s="4" t="s">
        <v>23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44621</v>
      </c>
      <c r="J334" s="6">
        <v>0</v>
      </c>
      <c r="K334" s="6">
        <v>0</v>
      </c>
      <c r="L334" s="6">
        <v>14.637</v>
      </c>
      <c r="M334" s="6">
        <v>14.637</v>
      </c>
      <c r="N334" s="6">
        <v>14.637</v>
      </c>
      <c r="O334" s="6">
        <v>14.637</v>
      </c>
      <c r="P334" s="6">
        <v>35</v>
      </c>
      <c r="Q334" s="4" t="s">
        <v>26</v>
      </c>
      <c r="R334" s="4">
        <v>0</v>
      </c>
      <c r="S334" s="6">
        <v>0</v>
      </c>
      <c r="T334" s="6">
        <v>50</v>
      </c>
      <c r="U334" s="6">
        <v>1</v>
      </c>
      <c r="V334" s="6">
        <f>IF(ISERROR(VLOOKUP($S$334,'TAR FIN'!$A$1:$O$88,15,0)),0,VLOOKUP($S$334,'TAR FIN'!$A$1:$O$88,15,0))</f>
        <v>0</v>
      </c>
      <c r="W334" s="6">
        <f>IF(ISERROR(VLOOKUP($T$334,'TAR FIN'!$A$1:$O$88,15,0)),0,VLOOKUP($T$334,'TAR FIN'!$A$1:$O$88,15,0))</f>
        <v>237.52</v>
      </c>
      <c r="X334" s="6">
        <f>IF(ISERROR(VLOOKUP($U$334,'TAR FIN'!$A$1:$O$88,15,0)),0,VLOOKUP($U$334,'TAR FIN'!$A$1:$O$88,15,0))</f>
        <v>254.23</v>
      </c>
      <c r="Y334" s="6"/>
      <c r="Z334" s="6">
        <f ca="1">('TUSD BE'!$AM$33+'TUSD BF_350'!$AM$33+'TUSD CVA'!$AM$33)*(1-CUSTOS!$M$38)</f>
        <v>329.38655465139976</v>
      </c>
      <c r="AA334" s="6">
        <f ca="1">('TE BE'!$AB$24+'TE BF_350'!$AB$24+'TE CVA'!$AB$24)*(1-CUSTOS!$M$38)</f>
        <v>195.17260177664326</v>
      </c>
      <c r="AB334" s="6">
        <f>$K$334*$V$334</f>
        <v>0</v>
      </c>
      <c r="AC334" s="6">
        <f>$M$334*$W$334</f>
        <v>3476.5802400000002</v>
      </c>
      <c r="AD334" s="6">
        <f>$O$334*$X$334</f>
        <v>3721.1645100000001</v>
      </c>
      <c r="AE334" s="6">
        <f>$K$334*$Y$334</f>
        <v>0</v>
      </c>
      <c r="AF334" s="6">
        <f ca="1">$M$334*$Z$334</f>
        <v>4821.2310004325382</v>
      </c>
      <c r="AG334" s="6">
        <f ca="1">$O$334*$AA$334</f>
        <v>2856.7413722047277</v>
      </c>
    </row>
    <row r="335" spans="1:33" ht="11.25" customHeight="1" x14ac:dyDescent="0.25">
      <c r="A335" s="4" t="s">
        <v>21</v>
      </c>
      <c r="B335" s="4" t="s">
        <v>41</v>
      </c>
      <c r="C335" s="4" t="s">
        <v>23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44652</v>
      </c>
      <c r="J335" s="6">
        <v>0</v>
      </c>
      <c r="K335" s="6">
        <v>0</v>
      </c>
      <c r="L335" s="6">
        <v>253.28200000000001</v>
      </c>
      <c r="M335" s="6">
        <v>253.28200000000001</v>
      </c>
      <c r="N335" s="6">
        <v>253.28200000000001</v>
      </c>
      <c r="O335" s="6">
        <v>253.28200000000001</v>
      </c>
      <c r="P335" s="6">
        <v>695</v>
      </c>
      <c r="Q335" s="4" t="s">
        <v>26</v>
      </c>
      <c r="R335" s="4">
        <v>0</v>
      </c>
      <c r="S335" s="6">
        <v>0</v>
      </c>
      <c r="T335" s="6">
        <v>50</v>
      </c>
      <c r="U335" s="6">
        <v>1</v>
      </c>
      <c r="V335" s="6">
        <f>IF(ISERROR(VLOOKUP($S$335,'TAR FIN'!$A$1:$O$88,15,0)),0,VLOOKUP($S$335,'TAR FIN'!$A$1:$O$88,15,0))</f>
        <v>0</v>
      </c>
      <c r="W335" s="6">
        <f>IF(ISERROR(VLOOKUP($T$335,'TAR FIN'!$A$1:$O$88,15,0)),0,VLOOKUP($T$335,'TAR FIN'!$A$1:$O$88,15,0))</f>
        <v>237.52</v>
      </c>
      <c r="X335" s="6">
        <f>IF(ISERROR(VLOOKUP($U$335,'TAR FIN'!$A$1:$O$88,15,0)),0,VLOOKUP($U$335,'TAR FIN'!$A$1:$O$88,15,0))</f>
        <v>254.23</v>
      </c>
      <c r="Y335" s="6"/>
      <c r="Z335" s="6">
        <f ca="1">('TUSD BE'!$AM$33+'TUSD BF_350'!$AM$33+'TUSD CVA'!$AM$33)*(1-CUSTOS!$M$38)</f>
        <v>329.38655465139976</v>
      </c>
      <c r="AA335" s="6">
        <f ca="1">('TE BE'!$AB$24+'TE BF_350'!$AB$24+'TE CVA'!$AB$24)*(1-CUSTOS!$M$38)</f>
        <v>195.17260177664326</v>
      </c>
      <c r="AB335" s="6">
        <f>$K$335*$V$335</f>
        <v>0</v>
      </c>
      <c r="AC335" s="6">
        <f>$M$335*$W$335</f>
        <v>60159.540640000007</v>
      </c>
      <c r="AD335" s="6">
        <f>$O$335*$X$335</f>
        <v>64391.882859999998</v>
      </c>
      <c r="AE335" s="6">
        <f>$K$335*$Y$335</f>
        <v>0</v>
      </c>
      <c r="AF335" s="6">
        <f ca="1">$M$335*$Z$335</f>
        <v>83427.685335215836</v>
      </c>
      <c r="AG335" s="6">
        <f ca="1">$O$335*$AA$335</f>
        <v>49433.706923191763</v>
      </c>
    </row>
    <row r="336" spans="1:33" ht="11.25" customHeight="1" x14ac:dyDescent="0.25">
      <c r="A336" s="4" t="s">
        <v>27</v>
      </c>
      <c r="B336" s="4" t="s">
        <v>41</v>
      </c>
      <c r="C336" s="4" t="s">
        <v>23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44652</v>
      </c>
      <c r="J336" s="6">
        <v>0</v>
      </c>
      <c r="K336" s="6">
        <v>0</v>
      </c>
      <c r="L336" s="6">
        <v>13.574999999999999</v>
      </c>
      <c r="M336" s="6">
        <v>13.574999999999999</v>
      </c>
      <c r="N336" s="6">
        <v>13.574999999999999</v>
      </c>
      <c r="O336" s="6">
        <v>13.574999999999999</v>
      </c>
      <c r="P336" s="6">
        <v>40</v>
      </c>
      <c r="Q336" s="4" t="s">
        <v>26</v>
      </c>
      <c r="R336" s="4">
        <v>0</v>
      </c>
      <c r="S336" s="6">
        <v>0</v>
      </c>
      <c r="T336" s="6">
        <v>50</v>
      </c>
      <c r="U336" s="6">
        <v>1</v>
      </c>
      <c r="V336" s="6">
        <f>IF(ISERROR(VLOOKUP($S$336,'TAR FIN'!$A$1:$O$88,15,0)),0,VLOOKUP($S$336,'TAR FIN'!$A$1:$O$88,15,0))</f>
        <v>0</v>
      </c>
      <c r="W336" s="6">
        <f>IF(ISERROR(VLOOKUP($T$336,'TAR FIN'!$A$1:$O$88,15,0)),0,VLOOKUP($T$336,'TAR FIN'!$A$1:$O$88,15,0))</f>
        <v>237.52</v>
      </c>
      <c r="X336" s="6">
        <f>IF(ISERROR(VLOOKUP($U$336,'TAR FIN'!$A$1:$O$88,15,0)),0,VLOOKUP($U$336,'TAR FIN'!$A$1:$O$88,15,0))</f>
        <v>254.23</v>
      </c>
      <c r="Y336" s="6"/>
      <c r="Z336" s="6">
        <f ca="1">('TUSD BE'!$AM$33+'TUSD BF_350'!$AM$33+'TUSD CVA'!$AM$33)*(1-CUSTOS!$M$38)</f>
        <v>329.38655465139976</v>
      </c>
      <c r="AA336" s="6">
        <f ca="1">('TE BE'!$AB$24+'TE BF_350'!$AB$24+'TE CVA'!$AB$24)*(1-CUSTOS!$M$38)</f>
        <v>195.17260177664326</v>
      </c>
      <c r="AB336" s="6">
        <f>$K$336*$V$336</f>
        <v>0</v>
      </c>
      <c r="AC336" s="6">
        <f>$M$336*$W$336</f>
        <v>3224.3339999999998</v>
      </c>
      <c r="AD336" s="6">
        <f>$O$336*$X$336</f>
        <v>3451.1722499999996</v>
      </c>
      <c r="AE336" s="6">
        <f>$K$336*$Y$336</f>
        <v>0</v>
      </c>
      <c r="AF336" s="6">
        <f ca="1">$M$336*$Z$336</f>
        <v>4471.4224793927515</v>
      </c>
      <c r="AG336" s="6">
        <f ca="1">$O$336*$AA$336</f>
        <v>2649.4680691179319</v>
      </c>
    </row>
    <row r="337" spans="1:33" ht="11.25" customHeight="1" x14ac:dyDescent="0.25">
      <c r="A337" s="4" t="s">
        <v>21</v>
      </c>
      <c r="B337" s="4" t="s">
        <v>41</v>
      </c>
      <c r="C337" s="4" t="s">
        <v>23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44682</v>
      </c>
      <c r="J337" s="6">
        <v>0</v>
      </c>
      <c r="K337" s="6">
        <v>0</v>
      </c>
      <c r="L337" s="6">
        <v>275.17200000000003</v>
      </c>
      <c r="M337" s="6">
        <v>275.17200000000003</v>
      </c>
      <c r="N337" s="6">
        <v>275.17200000000003</v>
      </c>
      <c r="O337" s="6">
        <v>275.17200000000003</v>
      </c>
      <c r="P337" s="6">
        <v>689</v>
      </c>
      <c r="Q337" s="4" t="s">
        <v>26</v>
      </c>
      <c r="R337" s="4">
        <v>0</v>
      </c>
      <c r="S337" s="6">
        <v>0</v>
      </c>
      <c r="T337" s="6">
        <v>50</v>
      </c>
      <c r="U337" s="6">
        <v>1</v>
      </c>
      <c r="V337" s="6">
        <f>IF(ISERROR(VLOOKUP($S$337,'TAR FIN'!$A$1:$O$88,15,0)),0,VLOOKUP($S$337,'TAR FIN'!$A$1:$O$88,15,0))</f>
        <v>0</v>
      </c>
      <c r="W337" s="6">
        <f>IF(ISERROR(VLOOKUP($T$337,'TAR FIN'!$A$1:$O$88,15,0)),0,VLOOKUP($T$337,'TAR FIN'!$A$1:$O$88,15,0))</f>
        <v>237.52</v>
      </c>
      <c r="X337" s="6">
        <f>IF(ISERROR(VLOOKUP($U$337,'TAR FIN'!$A$1:$O$88,15,0)),0,VLOOKUP($U$337,'TAR FIN'!$A$1:$O$88,15,0))</f>
        <v>254.23</v>
      </c>
      <c r="Y337" s="6"/>
      <c r="Z337" s="6">
        <f ca="1">('TUSD BE'!$AM$33+'TUSD BF_350'!$AM$33+'TUSD CVA'!$AM$33)*(1-CUSTOS!$M$38)</f>
        <v>329.38655465139976</v>
      </c>
      <c r="AA337" s="6">
        <f ca="1">('TE BE'!$AB$24+'TE BF_350'!$AB$24+'TE CVA'!$AB$24)*(1-CUSTOS!$M$38)</f>
        <v>195.17260177664326</v>
      </c>
      <c r="AB337" s="6">
        <f>$K$337*$V$337</f>
        <v>0</v>
      </c>
      <c r="AC337" s="6">
        <f>$M$337*$W$337</f>
        <v>65358.853440000006</v>
      </c>
      <c r="AD337" s="6">
        <f>$O$337*$X$337</f>
        <v>69956.977559999999</v>
      </c>
      <c r="AE337" s="6">
        <f>$K$337*$Y$337</f>
        <v>0</v>
      </c>
      <c r="AF337" s="6">
        <f ca="1">$M$337*$Z$337</f>
        <v>90637.957016534987</v>
      </c>
      <c r="AG337" s="6">
        <f ca="1">$O$337*$AA$337</f>
        <v>53706.035176082485</v>
      </c>
    </row>
    <row r="338" spans="1:33" ht="11.25" customHeight="1" x14ac:dyDescent="0.25">
      <c r="A338" s="4" t="s">
        <v>27</v>
      </c>
      <c r="B338" s="4" t="s">
        <v>41</v>
      </c>
      <c r="C338" s="4" t="s">
        <v>23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44682</v>
      </c>
      <c r="J338" s="6">
        <v>0</v>
      </c>
      <c r="K338" s="6">
        <v>0</v>
      </c>
      <c r="L338" s="6">
        <v>9.4760000000000009</v>
      </c>
      <c r="M338" s="6">
        <v>9.4760000000000009</v>
      </c>
      <c r="N338" s="6">
        <v>9.4760000000000009</v>
      </c>
      <c r="O338" s="6">
        <v>9.4760000000000009</v>
      </c>
      <c r="P338" s="6">
        <v>42</v>
      </c>
      <c r="Q338" s="4" t="s">
        <v>26</v>
      </c>
      <c r="R338" s="4">
        <v>0</v>
      </c>
      <c r="S338" s="6">
        <v>0</v>
      </c>
      <c r="T338" s="6">
        <v>50</v>
      </c>
      <c r="U338" s="6">
        <v>1</v>
      </c>
      <c r="V338" s="6">
        <f>IF(ISERROR(VLOOKUP($S$338,'TAR FIN'!$A$1:$O$88,15,0)),0,VLOOKUP($S$338,'TAR FIN'!$A$1:$O$88,15,0))</f>
        <v>0</v>
      </c>
      <c r="W338" s="6">
        <f>IF(ISERROR(VLOOKUP($T$338,'TAR FIN'!$A$1:$O$88,15,0)),0,VLOOKUP($T$338,'TAR FIN'!$A$1:$O$88,15,0))</f>
        <v>237.52</v>
      </c>
      <c r="X338" s="6">
        <f>IF(ISERROR(VLOOKUP($U$338,'TAR FIN'!$A$1:$O$88,15,0)),0,VLOOKUP($U$338,'TAR FIN'!$A$1:$O$88,15,0))</f>
        <v>254.23</v>
      </c>
      <c r="Y338" s="6"/>
      <c r="Z338" s="6">
        <f ca="1">('TUSD BE'!$AM$33+'TUSD BF_350'!$AM$33+'TUSD CVA'!$AM$33)*(1-CUSTOS!$M$38)</f>
        <v>329.38655465139976</v>
      </c>
      <c r="AA338" s="6">
        <f ca="1">('TE BE'!$AB$24+'TE BF_350'!$AB$24+'TE CVA'!$AB$24)*(1-CUSTOS!$M$38)</f>
        <v>195.17260177664326</v>
      </c>
      <c r="AB338" s="6">
        <f>$K$338*$V$338</f>
        <v>0</v>
      </c>
      <c r="AC338" s="6">
        <f>$M$338*$W$338</f>
        <v>2250.7395200000001</v>
      </c>
      <c r="AD338" s="6">
        <f>$O$338*$X$338</f>
        <v>2409.0834800000002</v>
      </c>
      <c r="AE338" s="6">
        <f>$K$338*$Y$338</f>
        <v>0</v>
      </c>
      <c r="AF338" s="6">
        <f ca="1">$M$338*$Z$338</f>
        <v>3121.2669918766646</v>
      </c>
      <c r="AG338" s="6">
        <f ca="1">$O$338*$AA$338</f>
        <v>1849.4555744354718</v>
      </c>
    </row>
    <row r="339" spans="1:33" ht="11.25" customHeight="1" x14ac:dyDescent="0.25">
      <c r="A339" s="4" t="s">
        <v>21</v>
      </c>
      <c r="B339" s="4" t="s">
        <v>41</v>
      </c>
      <c r="C339" s="4" t="s">
        <v>23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44713</v>
      </c>
      <c r="J339" s="6">
        <v>0</v>
      </c>
      <c r="K339" s="6">
        <v>0</v>
      </c>
      <c r="L339" s="6">
        <v>252.16800000000001</v>
      </c>
      <c r="M339" s="6">
        <v>252.16800000000001</v>
      </c>
      <c r="N339" s="6">
        <v>252.16800000000001</v>
      </c>
      <c r="O339" s="6">
        <v>252.16800000000001</v>
      </c>
      <c r="P339" s="6">
        <v>709</v>
      </c>
      <c r="Q339" s="4" t="s">
        <v>26</v>
      </c>
      <c r="R339" s="4">
        <v>0</v>
      </c>
      <c r="S339" s="6">
        <v>0</v>
      </c>
      <c r="T339" s="6">
        <v>50</v>
      </c>
      <c r="U339" s="6">
        <v>1</v>
      </c>
      <c r="V339" s="6">
        <f>IF(ISERROR(VLOOKUP($S$339,'TAR FIN'!$A$1:$O$88,15,0)),0,VLOOKUP($S$339,'TAR FIN'!$A$1:$O$88,15,0))</f>
        <v>0</v>
      </c>
      <c r="W339" s="6">
        <f>IF(ISERROR(VLOOKUP($T$339,'TAR FIN'!$A$1:$O$88,15,0)),0,VLOOKUP($T$339,'TAR FIN'!$A$1:$O$88,15,0))</f>
        <v>237.52</v>
      </c>
      <c r="X339" s="6">
        <f>IF(ISERROR(VLOOKUP($U$339,'TAR FIN'!$A$1:$O$88,15,0)),0,VLOOKUP($U$339,'TAR FIN'!$A$1:$O$88,15,0))</f>
        <v>254.23</v>
      </c>
      <c r="Y339" s="6"/>
      <c r="Z339" s="6">
        <f ca="1">('TUSD BE'!$AM$33+'TUSD BF_350'!$AM$33+'TUSD CVA'!$AM$33)*(1-CUSTOS!$M$38)</f>
        <v>329.38655465139976</v>
      </c>
      <c r="AA339" s="6">
        <f ca="1">('TE BE'!$AB$24+'TE BF_350'!$AB$24+'TE CVA'!$AB$24)*(1-CUSTOS!$M$38)</f>
        <v>195.17260177664326</v>
      </c>
      <c r="AB339" s="6">
        <f>$K$339*$V$339</f>
        <v>0</v>
      </c>
      <c r="AC339" s="6">
        <f>$M$339*$W$339</f>
        <v>59894.943360000005</v>
      </c>
      <c r="AD339" s="6">
        <f>$O$339*$X$339</f>
        <v>64108.670639999997</v>
      </c>
      <c r="AE339" s="6">
        <f>$K$339*$Y$339</f>
        <v>0</v>
      </c>
      <c r="AF339" s="6">
        <f ca="1">$M$339*$Z$339</f>
        <v>83060.748713334178</v>
      </c>
      <c r="AG339" s="6">
        <f ca="1">$O$339*$AA$339</f>
        <v>49216.284644812578</v>
      </c>
    </row>
    <row r="340" spans="1:33" ht="11.25" customHeight="1" x14ac:dyDescent="0.25">
      <c r="A340" s="4" t="s">
        <v>27</v>
      </c>
      <c r="B340" s="4" t="s">
        <v>41</v>
      </c>
      <c r="C340" s="4" t="s">
        <v>23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44713</v>
      </c>
      <c r="J340" s="6">
        <v>0</v>
      </c>
      <c r="K340" s="6">
        <v>0</v>
      </c>
      <c r="L340" s="6">
        <v>12.196999999999999</v>
      </c>
      <c r="M340" s="6">
        <v>12.196999999999999</v>
      </c>
      <c r="N340" s="6">
        <v>12.196999999999999</v>
      </c>
      <c r="O340" s="6">
        <v>12.196999999999999</v>
      </c>
      <c r="P340" s="6">
        <v>44</v>
      </c>
      <c r="Q340" s="4" t="s">
        <v>26</v>
      </c>
      <c r="R340" s="4">
        <v>0</v>
      </c>
      <c r="S340" s="6">
        <v>0</v>
      </c>
      <c r="T340" s="6">
        <v>50</v>
      </c>
      <c r="U340" s="6">
        <v>1</v>
      </c>
      <c r="V340" s="6">
        <f>IF(ISERROR(VLOOKUP($S$340,'TAR FIN'!$A$1:$O$88,15,0)),0,VLOOKUP($S$340,'TAR FIN'!$A$1:$O$88,15,0))</f>
        <v>0</v>
      </c>
      <c r="W340" s="6">
        <f>IF(ISERROR(VLOOKUP($T$340,'TAR FIN'!$A$1:$O$88,15,0)),0,VLOOKUP($T$340,'TAR FIN'!$A$1:$O$88,15,0))</f>
        <v>237.52</v>
      </c>
      <c r="X340" s="6">
        <f>IF(ISERROR(VLOOKUP($U$340,'TAR FIN'!$A$1:$O$88,15,0)),0,VLOOKUP($U$340,'TAR FIN'!$A$1:$O$88,15,0))</f>
        <v>254.23</v>
      </c>
      <c r="Y340" s="6"/>
      <c r="Z340" s="6">
        <f ca="1">('TUSD BE'!$AM$33+'TUSD BF_350'!$AM$33+'TUSD CVA'!$AM$33)*(1-CUSTOS!$M$38)</f>
        <v>329.38655465139976</v>
      </c>
      <c r="AA340" s="6">
        <f ca="1">('TE BE'!$AB$24+'TE BF_350'!$AB$24+'TE CVA'!$AB$24)*(1-CUSTOS!$M$38)</f>
        <v>195.17260177664326</v>
      </c>
      <c r="AB340" s="6">
        <f>$K$340*$V$340</f>
        <v>0</v>
      </c>
      <c r="AC340" s="6">
        <f>$M$340*$W$340</f>
        <v>2897.0314399999997</v>
      </c>
      <c r="AD340" s="6">
        <f>$O$340*$X$340</f>
        <v>3100.8433099999997</v>
      </c>
      <c r="AE340" s="6">
        <f>$K$340*$Y$340</f>
        <v>0</v>
      </c>
      <c r="AF340" s="6">
        <f ca="1">$M$340*$Z$340</f>
        <v>4017.5278070831228</v>
      </c>
      <c r="AG340" s="6">
        <f ca="1">$O$340*$AA$340</f>
        <v>2380.5202238697175</v>
      </c>
    </row>
    <row r="341" spans="1:33" ht="11.25" customHeight="1" x14ac:dyDescent="0.25">
      <c r="A341" s="4" t="s">
        <v>55</v>
      </c>
      <c r="B341" s="4" t="s">
        <v>41</v>
      </c>
      <c r="C341" s="4" t="s">
        <v>23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44743</v>
      </c>
      <c r="J341" s="6">
        <v>0</v>
      </c>
      <c r="K341" s="6">
        <v>0</v>
      </c>
      <c r="L341" s="6">
        <v>252.16800000000001</v>
      </c>
      <c r="M341" s="6">
        <v>252.16800000000001</v>
      </c>
      <c r="N341" s="6">
        <v>252.16800000000001</v>
      </c>
      <c r="O341" s="6">
        <v>252.16800000000001</v>
      </c>
      <c r="P341" s="6">
        <v>709</v>
      </c>
      <c r="Q341" s="4" t="s">
        <v>26</v>
      </c>
      <c r="R341" s="4">
        <v>0</v>
      </c>
      <c r="S341" s="6">
        <v>0</v>
      </c>
      <c r="T341" s="6">
        <v>50</v>
      </c>
      <c r="U341" s="6">
        <v>1</v>
      </c>
      <c r="V341" s="6">
        <f>IF(ISERROR(VLOOKUP($S$341,'TAR FIN'!$A$1:$O$88,15,0)),0,VLOOKUP($S$341,'TAR FIN'!$A$1:$O$88,15,0))</f>
        <v>0</v>
      </c>
      <c r="W341" s="6">
        <f>IF(ISERROR(VLOOKUP($T$341,'TAR FIN'!$A$1:$O$88,15,0)),0,VLOOKUP($T$341,'TAR FIN'!$A$1:$O$88,15,0))</f>
        <v>237.52</v>
      </c>
      <c r="X341" s="6">
        <f>IF(ISERROR(VLOOKUP($U$341,'TAR FIN'!$A$1:$O$88,15,0)),0,VLOOKUP($U$341,'TAR FIN'!$A$1:$O$88,15,0))</f>
        <v>254.23</v>
      </c>
      <c r="Y341" s="6"/>
      <c r="Z341" s="6">
        <f ca="1">('TUSD BE'!$AM$33+'TUSD BF_350'!$AM$33+'TUSD CVA'!$AM$33)*(1-CUSTOS!$M$38)</f>
        <v>329.38655465139976</v>
      </c>
      <c r="AA341" s="6">
        <f ca="1">('TE BE'!$AB$24+'TE BF_350'!$AB$24+'TE CVA'!$AB$24)*(1-CUSTOS!$M$38)</f>
        <v>195.17260177664326</v>
      </c>
      <c r="AB341" s="6">
        <f>$K$341*$V$341</f>
        <v>0</v>
      </c>
      <c r="AC341" s="6">
        <f>$M$341*$W$341</f>
        <v>59894.943360000005</v>
      </c>
      <c r="AD341" s="6">
        <f>$O$341*$X$341</f>
        <v>64108.670639999997</v>
      </c>
      <c r="AE341" s="6">
        <f>$K$341*$Y$341</f>
        <v>0</v>
      </c>
      <c r="AF341" s="6">
        <f ca="1">$M$341*$Z$341</f>
        <v>83060.748713334178</v>
      </c>
      <c r="AG341" s="6">
        <f ca="1">$O$341*$AA$341</f>
        <v>49216.284644812578</v>
      </c>
    </row>
    <row r="342" spans="1:33" ht="11.25" customHeight="1" x14ac:dyDescent="0.25">
      <c r="A342" s="4" t="s">
        <v>55</v>
      </c>
      <c r="B342" s="4" t="s">
        <v>41</v>
      </c>
      <c r="C342" s="4" t="s">
        <v>23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44743</v>
      </c>
      <c r="J342" s="6">
        <v>0</v>
      </c>
      <c r="K342" s="6">
        <v>0</v>
      </c>
      <c r="L342" s="6">
        <v>12.196999999999999</v>
      </c>
      <c r="M342" s="6">
        <v>12.196999999999999</v>
      </c>
      <c r="N342" s="6">
        <v>12.196999999999999</v>
      </c>
      <c r="O342" s="6">
        <v>12.196999999999999</v>
      </c>
      <c r="P342" s="6">
        <v>44</v>
      </c>
      <c r="Q342" s="4" t="s">
        <v>26</v>
      </c>
      <c r="R342" s="4">
        <v>0</v>
      </c>
      <c r="S342" s="6">
        <v>0</v>
      </c>
      <c r="T342" s="6">
        <v>50</v>
      </c>
      <c r="U342" s="6">
        <v>1</v>
      </c>
      <c r="V342" s="6">
        <f>IF(ISERROR(VLOOKUP($S$342,'TAR FIN'!$A$1:$O$88,15,0)),0,VLOOKUP($S$342,'TAR FIN'!$A$1:$O$88,15,0))</f>
        <v>0</v>
      </c>
      <c r="W342" s="6">
        <f>IF(ISERROR(VLOOKUP($T$342,'TAR FIN'!$A$1:$O$88,15,0)),0,VLOOKUP($T$342,'TAR FIN'!$A$1:$O$88,15,0))</f>
        <v>237.52</v>
      </c>
      <c r="X342" s="6">
        <f>IF(ISERROR(VLOOKUP($U$342,'TAR FIN'!$A$1:$O$88,15,0)),0,VLOOKUP($U$342,'TAR FIN'!$A$1:$O$88,15,0))</f>
        <v>254.23</v>
      </c>
      <c r="Y342" s="6"/>
      <c r="Z342" s="6">
        <f ca="1">('TUSD BE'!$AM$33+'TUSD BF_350'!$AM$33+'TUSD CVA'!$AM$33)*(1-CUSTOS!$M$38)</f>
        <v>329.38655465139976</v>
      </c>
      <c r="AA342" s="6">
        <f ca="1">('TE BE'!$AB$24+'TE BF_350'!$AB$24+'TE CVA'!$AB$24)*(1-CUSTOS!$M$38)</f>
        <v>195.17260177664326</v>
      </c>
      <c r="AB342" s="6">
        <f>$K$342*$V$342</f>
        <v>0</v>
      </c>
      <c r="AC342" s="6">
        <f>$M$342*$W$342</f>
        <v>2897.0314399999997</v>
      </c>
      <c r="AD342" s="6">
        <f>$O$342*$X$342</f>
        <v>3100.8433099999997</v>
      </c>
      <c r="AE342" s="6">
        <f>$K$342*$Y$342</f>
        <v>0</v>
      </c>
      <c r="AF342" s="6">
        <f ca="1">$M$342*$Z$342</f>
        <v>4017.5278070831228</v>
      </c>
      <c r="AG342" s="6">
        <f ca="1">$O$342*$AA$342</f>
        <v>2380.5202238697175</v>
      </c>
    </row>
    <row r="343" spans="1:33" ht="11.25" customHeight="1" x14ac:dyDescent="0.25">
      <c r="A343" s="4" t="s">
        <v>21</v>
      </c>
      <c r="B343" s="4" t="s">
        <v>36</v>
      </c>
      <c r="C343" s="4" t="s">
        <v>32</v>
      </c>
      <c r="D343" s="4" t="s">
        <v>40</v>
      </c>
      <c r="E343" s="4" t="s">
        <v>25</v>
      </c>
      <c r="F343" s="4" t="s">
        <v>25</v>
      </c>
      <c r="G343" s="4" t="s">
        <v>25</v>
      </c>
      <c r="H343" s="4" t="s">
        <v>34</v>
      </c>
      <c r="I343" s="5">
        <v>44409</v>
      </c>
      <c r="J343" s="6">
        <v>0</v>
      </c>
      <c r="K343" s="6">
        <v>0</v>
      </c>
      <c r="L343" s="6">
        <v>0.67900000000000005</v>
      </c>
      <c r="M343" s="6">
        <v>0.67900000000000005</v>
      </c>
      <c r="N343" s="6">
        <v>0.67900000000000005</v>
      </c>
      <c r="O343" s="6">
        <v>0.67900000000000005</v>
      </c>
      <c r="P343" s="6">
        <v>0</v>
      </c>
      <c r="Q343" s="4" t="s">
        <v>26</v>
      </c>
      <c r="R343" s="4">
        <v>0</v>
      </c>
      <c r="S343" s="6">
        <v>0</v>
      </c>
      <c r="T343" s="6">
        <v>64</v>
      </c>
      <c r="U343" s="6">
        <v>23</v>
      </c>
      <c r="V343" s="6">
        <f>IF(ISERROR(VLOOKUP($S$343,'TAR FIN'!$A$1:$O$88,15,0)),0,VLOOKUP($S$343,'TAR FIN'!$A$1:$O$88,15,0))</f>
        <v>0</v>
      </c>
      <c r="W343" s="6">
        <f>IF(ISERROR(VLOOKUP($T$343,'TAR FIN'!$A$1:$O$88,15,0)),0,VLOOKUP($T$343,'TAR FIN'!$A$1:$O$88,15,0))</f>
        <v>214.77</v>
      </c>
      <c r="X343" s="6">
        <f>IF(ISERROR(VLOOKUP($U$343,'TAR FIN'!$A$1:$O$88,15,0)),0,VLOOKUP($U$343,'TAR FIN'!$A$1:$O$88,15,0))</f>
        <v>275.36</v>
      </c>
      <c r="Y343" s="6"/>
      <c r="Z343" s="6">
        <f ca="1">('TUSD BE'!$AM$47+'TUSD BF_350'!$AM$47+'TUSD CVA'!$AM$47)*1</f>
        <v>269.96971100776761</v>
      </c>
      <c r="AA343" s="6">
        <f ca="1">('TE BE'!$AB$38+'TE BF_350'!$AB$38+'TE CVA'!$AB$38)*1</f>
        <v>197.6895725142987</v>
      </c>
      <c r="AB343" s="6">
        <f>$K$343*$V$343</f>
        <v>0</v>
      </c>
      <c r="AC343" s="6">
        <f>$M$343*$W$343</f>
        <v>145.82883000000001</v>
      </c>
      <c r="AD343" s="6">
        <f>$O$343*$X$343</f>
        <v>186.96944000000002</v>
      </c>
      <c r="AE343" s="6">
        <f>$K$343*$Y$343</f>
        <v>0</v>
      </c>
      <c r="AF343" s="6">
        <f ca="1">$M$343*$Z$343</f>
        <v>183.30943377427423</v>
      </c>
      <c r="AG343" s="6">
        <f ca="1">$O$343*$AA$343</f>
        <v>134.23121973720882</v>
      </c>
    </row>
    <row r="344" spans="1:33" ht="11.25" customHeight="1" x14ac:dyDescent="0.25">
      <c r="A344" s="4" t="s">
        <v>21</v>
      </c>
      <c r="B344" s="4" t="s">
        <v>36</v>
      </c>
      <c r="C344" s="4" t="s">
        <v>32</v>
      </c>
      <c r="D344" s="4" t="s">
        <v>40</v>
      </c>
      <c r="E344" s="4" t="s">
        <v>25</v>
      </c>
      <c r="F344" s="4" t="s">
        <v>25</v>
      </c>
      <c r="G344" s="4" t="s">
        <v>25</v>
      </c>
      <c r="H344" s="4" t="s">
        <v>34</v>
      </c>
      <c r="I344" s="5">
        <v>44440</v>
      </c>
      <c r="J344" s="6">
        <v>0</v>
      </c>
      <c r="K344" s="6">
        <v>0</v>
      </c>
      <c r="L344" s="6">
        <v>0.73699999999999999</v>
      </c>
      <c r="M344" s="6">
        <v>0.73699999999999999</v>
      </c>
      <c r="N344" s="6">
        <v>0.73699999999999999</v>
      </c>
      <c r="O344" s="6">
        <v>0.73699999999999999</v>
      </c>
      <c r="P344" s="6">
        <v>0</v>
      </c>
      <c r="Q344" s="4" t="s">
        <v>26</v>
      </c>
      <c r="R344" s="4">
        <v>0</v>
      </c>
      <c r="S344" s="6">
        <v>0</v>
      </c>
      <c r="T344" s="6">
        <v>64</v>
      </c>
      <c r="U344" s="6">
        <v>23</v>
      </c>
      <c r="V344" s="6">
        <f>IF(ISERROR(VLOOKUP($S$344,'TAR FIN'!$A$1:$O$88,15,0)),0,VLOOKUP($S$344,'TAR FIN'!$A$1:$O$88,15,0))</f>
        <v>0</v>
      </c>
      <c r="W344" s="6">
        <f>IF(ISERROR(VLOOKUP($T$344,'TAR FIN'!$A$1:$O$88,15,0)),0,VLOOKUP($T$344,'TAR FIN'!$A$1:$O$88,15,0))</f>
        <v>214.77</v>
      </c>
      <c r="X344" s="6">
        <f>IF(ISERROR(VLOOKUP($U$344,'TAR FIN'!$A$1:$O$88,15,0)),0,VLOOKUP($U$344,'TAR FIN'!$A$1:$O$88,15,0))</f>
        <v>275.36</v>
      </c>
      <c r="Y344" s="6"/>
      <c r="Z344" s="6">
        <f ca="1">('TUSD BE'!$AM$47+'TUSD BF_350'!$AM$47+'TUSD CVA'!$AM$47)*1</f>
        <v>269.96971100776761</v>
      </c>
      <c r="AA344" s="6">
        <f ca="1">('TE BE'!$AB$38+'TE BF_350'!$AB$38+'TE CVA'!$AB$38)*1</f>
        <v>197.6895725142987</v>
      </c>
      <c r="AB344" s="6">
        <f>$K$344*$V$344</f>
        <v>0</v>
      </c>
      <c r="AC344" s="6">
        <f>$M$344*$W$344</f>
        <v>158.28549000000001</v>
      </c>
      <c r="AD344" s="6">
        <f>$O$344*$X$344</f>
        <v>202.94032000000001</v>
      </c>
      <c r="AE344" s="6">
        <f>$K$344*$Y$344</f>
        <v>0</v>
      </c>
      <c r="AF344" s="6">
        <f ca="1">$M$344*$Z$344</f>
        <v>198.96767701272472</v>
      </c>
      <c r="AG344" s="6">
        <f ca="1">$O$344*$AA$344</f>
        <v>145.69721494303815</v>
      </c>
    </row>
    <row r="345" spans="1:33" ht="11.25" customHeight="1" x14ac:dyDescent="0.25">
      <c r="A345" s="4" t="s">
        <v>21</v>
      </c>
      <c r="B345" s="4" t="s">
        <v>36</v>
      </c>
      <c r="C345" s="4" t="s">
        <v>32</v>
      </c>
      <c r="D345" s="4" t="s">
        <v>40</v>
      </c>
      <c r="E345" s="4" t="s">
        <v>25</v>
      </c>
      <c r="F345" s="4" t="s">
        <v>25</v>
      </c>
      <c r="G345" s="4" t="s">
        <v>25</v>
      </c>
      <c r="H345" s="4" t="s">
        <v>34</v>
      </c>
      <c r="I345" s="5">
        <v>44470</v>
      </c>
      <c r="J345" s="6">
        <v>0</v>
      </c>
      <c r="K345" s="6">
        <v>0</v>
      </c>
      <c r="L345" s="6">
        <v>0.70199999999999996</v>
      </c>
      <c r="M345" s="6">
        <v>0.70199999999999996</v>
      </c>
      <c r="N345" s="6">
        <v>0.70199999999999996</v>
      </c>
      <c r="O345" s="6">
        <v>0.70199999999999996</v>
      </c>
      <c r="P345" s="6">
        <v>0</v>
      </c>
      <c r="Q345" s="4" t="s">
        <v>26</v>
      </c>
      <c r="R345" s="4">
        <v>0</v>
      </c>
      <c r="S345" s="6">
        <v>0</v>
      </c>
      <c r="T345" s="6">
        <v>64</v>
      </c>
      <c r="U345" s="6">
        <v>23</v>
      </c>
      <c r="V345" s="6">
        <f>IF(ISERROR(VLOOKUP($S$345,'TAR FIN'!$A$1:$O$88,15,0)),0,VLOOKUP($S$345,'TAR FIN'!$A$1:$O$88,15,0))</f>
        <v>0</v>
      </c>
      <c r="W345" s="6">
        <f>IF(ISERROR(VLOOKUP($T$345,'TAR FIN'!$A$1:$O$88,15,0)),0,VLOOKUP($T$345,'TAR FIN'!$A$1:$O$88,15,0))</f>
        <v>214.77</v>
      </c>
      <c r="X345" s="6">
        <f>IF(ISERROR(VLOOKUP($U$345,'TAR FIN'!$A$1:$O$88,15,0)),0,VLOOKUP($U$345,'TAR FIN'!$A$1:$O$88,15,0))</f>
        <v>275.36</v>
      </c>
      <c r="Y345" s="6"/>
      <c r="Z345" s="6">
        <f ca="1">('TUSD BE'!$AM$47+'TUSD BF_350'!$AM$47+'TUSD CVA'!$AM$47)*1</f>
        <v>269.96971100776761</v>
      </c>
      <c r="AA345" s="6">
        <f ca="1">('TE BE'!$AB$38+'TE BF_350'!$AB$38+'TE CVA'!$AB$38)*1</f>
        <v>197.6895725142987</v>
      </c>
      <c r="AB345" s="6">
        <f>$K$345*$V$345</f>
        <v>0</v>
      </c>
      <c r="AC345" s="6">
        <f>$M$345*$W$345</f>
        <v>150.76854</v>
      </c>
      <c r="AD345" s="6">
        <f>$O$345*$X$345</f>
        <v>193.30271999999999</v>
      </c>
      <c r="AE345" s="6">
        <f>$K$345*$Y$345</f>
        <v>0</v>
      </c>
      <c r="AF345" s="6">
        <f ca="1">$M$345*$Z$345</f>
        <v>189.51873712745285</v>
      </c>
      <c r="AG345" s="6">
        <f ca="1">$O$345*$AA$345</f>
        <v>138.77807990503769</v>
      </c>
    </row>
    <row r="346" spans="1:33" ht="11.25" customHeight="1" x14ac:dyDescent="0.25">
      <c r="A346" s="4" t="s">
        <v>21</v>
      </c>
      <c r="B346" s="4" t="s">
        <v>36</v>
      </c>
      <c r="C346" s="4" t="s">
        <v>32</v>
      </c>
      <c r="D346" s="4" t="s">
        <v>40</v>
      </c>
      <c r="E346" s="4" t="s">
        <v>25</v>
      </c>
      <c r="F346" s="4" t="s">
        <v>25</v>
      </c>
      <c r="G346" s="4" t="s">
        <v>25</v>
      </c>
      <c r="H346" s="4" t="s">
        <v>34</v>
      </c>
      <c r="I346" s="5">
        <v>44501</v>
      </c>
      <c r="J346" s="6">
        <v>0</v>
      </c>
      <c r="K346" s="6">
        <v>0</v>
      </c>
      <c r="L346" s="6">
        <v>1.1000000000000001</v>
      </c>
      <c r="M346" s="6">
        <v>1.1000000000000001</v>
      </c>
      <c r="N346" s="6">
        <v>1.1000000000000001</v>
      </c>
      <c r="O346" s="6">
        <v>1.1000000000000001</v>
      </c>
      <c r="P346" s="6">
        <v>0</v>
      </c>
      <c r="Q346" s="4" t="s">
        <v>26</v>
      </c>
      <c r="R346" s="4">
        <v>0</v>
      </c>
      <c r="S346" s="6">
        <v>0</v>
      </c>
      <c r="T346" s="6">
        <v>64</v>
      </c>
      <c r="U346" s="6">
        <v>23</v>
      </c>
      <c r="V346" s="6">
        <f>IF(ISERROR(VLOOKUP($S$346,'TAR FIN'!$A$1:$O$88,15,0)),0,VLOOKUP($S$346,'TAR FIN'!$A$1:$O$88,15,0))</f>
        <v>0</v>
      </c>
      <c r="W346" s="6">
        <f>IF(ISERROR(VLOOKUP($T$346,'TAR FIN'!$A$1:$O$88,15,0)),0,VLOOKUP($T$346,'TAR FIN'!$A$1:$O$88,15,0))</f>
        <v>214.77</v>
      </c>
      <c r="X346" s="6">
        <f>IF(ISERROR(VLOOKUP($U$346,'TAR FIN'!$A$1:$O$88,15,0)),0,VLOOKUP($U$346,'TAR FIN'!$A$1:$O$88,15,0))</f>
        <v>275.36</v>
      </c>
      <c r="Y346" s="6"/>
      <c r="Z346" s="6">
        <f ca="1">('TUSD BE'!$AM$47+'TUSD BF_350'!$AM$47+'TUSD CVA'!$AM$47)*1</f>
        <v>269.96971100776761</v>
      </c>
      <c r="AA346" s="6">
        <f ca="1">('TE BE'!$AB$38+'TE BF_350'!$AB$38+'TE CVA'!$AB$38)*1</f>
        <v>197.6895725142987</v>
      </c>
      <c r="AB346" s="6">
        <f>$K$346*$V$346</f>
        <v>0</v>
      </c>
      <c r="AC346" s="6">
        <f>$M$346*$W$346</f>
        <v>236.24700000000004</v>
      </c>
      <c r="AD346" s="6">
        <f>$O$346*$X$346</f>
        <v>302.89600000000002</v>
      </c>
      <c r="AE346" s="6">
        <f>$K$346*$Y$346</f>
        <v>0</v>
      </c>
      <c r="AF346" s="6">
        <f ca="1">$M$346*$Z$346</f>
        <v>296.96668210854438</v>
      </c>
      <c r="AG346" s="6">
        <f ca="1">$O$346*$AA$346</f>
        <v>217.4585297657286</v>
      </c>
    </row>
    <row r="347" spans="1:33" ht="11.25" customHeight="1" x14ac:dyDescent="0.25">
      <c r="A347" s="4" t="s">
        <v>21</v>
      </c>
      <c r="B347" s="4" t="s">
        <v>36</v>
      </c>
      <c r="C347" s="4" t="s">
        <v>32</v>
      </c>
      <c r="D347" s="4" t="s">
        <v>40</v>
      </c>
      <c r="E347" s="4" t="s">
        <v>25</v>
      </c>
      <c r="F347" s="4" t="s">
        <v>25</v>
      </c>
      <c r="G347" s="4" t="s">
        <v>25</v>
      </c>
      <c r="H347" s="4" t="s">
        <v>34</v>
      </c>
      <c r="I347" s="5">
        <v>44531</v>
      </c>
      <c r="J347" s="6">
        <v>0</v>
      </c>
      <c r="K347" s="6">
        <v>0</v>
      </c>
      <c r="L347" s="6">
        <v>1.31</v>
      </c>
      <c r="M347" s="6">
        <v>1.31</v>
      </c>
      <c r="N347" s="6">
        <v>1.31</v>
      </c>
      <c r="O347" s="6">
        <v>1.31</v>
      </c>
      <c r="P347" s="6">
        <v>0</v>
      </c>
      <c r="Q347" s="4" t="s">
        <v>26</v>
      </c>
      <c r="R347" s="4">
        <v>0</v>
      </c>
      <c r="S347" s="6">
        <v>0</v>
      </c>
      <c r="T347" s="6">
        <v>64</v>
      </c>
      <c r="U347" s="6">
        <v>23</v>
      </c>
      <c r="V347" s="6">
        <f>IF(ISERROR(VLOOKUP($S$347,'TAR FIN'!$A$1:$O$88,15,0)),0,VLOOKUP($S$347,'TAR FIN'!$A$1:$O$88,15,0))</f>
        <v>0</v>
      </c>
      <c r="W347" s="6">
        <f>IF(ISERROR(VLOOKUP($T$347,'TAR FIN'!$A$1:$O$88,15,0)),0,VLOOKUP($T$347,'TAR FIN'!$A$1:$O$88,15,0))</f>
        <v>214.77</v>
      </c>
      <c r="X347" s="6">
        <f>IF(ISERROR(VLOOKUP($U$347,'TAR FIN'!$A$1:$O$88,15,0)),0,VLOOKUP($U$347,'TAR FIN'!$A$1:$O$88,15,0))</f>
        <v>275.36</v>
      </c>
      <c r="Y347" s="6"/>
      <c r="Z347" s="6">
        <f ca="1">('TUSD BE'!$AM$47+'TUSD BF_350'!$AM$47+'TUSD CVA'!$AM$47)*1</f>
        <v>269.96971100776761</v>
      </c>
      <c r="AA347" s="6">
        <f ca="1">('TE BE'!$AB$38+'TE BF_350'!$AB$38+'TE CVA'!$AB$38)*1</f>
        <v>197.6895725142987</v>
      </c>
      <c r="AB347" s="6">
        <f>$K$347*$V$347</f>
        <v>0</v>
      </c>
      <c r="AC347" s="6">
        <f>$M$347*$W$347</f>
        <v>281.34870000000001</v>
      </c>
      <c r="AD347" s="6">
        <f>$O$347*$X$347</f>
        <v>360.72160000000002</v>
      </c>
      <c r="AE347" s="6">
        <f>$K$347*$Y$347</f>
        <v>0</v>
      </c>
      <c r="AF347" s="6">
        <f ca="1">$M$347*$Z$347</f>
        <v>353.66032142017559</v>
      </c>
      <c r="AG347" s="6">
        <f ca="1">$O$347*$AA$347</f>
        <v>258.97333999373132</v>
      </c>
    </row>
    <row r="348" spans="1:33" ht="11.25" customHeight="1" x14ac:dyDescent="0.25">
      <c r="A348" s="4" t="s">
        <v>21</v>
      </c>
      <c r="B348" s="4" t="s">
        <v>36</v>
      </c>
      <c r="C348" s="4" t="s">
        <v>32</v>
      </c>
      <c r="D348" s="4" t="s">
        <v>40</v>
      </c>
      <c r="E348" s="4" t="s">
        <v>25</v>
      </c>
      <c r="F348" s="4" t="s">
        <v>25</v>
      </c>
      <c r="G348" s="4" t="s">
        <v>25</v>
      </c>
      <c r="H348" s="4" t="s">
        <v>34</v>
      </c>
      <c r="I348" s="5">
        <v>44562</v>
      </c>
      <c r="J348" s="6">
        <v>0</v>
      </c>
      <c r="K348" s="6">
        <v>0</v>
      </c>
      <c r="L348" s="6">
        <v>1.37</v>
      </c>
      <c r="M348" s="6">
        <v>1.37</v>
      </c>
      <c r="N348" s="6">
        <v>1.37</v>
      </c>
      <c r="O348" s="6">
        <v>1.37</v>
      </c>
      <c r="P348" s="6">
        <v>0</v>
      </c>
      <c r="Q348" s="4" t="s">
        <v>26</v>
      </c>
      <c r="R348" s="4">
        <v>0</v>
      </c>
      <c r="S348" s="6">
        <v>0</v>
      </c>
      <c r="T348" s="6">
        <v>64</v>
      </c>
      <c r="U348" s="6">
        <v>23</v>
      </c>
      <c r="V348" s="6">
        <f>IF(ISERROR(VLOOKUP($S$348,'TAR FIN'!$A$1:$O$88,15,0)),0,VLOOKUP($S$348,'TAR FIN'!$A$1:$O$88,15,0))</f>
        <v>0</v>
      </c>
      <c r="W348" s="6">
        <f>IF(ISERROR(VLOOKUP($T$348,'TAR FIN'!$A$1:$O$88,15,0)),0,VLOOKUP($T$348,'TAR FIN'!$A$1:$O$88,15,0))</f>
        <v>214.77</v>
      </c>
      <c r="X348" s="6">
        <f>IF(ISERROR(VLOOKUP($U$348,'TAR FIN'!$A$1:$O$88,15,0)),0,VLOOKUP($U$348,'TAR FIN'!$A$1:$O$88,15,0))</f>
        <v>275.36</v>
      </c>
      <c r="Y348" s="6"/>
      <c r="Z348" s="6">
        <f ca="1">('TUSD BE'!$AM$47+'TUSD BF_350'!$AM$47+'TUSD CVA'!$AM$47)*1</f>
        <v>269.96971100776761</v>
      </c>
      <c r="AA348" s="6">
        <f ca="1">('TE BE'!$AB$38+'TE BF_350'!$AB$38+'TE CVA'!$AB$38)*1</f>
        <v>197.6895725142987</v>
      </c>
      <c r="AB348" s="6">
        <f>$K$348*$V$348</f>
        <v>0</v>
      </c>
      <c r="AC348" s="6">
        <f>$M$348*$W$348</f>
        <v>294.23490000000004</v>
      </c>
      <c r="AD348" s="6">
        <f>$O$348*$X$348</f>
        <v>377.24320000000006</v>
      </c>
      <c r="AE348" s="6">
        <f>$K$348*$Y$348</f>
        <v>0</v>
      </c>
      <c r="AF348" s="6">
        <f ca="1">$M$348*$Z$348</f>
        <v>369.85850408064164</v>
      </c>
      <c r="AG348" s="6">
        <f ca="1">$O$348*$AA$348</f>
        <v>270.83471434458926</v>
      </c>
    </row>
    <row r="349" spans="1:33" ht="11.25" customHeight="1" x14ac:dyDescent="0.25">
      <c r="A349" s="4" t="s">
        <v>21</v>
      </c>
      <c r="B349" s="4" t="s">
        <v>36</v>
      </c>
      <c r="C349" s="4" t="s">
        <v>32</v>
      </c>
      <c r="D349" s="4" t="s">
        <v>40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44593</v>
      </c>
      <c r="J349" s="6">
        <v>0</v>
      </c>
      <c r="K349" s="6">
        <v>0</v>
      </c>
      <c r="L349" s="6">
        <v>1.2749999999999999</v>
      </c>
      <c r="M349" s="6">
        <v>1.2749999999999999</v>
      </c>
      <c r="N349" s="6">
        <v>1.2749999999999999</v>
      </c>
      <c r="O349" s="6">
        <v>1.2749999999999999</v>
      </c>
      <c r="P349" s="6">
        <v>0</v>
      </c>
      <c r="Q349" s="4" t="s">
        <v>26</v>
      </c>
      <c r="R349" s="4">
        <v>0</v>
      </c>
      <c r="S349" s="6">
        <v>0</v>
      </c>
      <c r="T349" s="6">
        <v>64</v>
      </c>
      <c r="U349" s="6">
        <v>23</v>
      </c>
      <c r="V349" s="6">
        <f>IF(ISERROR(VLOOKUP($S$349,'TAR FIN'!$A$1:$O$88,15,0)),0,VLOOKUP($S$349,'TAR FIN'!$A$1:$O$88,15,0))</f>
        <v>0</v>
      </c>
      <c r="W349" s="6">
        <f>IF(ISERROR(VLOOKUP($T$349,'TAR FIN'!$A$1:$O$88,15,0)),0,VLOOKUP($T$349,'TAR FIN'!$A$1:$O$88,15,0))</f>
        <v>214.77</v>
      </c>
      <c r="X349" s="6">
        <f>IF(ISERROR(VLOOKUP($U$349,'TAR FIN'!$A$1:$O$88,15,0)),0,VLOOKUP($U$349,'TAR FIN'!$A$1:$O$88,15,0))</f>
        <v>275.36</v>
      </c>
      <c r="Y349" s="6"/>
      <c r="Z349" s="6">
        <f ca="1">('TUSD BE'!$AM$47+'TUSD BF_350'!$AM$47+'TUSD CVA'!$AM$47)*1</f>
        <v>269.96971100776761</v>
      </c>
      <c r="AA349" s="6">
        <f ca="1">('TE BE'!$AB$38+'TE BF_350'!$AB$38+'TE CVA'!$AB$38)*1</f>
        <v>197.6895725142987</v>
      </c>
      <c r="AB349" s="6">
        <f>$K$349*$V$349</f>
        <v>0</v>
      </c>
      <c r="AC349" s="6">
        <f>$M$349*$W$349</f>
        <v>273.83175</v>
      </c>
      <c r="AD349" s="6">
        <f>$O$349*$X$349</f>
        <v>351.084</v>
      </c>
      <c r="AE349" s="6">
        <f>$K$349*$Y$349</f>
        <v>0</v>
      </c>
      <c r="AF349" s="6">
        <f ca="1">$M$349*$Z$349</f>
        <v>344.21138153490369</v>
      </c>
      <c r="AG349" s="6">
        <f ca="1">$O$349*$AA$349</f>
        <v>252.05420495573082</v>
      </c>
    </row>
    <row r="350" spans="1:33" ht="11.25" customHeight="1" x14ac:dyDescent="0.25">
      <c r="A350" s="4" t="s">
        <v>21</v>
      </c>
      <c r="B350" s="4" t="s">
        <v>36</v>
      </c>
      <c r="C350" s="4" t="s">
        <v>32</v>
      </c>
      <c r="D350" s="4" t="s">
        <v>40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44621</v>
      </c>
      <c r="J350" s="6">
        <v>0</v>
      </c>
      <c r="K350" s="6">
        <v>0</v>
      </c>
      <c r="L350" s="6">
        <v>1.129</v>
      </c>
      <c r="M350" s="6">
        <v>1.129</v>
      </c>
      <c r="N350" s="6">
        <v>1.129</v>
      </c>
      <c r="O350" s="6">
        <v>1.129</v>
      </c>
      <c r="P350" s="6">
        <v>0</v>
      </c>
      <c r="Q350" s="4" t="s">
        <v>26</v>
      </c>
      <c r="R350" s="4">
        <v>0</v>
      </c>
      <c r="S350" s="6">
        <v>0</v>
      </c>
      <c r="T350" s="6">
        <v>64</v>
      </c>
      <c r="U350" s="6">
        <v>23</v>
      </c>
      <c r="V350" s="6">
        <f>IF(ISERROR(VLOOKUP($S$350,'TAR FIN'!$A$1:$O$88,15,0)),0,VLOOKUP($S$350,'TAR FIN'!$A$1:$O$88,15,0))</f>
        <v>0</v>
      </c>
      <c r="W350" s="6">
        <f>IF(ISERROR(VLOOKUP($T$350,'TAR FIN'!$A$1:$O$88,15,0)),0,VLOOKUP($T$350,'TAR FIN'!$A$1:$O$88,15,0))</f>
        <v>214.77</v>
      </c>
      <c r="X350" s="6">
        <f>IF(ISERROR(VLOOKUP($U$350,'TAR FIN'!$A$1:$O$88,15,0)),0,VLOOKUP($U$350,'TAR FIN'!$A$1:$O$88,15,0))</f>
        <v>275.36</v>
      </c>
      <c r="Y350" s="6"/>
      <c r="Z350" s="6">
        <f ca="1">('TUSD BE'!$AM$47+'TUSD BF_350'!$AM$47+'TUSD CVA'!$AM$47)*1</f>
        <v>269.96971100776761</v>
      </c>
      <c r="AA350" s="6">
        <f ca="1">('TE BE'!$AB$38+'TE BF_350'!$AB$38+'TE CVA'!$AB$38)*1</f>
        <v>197.6895725142987</v>
      </c>
      <c r="AB350" s="6">
        <f>$K$350*$V$350</f>
        <v>0</v>
      </c>
      <c r="AC350" s="6">
        <f>$M$350*$W$350</f>
        <v>242.47533000000001</v>
      </c>
      <c r="AD350" s="6">
        <f>$O$350*$X$350</f>
        <v>310.88144</v>
      </c>
      <c r="AE350" s="6">
        <f>$K$350*$Y$350</f>
        <v>0</v>
      </c>
      <c r="AF350" s="6">
        <f ca="1">$M$350*$Z$350</f>
        <v>304.79580372776962</v>
      </c>
      <c r="AG350" s="6">
        <f ca="1">$O$350*$AA$350</f>
        <v>223.19152736864325</v>
      </c>
    </row>
    <row r="351" spans="1:33" ht="11.25" customHeight="1" x14ac:dyDescent="0.25">
      <c r="A351" s="4" t="s">
        <v>21</v>
      </c>
      <c r="B351" s="4" t="s">
        <v>36</v>
      </c>
      <c r="C351" s="4" t="s">
        <v>32</v>
      </c>
      <c r="D351" s="4" t="s">
        <v>40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44652</v>
      </c>
      <c r="J351" s="6">
        <v>0</v>
      </c>
      <c r="K351" s="6">
        <v>0</v>
      </c>
      <c r="L351" s="6">
        <v>0.77100000000000002</v>
      </c>
      <c r="M351" s="6">
        <v>0.77100000000000002</v>
      </c>
      <c r="N351" s="6">
        <v>0.77100000000000002</v>
      </c>
      <c r="O351" s="6">
        <v>0.77100000000000002</v>
      </c>
      <c r="P351" s="6">
        <v>0</v>
      </c>
      <c r="Q351" s="4" t="s">
        <v>26</v>
      </c>
      <c r="R351" s="4">
        <v>0</v>
      </c>
      <c r="S351" s="6">
        <v>0</v>
      </c>
      <c r="T351" s="6">
        <v>64</v>
      </c>
      <c r="U351" s="6">
        <v>23</v>
      </c>
      <c r="V351" s="6">
        <f>IF(ISERROR(VLOOKUP($S$351,'TAR FIN'!$A$1:$O$88,15,0)),0,VLOOKUP($S$351,'TAR FIN'!$A$1:$O$88,15,0))</f>
        <v>0</v>
      </c>
      <c r="W351" s="6">
        <f>IF(ISERROR(VLOOKUP($T$351,'TAR FIN'!$A$1:$O$88,15,0)),0,VLOOKUP($T$351,'TAR FIN'!$A$1:$O$88,15,0))</f>
        <v>214.77</v>
      </c>
      <c r="X351" s="6">
        <f>IF(ISERROR(VLOOKUP($U$351,'TAR FIN'!$A$1:$O$88,15,0)),0,VLOOKUP($U$351,'TAR FIN'!$A$1:$O$88,15,0))</f>
        <v>275.36</v>
      </c>
      <c r="Y351" s="6"/>
      <c r="Z351" s="6">
        <f ca="1">('TUSD BE'!$AM$47+'TUSD BF_350'!$AM$47+'TUSD CVA'!$AM$47)*1</f>
        <v>269.96971100776761</v>
      </c>
      <c r="AA351" s="6">
        <f ca="1">('TE BE'!$AB$38+'TE BF_350'!$AB$38+'TE CVA'!$AB$38)*1</f>
        <v>197.6895725142987</v>
      </c>
      <c r="AB351" s="6">
        <f>$K$351*$V$351</f>
        <v>0</v>
      </c>
      <c r="AC351" s="6">
        <f>$M$351*$W$351</f>
        <v>165.58767</v>
      </c>
      <c r="AD351" s="6">
        <f>$O$351*$X$351</f>
        <v>212.30256000000003</v>
      </c>
      <c r="AE351" s="6">
        <f>$K$351*$Y$351</f>
        <v>0</v>
      </c>
      <c r="AF351" s="6">
        <f ca="1">$M$351*$Z$351</f>
        <v>208.14664718698884</v>
      </c>
      <c r="AG351" s="6">
        <f ca="1">$O$351*$AA$351</f>
        <v>152.41866040852432</v>
      </c>
    </row>
    <row r="352" spans="1:33" ht="11.25" customHeight="1" x14ac:dyDescent="0.25">
      <c r="A352" s="4" t="s">
        <v>21</v>
      </c>
      <c r="B352" s="4" t="s">
        <v>36</v>
      </c>
      <c r="C352" s="4" t="s">
        <v>32</v>
      </c>
      <c r="D352" s="4" t="s">
        <v>40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44682</v>
      </c>
      <c r="J352" s="6">
        <v>0</v>
      </c>
      <c r="K352" s="6">
        <v>0</v>
      </c>
      <c r="L352" s="6">
        <v>0.61699999999999999</v>
      </c>
      <c r="M352" s="6">
        <v>0.61699999999999999</v>
      </c>
      <c r="N352" s="6">
        <v>0.61699999999999999</v>
      </c>
      <c r="O352" s="6">
        <v>0.61699999999999999</v>
      </c>
      <c r="P352" s="6">
        <v>0</v>
      </c>
      <c r="Q352" s="4" t="s">
        <v>26</v>
      </c>
      <c r="R352" s="4">
        <v>0</v>
      </c>
      <c r="S352" s="6">
        <v>0</v>
      </c>
      <c r="T352" s="6">
        <v>64</v>
      </c>
      <c r="U352" s="6">
        <v>23</v>
      </c>
      <c r="V352" s="6">
        <f>IF(ISERROR(VLOOKUP($S$352,'TAR FIN'!$A$1:$O$88,15,0)),0,VLOOKUP($S$352,'TAR FIN'!$A$1:$O$88,15,0))</f>
        <v>0</v>
      </c>
      <c r="W352" s="6">
        <f>IF(ISERROR(VLOOKUP($T$352,'TAR FIN'!$A$1:$O$88,15,0)),0,VLOOKUP($T$352,'TAR FIN'!$A$1:$O$88,15,0))</f>
        <v>214.77</v>
      </c>
      <c r="X352" s="6">
        <f>IF(ISERROR(VLOOKUP($U$352,'TAR FIN'!$A$1:$O$88,15,0)),0,VLOOKUP($U$352,'TAR FIN'!$A$1:$O$88,15,0))</f>
        <v>275.36</v>
      </c>
      <c r="Y352" s="6"/>
      <c r="Z352" s="6">
        <f ca="1">('TUSD BE'!$AM$47+'TUSD BF_350'!$AM$47+'TUSD CVA'!$AM$47)*1</f>
        <v>269.96971100776761</v>
      </c>
      <c r="AA352" s="6">
        <f ca="1">('TE BE'!$AB$38+'TE BF_350'!$AB$38+'TE CVA'!$AB$38)*1</f>
        <v>197.6895725142987</v>
      </c>
      <c r="AB352" s="6">
        <f>$K$352*$V$352</f>
        <v>0</v>
      </c>
      <c r="AC352" s="6">
        <f>$M$352*$W$352</f>
        <v>132.51309000000001</v>
      </c>
      <c r="AD352" s="6">
        <f>$O$352*$X$352</f>
        <v>169.89712</v>
      </c>
      <c r="AE352" s="6">
        <f>$K$352*$Y$352</f>
        <v>0</v>
      </c>
      <c r="AF352" s="6">
        <f ca="1">$M$352*$Z$352</f>
        <v>166.57131169179263</v>
      </c>
      <c r="AG352" s="6">
        <f ca="1">$O$352*$AA$352</f>
        <v>121.9744662413223</v>
      </c>
    </row>
    <row r="353" spans="1:33" ht="11.25" customHeight="1" x14ac:dyDescent="0.25">
      <c r="A353" s="4" t="s">
        <v>21</v>
      </c>
      <c r="B353" s="4" t="s">
        <v>36</v>
      </c>
      <c r="C353" s="4" t="s">
        <v>32</v>
      </c>
      <c r="D353" s="4" t="s">
        <v>40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44713</v>
      </c>
      <c r="J353" s="6">
        <v>0</v>
      </c>
      <c r="K353" s="6">
        <v>0</v>
      </c>
      <c r="L353" s="6">
        <v>0.443</v>
      </c>
      <c r="M353" s="6">
        <v>0.443</v>
      </c>
      <c r="N353" s="6">
        <v>0.443</v>
      </c>
      <c r="O353" s="6">
        <v>0.443</v>
      </c>
      <c r="P353" s="6">
        <v>0</v>
      </c>
      <c r="Q353" s="4" t="s">
        <v>26</v>
      </c>
      <c r="R353" s="4">
        <v>0</v>
      </c>
      <c r="S353" s="6">
        <v>0</v>
      </c>
      <c r="T353" s="6">
        <v>64</v>
      </c>
      <c r="U353" s="6">
        <v>23</v>
      </c>
      <c r="V353" s="6">
        <f>IF(ISERROR(VLOOKUP($S$353,'TAR FIN'!$A$1:$O$88,15,0)),0,VLOOKUP($S$353,'TAR FIN'!$A$1:$O$88,15,0))</f>
        <v>0</v>
      </c>
      <c r="W353" s="6">
        <f>IF(ISERROR(VLOOKUP($T$353,'TAR FIN'!$A$1:$O$88,15,0)),0,VLOOKUP($T$353,'TAR FIN'!$A$1:$O$88,15,0))</f>
        <v>214.77</v>
      </c>
      <c r="X353" s="6">
        <f>IF(ISERROR(VLOOKUP($U$353,'TAR FIN'!$A$1:$O$88,15,0)),0,VLOOKUP($U$353,'TAR FIN'!$A$1:$O$88,15,0))</f>
        <v>275.36</v>
      </c>
      <c r="Y353" s="6"/>
      <c r="Z353" s="6">
        <f ca="1">('TUSD BE'!$AM$47+'TUSD BF_350'!$AM$47+'TUSD CVA'!$AM$47)*1</f>
        <v>269.96971100776761</v>
      </c>
      <c r="AA353" s="6">
        <f ca="1">('TE BE'!$AB$38+'TE BF_350'!$AB$38+'TE CVA'!$AB$38)*1</f>
        <v>197.6895725142987</v>
      </c>
      <c r="AB353" s="6">
        <f>$K$353*$V$353</f>
        <v>0</v>
      </c>
      <c r="AC353" s="6">
        <f>$M$353*$W$353</f>
        <v>95.143110000000007</v>
      </c>
      <c r="AD353" s="6">
        <f>$O$353*$X$353</f>
        <v>121.98448</v>
      </c>
      <c r="AE353" s="6">
        <f>$K$353*$Y$353</f>
        <v>0</v>
      </c>
      <c r="AF353" s="6">
        <f ca="1">$M$353*$Z$353</f>
        <v>119.59658197644106</v>
      </c>
      <c r="AG353" s="6">
        <f ca="1">$O$353*$AA$353</f>
        <v>87.576480623834328</v>
      </c>
    </row>
    <row r="354" spans="1:33" ht="11.25" customHeight="1" x14ac:dyDescent="0.25">
      <c r="A354" s="4" t="s">
        <v>55</v>
      </c>
      <c r="B354" s="4" t="s">
        <v>36</v>
      </c>
      <c r="C354" s="4" t="s">
        <v>32</v>
      </c>
      <c r="D354" s="4" t="s">
        <v>40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44743</v>
      </c>
      <c r="J354" s="6">
        <v>0</v>
      </c>
      <c r="K354" s="6">
        <v>0</v>
      </c>
      <c r="L354" s="6">
        <v>0.443</v>
      </c>
      <c r="M354" s="6">
        <v>0.443</v>
      </c>
      <c r="N354" s="6">
        <v>0.443</v>
      </c>
      <c r="O354" s="6">
        <v>0.443</v>
      </c>
      <c r="P354" s="6">
        <v>0</v>
      </c>
      <c r="Q354" s="4" t="s">
        <v>26</v>
      </c>
      <c r="R354" s="4">
        <v>0</v>
      </c>
      <c r="S354" s="6">
        <v>0</v>
      </c>
      <c r="T354" s="6">
        <v>64</v>
      </c>
      <c r="U354" s="6">
        <v>23</v>
      </c>
      <c r="V354" s="6">
        <f>IF(ISERROR(VLOOKUP($S$354,'TAR FIN'!$A$1:$O$88,15,0)),0,VLOOKUP($S$354,'TAR FIN'!$A$1:$O$88,15,0))</f>
        <v>0</v>
      </c>
      <c r="W354" s="6">
        <f>IF(ISERROR(VLOOKUP($T$354,'TAR FIN'!$A$1:$O$88,15,0)),0,VLOOKUP($T$354,'TAR FIN'!$A$1:$O$88,15,0))</f>
        <v>214.77</v>
      </c>
      <c r="X354" s="6">
        <f>IF(ISERROR(VLOOKUP($U$354,'TAR FIN'!$A$1:$O$88,15,0)),0,VLOOKUP($U$354,'TAR FIN'!$A$1:$O$88,15,0))</f>
        <v>275.36</v>
      </c>
      <c r="Y354" s="6"/>
      <c r="Z354" s="6">
        <f ca="1">('TUSD BE'!$AM$47+'TUSD BF_350'!$AM$47+'TUSD CVA'!$AM$47)*1</f>
        <v>269.96971100776761</v>
      </c>
      <c r="AA354" s="6">
        <f ca="1">('TE BE'!$AB$38+'TE BF_350'!$AB$38+'TE CVA'!$AB$38)*1</f>
        <v>197.6895725142987</v>
      </c>
      <c r="AB354" s="6">
        <f>$K$354*$V$354</f>
        <v>0</v>
      </c>
      <c r="AC354" s="6">
        <f>$M$354*$W$354</f>
        <v>95.143110000000007</v>
      </c>
      <c r="AD354" s="6">
        <f>$O$354*$X$354</f>
        <v>121.98448</v>
      </c>
      <c r="AE354" s="6">
        <f>$K$354*$Y$354</f>
        <v>0</v>
      </c>
      <c r="AF354" s="6">
        <f ca="1">$M$354*$Z$354</f>
        <v>119.59658197644106</v>
      </c>
      <c r="AG354" s="6">
        <f ca="1">$O$354*$AA$354</f>
        <v>87.576480623834328</v>
      </c>
    </row>
    <row r="355" spans="1:33" ht="11.25" customHeight="1" x14ac:dyDescent="0.25">
      <c r="A355" s="4" t="s">
        <v>21</v>
      </c>
      <c r="B355" s="4" t="s">
        <v>36</v>
      </c>
      <c r="C355" s="4" t="s">
        <v>32</v>
      </c>
      <c r="D355" s="4" t="s">
        <v>40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44409</v>
      </c>
      <c r="J355" s="6">
        <v>0</v>
      </c>
      <c r="K355" s="6">
        <v>0</v>
      </c>
      <c r="L355" s="6">
        <v>2.5999999999999999E-2</v>
      </c>
      <c r="M355" s="6">
        <v>2.5999999999999999E-2</v>
      </c>
      <c r="N355" s="6">
        <v>2.5999999999999999E-2</v>
      </c>
      <c r="O355" s="6">
        <v>2.5999999999999999E-2</v>
      </c>
      <c r="P355" s="6">
        <v>0</v>
      </c>
      <c r="Q355" s="4" t="s">
        <v>26</v>
      </c>
      <c r="R355" s="4">
        <v>0</v>
      </c>
      <c r="S355" s="6">
        <v>0</v>
      </c>
      <c r="T355" s="6">
        <v>63</v>
      </c>
      <c r="U355" s="6">
        <v>22</v>
      </c>
      <c r="V355" s="6">
        <f>IF(ISERROR(VLOOKUP($S$355,'TAR FIN'!$A$1:$O$88,15,0)),0,VLOOKUP($S$355,'TAR FIN'!$A$1:$O$88,15,0))</f>
        <v>0</v>
      </c>
      <c r="W355" s="6">
        <f>IF(ISERROR(VLOOKUP($T$355,'TAR FIN'!$A$1:$O$88,15,0)),0,VLOOKUP($T$355,'TAR FIN'!$A$1:$O$88,15,0))</f>
        <v>428.83</v>
      </c>
      <c r="X355" s="6">
        <f>IF(ISERROR(VLOOKUP($U$355,'TAR FIN'!$A$1:$O$88,15,0)),0,VLOOKUP($U$355,'TAR FIN'!$A$1:$O$88,15,0))</f>
        <v>275.36</v>
      </c>
      <c r="Y355" s="6"/>
      <c r="Z355" s="6">
        <f ca="1">('TUSD BE'!$AM$46+'TUSD BF_350'!$AM$46+'TUSD CVA'!$AM$46)*1</f>
        <v>582.27187973444109</v>
      </c>
      <c r="AA355" s="6">
        <f ca="1">('TE BE'!$AB$37+'TE BF_350'!$AB$37+'TE CVA'!$AB$37)*1</f>
        <v>197.6895725142987</v>
      </c>
      <c r="AB355" s="6">
        <f>$K$355*$V$355</f>
        <v>0</v>
      </c>
      <c r="AC355" s="6">
        <f>$M$355*$W$355</f>
        <v>11.149579999999998</v>
      </c>
      <c r="AD355" s="6">
        <f>$O$355*$X$355</f>
        <v>7.1593600000000004</v>
      </c>
      <c r="AE355" s="6">
        <f>$K$355*$Y$355</f>
        <v>0</v>
      </c>
      <c r="AF355" s="6">
        <f ca="1">$M$355*$Z$355</f>
        <v>15.139068873095468</v>
      </c>
      <c r="AG355" s="6">
        <f ca="1">$O$355*$AA$355</f>
        <v>5.1399288853717664</v>
      </c>
    </row>
    <row r="356" spans="1:33" ht="11.25" customHeight="1" x14ac:dyDescent="0.25">
      <c r="A356" s="4" t="s">
        <v>21</v>
      </c>
      <c r="B356" s="4" t="s">
        <v>36</v>
      </c>
      <c r="C356" s="4" t="s">
        <v>32</v>
      </c>
      <c r="D356" s="4" t="s">
        <v>40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44440</v>
      </c>
      <c r="J356" s="6">
        <v>0</v>
      </c>
      <c r="K356" s="6">
        <v>0</v>
      </c>
      <c r="L356" s="6">
        <v>2.8000000000000001E-2</v>
      </c>
      <c r="M356" s="6">
        <v>2.8000000000000001E-2</v>
      </c>
      <c r="N356" s="6">
        <v>2.8000000000000001E-2</v>
      </c>
      <c r="O356" s="6">
        <v>2.8000000000000001E-2</v>
      </c>
      <c r="P356" s="6">
        <v>0</v>
      </c>
      <c r="Q356" s="4" t="s">
        <v>26</v>
      </c>
      <c r="R356" s="4">
        <v>0</v>
      </c>
      <c r="S356" s="6">
        <v>0</v>
      </c>
      <c r="T356" s="6">
        <v>63</v>
      </c>
      <c r="U356" s="6">
        <v>22</v>
      </c>
      <c r="V356" s="6">
        <f>IF(ISERROR(VLOOKUP($S$356,'TAR FIN'!$A$1:$O$88,15,0)),0,VLOOKUP($S$356,'TAR FIN'!$A$1:$O$88,15,0))</f>
        <v>0</v>
      </c>
      <c r="W356" s="6">
        <f>IF(ISERROR(VLOOKUP($T$356,'TAR FIN'!$A$1:$O$88,15,0)),0,VLOOKUP($T$356,'TAR FIN'!$A$1:$O$88,15,0))</f>
        <v>428.83</v>
      </c>
      <c r="X356" s="6">
        <f>IF(ISERROR(VLOOKUP($U$356,'TAR FIN'!$A$1:$O$88,15,0)),0,VLOOKUP($U$356,'TAR FIN'!$A$1:$O$88,15,0))</f>
        <v>275.36</v>
      </c>
      <c r="Y356" s="6"/>
      <c r="Z356" s="6">
        <f ca="1">('TUSD BE'!$AM$46+'TUSD BF_350'!$AM$46+'TUSD CVA'!$AM$46)*1</f>
        <v>582.27187973444109</v>
      </c>
      <c r="AA356" s="6">
        <f ca="1">('TE BE'!$AB$37+'TE BF_350'!$AB$37+'TE CVA'!$AB$37)*1</f>
        <v>197.6895725142987</v>
      </c>
      <c r="AB356" s="6">
        <f>$K$356*$V$356</f>
        <v>0</v>
      </c>
      <c r="AC356" s="6">
        <f>$M$356*$W$356</f>
        <v>12.007239999999999</v>
      </c>
      <c r="AD356" s="6">
        <f>$O$356*$X$356</f>
        <v>7.7100800000000005</v>
      </c>
      <c r="AE356" s="6">
        <f>$K$356*$Y$356</f>
        <v>0</v>
      </c>
      <c r="AF356" s="6">
        <f ca="1">$M$356*$Z$356</f>
        <v>16.303612632564352</v>
      </c>
      <c r="AG356" s="6">
        <f ca="1">$O$356*$AA$356</f>
        <v>5.5353080304003637</v>
      </c>
    </row>
    <row r="357" spans="1:33" ht="11.25" customHeight="1" x14ac:dyDescent="0.25">
      <c r="A357" s="4" t="s">
        <v>21</v>
      </c>
      <c r="B357" s="4" t="s">
        <v>36</v>
      </c>
      <c r="C357" s="4" t="s">
        <v>32</v>
      </c>
      <c r="D357" s="4" t="s">
        <v>40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44470</v>
      </c>
      <c r="J357" s="6">
        <v>0</v>
      </c>
      <c r="K357" s="6">
        <v>0</v>
      </c>
      <c r="L357" s="6">
        <v>3.1E-2</v>
      </c>
      <c r="M357" s="6">
        <v>3.1E-2</v>
      </c>
      <c r="N357" s="6">
        <v>3.1E-2</v>
      </c>
      <c r="O357" s="6">
        <v>3.1E-2</v>
      </c>
      <c r="P357" s="6">
        <v>0</v>
      </c>
      <c r="Q357" s="4" t="s">
        <v>26</v>
      </c>
      <c r="R357" s="4">
        <v>0</v>
      </c>
      <c r="S357" s="6">
        <v>0</v>
      </c>
      <c r="T357" s="6">
        <v>63</v>
      </c>
      <c r="U357" s="6">
        <v>22</v>
      </c>
      <c r="V357" s="6">
        <f>IF(ISERROR(VLOOKUP($S$357,'TAR FIN'!$A$1:$O$88,15,0)),0,VLOOKUP($S$357,'TAR FIN'!$A$1:$O$88,15,0))</f>
        <v>0</v>
      </c>
      <c r="W357" s="6">
        <f>IF(ISERROR(VLOOKUP($T$357,'TAR FIN'!$A$1:$O$88,15,0)),0,VLOOKUP($T$357,'TAR FIN'!$A$1:$O$88,15,0))</f>
        <v>428.83</v>
      </c>
      <c r="X357" s="6">
        <f>IF(ISERROR(VLOOKUP($U$357,'TAR FIN'!$A$1:$O$88,15,0)),0,VLOOKUP($U$357,'TAR FIN'!$A$1:$O$88,15,0))</f>
        <v>275.36</v>
      </c>
      <c r="Y357" s="6"/>
      <c r="Z357" s="6">
        <f ca="1">('TUSD BE'!$AM$46+'TUSD BF_350'!$AM$46+'TUSD CVA'!$AM$46)*1</f>
        <v>582.27187973444109</v>
      </c>
      <c r="AA357" s="6">
        <f ca="1">('TE BE'!$AB$37+'TE BF_350'!$AB$37+'TE CVA'!$AB$37)*1</f>
        <v>197.6895725142987</v>
      </c>
      <c r="AB357" s="6">
        <f>$K$357*$V$357</f>
        <v>0</v>
      </c>
      <c r="AC357" s="6">
        <f>$M$357*$W$357</f>
        <v>13.29373</v>
      </c>
      <c r="AD357" s="6">
        <f>$O$357*$X$357</f>
        <v>8.5361600000000006</v>
      </c>
      <c r="AE357" s="6">
        <f>$K$357*$Y$357</f>
        <v>0</v>
      </c>
      <c r="AF357" s="6">
        <f ca="1">$M$357*$Z$357</f>
        <v>18.050428271767675</v>
      </c>
      <c r="AG357" s="6">
        <f ca="1">$O$357*$AA$357</f>
        <v>6.1283767479432596</v>
      </c>
    </row>
    <row r="358" spans="1:33" ht="11.25" customHeight="1" x14ac:dyDescent="0.25">
      <c r="A358" s="4" t="s">
        <v>21</v>
      </c>
      <c r="B358" s="4" t="s">
        <v>36</v>
      </c>
      <c r="C358" s="4" t="s">
        <v>32</v>
      </c>
      <c r="D358" s="4" t="s">
        <v>40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44501</v>
      </c>
      <c r="J358" s="6">
        <v>0</v>
      </c>
      <c r="K358" s="6">
        <v>0</v>
      </c>
      <c r="L358" s="6">
        <v>4.8000000000000001E-2</v>
      </c>
      <c r="M358" s="6">
        <v>4.8000000000000001E-2</v>
      </c>
      <c r="N358" s="6">
        <v>4.8000000000000001E-2</v>
      </c>
      <c r="O358" s="6">
        <v>4.8000000000000001E-2</v>
      </c>
      <c r="P358" s="6">
        <v>0</v>
      </c>
      <c r="Q358" s="4" t="s">
        <v>26</v>
      </c>
      <c r="R358" s="4">
        <v>0</v>
      </c>
      <c r="S358" s="6">
        <v>0</v>
      </c>
      <c r="T358" s="6">
        <v>63</v>
      </c>
      <c r="U358" s="6">
        <v>22</v>
      </c>
      <c r="V358" s="6">
        <f>IF(ISERROR(VLOOKUP($S$358,'TAR FIN'!$A$1:$O$88,15,0)),0,VLOOKUP($S$358,'TAR FIN'!$A$1:$O$88,15,0))</f>
        <v>0</v>
      </c>
      <c r="W358" s="6">
        <f>IF(ISERROR(VLOOKUP($T$358,'TAR FIN'!$A$1:$O$88,15,0)),0,VLOOKUP($T$358,'TAR FIN'!$A$1:$O$88,15,0))</f>
        <v>428.83</v>
      </c>
      <c r="X358" s="6">
        <f>IF(ISERROR(VLOOKUP($U$358,'TAR FIN'!$A$1:$O$88,15,0)),0,VLOOKUP($U$358,'TAR FIN'!$A$1:$O$88,15,0))</f>
        <v>275.36</v>
      </c>
      <c r="Y358" s="6"/>
      <c r="Z358" s="6">
        <f ca="1">('TUSD BE'!$AM$46+'TUSD BF_350'!$AM$46+'TUSD CVA'!$AM$46)*1</f>
        <v>582.27187973444109</v>
      </c>
      <c r="AA358" s="6">
        <f ca="1">('TE BE'!$AB$37+'TE BF_350'!$AB$37+'TE CVA'!$AB$37)*1</f>
        <v>197.6895725142987</v>
      </c>
      <c r="AB358" s="6">
        <f>$K$358*$V$358</f>
        <v>0</v>
      </c>
      <c r="AC358" s="6">
        <f>$M$358*$W$358</f>
        <v>20.583839999999999</v>
      </c>
      <c r="AD358" s="6">
        <f>$O$358*$X$358</f>
        <v>13.217280000000001</v>
      </c>
      <c r="AE358" s="6">
        <f>$K$358*$Y$358</f>
        <v>0</v>
      </c>
      <c r="AF358" s="6">
        <f ca="1">$M$358*$Z$358</f>
        <v>27.949050227253174</v>
      </c>
      <c r="AG358" s="6">
        <f ca="1">$O$358*$AA$358</f>
        <v>9.4890994806863382</v>
      </c>
    </row>
    <row r="359" spans="1:33" ht="11.25" customHeight="1" x14ac:dyDescent="0.25">
      <c r="A359" s="4" t="s">
        <v>21</v>
      </c>
      <c r="B359" s="4" t="s">
        <v>36</v>
      </c>
      <c r="C359" s="4" t="s">
        <v>32</v>
      </c>
      <c r="D359" s="4" t="s">
        <v>40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44531</v>
      </c>
      <c r="J359" s="6">
        <v>0</v>
      </c>
      <c r="K359" s="6">
        <v>0</v>
      </c>
      <c r="L359" s="6">
        <v>4.9000000000000002E-2</v>
      </c>
      <c r="M359" s="6">
        <v>4.9000000000000002E-2</v>
      </c>
      <c r="N359" s="6">
        <v>4.9000000000000002E-2</v>
      </c>
      <c r="O359" s="6">
        <v>4.9000000000000002E-2</v>
      </c>
      <c r="P359" s="6">
        <v>0</v>
      </c>
      <c r="Q359" s="4" t="s">
        <v>26</v>
      </c>
      <c r="R359" s="4">
        <v>0</v>
      </c>
      <c r="S359" s="6">
        <v>0</v>
      </c>
      <c r="T359" s="6">
        <v>63</v>
      </c>
      <c r="U359" s="6">
        <v>22</v>
      </c>
      <c r="V359" s="6">
        <f>IF(ISERROR(VLOOKUP($S$359,'TAR FIN'!$A$1:$O$88,15,0)),0,VLOOKUP($S$359,'TAR FIN'!$A$1:$O$88,15,0))</f>
        <v>0</v>
      </c>
      <c r="W359" s="6">
        <f>IF(ISERROR(VLOOKUP($T$359,'TAR FIN'!$A$1:$O$88,15,0)),0,VLOOKUP($T$359,'TAR FIN'!$A$1:$O$88,15,0))</f>
        <v>428.83</v>
      </c>
      <c r="X359" s="6">
        <f>IF(ISERROR(VLOOKUP($U$359,'TAR FIN'!$A$1:$O$88,15,0)),0,VLOOKUP($U$359,'TAR FIN'!$A$1:$O$88,15,0))</f>
        <v>275.36</v>
      </c>
      <c r="Y359" s="6"/>
      <c r="Z359" s="6">
        <f ca="1">('TUSD BE'!$AM$46+'TUSD BF_350'!$AM$46+'TUSD CVA'!$AM$46)*1</f>
        <v>582.27187973444109</v>
      </c>
      <c r="AA359" s="6">
        <f ca="1">('TE BE'!$AB$37+'TE BF_350'!$AB$37+'TE CVA'!$AB$37)*1</f>
        <v>197.6895725142987</v>
      </c>
      <c r="AB359" s="6">
        <f>$K$359*$V$359</f>
        <v>0</v>
      </c>
      <c r="AC359" s="6">
        <f>$M$359*$W$359</f>
        <v>21.01267</v>
      </c>
      <c r="AD359" s="6">
        <f>$O$359*$X$359</f>
        <v>13.492640000000002</v>
      </c>
      <c r="AE359" s="6">
        <f>$K$359*$Y$359</f>
        <v>0</v>
      </c>
      <c r="AF359" s="6">
        <f ca="1">$M$359*$Z$359</f>
        <v>28.531322106987613</v>
      </c>
      <c r="AG359" s="6">
        <f ca="1">$O$359*$AA$359</f>
        <v>9.686789053200636</v>
      </c>
    </row>
    <row r="360" spans="1:33" ht="11.25" customHeight="1" x14ac:dyDescent="0.25">
      <c r="A360" s="4" t="s">
        <v>21</v>
      </c>
      <c r="B360" s="4" t="s">
        <v>36</v>
      </c>
      <c r="C360" s="4" t="s">
        <v>32</v>
      </c>
      <c r="D360" s="4" t="s">
        <v>40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44562</v>
      </c>
      <c r="J360" s="6">
        <v>0</v>
      </c>
      <c r="K360" s="6">
        <v>0</v>
      </c>
      <c r="L360" s="6">
        <v>4.1000000000000002E-2</v>
      </c>
      <c r="M360" s="6">
        <v>4.1000000000000002E-2</v>
      </c>
      <c r="N360" s="6">
        <v>4.1000000000000002E-2</v>
      </c>
      <c r="O360" s="6">
        <v>4.1000000000000002E-2</v>
      </c>
      <c r="P360" s="6">
        <v>0</v>
      </c>
      <c r="Q360" s="4" t="s">
        <v>26</v>
      </c>
      <c r="R360" s="4">
        <v>0</v>
      </c>
      <c r="S360" s="6">
        <v>0</v>
      </c>
      <c r="T360" s="6">
        <v>63</v>
      </c>
      <c r="U360" s="6">
        <v>22</v>
      </c>
      <c r="V360" s="6">
        <f>IF(ISERROR(VLOOKUP($S$360,'TAR FIN'!$A$1:$O$88,15,0)),0,VLOOKUP($S$360,'TAR FIN'!$A$1:$O$88,15,0))</f>
        <v>0</v>
      </c>
      <c r="W360" s="6">
        <f>IF(ISERROR(VLOOKUP($T$360,'TAR FIN'!$A$1:$O$88,15,0)),0,VLOOKUP($T$360,'TAR FIN'!$A$1:$O$88,15,0))</f>
        <v>428.83</v>
      </c>
      <c r="X360" s="6">
        <f>IF(ISERROR(VLOOKUP($U$360,'TAR FIN'!$A$1:$O$88,15,0)),0,VLOOKUP($U$360,'TAR FIN'!$A$1:$O$88,15,0))</f>
        <v>275.36</v>
      </c>
      <c r="Y360" s="6"/>
      <c r="Z360" s="6">
        <f ca="1">('TUSD BE'!$AM$46+'TUSD BF_350'!$AM$46+'TUSD CVA'!$AM$46)*1</f>
        <v>582.27187973444109</v>
      </c>
      <c r="AA360" s="6">
        <f ca="1">('TE BE'!$AB$37+'TE BF_350'!$AB$37+'TE CVA'!$AB$37)*1</f>
        <v>197.6895725142987</v>
      </c>
      <c r="AB360" s="6">
        <f>$K$360*$V$360</f>
        <v>0</v>
      </c>
      <c r="AC360" s="6">
        <f>$M$360*$W$360</f>
        <v>17.58203</v>
      </c>
      <c r="AD360" s="6">
        <f>$O$360*$X$360</f>
        <v>11.289760000000001</v>
      </c>
      <c r="AE360" s="6">
        <f>$K$360*$Y$360</f>
        <v>0</v>
      </c>
      <c r="AF360" s="6">
        <f ca="1">$M$360*$Z$360</f>
        <v>23.873147069112086</v>
      </c>
      <c r="AG360" s="6">
        <f ca="1">$O$360*$AA$360</f>
        <v>8.1052724730862469</v>
      </c>
    </row>
    <row r="361" spans="1:33" ht="11.25" customHeight="1" x14ac:dyDescent="0.25">
      <c r="A361" s="4" t="s">
        <v>21</v>
      </c>
      <c r="B361" s="4" t="s">
        <v>36</v>
      </c>
      <c r="C361" s="4" t="s">
        <v>32</v>
      </c>
      <c r="D361" s="4" t="s">
        <v>40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44593</v>
      </c>
      <c r="J361" s="6">
        <v>0</v>
      </c>
      <c r="K361" s="6">
        <v>0</v>
      </c>
      <c r="L361" s="6">
        <v>6.4000000000000001E-2</v>
      </c>
      <c r="M361" s="6">
        <v>6.4000000000000001E-2</v>
      </c>
      <c r="N361" s="6">
        <v>6.4000000000000001E-2</v>
      </c>
      <c r="O361" s="6">
        <v>6.4000000000000001E-2</v>
      </c>
      <c r="P361" s="6">
        <v>0</v>
      </c>
      <c r="Q361" s="4" t="s">
        <v>26</v>
      </c>
      <c r="R361" s="4">
        <v>0</v>
      </c>
      <c r="S361" s="6">
        <v>0</v>
      </c>
      <c r="T361" s="6">
        <v>63</v>
      </c>
      <c r="U361" s="6">
        <v>22</v>
      </c>
      <c r="V361" s="6">
        <f>IF(ISERROR(VLOOKUP($S$361,'TAR FIN'!$A$1:$O$88,15,0)),0,VLOOKUP($S$361,'TAR FIN'!$A$1:$O$88,15,0))</f>
        <v>0</v>
      </c>
      <c r="W361" s="6">
        <f>IF(ISERROR(VLOOKUP($T$361,'TAR FIN'!$A$1:$O$88,15,0)),0,VLOOKUP($T$361,'TAR FIN'!$A$1:$O$88,15,0))</f>
        <v>428.83</v>
      </c>
      <c r="X361" s="6">
        <f>IF(ISERROR(VLOOKUP($U$361,'TAR FIN'!$A$1:$O$88,15,0)),0,VLOOKUP($U$361,'TAR FIN'!$A$1:$O$88,15,0))</f>
        <v>275.36</v>
      </c>
      <c r="Y361" s="6"/>
      <c r="Z361" s="6">
        <f ca="1">('TUSD BE'!$AM$46+'TUSD BF_350'!$AM$46+'TUSD CVA'!$AM$46)*1</f>
        <v>582.27187973444109</v>
      </c>
      <c r="AA361" s="6">
        <f ca="1">('TE BE'!$AB$37+'TE BF_350'!$AB$37+'TE CVA'!$AB$37)*1</f>
        <v>197.6895725142987</v>
      </c>
      <c r="AB361" s="6">
        <f>$K$361*$V$361</f>
        <v>0</v>
      </c>
      <c r="AC361" s="6">
        <f>$M$361*$W$361</f>
        <v>27.445119999999999</v>
      </c>
      <c r="AD361" s="6">
        <f>$O$361*$X$361</f>
        <v>17.62304</v>
      </c>
      <c r="AE361" s="6">
        <f>$K$361*$Y$361</f>
        <v>0</v>
      </c>
      <c r="AF361" s="6">
        <f ca="1">$M$361*$Z$361</f>
        <v>37.265400303004228</v>
      </c>
      <c r="AG361" s="6">
        <f ca="1">$O$361*$AA$361</f>
        <v>12.652132640915116</v>
      </c>
    </row>
    <row r="362" spans="1:33" ht="11.25" customHeight="1" x14ac:dyDescent="0.25">
      <c r="A362" s="4" t="s">
        <v>21</v>
      </c>
      <c r="B362" s="4" t="s">
        <v>36</v>
      </c>
      <c r="C362" s="4" t="s">
        <v>32</v>
      </c>
      <c r="D362" s="4" t="s">
        <v>40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44621</v>
      </c>
      <c r="J362" s="6">
        <v>0</v>
      </c>
      <c r="K362" s="6">
        <v>0</v>
      </c>
      <c r="L362" s="6">
        <v>4.3999999999999997E-2</v>
      </c>
      <c r="M362" s="6">
        <v>4.3999999999999997E-2</v>
      </c>
      <c r="N362" s="6">
        <v>4.3999999999999997E-2</v>
      </c>
      <c r="O362" s="6">
        <v>4.3999999999999997E-2</v>
      </c>
      <c r="P362" s="6">
        <v>0</v>
      </c>
      <c r="Q362" s="4" t="s">
        <v>26</v>
      </c>
      <c r="R362" s="4">
        <v>0</v>
      </c>
      <c r="S362" s="6">
        <v>0</v>
      </c>
      <c r="T362" s="6">
        <v>63</v>
      </c>
      <c r="U362" s="6">
        <v>22</v>
      </c>
      <c r="V362" s="6">
        <f>IF(ISERROR(VLOOKUP($S$362,'TAR FIN'!$A$1:$O$88,15,0)),0,VLOOKUP($S$362,'TAR FIN'!$A$1:$O$88,15,0))</f>
        <v>0</v>
      </c>
      <c r="W362" s="6">
        <f>IF(ISERROR(VLOOKUP($T$362,'TAR FIN'!$A$1:$O$88,15,0)),0,VLOOKUP($T$362,'TAR FIN'!$A$1:$O$88,15,0))</f>
        <v>428.83</v>
      </c>
      <c r="X362" s="6">
        <f>IF(ISERROR(VLOOKUP($U$362,'TAR FIN'!$A$1:$O$88,15,0)),0,VLOOKUP($U$362,'TAR FIN'!$A$1:$O$88,15,0))</f>
        <v>275.36</v>
      </c>
      <c r="Y362" s="6"/>
      <c r="Z362" s="6">
        <f ca="1">('TUSD BE'!$AM$46+'TUSD BF_350'!$AM$46+'TUSD CVA'!$AM$46)*1</f>
        <v>582.27187973444109</v>
      </c>
      <c r="AA362" s="6">
        <f ca="1">('TE BE'!$AB$37+'TE BF_350'!$AB$37+'TE CVA'!$AB$37)*1</f>
        <v>197.6895725142987</v>
      </c>
      <c r="AB362" s="6">
        <f>$K$362*$V$362</f>
        <v>0</v>
      </c>
      <c r="AC362" s="6">
        <f>$M$362*$W$362</f>
        <v>18.868519999999997</v>
      </c>
      <c r="AD362" s="6">
        <f>$O$362*$X$362</f>
        <v>12.11584</v>
      </c>
      <c r="AE362" s="6">
        <f>$K$362*$Y$362</f>
        <v>0</v>
      </c>
      <c r="AF362" s="6">
        <f ca="1">$M$362*$Z$362</f>
        <v>25.619962708315406</v>
      </c>
      <c r="AG362" s="6">
        <f ca="1">$O$362*$AA$362</f>
        <v>8.6983411906291419</v>
      </c>
    </row>
    <row r="363" spans="1:33" ht="11.25" customHeight="1" x14ac:dyDescent="0.25">
      <c r="A363" s="4" t="s">
        <v>21</v>
      </c>
      <c r="B363" s="4" t="s">
        <v>36</v>
      </c>
      <c r="C363" s="4" t="s">
        <v>32</v>
      </c>
      <c r="D363" s="4" t="s">
        <v>40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44652</v>
      </c>
      <c r="J363" s="6">
        <v>0</v>
      </c>
      <c r="K363" s="6">
        <v>0</v>
      </c>
      <c r="L363" s="6">
        <v>3.6999999999999998E-2</v>
      </c>
      <c r="M363" s="6">
        <v>3.6999999999999998E-2</v>
      </c>
      <c r="N363" s="6">
        <v>3.6999999999999998E-2</v>
      </c>
      <c r="O363" s="6">
        <v>3.6999999999999998E-2</v>
      </c>
      <c r="P363" s="6">
        <v>0</v>
      </c>
      <c r="Q363" s="4" t="s">
        <v>26</v>
      </c>
      <c r="R363" s="4">
        <v>0</v>
      </c>
      <c r="S363" s="6">
        <v>0</v>
      </c>
      <c r="T363" s="6">
        <v>63</v>
      </c>
      <c r="U363" s="6">
        <v>22</v>
      </c>
      <c r="V363" s="6">
        <f>IF(ISERROR(VLOOKUP($S$363,'TAR FIN'!$A$1:$O$88,15,0)),0,VLOOKUP($S$363,'TAR FIN'!$A$1:$O$88,15,0))</f>
        <v>0</v>
      </c>
      <c r="W363" s="6">
        <f>IF(ISERROR(VLOOKUP($T$363,'TAR FIN'!$A$1:$O$88,15,0)),0,VLOOKUP($T$363,'TAR FIN'!$A$1:$O$88,15,0))</f>
        <v>428.83</v>
      </c>
      <c r="X363" s="6">
        <f>IF(ISERROR(VLOOKUP($U$363,'TAR FIN'!$A$1:$O$88,15,0)),0,VLOOKUP($U$363,'TAR FIN'!$A$1:$O$88,15,0))</f>
        <v>275.36</v>
      </c>
      <c r="Y363" s="6"/>
      <c r="Z363" s="6">
        <f ca="1">('TUSD BE'!$AM$46+'TUSD BF_350'!$AM$46+'TUSD CVA'!$AM$46)*1</f>
        <v>582.27187973444109</v>
      </c>
      <c r="AA363" s="6">
        <f ca="1">('TE BE'!$AB$37+'TE BF_350'!$AB$37+'TE CVA'!$AB$37)*1</f>
        <v>197.6895725142987</v>
      </c>
      <c r="AB363" s="6">
        <f>$K$363*$V$363</f>
        <v>0</v>
      </c>
      <c r="AC363" s="6">
        <f>$M$363*$W$363</f>
        <v>15.866709999999999</v>
      </c>
      <c r="AD363" s="6">
        <f>$O$363*$X$363</f>
        <v>10.188319999999999</v>
      </c>
      <c r="AE363" s="6">
        <f>$K$363*$Y$363</f>
        <v>0</v>
      </c>
      <c r="AF363" s="6">
        <f ca="1">$M$363*$Z$363</f>
        <v>21.544059550174318</v>
      </c>
      <c r="AG363" s="6">
        <f ca="1">$O$363*$AA$363</f>
        <v>7.3145141830290514</v>
      </c>
    </row>
    <row r="364" spans="1:33" ht="11.25" customHeight="1" x14ac:dyDescent="0.25">
      <c r="A364" s="4" t="s">
        <v>21</v>
      </c>
      <c r="B364" s="4" t="s">
        <v>36</v>
      </c>
      <c r="C364" s="4" t="s">
        <v>32</v>
      </c>
      <c r="D364" s="4" t="s">
        <v>40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44682</v>
      </c>
      <c r="J364" s="6">
        <v>0</v>
      </c>
      <c r="K364" s="6">
        <v>0</v>
      </c>
      <c r="L364" s="6">
        <v>3.5000000000000003E-2</v>
      </c>
      <c r="M364" s="6">
        <v>3.5000000000000003E-2</v>
      </c>
      <c r="N364" s="6">
        <v>3.5000000000000003E-2</v>
      </c>
      <c r="O364" s="6">
        <v>3.5000000000000003E-2</v>
      </c>
      <c r="P364" s="6">
        <v>0</v>
      </c>
      <c r="Q364" s="4" t="s">
        <v>26</v>
      </c>
      <c r="R364" s="4">
        <v>0</v>
      </c>
      <c r="S364" s="6">
        <v>0</v>
      </c>
      <c r="T364" s="6">
        <v>63</v>
      </c>
      <c r="U364" s="6">
        <v>22</v>
      </c>
      <c r="V364" s="6">
        <f>IF(ISERROR(VLOOKUP($S$364,'TAR FIN'!$A$1:$O$88,15,0)),0,VLOOKUP($S$364,'TAR FIN'!$A$1:$O$88,15,0))</f>
        <v>0</v>
      </c>
      <c r="W364" s="6">
        <f>IF(ISERROR(VLOOKUP($T$364,'TAR FIN'!$A$1:$O$88,15,0)),0,VLOOKUP($T$364,'TAR FIN'!$A$1:$O$88,15,0))</f>
        <v>428.83</v>
      </c>
      <c r="X364" s="6">
        <f>IF(ISERROR(VLOOKUP($U$364,'TAR FIN'!$A$1:$O$88,15,0)),0,VLOOKUP($U$364,'TAR FIN'!$A$1:$O$88,15,0))</f>
        <v>275.36</v>
      </c>
      <c r="Y364" s="6"/>
      <c r="Z364" s="6">
        <f ca="1">('TUSD BE'!$AM$46+'TUSD BF_350'!$AM$46+'TUSD CVA'!$AM$46)*1</f>
        <v>582.27187973444109</v>
      </c>
      <c r="AA364" s="6">
        <f ca="1">('TE BE'!$AB$37+'TE BF_350'!$AB$37+'TE CVA'!$AB$37)*1</f>
        <v>197.6895725142987</v>
      </c>
      <c r="AB364" s="6">
        <f>$K$364*$V$364</f>
        <v>0</v>
      </c>
      <c r="AC364" s="6">
        <f>$M$364*$W$364</f>
        <v>15.00905</v>
      </c>
      <c r="AD364" s="6">
        <f>$O$364*$X$364</f>
        <v>9.6376000000000008</v>
      </c>
      <c r="AE364" s="6">
        <f>$K$364*$Y$364</f>
        <v>0</v>
      </c>
      <c r="AF364" s="6">
        <f ca="1">$M$364*$Z$364</f>
        <v>20.37951579070544</v>
      </c>
      <c r="AG364" s="6">
        <f ca="1">$O$364*$AA$364</f>
        <v>6.919135038000455</v>
      </c>
    </row>
    <row r="365" spans="1:33" ht="11.25" customHeight="1" x14ac:dyDescent="0.25">
      <c r="A365" s="4" t="s">
        <v>21</v>
      </c>
      <c r="B365" s="4" t="s">
        <v>36</v>
      </c>
      <c r="C365" s="4" t="s">
        <v>32</v>
      </c>
      <c r="D365" s="4" t="s">
        <v>40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44713</v>
      </c>
      <c r="J365" s="6">
        <v>0</v>
      </c>
      <c r="K365" s="6">
        <v>0</v>
      </c>
      <c r="L365" s="6">
        <v>2.8000000000000001E-2</v>
      </c>
      <c r="M365" s="6">
        <v>2.8000000000000001E-2</v>
      </c>
      <c r="N365" s="6">
        <v>2.8000000000000001E-2</v>
      </c>
      <c r="O365" s="6">
        <v>2.8000000000000001E-2</v>
      </c>
      <c r="P365" s="6">
        <v>0</v>
      </c>
      <c r="Q365" s="4" t="s">
        <v>26</v>
      </c>
      <c r="R365" s="4">
        <v>0</v>
      </c>
      <c r="S365" s="6">
        <v>0</v>
      </c>
      <c r="T365" s="6">
        <v>63</v>
      </c>
      <c r="U365" s="6">
        <v>22</v>
      </c>
      <c r="V365" s="6">
        <f>IF(ISERROR(VLOOKUP($S$365,'TAR FIN'!$A$1:$O$88,15,0)),0,VLOOKUP($S$365,'TAR FIN'!$A$1:$O$88,15,0))</f>
        <v>0</v>
      </c>
      <c r="W365" s="6">
        <f>IF(ISERROR(VLOOKUP($T$365,'TAR FIN'!$A$1:$O$88,15,0)),0,VLOOKUP($T$365,'TAR FIN'!$A$1:$O$88,15,0))</f>
        <v>428.83</v>
      </c>
      <c r="X365" s="6">
        <f>IF(ISERROR(VLOOKUP($U$365,'TAR FIN'!$A$1:$O$88,15,0)),0,VLOOKUP($U$365,'TAR FIN'!$A$1:$O$88,15,0))</f>
        <v>275.36</v>
      </c>
      <c r="Y365" s="6"/>
      <c r="Z365" s="6">
        <f ca="1">('TUSD BE'!$AM$46+'TUSD BF_350'!$AM$46+'TUSD CVA'!$AM$46)*1</f>
        <v>582.27187973444109</v>
      </c>
      <c r="AA365" s="6">
        <f ca="1">('TE BE'!$AB$37+'TE BF_350'!$AB$37+'TE CVA'!$AB$37)*1</f>
        <v>197.6895725142987</v>
      </c>
      <c r="AB365" s="6">
        <f>$K$365*$V$365</f>
        <v>0</v>
      </c>
      <c r="AC365" s="6">
        <f>$M$365*$W$365</f>
        <v>12.007239999999999</v>
      </c>
      <c r="AD365" s="6">
        <f>$O$365*$X$365</f>
        <v>7.7100800000000005</v>
      </c>
      <c r="AE365" s="6">
        <f>$K$365*$Y$365</f>
        <v>0</v>
      </c>
      <c r="AF365" s="6">
        <f ca="1">$M$365*$Z$365</f>
        <v>16.303612632564352</v>
      </c>
      <c r="AG365" s="6">
        <f ca="1">$O$365*$AA$365</f>
        <v>5.5353080304003637</v>
      </c>
    </row>
    <row r="366" spans="1:33" ht="11.25" customHeight="1" x14ac:dyDescent="0.25">
      <c r="A366" s="4" t="s">
        <v>55</v>
      </c>
      <c r="B366" s="4" t="s">
        <v>36</v>
      </c>
      <c r="C366" s="4" t="s">
        <v>32</v>
      </c>
      <c r="D366" s="4" t="s">
        <v>40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44743</v>
      </c>
      <c r="J366" s="6">
        <v>0</v>
      </c>
      <c r="K366" s="6">
        <v>0</v>
      </c>
      <c r="L366" s="6">
        <v>2.8000000000000001E-2</v>
      </c>
      <c r="M366" s="6">
        <v>2.8000000000000001E-2</v>
      </c>
      <c r="N366" s="6">
        <v>2.8000000000000001E-2</v>
      </c>
      <c r="O366" s="6">
        <v>2.8000000000000001E-2</v>
      </c>
      <c r="P366" s="6">
        <v>0</v>
      </c>
      <c r="Q366" s="4" t="s">
        <v>26</v>
      </c>
      <c r="R366" s="4">
        <v>0</v>
      </c>
      <c r="S366" s="6">
        <v>0</v>
      </c>
      <c r="T366" s="6">
        <v>63</v>
      </c>
      <c r="U366" s="6">
        <v>22</v>
      </c>
      <c r="V366" s="6">
        <f>IF(ISERROR(VLOOKUP($S$366,'TAR FIN'!$A$1:$O$88,15,0)),0,VLOOKUP($S$366,'TAR FIN'!$A$1:$O$88,15,0))</f>
        <v>0</v>
      </c>
      <c r="W366" s="6">
        <f>IF(ISERROR(VLOOKUP($T$366,'TAR FIN'!$A$1:$O$88,15,0)),0,VLOOKUP($T$366,'TAR FIN'!$A$1:$O$88,15,0))</f>
        <v>428.83</v>
      </c>
      <c r="X366" s="6">
        <f>IF(ISERROR(VLOOKUP($U$366,'TAR FIN'!$A$1:$O$88,15,0)),0,VLOOKUP($U$366,'TAR FIN'!$A$1:$O$88,15,0))</f>
        <v>275.36</v>
      </c>
      <c r="Y366" s="6"/>
      <c r="Z366" s="6">
        <f ca="1">('TUSD BE'!$AM$46+'TUSD BF_350'!$AM$46+'TUSD CVA'!$AM$46)*1</f>
        <v>582.27187973444109</v>
      </c>
      <c r="AA366" s="6">
        <f ca="1">('TE BE'!$AB$37+'TE BF_350'!$AB$37+'TE CVA'!$AB$37)*1</f>
        <v>197.6895725142987</v>
      </c>
      <c r="AB366" s="6">
        <f>$K$366*$V$366</f>
        <v>0</v>
      </c>
      <c r="AC366" s="6">
        <f>$M$366*$W$366</f>
        <v>12.007239999999999</v>
      </c>
      <c r="AD366" s="6">
        <f>$O$366*$X$366</f>
        <v>7.7100800000000005</v>
      </c>
      <c r="AE366" s="6">
        <f>$K$366*$Y$366</f>
        <v>0</v>
      </c>
      <c r="AF366" s="6">
        <f ca="1">$M$366*$Z$366</f>
        <v>16.303612632564352</v>
      </c>
      <c r="AG366" s="6">
        <f ca="1">$O$366*$AA$366</f>
        <v>5.5353080304003637</v>
      </c>
    </row>
    <row r="367" spans="1:33" ht="11.25" customHeight="1" x14ac:dyDescent="0.25">
      <c r="A367" s="4" t="s">
        <v>21</v>
      </c>
      <c r="B367" s="4" t="s">
        <v>36</v>
      </c>
      <c r="C367" s="4" t="s">
        <v>32</v>
      </c>
      <c r="D367" s="4" t="s">
        <v>40</v>
      </c>
      <c r="E367" s="4" t="s">
        <v>25</v>
      </c>
      <c r="F367" s="4" t="s">
        <v>25</v>
      </c>
      <c r="G367" s="4" t="s">
        <v>25</v>
      </c>
      <c r="H367" s="4" t="s">
        <v>33</v>
      </c>
      <c r="I367" s="5">
        <v>44409</v>
      </c>
      <c r="J367" s="6">
        <v>0</v>
      </c>
      <c r="K367" s="6">
        <v>0</v>
      </c>
      <c r="L367" s="6">
        <v>2.9000000000000001E-2</v>
      </c>
      <c r="M367" s="6">
        <v>2.9000000000000001E-2</v>
      </c>
      <c r="N367" s="6">
        <v>2.9000000000000001E-2</v>
      </c>
      <c r="O367" s="6">
        <v>2.9000000000000001E-2</v>
      </c>
      <c r="P367" s="6">
        <v>0</v>
      </c>
      <c r="Q367" s="4" t="s">
        <v>26</v>
      </c>
      <c r="R367" s="4">
        <v>0</v>
      </c>
      <c r="S367" s="6">
        <v>0</v>
      </c>
      <c r="T367" s="6">
        <v>62</v>
      </c>
      <c r="U367" s="6">
        <v>20</v>
      </c>
      <c r="V367" s="6">
        <f>IF(ISERROR(VLOOKUP($S$367,'TAR FIN'!$A$1:$O$88,15,0)),0,VLOOKUP($S$367,'TAR FIN'!$A$1:$O$88,15,0))</f>
        <v>0</v>
      </c>
      <c r="W367" s="6">
        <f>IF(ISERROR(VLOOKUP($T$367,'TAR FIN'!$A$1:$O$88,15,0)),0,VLOOKUP($T$367,'TAR FIN'!$A$1:$O$88,15,0))</f>
        <v>642.88</v>
      </c>
      <c r="X367" s="6">
        <f>IF(ISERROR(VLOOKUP($U$367,'TAR FIN'!$A$1:$O$88,15,0)),0,VLOOKUP($U$367,'TAR FIN'!$A$1:$O$88,15,0))</f>
        <v>437.87</v>
      </c>
      <c r="Y367" s="6"/>
      <c r="Z367" s="6">
        <f ca="1">('TUSD BE'!$AM$45+'TUSD BF_350'!$AM$45+'TUSD CVA'!$AM$45)*1</f>
        <v>894.57413914883352</v>
      </c>
      <c r="AA367" s="6">
        <f ca="1">('TE BE'!$AB$36+'TE BF_350'!$AB$36+'TE CVA'!$AB$36)*1</f>
        <v>316.97983140624547</v>
      </c>
      <c r="AB367" s="6">
        <f>$K$367*$V$367</f>
        <v>0</v>
      </c>
      <c r="AC367" s="6">
        <f>$M$367*$W$367</f>
        <v>18.643520000000002</v>
      </c>
      <c r="AD367" s="6">
        <f>$O$367*$X$367</f>
        <v>12.698230000000001</v>
      </c>
      <c r="AE367" s="6">
        <f>$K$367*$Y$367</f>
        <v>0</v>
      </c>
      <c r="AF367" s="6">
        <f ca="1">$M$367*$Z$367</f>
        <v>25.942650035316174</v>
      </c>
      <c r="AG367" s="6">
        <f ca="1">$O$367*$AA$367</f>
        <v>9.1924151107811198</v>
      </c>
    </row>
    <row r="368" spans="1:33" ht="11.25" customHeight="1" x14ac:dyDescent="0.25">
      <c r="A368" s="4" t="s">
        <v>21</v>
      </c>
      <c r="B368" s="4" t="s">
        <v>36</v>
      </c>
      <c r="C368" s="4" t="s">
        <v>32</v>
      </c>
      <c r="D368" s="4" t="s">
        <v>40</v>
      </c>
      <c r="E368" s="4" t="s">
        <v>25</v>
      </c>
      <c r="F368" s="4" t="s">
        <v>25</v>
      </c>
      <c r="G368" s="4" t="s">
        <v>25</v>
      </c>
      <c r="H368" s="4" t="s">
        <v>33</v>
      </c>
      <c r="I368" s="5">
        <v>44440</v>
      </c>
      <c r="J368" s="6">
        <v>0</v>
      </c>
      <c r="K368" s="6">
        <v>0</v>
      </c>
      <c r="L368" s="6">
        <v>2.9000000000000001E-2</v>
      </c>
      <c r="M368" s="6">
        <v>2.9000000000000001E-2</v>
      </c>
      <c r="N368" s="6">
        <v>2.9000000000000001E-2</v>
      </c>
      <c r="O368" s="6">
        <v>2.9000000000000001E-2</v>
      </c>
      <c r="P368" s="6">
        <v>0</v>
      </c>
      <c r="Q368" s="4" t="s">
        <v>26</v>
      </c>
      <c r="R368" s="4">
        <v>0</v>
      </c>
      <c r="S368" s="6">
        <v>0</v>
      </c>
      <c r="T368" s="6">
        <v>62</v>
      </c>
      <c r="U368" s="6">
        <v>20</v>
      </c>
      <c r="V368" s="6">
        <f>IF(ISERROR(VLOOKUP($S$368,'TAR FIN'!$A$1:$O$88,15,0)),0,VLOOKUP($S$368,'TAR FIN'!$A$1:$O$88,15,0))</f>
        <v>0</v>
      </c>
      <c r="W368" s="6">
        <f>IF(ISERROR(VLOOKUP($T$368,'TAR FIN'!$A$1:$O$88,15,0)),0,VLOOKUP($T$368,'TAR FIN'!$A$1:$O$88,15,0))</f>
        <v>642.88</v>
      </c>
      <c r="X368" s="6">
        <f>IF(ISERROR(VLOOKUP($U$368,'TAR FIN'!$A$1:$O$88,15,0)),0,VLOOKUP($U$368,'TAR FIN'!$A$1:$O$88,15,0))</f>
        <v>437.87</v>
      </c>
      <c r="Y368" s="6"/>
      <c r="Z368" s="6">
        <f ca="1">('TUSD BE'!$AM$45+'TUSD BF_350'!$AM$45+'TUSD CVA'!$AM$45)*1</f>
        <v>894.57413914883352</v>
      </c>
      <c r="AA368" s="6">
        <f ca="1">('TE BE'!$AB$36+'TE BF_350'!$AB$36+'TE CVA'!$AB$36)*1</f>
        <v>316.97983140624547</v>
      </c>
      <c r="AB368" s="6">
        <f>$K$368*$V$368</f>
        <v>0</v>
      </c>
      <c r="AC368" s="6">
        <f>$M$368*$W$368</f>
        <v>18.643520000000002</v>
      </c>
      <c r="AD368" s="6">
        <f>$O$368*$X$368</f>
        <v>12.698230000000001</v>
      </c>
      <c r="AE368" s="6">
        <f>$K$368*$Y$368</f>
        <v>0</v>
      </c>
      <c r="AF368" s="6">
        <f ca="1">$M$368*$Z$368</f>
        <v>25.942650035316174</v>
      </c>
      <c r="AG368" s="6">
        <f ca="1">$O$368*$AA$368</f>
        <v>9.1924151107811198</v>
      </c>
    </row>
    <row r="369" spans="1:33" ht="11.25" customHeight="1" x14ac:dyDescent="0.25">
      <c r="A369" s="4" t="s">
        <v>21</v>
      </c>
      <c r="B369" s="4" t="s">
        <v>36</v>
      </c>
      <c r="C369" s="4" t="s">
        <v>32</v>
      </c>
      <c r="D369" s="4" t="s">
        <v>40</v>
      </c>
      <c r="E369" s="4" t="s">
        <v>25</v>
      </c>
      <c r="F369" s="4" t="s">
        <v>25</v>
      </c>
      <c r="G369" s="4" t="s">
        <v>25</v>
      </c>
      <c r="H369" s="4" t="s">
        <v>33</v>
      </c>
      <c r="I369" s="5">
        <v>44470</v>
      </c>
      <c r="J369" s="6">
        <v>0</v>
      </c>
      <c r="K369" s="6">
        <v>0</v>
      </c>
      <c r="L369" s="6">
        <v>2.5000000000000001E-2</v>
      </c>
      <c r="M369" s="6">
        <v>2.5000000000000001E-2</v>
      </c>
      <c r="N369" s="6">
        <v>2.5000000000000001E-2</v>
      </c>
      <c r="O369" s="6">
        <v>2.5000000000000001E-2</v>
      </c>
      <c r="P369" s="6">
        <v>0</v>
      </c>
      <c r="Q369" s="4" t="s">
        <v>26</v>
      </c>
      <c r="R369" s="4">
        <v>0</v>
      </c>
      <c r="S369" s="6">
        <v>0</v>
      </c>
      <c r="T369" s="6">
        <v>62</v>
      </c>
      <c r="U369" s="6">
        <v>20</v>
      </c>
      <c r="V369" s="6">
        <f>IF(ISERROR(VLOOKUP($S$369,'TAR FIN'!$A$1:$O$88,15,0)),0,VLOOKUP($S$369,'TAR FIN'!$A$1:$O$88,15,0))</f>
        <v>0</v>
      </c>
      <c r="W369" s="6">
        <f>IF(ISERROR(VLOOKUP($T$369,'TAR FIN'!$A$1:$O$88,15,0)),0,VLOOKUP($T$369,'TAR FIN'!$A$1:$O$88,15,0))</f>
        <v>642.88</v>
      </c>
      <c r="X369" s="6">
        <f>IF(ISERROR(VLOOKUP($U$369,'TAR FIN'!$A$1:$O$88,15,0)),0,VLOOKUP($U$369,'TAR FIN'!$A$1:$O$88,15,0))</f>
        <v>437.87</v>
      </c>
      <c r="Y369" s="6"/>
      <c r="Z369" s="6">
        <f ca="1">('TUSD BE'!$AM$45+'TUSD BF_350'!$AM$45+'TUSD CVA'!$AM$45)*1</f>
        <v>894.57413914883352</v>
      </c>
      <c r="AA369" s="6">
        <f ca="1">('TE BE'!$AB$36+'TE BF_350'!$AB$36+'TE CVA'!$AB$36)*1</f>
        <v>316.97983140624547</v>
      </c>
      <c r="AB369" s="6">
        <f>$K$369*$V$369</f>
        <v>0</v>
      </c>
      <c r="AC369" s="6">
        <f>$M$369*$W$369</f>
        <v>16.071999999999999</v>
      </c>
      <c r="AD369" s="6">
        <f>$O$369*$X$369</f>
        <v>10.946750000000002</v>
      </c>
      <c r="AE369" s="6">
        <f>$K$369*$Y$369</f>
        <v>0</v>
      </c>
      <c r="AF369" s="6">
        <f ca="1">$M$369*$Z$369</f>
        <v>22.36435347872084</v>
      </c>
      <c r="AG369" s="6">
        <f ca="1">$O$369*$AA$369</f>
        <v>7.9244957851561368</v>
      </c>
    </row>
    <row r="370" spans="1:33" ht="11.25" customHeight="1" x14ac:dyDescent="0.25">
      <c r="A370" s="4" t="s">
        <v>21</v>
      </c>
      <c r="B370" s="4" t="s">
        <v>36</v>
      </c>
      <c r="C370" s="4" t="s">
        <v>32</v>
      </c>
      <c r="D370" s="4" t="s">
        <v>40</v>
      </c>
      <c r="E370" s="4" t="s">
        <v>25</v>
      </c>
      <c r="F370" s="4" t="s">
        <v>25</v>
      </c>
      <c r="G370" s="4" t="s">
        <v>25</v>
      </c>
      <c r="H370" s="4" t="s">
        <v>33</v>
      </c>
      <c r="I370" s="5">
        <v>44501</v>
      </c>
      <c r="J370" s="6">
        <v>0</v>
      </c>
      <c r="K370" s="6">
        <v>0</v>
      </c>
      <c r="L370" s="6">
        <v>2.5000000000000001E-2</v>
      </c>
      <c r="M370" s="6">
        <v>2.5000000000000001E-2</v>
      </c>
      <c r="N370" s="6">
        <v>2.5000000000000001E-2</v>
      </c>
      <c r="O370" s="6">
        <v>2.5000000000000001E-2</v>
      </c>
      <c r="P370" s="6">
        <v>0</v>
      </c>
      <c r="Q370" s="4" t="s">
        <v>26</v>
      </c>
      <c r="R370" s="4">
        <v>0</v>
      </c>
      <c r="S370" s="6">
        <v>0</v>
      </c>
      <c r="T370" s="6">
        <v>62</v>
      </c>
      <c r="U370" s="6">
        <v>20</v>
      </c>
      <c r="V370" s="6">
        <f>IF(ISERROR(VLOOKUP($S$370,'TAR FIN'!$A$1:$O$88,15,0)),0,VLOOKUP($S$370,'TAR FIN'!$A$1:$O$88,15,0))</f>
        <v>0</v>
      </c>
      <c r="W370" s="6">
        <f>IF(ISERROR(VLOOKUP($T$370,'TAR FIN'!$A$1:$O$88,15,0)),0,VLOOKUP($T$370,'TAR FIN'!$A$1:$O$88,15,0))</f>
        <v>642.88</v>
      </c>
      <c r="X370" s="6">
        <f>IF(ISERROR(VLOOKUP($U$370,'TAR FIN'!$A$1:$O$88,15,0)),0,VLOOKUP($U$370,'TAR FIN'!$A$1:$O$88,15,0))</f>
        <v>437.87</v>
      </c>
      <c r="Y370" s="6"/>
      <c r="Z370" s="6">
        <f ca="1">('TUSD BE'!$AM$45+'TUSD BF_350'!$AM$45+'TUSD CVA'!$AM$45)*1</f>
        <v>894.57413914883352</v>
      </c>
      <c r="AA370" s="6">
        <f ca="1">('TE BE'!$AB$36+'TE BF_350'!$AB$36+'TE CVA'!$AB$36)*1</f>
        <v>316.97983140624547</v>
      </c>
      <c r="AB370" s="6">
        <f>$K$370*$V$370</f>
        <v>0</v>
      </c>
      <c r="AC370" s="6">
        <f>$M$370*$W$370</f>
        <v>16.071999999999999</v>
      </c>
      <c r="AD370" s="6">
        <f>$O$370*$X$370</f>
        <v>10.946750000000002</v>
      </c>
      <c r="AE370" s="6">
        <f>$K$370*$Y$370</f>
        <v>0</v>
      </c>
      <c r="AF370" s="6">
        <f ca="1">$M$370*$Z$370</f>
        <v>22.36435347872084</v>
      </c>
      <c r="AG370" s="6">
        <f ca="1">$O$370*$AA$370</f>
        <v>7.9244957851561368</v>
      </c>
    </row>
    <row r="371" spans="1:33" ht="11.25" customHeight="1" x14ac:dyDescent="0.25">
      <c r="A371" s="4" t="s">
        <v>21</v>
      </c>
      <c r="B371" s="4" t="s">
        <v>36</v>
      </c>
      <c r="C371" s="4" t="s">
        <v>32</v>
      </c>
      <c r="D371" s="4" t="s">
        <v>40</v>
      </c>
      <c r="E371" s="4" t="s">
        <v>25</v>
      </c>
      <c r="F371" s="4" t="s">
        <v>25</v>
      </c>
      <c r="G371" s="4" t="s">
        <v>25</v>
      </c>
      <c r="H371" s="4" t="s">
        <v>33</v>
      </c>
      <c r="I371" s="5">
        <v>44531</v>
      </c>
      <c r="J371" s="6">
        <v>0</v>
      </c>
      <c r="K371" s="6">
        <v>0</v>
      </c>
      <c r="L371" s="6">
        <v>3.1E-2</v>
      </c>
      <c r="M371" s="6">
        <v>3.1E-2</v>
      </c>
      <c r="N371" s="6">
        <v>3.1E-2</v>
      </c>
      <c r="O371" s="6">
        <v>3.1E-2</v>
      </c>
      <c r="P371" s="6">
        <v>0</v>
      </c>
      <c r="Q371" s="4" t="s">
        <v>26</v>
      </c>
      <c r="R371" s="4">
        <v>0</v>
      </c>
      <c r="S371" s="6">
        <v>0</v>
      </c>
      <c r="T371" s="6">
        <v>62</v>
      </c>
      <c r="U371" s="6">
        <v>20</v>
      </c>
      <c r="V371" s="6">
        <f>IF(ISERROR(VLOOKUP($S$371,'TAR FIN'!$A$1:$O$88,15,0)),0,VLOOKUP($S$371,'TAR FIN'!$A$1:$O$88,15,0))</f>
        <v>0</v>
      </c>
      <c r="W371" s="6">
        <f>IF(ISERROR(VLOOKUP($T$371,'TAR FIN'!$A$1:$O$88,15,0)),0,VLOOKUP($T$371,'TAR FIN'!$A$1:$O$88,15,0))</f>
        <v>642.88</v>
      </c>
      <c r="X371" s="6">
        <f>IF(ISERROR(VLOOKUP($U$371,'TAR FIN'!$A$1:$O$88,15,0)),0,VLOOKUP($U$371,'TAR FIN'!$A$1:$O$88,15,0))</f>
        <v>437.87</v>
      </c>
      <c r="Y371" s="6"/>
      <c r="Z371" s="6">
        <f ca="1">('TUSD BE'!$AM$45+'TUSD BF_350'!$AM$45+'TUSD CVA'!$AM$45)*1</f>
        <v>894.57413914883352</v>
      </c>
      <c r="AA371" s="6">
        <f ca="1">('TE BE'!$AB$36+'TE BF_350'!$AB$36+'TE CVA'!$AB$36)*1</f>
        <v>316.97983140624547</v>
      </c>
      <c r="AB371" s="6">
        <f>$K$371*$V$371</f>
        <v>0</v>
      </c>
      <c r="AC371" s="6">
        <f>$M$371*$W$371</f>
        <v>19.929279999999999</v>
      </c>
      <c r="AD371" s="6">
        <f>$O$371*$X$371</f>
        <v>13.573969999999999</v>
      </c>
      <c r="AE371" s="6">
        <f>$K$371*$Y$371</f>
        <v>0</v>
      </c>
      <c r="AF371" s="6">
        <f ca="1">$M$371*$Z$371</f>
        <v>27.73179831361384</v>
      </c>
      <c r="AG371" s="6">
        <f ca="1">$O$371*$AA$371</f>
        <v>9.82637477359361</v>
      </c>
    </row>
    <row r="372" spans="1:33" ht="11.25" customHeight="1" x14ac:dyDescent="0.25">
      <c r="A372" s="4" t="s">
        <v>21</v>
      </c>
      <c r="B372" s="4" t="s">
        <v>36</v>
      </c>
      <c r="C372" s="4" t="s">
        <v>32</v>
      </c>
      <c r="D372" s="4" t="s">
        <v>40</v>
      </c>
      <c r="E372" s="4" t="s">
        <v>25</v>
      </c>
      <c r="F372" s="4" t="s">
        <v>25</v>
      </c>
      <c r="G372" s="4" t="s">
        <v>25</v>
      </c>
      <c r="H372" s="4" t="s">
        <v>33</v>
      </c>
      <c r="I372" s="5">
        <v>44562</v>
      </c>
      <c r="J372" s="6">
        <v>0</v>
      </c>
      <c r="K372" s="6">
        <v>0</v>
      </c>
      <c r="L372" s="6">
        <v>0.03</v>
      </c>
      <c r="M372" s="6">
        <v>0.03</v>
      </c>
      <c r="N372" s="6">
        <v>0.03</v>
      </c>
      <c r="O372" s="6">
        <v>0.03</v>
      </c>
      <c r="P372" s="6">
        <v>0</v>
      </c>
      <c r="Q372" s="4" t="s">
        <v>26</v>
      </c>
      <c r="R372" s="4">
        <v>0</v>
      </c>
      <c r="S372" s="6">
        <v>0</v>
      </c>
      <c r="T372" s="6">
        <v>62</v>
      </c>
      <c r="U372" s="6">
        <v>20</v>
      </c>
      <c r="V372" s="6">
        <f>IF(ISERROR(VLOOKUP($S$372,'TAR FIN'!$A$1:$O$88,15,0)),0,VLOOKUP($S$372,'TAR FIN'!$A$1:$O$88,15,0))</f>
        <v>0</v>
      </c>
      <c r="W372" s="6">
        <f>IF(ISERROR(VLOOKUP($T$372,'TAR FIN'!$A$1:$O$88,15,0)),0,VLOOKUP($T$372,'TAR FIN'!$A$1:$O$88,15,0))</f>
        <v>642.88</v>
      </c>
      <c r="X372" s="6">
        <f>IF(ISERROR(VLOOKUP($U$372,'TAR FIN'!$A$1:$O$88,15,0)),0,VLOOKUP($U$372,'TAR FIN'!$A$1:$O$88,15,0))</f>
        <v>437.87</v>
      </c>
      <c r="Y372" s="6"/>
      <c r="Z372" s="6">
        <f ca="1">('TUSD BE'!$AM$45+'TUSD BF_350'!$AM$45+'TUSD CVA'!$AM$45)*1</f>
        <v>894.57413914883352</v>
      </c>
      <c r="AA372" s="6">
        <f ca="1">('TE BE'!$AB$36+'TE BF_350'!$AB$36+'TE CVA'!$AB$36)*1</f>
        <v>316.97983140624547</v>
      </c>
      <c r="AB372" s="6">
        <f>$K$372*$V$372</f>
        <v>0</v>
      </c>
      <c r="AC372" s="6">
        <f>$M$372*$W$372</f>
        <v>19.2864</v>
      </c>
      <c r="AD372" s="6">
        <f>$O$372*$X$372</f>
        <v>13.136099999999999</v>
      </c>
      <c r="AE372" s="6">
        <f>$K$372*$Y$372</f>
        <v>0</v>
      </c>
      <c r="AF372" s="6">
        <f ca="1">$M$372*$Z$372</f>
        <v>26.837224174465003</v>
      </c>
      <c r="AG372" s="6">
        <f ca="1">$O$372*$AA$372</f>
        <v>9.5093949421873631</v>
      </c>
    </row>
    <row r="373" spans="1:33" ht="11.25" customHeight="1" x14ac:dyDescent="0.25">
      <c r="A373" s="4" t="s">
        <v>21</v>
      </c>
      <c r="B373" s="4" t="s">
        <v>36</v>
      </c>
      <c r="C373" s="4" t="s">
        <v>32</v>
      </c>
      <c r="D373" s="4" t="s">
        <v>40</v>
      </c>
      <c r="E373" s="4" t="s">
        <v>25</v>
      </c>
      <c r="F373" s="4" t="s">
        <v>25</v>
      </c>
      <c r="G373" s="4" t="s">
        <v>25</v>
      </c>
      <c r="H373" s="4" t="s">
        <v>33</v>
      </c>
      <c r="I373" s="5">
        <v>44593</v>
      </c>
      <c r="J373" s="6">
        <v>0</v>
      </c>
      <c r="K373" s="6">
        <v>0</v>
      </c>
      <c r="L373" s="6">
        <v>3.6999999999999998E-2</v>
      </c>
      <c r="M373" s="6">
        <v>3.6999999999999998E-2</v>
      </c>
      <c r="N373" s="6">
        <v>3.6999999999999998E-2</v>
      </c>
      <c r="O373" s="6">
        <v>3.6999999999999998E-2</v>
      </c>
      <c r="P373" s="6">
        <v>0</v>
      </c>
      <c r="Q373" s="4" t="s">
        <v>26</v>
      </c>
      <c r="R373" s="4">
        <v>0</v>
      </c>
      <c r="S373" s="6">
        <v>0</v>
      </c>
      <c r="T373" s="6">
        <v>62</v>
      </c>
      <c r="U373" s="6">
        <v>20</v>
      </c>
      <c r="V373" s="6">
        <f>IF(ISERROR(VLOOKUP($S$373,'TAR FIN'!$A$1:$O$88,15,0)),0,VLOOKUP($S$373,'TAR FIN'!$A$1:$O$88,15,0))</f>
        <v>0</v>
      </c>
      <c r="W373" s="6">
        <f>IF(ISERROR(VLOOKUP($T$373,'TAR FIN'!$A$1:$O$88,15,0)),0,VLOOKUP($T$373,'TAR FIN'!$A$1:$O$88,15,0))</f>
        <v>642.88</v>
      </c>
      <c r="X373" s="6">
        <f>IF(ISERROR(VLOOKUP($U$373,'TAR FIN'!$A$1:$O$88,15,0)),0,VLOOKUP($U$373,'TAR FIN'!$A$1:$O$88,15,0))</f>
        <v>437.87</v>
      </c>
      <c r="Y373" s="6"/>
      <c r="Z373" s="6">
        <f ca="1">('TUSD BE'!$AM$45+'TUSD BF_350'!$AM$45+'TUSD CVA'!$AM$45)*1</f>
        <v>894.57413914883352</v>
      </c>
      <c r="AA373" s="6">
        <f ca="1">('TE BE'!$AB$36+'TE BF_350'!$AB$36+'TE CVA'!$AB$36)*1</f>
        <v>316.97983140624547</v>
      </c>
      <c r="AB373" s="6">
        <f>$K$373*$V$373</f>
        <v>0</v>
      </c>
      <c r="AC373" s="6">
        <f>$M$373*$W$373</f>
        <v>23.786559999999998</v>
      </c>
      <c r="AD373" s="6">
        <f>$O$373*$X$373</f>
        <v>16.20119</v>
      </c>
      <c r="AE373" s="6">
        <f>$K$373*$Y$373</f>
        <v>0</v>
      </c>
      <c r="AF373" s="6">
        <f ca="1">$M$373*$Z$373</f>
        <v>33.099243148506837</v>
      </c>
      <c r="AG373" s="6">
        <f ca="1">$O$373*$AA$373</f>
        <v>11.728253762031082</v>
      </c>
    </row>
    <row r="374" spans="1:33" ht="11.25" customHeight="1" x14ac:dyDescent="0.25">
      <c r="A374" s="4" t="s">
        <v>21</v>
      </c>
      <c r="B374" s="4" t="s">
        <v>36</v>
      </c>
      <c r="C374" s="4" t="s">
        <v>32</v>
      </c>
      <c r="D374" s="4" t="s">
        <v>40</v>
      </c>
      <c r="E374" s="4" t="s">
        <v>25</v>
      </c>
      <c r="F374" s="4" t="s">
        <v>25</v>
      </c>
      <c r="G374" s="4" t="s">
        <v>25</v>
      </c>
      <c r="H374" s="4" t="s">
        <v>33</v>
      </c>
      <c r="I374" s="5">
        <v>44621</v>
      </c>
      <c r="J374" s="6">
        <v>0</v>
      </c>
      <c r="K374" s="6">
        <v>0</v>
      </c>
      <c r="L374" s="6">
        <v>2.5999999999999999E-2</v>
      </c>
      <c r="M374" s="6">
        <v>2.5999999999999999E-2</v>
      </c>
      <c r="N374" s="6">
        <v>2.5999999999999999E-2</v>
      </c>
      <c r="O374" s="6">
        <v>2.5999999999999999E-2</v>
      </c>
      <c r="P374" s="6">
        <v>0</v>
      </c>
      <c r="Q374" s="4" t="s">
        <v>26</v>
      </c>
      <c r="R374" s="4">
        <v>0</v>
      </c>
      <c r="S374" s="6">
        <v>0</v>
      </c>
      <c r="T374" s="6">
        <v>62</v>
      </c>
      <c r="U374" s="6">
        <v>20</v>
      </c>
      <c r="V374" s="6">
        <f>IF(ISERROR(VLOOKUP($S$374,'TAR FIN'!$A$1:$O$88,15,0)),0,VLOOKUP($S$374,'TAR FIN'!$A$1:$O$88,15,0))</f>
        <v>0</v>
      </c>
      <c r="W374" s="6">
        <f>IF(ISERROR(VLOOKUP($T$374,'TAR FIN'!$A$1:$O$88,15,0)),0,VLOOKUP($T$374,'TAR FIN'!$A$1:$O$88,15,0))</f>
        <v>642.88</v>
      </c>
      <c r="X374" s="6">
        <f>IF(ISERROR(VLOOKUP($U$374,'TAR FIN'!$A$1:$O$88,15,0)),0,VLOOKUP($U$374,'TAR FIN'!$A$1:$O$88,15,0))</f>
        <v>437.87</v>
      </c>
      <c r="Y374" s="6"/>
      <c r="Z374" s="6">
        <f ca="1">('TUSD BE'!$AM$45+'TUSD BF_350'!$AM$45+'TUSD CVA'!$AM$45)*1</f>
        <v>894.57413914883352</v>
      </c>
      <c r="AA374" s="6">
        <f ca="1">('TE BE'!$AB$36+'TE BF_350'!$AB$36+'TE CVA'!$AB$36)*1</f>
        <v>316.97983140624547</v>
      </c>
      <c r="AB374" s="6">
        <f>$K$374*$V$374</f>
        <v>0</v>
      </c>
      <c r="AC374" s="6">
        <f>$M$374*$W$374</f>
        <v>16.714880000000001</v>
      </c>
      <c r="AD374" s="6">
        <f>$O$374*$X$374</f>
        <v>11.38462</v>
      </c>
      <c r="AE374" s="6">
        <f>$K$374*$Y$374</f>
        <v>0</v>
      </c>
      <c r="AF374" s="6">
        <f ca="1">$M$374*$Z$374</f>
        <v>23.25892761786967</v>
      </c>
      <c r="AG374" s="6">
        <f ca="1">$O$374*$AA$374</f>
        <v>8.241475616562381</v>
      </c>
    </row>
    <row r="375" spans="1:33" ht="11.25" customHeight="1" x14ac:dyDescent="0.25">
      <c r="A375" s="4" t="s">
        <v>21</v>
      </c>
      <c r="B375" s="4" t="s">
        <v>36</v>
      </c>
      <c r="C375" s="4" t="s">
        <v>32</v>
      </c>
      <c r="D375" s="4" t="s">
        <v>40</v>
      </c>
      <c r="E375" s="4" t="s">
        <v>25</v>
      </c>
      <c r="F375" s="4" t="s">
        <v>25</v>
      </c>
      <c r="G375" s="4" t="s">
        <v>25</v>
      </c>
      <c r="H375" s="4" t="s">
        <v>33</v>
      </c>
      <c r="I375" s="5">
        <v>44652</v>
      </c>
      <c r="J375" s="6">
        <v>0</v>
      </c>
      <c r="K375" s="6">
        <v>0</v>
      </c>
      <c r="L375" s="6">
        <v>2.4E-2</v>
      </c>
      <c r="M375" s="6">
        <v>2.4E-2</v>
      </c>
      <c r="N375" s="6">
        <v>2.4E-2</v>
      </c>
      <c r="O375" s="6">
        <v>2.4E-2</v>
      </c>
      <c r="P375" s="6">
        <v>0</v>
      </c>
      <c r="Q375" s="4" t="s">
        <v>26</v>
      </c>
      <c r="R375" s="4">
        <v>0</v>
      </c>
      <c r="S375" s="6">
        <v>0</v>
      </c>
      <c r="T375" s="6">
        <v>62</v>
      </c>
      <c r="U375" s="6">
        <v>20</v>
      </c>
      <c r="V375" s="6">
        <f>IF(ISERROR(VLOOKUP($S$375,'TAR FIN'!$A$1:$O$88,15,0)),0,VLOOKUP($S$375,'TAR FIN'!$A$1:$O$88,15,0))</f>
        <v>0</v>
      </c>
      <c r="W375" s="6">
        <f>IF(ISERROR(VLOOKUP($T$375,'TAR FIN'!$A$1:$O$88,15,0)),0,VLOOKUP($T$375,'TAR FIN'!$A$1:$O$88,15,0))</f>
        <v>642.88</v>
      </c>
      <c r="X375" s="6">
        <f>IF(ISERROR(VLOOKUP($U$375,'TAR FIN'!$A$1:$O$88,15,0)),0,VLOOKUP($U$375,'TAR FIN'!$A$1:$O$88,15,0))</f>
        <v>437.87</v>
      </c>
      <c r="Y375" s="6"/>
      <c r="Z375" s="6">
        <f ca="1">('TUSD BE'!$AM$45+'TUSD BF_350'!$AM$45+'TUSD CVA'!$AM$45)*1</f>
        <v>894.57413914883352</v>
      </c>
      <c r="AA375" s="6">
        <f ca="1">('TE BE'!$AB$36+'TE BF_350'!$AB$36+'TE CVA'!$AB$36)*1</f>
        <v>316.97983140624547</v>
      </c>
      <c r="AB375" s="6">
        <f>$K$375*$V$375</f>
        <v>0</v>
      </c>
      <c r="AC375" s="6">
        <f>$M$375*$W$375</f>
        <v>15.429120000000001</v>
      </c>
      <c r="AD375" s="6">
        <f>$O$375*$X$375</f>
        <v>10.50888</v>
      </c>
      <c r="AE375" s="6">
        <f>$K$375*$Y$375</f>
        <v>0</v>
      </c>
      <c r="AF375" s="6">
        <f ca="1">$M$375*$Z$375</f>
        <v>21.469779339572003</v>
      </c>
      <c r="AG375" s="6">
        <f ca="1">$O$375*$AA$375</f>
        <v>7.6075159537498918</v>
      </c>
    </row>
    <row r="376" spans="1:33" ht="11.25" customHeight="1" x14ac:dyDescent="0.25">
      <c r="A376" s="4" t="s">
        <v>21</v>
      </c>
      <c r="B376" s="4" t="s">
        <v>36</v>
      </c>
      <c r="C376" s="4" t="s">
        <v>32</v>
      </c>
      <c r="D376" s="4" t="s">
        <v>40</v>
      </c>
      <c r="E376" s="4" t="s">
        <v>25</v>
      </c>
      <c r="F376" s="4" t="s">
        <v>25</v>
      </c>
      <c r="G376" s="4" t="s">
        <v>25</v>
      </c>
      <c r="H376" s="4" t="s">
        <v>33</v>
      </c>
      <c r="I376" s="5">
        <v>44682</v>
      </c>
      <c r="J376" s="6">
        <v>0</v>
      </c>
      <c r="K376" s="6">
        <v>0</v>
      </c>
      <c r="L376" s="6">
        <v>2.5999999999999999E-2</v>
      </c>
      <c r="M376" s="6">
        <v>2.5999999999999999E-2</v>
      </c>
      <c r="N376" s="6">
        <v>2.5999999999999999E-2</v>
      </c>
      <c r="O376" s="6">
        <v>2.5999999999999999E-2</v>
      </c>
      <c r="P376" s="6">
        <v>0</v>
      </c>
      <c r="Q376" s="4" t="s">
        <v>26</v>
      </c>
      <c r="R376" s="4">
        <v>0</v>
      </c>
      <c r="S376" s="6">
        <v>0</v>
      </c>
      <c r="T376" s="6">
        <v>62</v>
      </c>
      <c r="U376" s="6">
        <v>20</v>
      </c>
      <c r="V376" s="6">
        <f>IF(ISERROR(VLOOKUP($S$376,'TAR FIN'!$A$1:$O$88,15,0)),0,VLOOKUP($S$376,'TAR FIN'!$A$1:$O$88,15,0))</f>
        <v>0</v>
      </c>
      <c r="W376" s="6">
        <f>IF(ISERROR(VLOOKUP($T$376,'TAR FIN'!$A$1:$O$88,15,0)),0,VLOOKUP($T$376,'TAR FIN'!$A$1:$O$88,15,0))</f>
        <v>642.88</v>
      </c>
      <c r="X376" s="6">
        <f>IF(ISERROR(VLOOKUP($U$376,'TAR FIN'!$A$1:$O$88,15,0)),0,VLOOKUP($U$376,'TAR FIN'!$A$1:$O$88,15,0))</f>
        <v>437.87</v>
      </c>
      <c r="Y376" s="6"/>
      <c r="Z376" s="6">
        <f ca="1">('TUSD BE'!$AM$45+'TUSD BF_350'!$AM$45+'TUSD CVA'!$AM$45)*1</f>
        <v>894.57413914883352</v>
      </c>
      <c r="AA376" s="6">
        <f ca="1">('TE BE'!$AB$36+'TE BF_350'!$AB$36+'TE CVA'!$AB$36)*1</f>
        <v>316.97983140624547</v>
      </c>
      <c r="AB376" s="6">
        <f>$K$376*$V$376</f>
        <v>0</v>
      </c>
      <c r="AC376" s="6">
        <f>$M$376*$W$376</f>
        <v>16.714880000000001</v>
      </c>
      <c r="AD376" s="6">
        <f>$O$376*$X$376</f>
        <v>11.38462</v>
      </c>
      <c r="AE376" s="6">
        <f>$K$376*$Y$376</f>
        <v>0</v>
      </c>
      <c r="AF376" s="6">
        <f ca="1">$M$376*$Z$376</f>
        <v>23.25892761786967</v>
      </c>
      <c r="AG376" s="6">
        <f ca="1">$O$376*$AA$376</f>
        <v>8.241475616562381</v>
      </c>
    </row>
    <row r="377" spans="1:33" ht="11.25" customHeight="1" x14ac:dyDescent="0.25">
      <c r="A377" s="4" t="s">
        <v>21</v>
      </c>
      <c r="B377" s="4" t="s">
        <v>36</v>
      </c>
      <c r="C377" s="4" t="s">
        <v>32</v>
      </c>
      <c r="D377" s="4" t="s">
        <v>40</v>
      </c>
      <c r="E377" s="4" t="s">
        <v>25</v>
      </c>
      <c r="F377" s="4" t="s">
        <v>25</v>
      </c>
      <c r="G377" s="4" t="s">
        <v>25</v>
      </c>
      <c r="H377" s="4" t="s">
        <v>33</v>
      </c>
      <c r="I377" s="5">
        <v>44713</v>
      </c>
      <c r="J377" s="6">
        <v>0</v>
      </c>
      <c r="K377" s="6">
        <v>0</v>
      </c>
      <c r="L377" s="6">
        <v>2.7E-2</v>
      </c>
      <c r="M377" s="6">
        <v>2.7E-2</v>
      </c>
      <c r="N377" s="6">
        <v>2.7E-2</v>
      </c>
      <c r="O377" s="6">
        <v>2.7E-2</v>
      </c>
      <c r="P377" s="6">
        <v>0</v>
      </c>
      <c r="Q377" s="4" t="s">
        <v>26</v>
      </c>
      <c r="R377" s="4">
        <v>0</v>
      </c>
      <c r="S377" s="6">
        <v>0</v>
      </c>
      <c r="T377" s="6">
        <v>62</v>
      </c>
      <c r="U377" s="6">
        <v>20</v>
      </c>
      <c r="V377" s="6">
        <f>IF(ISERROR(VLOOKUP($S$377,'TAR FIN'!$A$1:$O$88,15,0)),0,VLOOKUP($S$377,'TAR FIN'!$A$1:$O$88,15,0))</f>
        <v>0</v>
      </c>
      <c r="W377" s="6">
        <f>IF(ISERROR(VLOOKUP($T$377,'TAR FIN'!$A$1:$O$88,15,0)),0,VLOOKUP($T$377,'TAR FIN'!$A$1:$O$88,15,0))</f>
        <v>642.88</v>
      </c>
      <c r="X377" s="6">
        <f>IF(ISERROR(VLOOKUP($U$377,'TAR FIN'!$A$1:$O$88,15,0)),0,VLOOKUP($U$377,'TAR FIN'!$A$1:$O$88,15,0))</f>
        <v>437.87</v>
      </c>
      <c r="Y377" s="6"/>
      <c r="Z377" s="6">
        <f ca="1">('TUSD BE'!$AM$45+'TUSD BF_350'!$AM$45+'TUSD CVA'!$AM$45)*1</f>
        <v>894.57413914883352</v>
      </c>
      <c r="AA377" s="6">
        <f ca="1">('TE BE'!$AB$36+'TE BF_350'!$AB$36+'TE CVA'!$AB$36)*1</f>
        <v>316.97983140624547</v>
      </c>
      <c r="AB377" s="6">
        <f>$K$377*$V$377</f>
        <v>0</v>
      </c>
      <c r="AC377" s="6">
        <f>$M$377*$W$377</f>
        <v>17.357759999999999</v>
      </c>
      <c r="AD377" s="6">
        <f>$O$377*$X$377</f>
        <v>11.82249</v>
      </c>
      <c r="AE377" s="6">
        <f>$K$377*$Y$377</f>
        <v>0</v>
      </c>
      <c r="AF377" s="6">
        <f ca="1">$M$377*$Z$377</f>
        <v>24.153501757018503</v>
      </c>
      <c r="AG377" s="6">
        <f ca="1">$O$377*$AA$377</f>
        <v>8.5584554479686279</v>
      </c>
    </row>
    <row r="378" spans="1:33" ht="11.25" customHeight="1" x14ac:dyDescent="0.25">
      <c r="A378" s="4" t="s">
        <v>55</v>
      </c>
      <c r="B378" s="4" t="s">
        <v>36</v>
      </c>
      <c r="C378" s="4" t="s">
        <v>32</v>
      </c>
      <c r="D378" s="4" t="s">
        <v>40</v>
      </c>
      <c r="E378" s="4" t="s">
        <v>25</v>
      </c>
      <c r="F378" s="4" t="s">
        <v>25</v>
      </c>
      <c r="G378" s="4" t="s">
        <v>25</v>
      </c>
      <c r="H378" s="4" t="s">
        <v>33</v>
      </c>
      <c r="I378" s="5">
        <v>44743</v>
      </c>
      <c r="J378" s="6">
        <v>0</v>
      </c>
      <c r="K378" s="6">
        <v>0</v>
      </c>
      <c r="L378" s="6">
        <v>2.7E-2</v>
      </c>
      <c r="M378" s="6">
        <v>2.7E-2</v>
      </c>
      <c r="N378" s="6">
        <v>2.7E-2</v>
      </c>
      <c r="O378" s="6">
        <v>2.7E-2</v>
      </c>
      <c r="P378" s="6">
        <v>0</v>
      </c>
      <c r="Q378" s="4" t="s">
        <v>26</v>
      </c>
      <c r="R378" s="4">
        <v>0</v>
      </c>
      <c r="S378" s="6">
        <v>0</v>
      </c>
      <c r="T378" s="6">
        <v>62</v>
      </c>
      <c r="U378" s="6">
        <v>20</v>
      </c>
      <c r="V378" s="6">
        <f>IF(ISERROR(VLOOKUP($S$378,'TAR FIN'!$A$1:$O$88,15,0)),0,VLOOKUP($S$378,'TAR FIN'!$A$1:$O$88,15,0))</f>
        <v>0</v>
      </c>
      <c r="W378" s="6">
        <f>IF(ISERROR(VLOOKUP($T$378,'TAR FIN'!$A$1:$O$88,15,0)),0,VLOOKUP($T$378,'TAR FIN'!$A$1:$O$88,15,0))</f>
        <v>642.88</v>
      </c>
      <c r="X378" s="6">
        <f>IF(ISERROR(VLOOKUP($U$378,'TAR FIN'!$A$1:$O$88,15,0)),0,VLOOKUP($U$378,'TAR FIN'!$A$1:$O$88,15,0))</f>
        <v>437.87</v>
      </c>
      <c r="Y378" s="6"/>
      <c r="Z378" s="6">
        <f ca="1">('TUSD BE'!$AM$45+'TUSD BF_350'!$AM$45+'TUSD CVA'!$AM$45)*1</f>
        <v>894.57413914883352</v>
      </c>
      <c r="AA378" s="6">
        <f ca="1">('TE BE'!$AB$36+'TE BF_350'!$AB$36+'TE CVA'!$AB$36)*1</f>
        <v>316.97983140624547</v>
      </c>
      <c r="AB378" s="6">
        <f>$K$378*$V$378</f>
        <v>0</v>
      </c>
      <c r="AC378" s="6">
        <f>$M$378*$W$378</f>
        <v>17.357759999999999</v>
      </c>
      <c r="AD378" s="6">
        <f>$O$378*$X$378</f>
        <v>11.82249</v>
      </c>
      <c r="AE378" s="6">
        <f>$K$378*$Y$378</f>
        <v>0</v>
      </c>
      <c r="AF378" s="6">
        <f ca="1">$M$378*$Z$378</f>
        <v>24.153501757018503</v>
      </c>
      <c r="AG378" s="6">
        <f ca="1">$O$378*$AA$378</f>
        <v>8.5584554479686279</v>
      </c>
    </row>
    <row r="379" spans="1:33" ht="11.25" customHeight="1" x14ac:dyDescent="0.25">
      <c r="A379" s="4" t="s">
        <v>21</v>
      </c>
      <c r="B379" s="4" t="s">
        <v>36</v>
      </c>
      <c r="C379" s="4" t="s">
        <v>23</v>
      </c>
      <c r="D379" s="4" t="s">
        <v>40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44409</v>
      </c>
      <c r="J379" s="6">
        <v>0</v>
      </c>
      <c r="K379" s="6">
        <v>0</v>
      </c>
      <c r="L379" s="6">
        <v>292.185</v>
      </c>
      <c r="M379" s="6">
        <v>292.185</v>
      </c>
      <c r="N379" s="6">
        <v>292.185</v>
      </c>
      <c r="O379" s="6">
        <v>292.185</v>
      </c>
      <c r="P379" s="6">
        <v>728</v>
      </c>
      <c r="Q379" s="4" t="s">
        <v>26</v>
      </c>
      <c r="R379" s="4">
        <v>0</v>
      </c>
      <c r="S379" s="6">
        <v>0</v>
      </c>
      <c r="T379" s="6">
        <v>65</v>
      </c>
      <c r="U379" s="6">
        <v>25</v>
      </c>
      <c r="V379" s="6">
        <f>IF(ISERROR(VLOOKUP($S$379,'TAR FIN'!$A$1:$O$88,15,0)),0,VLOOKUP($S$379,'TAR FIN'!$A$1:$O$88,15,0))</f>
        <v>0</v>
      </c>
      <c r="W379" s="6">
        <f>IF(ISERROR(VLOOKUP($T$379,'TAR FIN'!$A$1:$O$88,15,0)),0,VLOOKUP($T$379,'TAR FIN'!$A$1:$O$88,15,0))</f>
        <v>269.91000000000003</v>
      </c>
      <c r="X379" s="6">
        <f>IF(ISERROR(VLOOKUP($U$379,'TAR FIN'!$A$1:$O$88,15,0)),0,VLOOKUP($U$379,'TAR FIN'!$A$1:$O$88,15,0))</f>
        <v>288.89999999999998</v>
      </c>
      <c r="Y379" s="6"/>
      <c r="Z379" s="6">
        <f ca="1">('TUSD BE'!$AM$48+'TUSD BF_350'!$AM$48+'TUSD CVA'!$AM$48)*1</f>
        <v>350.41122835255294</v>
      </c>
      <c r="AA379" s="6">
        <f ca="1">('TE BE'!$AB$39+'TE BF_350'!$AB$39+'TE CVA'!$AB$39)*1</f>
        <v>207.63042742196092</v>
      </c>
      <c r="AB379" s="6">
        <f>$K$379*$V$379</f>
        <v>0</v>
      </c>
      <c r="AC379" s="6">
        <f>$M$379*$W$379</f>
        <v>78863.653350000008</v>
      </c>
      <c r="AD379" s="6">
        <f>$O$379*$X$379</f>
        <v>84412.246499999994</v>
      </c>
      <c r="AE379" s="6">
        <f>$K$379*$Y$379</f>
        <v>0</v>
      </c>
      <c r="AF379" s="6">
        <f ca="1">$M$379*$Z$379</f>
        <v>102384.90475619068</v>
      </c>
      <c r="AG379" s="6">
        <f ca="1">$O$379*$AA$379</f>
        <v>60666.496436285648</v>
      </c>
    </row>
    <row r="380" spans="1:33" ht="11.25" customHeight="1" x14ac:dyDescent="0.25">
      <c r="A380" s="4" t="s">
        <v>27</v>
      </c>
      <c r="B380" s="4" t="s">
        <v>36</v>
      </c>
      <c r="C380" s="4" t="s">
        <v>23</v>
      </c>
      <c r="D380" s="4" t="s">
        <v>40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44409</v>
      </c>
      <c r="J380" s="6">
        <v>0</v>
      </c>
      <c r="K380" s="6">
        <v>0</v>
      </c>
      <c r="L380" s="6">
        <v>13.595000000000001</v>
      </c>
      <c r="M380" s="6">
        <v>13.595000000000001</v>
      </c>
      <c r="N380" s="6">
        <v>13.595000000000001</v>
      </c>
      <c r="O380" s="6">
        <v>13.595000000000001</v>
      </c>
      <c r="P380" s="6">
        <v>62</v>
      </c>
      <c r="Q380" s="4" t="s">
        <v>26</v>
      </c>
      <c r="R380" s="4">
        <v>0</v>
      </c>
      <c r="S380" s="6">
        <v>0</v>
      </c>
      <c r="T380" s="6">
        <v>65</v>
      </c>
      <c r="U380" s="6">
        <v>25</v>
      </c>
      <c r="V380" s="6">
        <f>IF(ISERROR(VLOOKUP($S$380,'TAR FIN'!$A$1:$O$88,15,0)),0,VLOOKUP($S$380,'TAR FIN'!$A$1:$O$88,15,0))</f>
        <v>0</v>
      </c>
      <c r="W380" s="6">
        <f>IF(ISERROR(VLOOKUP($T$380,'TAR FIN'!$A$1:$O$88,15,0)),0,VLOOKUP($T$380,'TAR FIN'!$A$1:$O$88,15,0))</f>
        <v>269.91000000000003</v>
      </c>
      <c r="X380" s="6">
        <f>IF(ISERROR(VLOOKUP($U$380,'TAR FIN'!$A$1:$O$88,15,0)),0,VLOOKUP($U$380,'TAR FIN'!$A$1:$O$88,15,0))</f>
        <v>288.89999999999998</v>
      </c>
      <c r="Y380" s="6"/>
      <c r="Z380" s="6">
        <f ca="1">('TUSD BE'!$AM$48+'TUSD BF_350'!$AM$48+'TUSD CVA'!$AM$48)*1</f>
        <v>350.41122835255294</v>
      </c>
      <c r="AA380" s="6">
        <f ca="1">('TE BE'!$AB$39+'TE BF_350'!$AB$39+'TE CVA'!$AB$39)*1</f>
        <v>207.63042742196092</v>
      </c>
      <c r="AB380" s="6">
        <f>$K$380*$V$380</f>
        <v>0</v>
      </c>
      <c r="AC380" s="6">
        <f>$M$380*$W$380</f>
        <v>3669.4264500000004</v>
      </c>
      <c r="AD380" s="6">
        <f>$O$380*$X$380</f>
        <v>3927.5954999999999</v>
      </c>
      <c r="AE380" s="6">
        <f>$K$380*$Y$380</f>
        <v>0</v>
      </c>
      <c r="AF380" s="6">
        <f ca="1">$M$380*$Z$380</f>
        <v>4763.8406494529572</v>
      </c>
      <c r="AG380" s="6">
        <f ca="1">$O$380*$AA$380</f>
        <v>2822.7356608015589</v>
      </c>
    </row>
    <row r="381" spans="1:33" ht="11.25" customHeight="1" x14ac:dyDescent="0.25">
      <c r="A381" s="4" t="s">
        <v>21</v>
      </c>
      <c r="B381" s="4" t="s">
        <v>36</v>
      </c>
      <c r="C381" s="4" t="s">
        <v>23</v>
      </c>
      <c r="D381" s="4" t="s">
        <v>40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44440</v>
      </c>
      <c r="J381" s="6">
        <v>0</v>
      </c>
      <c r="K381" s="6">
        <v>0</v>
      </c>
      <c r="L381" s="6">
        <v>319.61500000000001</v>
      </c>
      <c r="M381" s="6">
        <v>319.61500000000001</v>
      </c>
      <c r="N381" s="6">
        <v>319.61500000000001</v>
      </c>
      <c r="O381" s="6">
        <v>319.61500000000001</v>
      </c>
      <c r="P381" s="6">
        <v>730</v>
      </c>
      <c r="Q381" s="4" t="s">
        <v>26</v>
      </c>
      <c r="R381" s="4">
        <v>0</v>
      </c>
      <c r="S381" s="6">
        <v>0</v>
      </c>
      <c r="T381" s="6">
        <v>65</v>
      </c>
      <c r="U381" s="6">
        <v>25</v>
      </c>
      <c r="V381" s="6">
        <f>IF(ISERROR(VLOOKUP($S$381,'TAR FIN'!$A$1:$O$88,15,0)),0,VLOOKUP($S$381,'TAR FIN'!$A$1:$O$88,15,0))</f>
        <v>0</v>
      </c>
      <c r="W381" s="6">
        <f>IF(ISERROR(VLOOKUP($T$381,'TAR FIN'!$A$1:$O$88,15,0)),0,VLOOKUP($T$381,'TAR FIN'!$A$1:$O$88,15,0))</f>
        <v>269.91000000000003</v>
      </c>
      <c r="X381" s="6">
        <f>IF(ISERROR(VLOOKUP($U$381,'TAR FIN'!$A$1:$O$88,15,0)),0,VLOOKUP($U$381,'TAR FIN'!$A$1:$O$88,15,0))</f>
        <v>288.89999999999998</v>
      </c>
      <c r="Y381" s="6"/>
      <c r="Z381" s="6">
        <f ca="1">('TUSD BE'!$AM$48+'TUSD BF_350'!$AM$48+'TUSD CVA'!$AM$48)*1</f>
        <v>350.41122835255294</v>
      </c>
      <c r="AA381" s="6">
        <f ca="1">('TE BE'!$AB$39+'TE BF_350'!$AB$39+'TE CVA'!$AB$39)*1</f>
        <v>207.63042742196092</v>
      </c>
      <c r="AB381" s="6">
        <f>$K$381*$V$381</f>
        <v>0</v>
      </c>
      <c r="AC381" s="6">
        <f>$M$381*$W$381</f>
        <v>86267.284650000016</v>
      </c>
      <c r="AD381" s="6">
        <f>$O$381*$X$381</f>
        <v>92336.773499999996</v>
      </c>
      <c r="AE381" s="6">
        <f>$K$381*$Y$381</f>
        <v>0</v>
      </c>
      <c r="AF381" s="6">
        <f ca="1">$M$381*$Z$381</f>
        <v>111996.68474990121</v>
      </c>
      <c r="AG381" s="6">
        <f ca="1">$O$381*$AA$381</f>
        <v>66361.799060470046</v>
      </c>
    </row>
    <row r="382" spans="1:33" ht="11.25" customHeight="1" x14ac:dyDescent="0.25">
      <c r="A382" s="4" t="s">
        <v>27</v>
      </c>
      <c r="B382" s="4" t="s">
        <v>36</v>
      </c>
      <c r="C382" s="4" t="s">
        <v>23</v>
      </c>
      <c r="D382" s="4" t="s">
        <v>40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44440</v>
      </c>
      <c r="J382" s="6">
        <v>0</v>
      </c>
      <c r="K382" s="6">
        <v>0</v>
      </c>
      <c r="L382" s="6">
        <v>11.760999999999999</v>
      </c>
      <c r="M382" s="6">
        <v>11.760999999999999</v>
      </c>
      <c r="N382" s="6">
        <v>11.760999999999999</v>
      </c>
      <c r="O382" s="6">
        <v>11.760999999999999</v>
      </c>
      <c r="P382" s="6">
        <v>63</v>
      </c>
      <c r="Q382" s="4" t="s">
        <v>26</v>
      </c>
      <c r="R382" s="4">
        <v>0</v>
      </c>
      <c r="S382" s="6">
        <v>0</v>
      </c>
      <c r="T382" s="6">
        <v>65</v>
      </c>
      <c r="U382" s="6">
        <v>25</v>
      </c>
      <c r="V382" s="6">
        <f>IF(ISERROR(VLOOKUP($S$382,'TAR FIN'!$A$1:$O$88,15,0)),0,VLOOKUP($S$382,'TAR FIN'!$A$1:$O$88,15,0))</f>
        <v>0</v>
      </c>
      <c r="W382" s="6">
        <f>IF(ISERROR(VLOOKUP($T$382,'TAR FIN'!$A$1:$O$88,15,0)),0,VLOOKUP($T$382,'TAR FIN'!$A$1:$O$88,15,0))</f>
        <v>269.91000000000003</v>
      </c>
      <c r="X382" s="6">
        <f>IF(ISERROR(VLOOKUP($U$382,'TAR FIN'!$A$1:$O$88,15,0)),0,VLOOKUP($U$382,'TAR FIN'!$A$1:$O$88,15,0))</f>
        <v>288.89999999999998</v>
      </c>
      <c r="Y382" s="6"/>
      <c r="Z382" s="6">
        <f ca="1">('TUSD BE'!$AM$48+'TUSD BF_350'!$AM$48+'TUSD CVA'!$AM$48)*1</f>
        <v>350.41122835255294</v>
      </c>
      <c r="AA382" s="6">
        <f ca="1">('TE BE'!$AB$39+'TE BF_350'!$AB$39+'TE CVA'!$AB$39)*1</f>
        <v>207.63042742196092</v>
      </c>
      <c r="AB382" s="6">
        <f>$K$382*$V$382</f>
        <v>0</v>
      </c>
      <c r="AC382" s="6">
        <f>$M$382*$W$382</f>
        <v>3174.4115099999999</v>
      </c>
      <c r="AD382" s="6">
        <f>$O$382*$X$382</f>
        <v>3397.7528999999995</v>
      </c>
      <c r="AE382" s="6">
        <f>$K$382*$Y$382</f>
        <v>0</v>
      </c>
      <c r="AF382" s="6">
        <f ca="1">$M$382*$Z$382</f>
        <v>4121.1864566543745</v>
      </c>
      <c r="AG382" s="6">
        <f ca="1">$O$382*$AA$382</f>
        <v>2441.9414569096821</v>
      </c>
    </row>
    <row r="383" spans="1:33" ht="11.25" customHeight="1" x14ac:dyDescent="0.25">
      <c r="A383" s="4" t="s">
        <v>21</v>
      </c>
      <c r="B383" s="4" t="s">
        <v>36</v>
      </c>
      <c r="C383" s="4" t="s">
        <v>23</v>
      </c>
      <c r="D383" s="4" t="s">
        <v>40</v>
      </c>
      <c r="E383" s="4" t="s">
        <v>25</v>
      </c>
      <c r="F383" s="4" t="s">
        <v>25</v>
      </c>
      <c r="G383" s="4" t="s">
        <v>25</v>
      </c>
      <c r="H383" s="4" t="s">
        <v>25</v>
      </c>
      <c r="I383" s="5">
        <v>44470</v>
      </c>
      <c r="J383" s="6">
        <v>0</v>
      </c>
      <c r="K383" s="6">
        <v>0</v>
      </c>
      <c r="L383" s="6">
        <v>290.27999999999997</v>
      </c>
      <c r="M383" s="6">
        <v>290.27999999999997</v>
      </c>
      <c r="N383" s="6">
        <v>290.27999999999997</v>
      </c>
      <c r="O383" s="6">
        <v>290.27999999999997</v>
      </c>
      <c r="P383" s="6">
        <v>724</v>
      </c>
      <c r="Q383" s="4" t="s">
        <v>26</v>
      </c>
      <c r="R383" s="4">
        <v>0</v>
      </c>
      <c r="S383" s="6">
        <v>0</v>
      </c>
      <c r="T383" s="6">
        <v>65</v>
      </c>
      <c r="U383" s="6">
        <v>25</v>
      </c>
      <c r="V383" s="6">
        <f>IF(ISERROR(VLOOKUP($S$383,'TAR FIN'!$A$1:$O$88,15,0)),0,VLOOKUP($S$383,'TAR FIN'!$A$1:$O$88,15,0))</f>
        <v>0</v>
      </c>
      <c r="W383" s="6">
        <f>IF(ISERROR(VLOOKUP($T$383,'TAR FIN'!$A$1:$O$88,15,0)),0,VLOOKUP($T$383,'TAR FIN'!$A$1:$O$88,15,0))</f>
        <v>269.91000000000003</v>
      </c>
      <c r="X383" s="6">
        <f>IF(ISERROR(VLOOKUP($U$383,'TAR FIN'!$A$1:$O$88,15,0)),0,VLOOKUP($U$383,'TAR FIN'!$A$1:$O$88,15,0))</f>
        <v>288.89999999999998</v>
      </c>
      <c r="Y383" s="6"/>
      <c r="Z383" s="6">
        <f ca="1">('TUSD BE'!$AM$48+'TUSD BF_350'!$AM$48+'TUSD CVA'!$AM$48)*1</f>
        <v>350.41122835255294</v>
      </c>
      <c r="AA383" s="6">
        <f ca="1">('TE BE'!$AB$39+'TE BF_350'!$AB$39+'TE CVA'!$AB$39)*1</f>
        <v>207.63042742196092</v>
      </c>
      <c r="AB383" s="6">
        <f>$K$383*$V$383</f>
        <v>0</v>
      </c>
      <c r="AC383" s="6">
        <f>$M$383*$W$383</f>
        <v>78349.474799999996</v>
      </c>
      <c r="AD383" s="6">
        <f>$O$383*$X$383</f>
        <v>83861.891999999993</v>
      </c>
      <c r="AE383" s="6">
        <f>$K$383*$Y$383</f>
        <v>0</v>
      </c>
      <c r="AF383" s="6">
        <f ca="1">$M$383*$Z$383</f>
        <v>101717.37136617905</v>
      </c>
      <c r="AG383" s="6">
        <f ca="1">$O$383*$AA$383</f>
        <v>60270.960472046812</v>
      </c>
    </row>
    <row r="384" spans="1:33" ht="11.25" customHeight="1" x14ac:dyDescent="0.25">
      <c r="A384" s="4" t="s">
        <v>27</v>
      </c>
      <c r="B384" s="4" t="s">
        <v>36</v>
      </c>
      <c r="C384" s="4" t="s">
        <v>23</v>
      </c>
      <c r="D384" s="4" t="s">
        <v>40</v>
      </c>
      <c r="E384" s="4" t="s">
        <v>25</v>
      </c>
      <c r="F384" s="4" t="s">
        <v>25</v>
      </c>
      <c r="G384" s="4" t="s">
        <v>25</v>
      </c>
      <c r="H384" s="4" t="s">
        <v>25</v>
      </c>
      <c r="I384" s="5">
        <v>44470</v>
      </c>
      <c r="J384" s="6">
        <v>0</v>
      </c>
      <c r="K384" s="6">
        <v>0</v>
      </c>
      <c r="L384" s="6">
        <v>16.209</v>
      </c>
      <c r="M384" s="6">
        <v>16.209</v>
      </c>
      <c r="N384" s="6">
        <v>16.209</v>
      </c>
      <c r="O384" s="6">
        <v>16.209</v>
      </c>
      <c r="P384" s="6">
        <v>68</v>
      </c>
      <c r="Q384" s="4" t="s">
        <v>26</v>
      </c>
      <c r="R384" s="4">
        <v>0</v>
      </c>
      <c r="S384" s="6">
        <v>0</v>
      </c>
      <c r="T384" s="6">
        <v>65</v>
      </c>
      <c r="U384" s="6">
        <v>25</v>
      </c>
      <c r="V384" s="6">
        <f>IF(ISERROR(VLOOKUP($S$384,'TAR FIN'!$A$1:$O$88,15,0)),0,VLOOKUP($S$384,'TAR FIN'!$A$1:$O$88,15,0))</f>
        <v>0</v>
      </c>
      <c r="W384" s="6">
        <f>IF(ISERROR(VLOOKUP($T$384,'TAR FIN'!$A$1:$O$88,15,0)),0,VLOOKUP($T$384,'TAR FIN'!$A$1:$O$88,15,0))</f>
        <v>269.91000000000003</v>
      </c>
      <c r="X384" s="6">
        <f>IF(ISERROR(VLOOKUP($U$384,'TAR FIN'!$A$1:$O$88,15,0)),0,VLOOKUP($U$384,'TAR FIN'!$A$1:$O$88,15,0))</f>
        <v>288.89999999999998</v>
      </c>
      <c r="Y384" s="6"/>
      <c r="Z384" s="6">
        <f ca="1">('TUSD BE'!$AM$48+'TUSD BF_350'!$AM$48+'TUSD CVA'!$AM$48)*1</f>
        <v>350.41122835255294</v>
      </c>
      <c r="AA384" s="6">
        <f ca="1">('TE BE'!$AB$39+'TE BF_350'!$AB$39+'TE CVA'!$AB$39)*1</f>
        <v>207.63042742196092</v>
      </c>
      <c r="AB384" s="6">
        <f>$K$384*$V$384</f>
        <v>0</v>
      </c>
      <c r="AC384" s="6">
        <f>$M$384*$W$384</f>
        <v>4374.9711900000002</v>
      </c>
      <c r="AD384" s="6">
        <f>$O$384*$X$384</f>
        <v>4682.7800999999999</v>
      </c>
      <c r="AE384" s="6">
        <f>$K$384*$Y$384</f>
        <v>0</v>
      </c>
      <c r="AF384" s="6">
        <f ca="1">$M$384*$Z$384</f>
        <v>5679.8156003665308</v>
      </c>
      <c r="AG384" s="6">
        <f ca="1">$O$384*$AA$384</f>
        <v>3365.4815980825642</v>
      </c>
    </row>
    <row r="385" spans="1:33" ht="11.25" customHeight="1" x14ac:dyDescent="0.25">
      <c r="A385" s="4" t="s">
        <v>21</v>
      </c>
      <c r="B385" s="4" t="s">
        <v>36</v>
      </c>
      <c r="C385" s="4" t="s">
        <v>23</v>
      </c>
      <c r="D385" s="4" t="s">
        <v>40</v>
      </c>
      <c r="E385" s="4" t="s">
        <v>25</v>
      </c>
      <c r="F385" s="4" t="s">
        <v>25</v>
      </c>
      <c r="G385" s="4" t="s">
        <v>25</v>
      </c>
      <c r="H385" s="4" t="s">
        <v>25</v>
      </c>
      <c r="I385" s="5">
        <v>44501</v>
      </c>
      <c r="J385" s="6">
        <v>0</v>
      </c>
      <c r="K385" s="6">
        <v>0</v>
      </c>
      <c r="L385" s="6">
        <v>354.77800000000002</v>
      </c>
      <c r="M385" s="6">
        <v>354.77800000000002</v>
      </c>
      <c r="N385" s="6">
        <v>354.77800000000002</v>
      </c>
      <c r="O385" s="6">
        <v>354.77800000000002</v>
      </c>
      <c r="P385" s="6">
        <v>724</v>
      </c>
      <c r="Q385" s="4" t="s">
        <v>26</v>
      </c>
      <c r="R385" s="4">
        <v>0</v>
      </c>
      <c r="S385" s="6">
        <v>0</v>
      </c>
      <c r="T385" s="6">
        <v>65</v>
      </c>
      <c r="U385" s="6">
        <v>25</v>
      </c>
      <c r="V385" s="6">
        <f>IF(ISERROR(VLOOKUP($S$385,'TAR FIN'!$A$1:$O$88,15,0)),0,VLOOKUP($S$385,'TAR FIN'!$A$1:$O$88,15,0))</f>
        <v>0</v>
      </c>
      <c r="W385" s="6">
        <f>IF(ISERROR(VLOOKUP($T$385,'TAR FIN'!$A$1:$O$88,15,0)),0,VLOOKUP($T$385,'TAR FIN'!$A$1:$O$88,15,0))</f>
        <v>269.91000000000003</v>
      </c>
      <c r="X385" s="6">
        <f>IF(ISERROR(VLOOKUP($U$385,'TAR FIN'!$A$1:$O$88,15,0)),0,VLOOKUP($U$385,'TAR FIN'!$A$1:$O$88,15,0))</f>
        <v>288.89999999999998</v>
      </c>
      <c r="Y385" s="6"/>
      <c r="Z385" s="6">
        <f ca="1">('TUSD BE'!$AM$48+'TUSD BF_350'!$AM$48+'TUSD CVA'!$AM$48)*1</f>
        <v>350.41122835255294</v>
      </c>
      <c r="AA385" s="6">
        <f ca="1">('TE BE'!$AB$39+'TE BF_350'!$AB$39+'TE CVA'!$AB$39)*1</f>
        <v>207.63042742196092</v>
      </c>
      <c r="AB385" s="6">
        <f>$K$385*$V$385</f>
        <v>0</v>
      </c>
      <c r="AC385" s="6">
        <f>$M$385*$W$385</f>
        <v>95758.129980000012</v>
      </c>
      <c r="AD385" s="6">
        <f>$O$385*$X$385</f>
        <v>102495.3642</v>
      </c>
      <c r="AE385" s="6">
        <f>$K$385*$Y$385</f>
        <v>0</v>
      </c>
      <c r="AF385" s="6">
        <f ca="1">$M$385*$Z$385</f>
        <v>124318.19477246204</v>
      </c>
      <c r="AG385" s="6">
        <f ca="1">$O$385*$AA$385</f>
        <v>73662.707779908451</v>
      </c>
    </row>
    <row r="386" spans="1:33" ht="11.25" customHeight="1" x14ac:dyDescent="0.25">
      <c r="A386" s="4" t="s">
        <v>27</v>
      </c>
      <c r="B386" s="4" t="s">
        <v>36</v>
      </c>
      <c r="C386" s="4" t="s">
        <v>23</v>
      </c>
      <c r="D386" s="4" t="s">
        <v>40</v>
      </c>
      <c r="E386" s="4" t="s">
        <v>25</v>
      </c>
      <c r="F386" s="4" t="s">
        <v>25</v>
      </c>
      <c r="G386" s="4" t="s">
        <v>25</v>
      </c>
      <c r="H386" s="4" t="s">
        <v>25</v>
      </c>
      <c r="I386" s="5">
        <v>44501</v>
      </c>
      <c r="J386" s="6">
        <v>0</v>
      </c>
      <c r="K386" s="6">
        <v>0</v>
      </c>
      <c r="L386" s="6">
        <v>12.118</v>
      </c>
      <c r="M386" s="6">
        <v>12.118</v>
      </c>
      <c r="N386" s="6">
        <v>12.118</v>
      </c>
      <c r="O386" s="6">
        <v>12.118</v>
      </c>
      <c r="P386" s="6">
        <v>71</v>
      </c>
      <c r="Q386" s="4" t="s">
        <v>26</v>
      </c>
      <c r="R386" s="4">
        <v>0</v>
      </c>
      <c r="S386" s="6">
        <v>0</v>
      </c>
      <c r="T386" s="6">
        <v>65</v>
      </c>
      <c r="U386" s="6">
        <v>25</v>
      </c>
      <c r="V386" s="6">
        <f>IF(ISERROR(VLOOKUP($S$386,'TAR FIN'!$A$1:$O$88,15,0)),0,VLOOKUP($S$386,'TAR FIN'!$A$1:$O$88,15,0))</f>
        <v>0</v>
      </c>
      <c r="W386" s="6">
        <f>IF(ISERROR(VLOOKUP($T$386,'TAR FIN'!$A$1:$O$88,15,0)),0,VLOOKUP($T$386,'TAR FIN'!$A$1:$O$88,15,0))</f>
        <v>269.91000000000003</v>
      </c>
      <c r="X386" s="6">
        <f>IF(ISERROR(VLOOKUP($U$386,'TAR FIN'!$A$1:$O$88,15,0)),0,VLOOKUP($U$386,'TAR FIN'!$A$1:$O$88,15,0))</f>
        <v>288.89999999999998</v>
      </c>
      <c r="Y386" s="6"/>
      <c r="Z386" s="6">
        <f ca="1">('TUSD BE'!$AM$48+'TUSD BF_350'!$AM$48+'TUSD CVA'!$AM$48)*1</f>
        <v>350.41122835255294</v>
      </c>
      <c r="AA386" s="6">
        <f ca="1">('TE BE'!$AB$39+'TE BF_350'!$AB$39+'TE CVA'!$AB$39)*1</f>
        <v>207.63042742196092</v>
      </c>
      <c r="AB386" s="6">
        <f>$K$386*$V$386</f>
        <v>0</v>
      </c>
      <c r="AC386" s="6">
        <f>$M$386*$W$386</f>
        <v>3270.7693800000002</v>
      </c>
      <c r="AD386" s="6">
        <f>$O$386*$X$386</f>
        <v>3500.8901999999998</v>
      </c>
      <c r="AE386" s="6">
        <f>$K$386*$Y$386</f>
        <v>0</v>
      </c>
      <c r="AF386" s="6">
        <f ca="1">$M$386*$Z$386</f>
        <v>4246.2832651762365</v>
      </c>
      <c r="AG386" s="6">
        <f ca="1">$O$386*$AA$386</f>
        <v>2516.0655194993224</v>
      </c>
    </row>
    <row r="387" spans="1:33" ht="11.25" customHeight="1" x14ac:dyDescent="0.25">
      <c r="A387" s="4" t="s">
        <v>21</v>
      </c>
      <c r="B387" s="4" t="s">
        <v>36</v>
      </c>
      <c r="C387" s="4" t="s">
        <v>23</v>
      </c>
      <c r="D387" s="4" t="s">
        <v>40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44531</v>
      </c>
      <c r="J387" s="6">
        <v>0</v>
      </c>
      <c r="K387" s="6">
        <v>0</v>
      </c>
      <c r="L387" s="6">
        <v>393.10399999999998</v>
      </c>
      <c r="M387" s="6">
        <v>393.10399999999998</v>
      </c>
      <c r="N387" s="6">
        <v>393.10399999999998</v>
      </c>
      <c r="O387" s="6">
        <v>393.10399999999998</v>
      </c>
      <c r="P387" s="6">
        <v>724</v>
      </c>
      <c r="Q387" s="4" t="s">
        <v>26</v>
      </c>
      <c r="R387" s="4">
        <v>0</v>
      </c>
      <c r="S387" s="6">
        <v>0</v>
      </c>
      <c r="T387" s="6">
        <v>65</v>
      </c>
      <c r="U387" s="6">
        <v>25</v>
      </c>
      <c r="V387" s="6">
        <f>IF(ISERROR(VLOOKUP($S$387,'TAR FIN'!$A$1:$O$88,15,0)),0,VLOOKUP($S$387,'TAR FIN'!$A$1:$O$88,15,0))</f>
        <v>0</v>
      </c>
      <c r="W387" s="6">
        <f>IF(ISERROR(VLOOKUP($T$387,'TAR FIN'!$A$1:$O$88,15,0)),0,VLOOKUP($T$387,'TAR FIN'!$A$1:$O$88,15,0))</f>
        <v>269.91000000000003</v>
      </c>
      <c r="X387" s="6">
        <f>IF(ISERROR(VLOOKUP($U$387,'TAR FIN'!$A$1:$O$88,15,0)),0,VLOOKUP($U$387,'TAR FIN'!$A$1:$O$88,15,0))</f>
        <v>288.89999999999998</v>
      </c>
      <c r="Y387" s="6"/>
      <c r="Z387" s="6">
        <f ca="1">('TUSD BE'!$AM$48+'TUSD BF_350'!$AM$48+'TUSD CVA'!$AM$48)*1</f>
        <v>350.41122835255294</v>
      </c>
      <c r="AA387" s="6">
        <f ca="1">('TE BE'!$AB$39+'TE BF_350'!$AB$39+'TE CVA'!$AB$39)*1</f>
        <v>207.63042742196092</v>
      </c>
      <c r="AB387" s="6">
        <f>$K$387*$V$387</f>
        <v>0</v>
      </c>
      <c r="AC387" s="6">
        <f>$M$387*$W$387</f>
        <v>106102.70064000001</v>
      </c>
      <c r="AD387" s="6">
        <f>$O$387*$X$387</f>
        <v>113567.74559999998</v>
      </c>
      <c r="AE387" s="6">
        <f>$K$387*$Y$387</f>
        <v>0</v>
      </c>
      <c r="AF387" s="6">
        <f ca="1">$M$387*$Z$387</f>
        <v>137748.05551030196</v>
      </c>
      <c r="AG387" s="6">
        <f ca="1">$O$387*$AA$387</f>
        <v>81620.351541282522</v>
      </c>
    </row>
    <row r="388" spans="1:33" ht="11.25" customHeight="1" x14ac:dyDescent="0.25">
      <c r="A388" s="4" t="s">
        <v>27</v>
      </c>
      <c r="B388" s="4" t="s">
        <v>36</v>
      </c>
      <c r="C388" s="4" t="s">
        <v>23</v>
      </c>
      <c r="D388" s="4" t="s">
        <v>40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44531</v>
      </c>
      <c r="J388" s="6">
        <v>0</v>
      </c>
      <c r="K388" s="6">
        <v>0</v>
      </c>
      <c r="L388" s="6">
        <v>15.016</v>
      </c>
      <c r="M388" s="6">
        <v>15.016</v>
      </c>
      <c r="N388" s="6">
        <v>15.016</v>
      </c>
      <c r="O388" s="6">
        <v>15.016</v>
      </c>
      <c r="P388" s="6">
        <v>74</v>
      </c>
      <c r="Q388" s="4" t="s">
        <v>26</v>
      </c>
      <c r="R388" s="4">
        <v>0</v>
      </c>
      <c r="S388" s="6">
        <v>0</v>
      </c>
      <c r="T388" s="6">
        <v>65</v>
      </c>
      <c r="U388" s="6">
        <v>25</v>
      </c>
      <c r="V388" s="6">
        <f>IF(ISERROR(VLOOKUP($S$388,'TAR FIN'!$A$1:$O$88,15,0)),0,VLOOKUP($S$388,'TAR FIN'!$A$1:$O$88,15,0))</f>
        <v>0</v>
      </c>
      <c r="W388" s="6">
        <f>IF(ISERROR(VLOOKUP($T$388,'TAR FIN'!$A$1:$O$88,15,0)),0,VLOOKUP($T$388,'TAR FIN'!$A$1:$O$88,15,0))</f>
        <v>269.91000000000003</v>
      </c>
      <c r="X388" s="6">
        <f>IF(ISERROR(VLOOKUP($U$388,'TAR FIN'!$A$1:$O$88,15,0)),0,VLOOKUP($U$388,'TAR FIN'!$A$1:$O$88,15,0))</f>
        <v>288.89999999999998</v>
      </c>
      <c r="Y388" s="6"/>
      <c r="Z388" s="6">
        <f ca="1">('TUSD BE'!$AM$48+'TUSD BF_350'!$AM$48+'TUSD CVA'!$AM$48)*1</f>
        <v>350.41122835255294</v>
      </c>
      <c r="AA388" s="6">
        <f ca="1">('TE BE'!$AB$39+'TE BF_350'!$AB$39+'TE CVA'!$AB$39)*1</f>
        <v>207.63042742196092</v>
      </c>
      <c r="AB388" s="6">
        <f>$K$388*$V$388</f>
        <v>0</v>
      </c>
      <c r="AC388" s="6">
        <f>$M$388*$W$388</f>
        <v>4052.9685600000003</v>
      </c>
      <c r="AD388" s="6">
        <f>$O$388*$X$388</f>
        <v>4338.1223999999993</v>
      </c>
      <c r="AE388" s="6">
        <f>$K$388*$Y$388</f>
        <v>0</v>
      </c>
      <c r="AF388" s="6">
        <f ca="1">$M$388*$Z$388</f>
        <v>5261.7750049419346</v>
      </c>
      <c r="AG388" s="6">
        <f ca="1">$O$388*$AA$388</f>
        <v>3117.7784981681652</v>
      </c>
    </row>
    <row r="389" spans="1:33" ht="11.25" customHeight="1" x14ac:dyDescent="0.25">
      <c r="A389" s="4" t="s">
        <v>21</v>
      </c>
      <c r="B389" s="4" t="s">
        <v>36</v>
      </c>
      <c r="C389" s="4" t="s">
        <v>23</v>
      </c>
      <c r="D389" s="4" t="s">
        <v>40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44562</v>
      </c>
      <c r="J389" s="6">
        <v>0</v>
      </c>
      <c r="K389" s="6">
        <v>0</v>
      </c>
      <c r="L389" s="6">
        <v>376.59699999999998</v>
      </c>
      <c r="M389" s="6">
        <v>376.59699999999998</v>
      </c>
      <c r="N389" s="6">
        <v>376.59699999999998</v>
      </c>
      <c r="O389" s="6">
        <v>376.59699999999998</v>
      </c>
      <c r="P389" s="6">
        <v>721</v>
      </c>
      <c r="Q389" s="4" t="s">
        <v>26</v>
      </c>
      <c r="R389" s="4">
        <v>0</v>
      </c>
      <c r="S389" s="6">
        <v>0</v>
      </c>
      <c r="T389" s="6">
        <v>65</v>
      </c>
      <c r="U389" s="6">
        <v>25</v>
      </c>
      <c r="V389" s="6">
        <f>IF(ISERROR(VLOOKUP($S$389,'TAR FIN'!$A$1:$O$88,15,0)),0,VLOOKUP($S$389,'TAR FIN'!$A$1:$O$88,15,0))</f>
        <v>0</v>
      </c>
      <c r="W389" s="6">
        <f>IF(ISERROR(VLOOKUP($T$389,'TAR FIN'!$A$1:$O$88,15,0)),0,VLOOKUP($T$389,'TAR FIN'!$A$1:$O$88,15,0))</f>
        <v>269.91000000000003</v>
      </c>
      <c r="X389" s="6">
        <f>IF(ISERROR(VLOOKUP($U$389,'TAR FIN'!$A$1:$O$88,15,0)),0,VLOOKUP($U$389,'TAR FIN'!$A$1:$O$88,15,0))</f>
        <v>288.89999999999998</v>
      </c>
      <c r="Y389" s="6"/>
      <c r="Z389" s="6">
        <f ca="1">('TUSD BE'!$AM$48+'TUSD BF_350'!$AM$48+'TUSD CVA'!$AM$48)*1</f>
        <v>350.41122835255294</v>
      </c>
      <c r="AA389" s="6">
        <f ca="1">('TE BE'!$AB$39+'TE BF_350'!$AB$39+'TE CVA'!$AB$39)*1</f>
        <v>207.63042742196092</v>
      </c>
      <c r="AB389" s="6">
        <f>$K$389*$V$389</f>
        <v>0</v>
      </c>
      <c r="AC389" s="6">
        <f>$M$389*$W$389</f>
        <v>101647.29627000001</v>
      </c>
      <c r="AD389" s="6">
        <f>$O$389*$X$389</f>
        <v>108798.87329999999</v>
      </c>
      <c r="AE389" s="6">
        <f>$K$389*$Y$389</f>
        <v>0</v>
      </c>
      <c r="AF389" s="6">
        <f ca="1">$M$389*$Z$389</f>
        <v>131963.81736388637</v>
      </c>
      <c r="AG389" s="6">
        <f ca="1">$O$389*$AA$389</f>
        <v>78192.99607582821</v>
      </c>
    </row>
    <row r="390" spans="1:33" ht="11.25" customHeight="1" x14ac:dyDescent="0.25">
      <c r="A390" s="4" t="s">
        <v>27</v>
      </c>
      <c r="B390" s="4" t="s">
        <v>36</v>
      </c>
      <c r="C390" s="4" t="s">
        <v>23</v>
      </c>
      <c r="D390" s="4" t="s">
        <v>40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44562</v>
      </c>
      <c r="J390" s="6">
        <v>0</v>
      </c>
      <c r="K390" s="6">
        <v>0</v>
      </c>
      <c r="L390" s="6">
        <v>14.444000000000001</v>
      </c>
      <c r="M390" s="6">
        <v>14.444000000000001</v>
      </c>
      <c r="N390" s="6">
        <v>14.444000000000001</v>
      </c>
      <c r="O390" s="6">
        <v>14.444000000000001</v>
      </c>
      <c r="P390" s="6">
        <v>75</v>
      </c>
      <c r="Q390" s="4" t="s">
        <v>26</v>
      </c>
      <c r="R390" s="4">
        <v>0</v>
      </c>
      <c r="S390" s="6">
        <v>0</v>
      </c>
      <c r="T390" s="6">
        <v>65</v>
      </c>
      <c r="U390" s="6">
        <v>25</v>
      </c>
      <c r="V390" s="6">
        <f>IF(ISERROR(VLOOKUP($S$390,'TAR FIN'!$A$1:$O$88,15,0)),0,VLOOKUP($S$390,'TAR FIN'!$A$1:$O$88,15,0))</f>
        <v>0</v>
      </c>
      <c r="W390" s="6">
        <f>IF(ISERROR(VLOOKUP($T$390,'TAR FIN'!$A$1:$O$88,15,0)),0,VLOOKUP($T$390,'TAR FIN'!$A$1:$O$88,15,0))</f>
        <v>269.91000000000003</v>
      </c>
      <c r="X390" s="6">
        <f>IF(ISERROR(VLOOKUP($U$390,'TAR FIN'!$A$1:$O$88,15,0)),0,VLOOKUP($U$390,'TAR FIN'!$A$1:$O$88,15,0))</f>
        <v>288.89999999999998</v>
      </c>
      <c r="Y390" s="6"/>
      <c r="Z390" s="6">
        <f ca="1">('TUSD BE'!$AM$48+'TUSD BF_350'!$AM$48+'TUSD CVA'!$AM$48)*1</f>
        <v>350.41122835255294</v>
      </c>
      <c r="AA390" s="6">
        <f ca="1">('TE BE'!$AB$39+'TE BF_350'!$AB$39+'TE CVA'!$AB$39)*1</f>
        <v>207.63042742196092</v>
      </c>
      <c r="AB390" s="6">
        <f>$K$390*$V$390</f>
        <v>0</v>
      </c>
      <c r="AC390" s="6">
        <f>$M$390*$W$390</f>
        <v>3898.5800400000007</v>
      </c>
      <c r="AD390" s="6">
        <f>$O$390*$X$390</f>
        <v>4172.8715999999995</v>
      </c>
      <c r="AE390" s="6">
        <f>$K$390*$Y$390</f>
        <v>0</v>
      </c>
      <c r="AF390" s="6">
        <f ca="1">$M$390*$Z$390</f>
        <v>5061.3397823242749</v>
      </c>
      <c r="AG390" s="6">
        <f ca="1">$O$390*$AA$390</f>
        <v>2999.0138936828039</v>
      </c>
    </row>
    <row r="391" spans="1:33" ht="11.25" customHeight="1" x14ac:dyDescent="0.25">
      <c r="A391" s="4" t="s">
        <v>21</v>
      </c>
      <c r="B391" s="4" t="s">
        <v>36</v>
      </c>
      <c r="C391" s="4" t="s">
        <v>23</v>
      </c>
      <c r="D391" s="4" t="s">
        <v>40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44593</v>
      </c>
      <c r="J391" s="6">
        <v>0</v>
      </c>
      <c r="K391" s="6">
        <v>0</v>
      </c>
      <c r="L391" s="6">
        <v>345.58699999999999</v>
      </c>
      <c r="M391" s="6">
        <v>345.58699999999999</v>
      </c>
      <c r="N391" s="6">
        <v>345.58699999999999</v>
      </c>
      <c r="O391" s="6">
        <v>345.58699999999999</v>
      </c>
      <c r="P391" s="6">
        <v>720</v>
      </c>
      <c r="Q391" s="4" t="s">
        <v>26</v>
      </c>
      <c r="R391" s="4">
        <v>0</v>
      </c>
      <c r="S391" s="6">
        <v>0</v>
      </c>
      <c r="T391" s="6">
        <v>65</v>
      </c>
      <c r="U391" s="6">
        <v>25</v>
      </c>
      <c r="V391" s="6">
        <f>IF(ISERROR(VLOOKUP($S$391,'TAR FIN'!$A$1:$O$88,15,0)),0,VLOOKUP($S$391,'TAR FIN'!$A$1:$O$88,15,0))</f>
        <v>0</v>
      </c>
      <c r="W391" s="6">
        <f>IF(ISERROR(VLOOKUP($T$391,'TAR FIN'!$A$1:$O$88,15,0)),0,VLOOKUP($T$391,'TAR FIN'!$A$1:$O$88,15,0))</f>
        <v>269.91000000000003</v>
      </c>
      <c r="X391" s="6">
        <f>IF(ISERROR(VLOOKUP($U$391,'TAR FIN'!$A$1:$O$88,15,0)),0,VLOOKUP($U$391,'TAR FIN'!$A$1:$O$88,15,0))</f>
        <v>288.89999999999998</v>
      </c>
      <c r="Y391" s="6"/>
      <c r="Z391" s="6">
        <f ca="1">('TUSD BE'!$AM$48+'TUSD BF_350'!$AM$48+'TUSD CVA'!$AM$48)*1</f>
        <v>350.41122835255294</v>
      </c>
      <c r="AA391" s="6">
        <f ca="1">('TE BE'!$AB$39+'TE BF_350'!$AB$39+'TE CVA'!$AB$39)*1</f>
        <v>207.63042742196092</v>
      </c>
      <c r="AB391" s="6">
        <f>$K$391*$V$391</f>
        <v>0</v>
      </c>
      <c r="AC391" s="6">
        <f>$M$391*$W$391</f>
        <v>93277.387170000002</v>
      </c>
      <c r="AD391" s="6">
        <f>$O$391*$X$391</f>
        <v>99840.084299999988</v>
      </c>
      <c r="AE391" s="6">
        <f>$K$391*$Y$391</f>
        <v>0</v>
      </c>
      <c r="AF391" s="6">
        <f ca="1">$M$391*$Z$391</f>
        <v>121097.56517267371</v>
      </c>
      <c r="AG391" s="6">
        <f ca="1">$O$391*$AA$391</f>
        <v>71754.376521473212</v>
      </c>
    </row>
    <row r="392" spans="1:33" ht="11.25" customHeight="1" x14ac:dyDescent="0.25">
      <c r="A392" s="4" t="s">
        <v>27</v>
      </c>
      <c r="B392" s="4" t="s">
        <v>36</v>
      </c>
      <c r="C392" s="4" t="s">
        <v>23</v>
      </c>
      <c r="D392" s="4" t="s">
        <v>40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44593</v>
      </c>
      <c r="J392" s="6">
        <v>0</v>
      </c>
      <c r="K392" s="6">
        <v>0</v>
      </c>
      <c r="L392" s="6">
        <v>17.829000000000001</v>
      </c>
      <c r="M392" s="6">
        <v>17.829000000000001</v>
      </c>
      <c r="N392" s="6">
        <v>17.829000000000001</v>
      </c>
      <c r="O392" s="6">
        <v>17.829000000000001</v>
      </c>
      <c r="P392" s="6">
        <v>76</v>
      </c>
      <c r="Q392" s="4" t="s">
        <v>26</v>
      </c>
      <c r="R392" s="4">
        <v>0</v>
      </c>
      <c r="S392" s="6">
        <v>0</v>
      </c>
      <c r="T392" s="6">
        <v>65</v>
      </c>
      <c r="U392" s="6">
        <v>25</v>
      </c>
      <c r="V392" s="6">
        <f>IF(ISERROR(VLOOKUP($S$392,'TAR FIN'!$A$1:$O$88,15,0)),0,VLOOKUP($S$392,'TAR FIN'!$A$1:$O$88,15,0))</f>
        <v>0</v>
      </c>
      <c r="W392" s="6">
        <f>IF(ISERROR(VLOOKUP($T$392,'TAR FIN'!$A$1:$O$88,15,0)),0,VLOOKUP($T$392,'TAR FIN'!$A$1:$O$88,15,0))</f>
        <v>269.91000000000003</v>
      </c>
      <c r="X392" s="6">
        <f>IF(ISERROR(VLOOKUP($U$392,'TAR FIN'!$A$1:$O$88,15,0)),0,VLOOKUP($U$392,'TAR FIN'!$A$1:$O$88,15,0))</f>
        <v>288.89999999999998</v>
      </c>
      <c r="Y392" s="6"/>
      <c r="Z392" s="6">
        <f ca="1">('TUSD BE'!$AM$48+'TUSD BF_350'!$AM$48+'TUSD CVA'!$AM$48)*1</f>
        <v>350.41122835255294</v>
      </c>
      <c r="AA392" s="6">
        <f ca="1">('TE BE'!$AB$39+'TE BF_350'!$AB$39+'TE CVA'!$AB$39)*1</f>
        <v>207.63042742196092</v>
      </c>
      <c r="AB392" s="6">
        <f>$K$392*$V$392</f>
        <v>0</v>
      </c>
      <c r="AC392" s="6">
        <f>$M$392*$W$392</f>
        <v>4812.2253900000005</v>
      </c>
      <c r="AD392" s="6">
        <f>$O$392*$X$392</f>
        <v>5150.7981</v>
      </c>
      <c r="AE392" s="6">
        <f>$K$392*$Y$392</f>
        <v>0</v>
      </c>
      <c r="AF392" s="6">
        <f ca="1">$M$392*$Z$392</f>
        <v>6247.4817902976665</v>
      </c>
      <c r="AG392" s="6">
        <f ca="1">$O$392*$AA$392</f>
        <v>3701.8428905061414</v>
      </c>
    </row>
    <row r="393" spans="1:33" ht="11.25" customHeight="1" x14ac:dyDescent="0.25">
      <c r="A393" s="4" t="s">
        <v>21</v>
      </c>
      <c r="B393" s="4" t="s">
        <v>36</v>
      </c>
      <c r="C393" s="4" t="s">
        <v>23</v>
      </c>
      <c r="D393" s="4" t="s">
        <v>40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44621</v>
      </c>
      <c r="J393" s="6">
        <v>0</v>
      </c>
      <c r="K393" s="6">
        <v>0</v>
      </c>
      <c r="L393" s="6">
        <v>361.27199999999999</v>
      </c>
      <c r="M393" s="6">
        <v>361.27199999999999</v>
      </c>
      <c r="N393" s="6">
        <v>361.27199999999999</v>
      </c>
      <c r="O393" s="6">
        <v>361.27199999999999</v>
      </c>
      <c r="P393" s="6">
        <v>720</v>
      </c>
      <c r="Q393" s="4" t="s">
        <v>26</v>
      </c>
      <c r="R393" s="4">
        <v>0</v>
      </c>
      <c r="S393" s="6">
        <v>0</v>
      </c>
      <c r="T393" s="6">
        <v>65</v>
      </c>
      <c r="U393" s="6">
        <v>25</v>
      </c>
      <c r="V393" s="6">
        <f>IF(ISERROR(VLOOKUP($S$393,'TAR FIN'!$A$1:$O$88,15,0)),0,VLOOKUP($S$393,'TAR FIN'!$A$1:$O$88,15,0))</f>
        <v>0</v>
      </c>
      <c r="W393" s="6">
        <f>IF(ISERROR(VLOOKUP($T$393,'TAR FIN'!$A$1:$O$88,15,0)),0,VLOOKUP($T$393,'TAR FIN'!$A$1:$O$88,15,0))</f>
        <v>269.91000000000003</v>
      </c>
      <c r="X393" s="6">
        <f>IF(ISERROR(VLOOKUP($U$393,'TAR FIN'!$A$1:$O$88,15,0)),0,VLOOKUP($U$393,'TAR FIN'!$A$1:$O$88,15,0))</f>
        <v>288.89999999999998</v>
      </c>
      <c r="Y393" s="6"/>
      <c r="Z393" s="6">
        <f ca="1">('TUSD BE'!$AM$48+'TUSD BF_350'!$AM$48+'TUSD CVA'!$AM$48)*1</f>
        <v>350.41122835255294</v>
      </c>
      <c r="AA393" s="6">
        <f ca="1">('TE BE'!$AB$39+'TE BF_350'!$AB$39+'TE CVA'!$AB$39)*1</f>
        <v>207.63042742196092</v>
      </c>
      <c r="AB393" s="6">
        <f>$K$393*$V$393</f>
        <v>0</v>
      </c>
      <c r="AC393" s="6">
        <f>$M$393*$W$393</f>
        <v>97510.925520000004</v>
      </c>
      <c r="AD393" s="6">
        <f>$O$393*$X$393</f>
        <v>104371.48079999999</v>
      </c>
      <c r="AE393" s="6">
        <f>$K$393*$Y$393</f>
        <v>0</v>
      </c>
      <c r="AF393" s="6">
        <f ca="1">$M$393*$Z$393</f>
        <v>126593.7652893835</v>
      </c>
      <c r="AG393" s="6">
        <f ca="1">$O$393*$AA$393</f>
        <v>75011.059775586662</v>
      </c>
    </row>
    <row r="394" spans="1:33" ht="11.25" customHeight="1" x14ac:dyDescent="0.25">
      <c r="A394" s="4" t="s">
        <v>27</v>
      </c>
      <c r="B394" s="4" t="s">
        <v>36</v>
      </c>
      <c r="C394" s="4" t="s">
        <v>23</v>
      </c>
      <c r="D394" s="4" t="s">
        <v>40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44621</v>
      </c>
      <c r="J394" s="6">
        <v>0</v>
      </c>
      <c r="K394" s="6">
        <v>0</v>
      </c>
      <c r="L394" s="6">
        <v>28.901</v>
      </c>
      <c r="M394" s="6">
        <v>28.901</v>
      </c>
      <c r="N394" s="6">
        <v>28.901</v>
      </c>
      <c r="O394" s="6">
        <v>28.901</v>
      </c>
      <c r="P394" s="6">
        <v>82</v>
      </c>
      <c r="Q394" s="4" t="s">
        <v>26</v>
      </c>
      <c r="R394" s="4">
        <v>0</v>
      </c>
      <c r="S394" s="6">
        <v>0</v>
      </c>
      <c r="T394" s="6">
        <v>65</v>
      </c>
      <c r="U394" s="6">
        <v>25</v>
      </c>
      <c r="V394" s="6">
        <f>IF(ISERROR(VLOOKUP($S$394,'TAR FIN'!$A$1:$O$88,15,0)),0,VLOOKUP($S$394,'TAR FIN'!$A$1:$O$88,15,0))</f>
        <v>0</v>
      </c>
      <c r="W394" s="6">
        <f>IF(ISERROR(VLOOKUP($T$394,'TAR FIN'!$A$1:$O$88,15,0)),0,VLOOKUP($T$394,'TAR FIN'!$A$1:$O$88,15,0))</f>
        <v>269.91000000000003</v>
      </c>
      <c r="X394" s="6">
        <f>IF(ISERROR(VLOOKUP($U$394,'TAR FIN'!$A$1:$O$88,15,0)),0,VLOOKUP($U$394,'TAR FIN'!$A$1:$O$88,15,0))</f>
        <v>288.89999999999998</v>
      </c>
      <c r="Y394" s="6"/>
      <c r="Z394" s="6">
        <f ca="1">('TUSD BE'!$AM$48+'TUSD BF_350'!$AM$48+'TUSD CVA'!$AM$48)*1</f>
        <v>350.41122835255294</v>
      </c>
      <c r="AA394" s="6">
        <f ca="1">('TE BE'!$AB$39+'TE BF_350'!$AB$39+'TE CVA'!$AB$39)*1</f>
        <v>207.63042742196092</v>
      </c>
      <c r="AB394" s="6">
        <f>$K$394*$V$394</f>
        <v>0</v>
      </c>
      <c r="AC394" s="6">
        <f>$M$394*$W$394</f>
        <v>7800.6689100000003</v>
      </c>
      <c r="AD394" s="6">
        <f>$O$394*$X$394</f>
        <v>8349.4988999999987</v>
      </c>
      <c r="AE394" s="6">
        <f>$K$394*$Y$394</f>
        <v>0</v>
      </c>
      <c r="AF394" s="6">
        <f ca="1">$M$394*$Z$394</f>
        <v>10127.234910617133</v>
      </c>
      <c r="AG394" s="6">
        <f ca="1">$O$394*$AA$394</f>
        <v>6000.7269829220922</v>
      </c>
    </row>
    <row r="395" spans="1:33" ht="11.25" customHeight="1" x14ac:dyDescent="0.25">
      <c r="A395" s="4" t="s">
        <v>21</v>
      </c>
      <c r="B395" s="4" t="s">
        <v>36</v>
      </c>
      <c r="C395" s="4" t="s">
        <v>23</v>
      </c>
      <c r="D395" s="4" t="s">
        <v>40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44652</v>
      </c>
      <c r="J395" s="6">
        <v>0</v>
      </c>
      <c r="K395" s="6">
        <v>0</v>
      </c>
      <c r="L395" s="6">
        <v>283.11</v>
      </c>
      <c r="M395" s="6">
        <v>283.11</v>
      </c>
      <c r="N395" s="6">
        <v>283.11</v>
      </c>
      <c r="O395" s="6">
        <v>283.11</v>
      </c>
      <c r="P395" s="6">
        <v>726</v>
      </c>
      <c r="Q395" s="4" t="s">
        <v>26</v>
      </c>
      <c r="R395" s="4">
        <v>0</v>
      </c>
      <c r="S395" s="6">
        <v>0</v>
      </c>
      <c r="T395" s="6">
        <v>65</v>
      </c>
      <c r="U395" s="6">
        <v>25</v>
      </c>
      <c r="V395" s="6">
        <f>IF(ISERROR(VLOOKUP($S$395,'TAR FIN'!$A$1:$O$88,15,0)),0,VLOOKUP($S$395,'TAR FIN'!$A$1:$O$88,15,0))</f>
        <v>0</v>
      </c>
      <c r="W395" s="6">
        <f>IF(ISERROR(VLOOKUP($T$395,'TAR FIN'!$A$1:$O$88,15,0)),0,VLOOKUP($T$395,'TAR FIN'!$A$1:$O$88,15,0))</f>
        <v>269.91000000000003</v>
      </c>
      <c r="X395" s="6">
        <f>IF(ISERROR(VLOOKUP($U$395,'TAR FIN'!$A$1:$O$88,15,0)),0,VLOOKUP($U$395,'TAR FIN'!$A$1:$O$88,15,0))</f>
        <v>288.89999999999998</v>
      </c>
      <c r="Y395" s="6"/>
      <c r="Z395" s="6">
        <f ca="1">('TUSD BE'!$AM$48+'TUSD BF_350'!$AM$48+'TUSD CVA'!$AM$48)*1</f>
        <v>350.41122835255294</v>
      </c>
      <c r="AA395" s="6">
        <f ca="1">('TE BE'!$AB$39+'TE BF_350'!$AB$39+'TE CVA'!$AB$39)*1</f>
        <v>207.63042742196092</v>
      </c>
      <c r="AB395" s="6">
        <f>$K$395*$V$395</f>
        <v>0</v>
      </c>
      <c r="AC395" s="6">
        <f>$M$395*$W$395</f>
        <v>76414.220100000006</v>
      </c>
      <c r="AD395" s="6">
        <f>$O$395*$X$395</f>
        <v>81790.478999999992</v>
      </c>
      <c r="AE395" s="6">
        <f>$K$395*$Y$395</f>
        <v>0</v>
      </c>
      <c r="AF395" s="6">
        <f ca="1">$M$395*$Z$395</f>
        <v>99204.922858891267</v>
      </c>
      <c r="AG395" s="6">
        <f ca="1">$O$395*$AA$395</f>
        <v>58782.250307431357</v>
      </c>
    </row>
    <row r="396" spans="1:33" ht="11.25" customHeight="1" x14ac:dyDescent="0.25">
      <c r="A396" s="4" t="s">
        <v>27</v>
      </c>
      <c r="B396" s="4" t="s">
        <v>36</v>
      </c>
      <c r="C396" s="4" t="s">
        <v>23</v>
      </c>
      <c r="D396" s="4" t="s">
        <v>40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44652</v>
      </c>
      <c r="J396" s="6">
        <v>0</v>
      </c>
      <c r="K396" s="6">
        <v>0</v>
      </c>
      <c r="L396" s="6">
        <v>22.95</v>
      </c>
      <c r="M396" s="6">
        <v>22.95</v>
      </c>
      <c r="N396" s="6">
        <v>22.95</v>
      </c>
      <c r="O396" s="6">
        <v>22.95</v>
      </c>
      <c r="P396" s="6">
        <v>83</v>
      </c>
      <c r="Q396" s="4" t="s">
        <v>26</v>
      </c>
      <c r="R396" s="4">
        <v>0</v>
      </c>
      <c r="S396" s="6">
        <v>0</v>
      </c>
      <c r="T396" s="6">
        <v>65</v>
      </c>
      <c r="U396" s="6">
        <v>25</v>
      </c>
      <c r="V396" s="6">
        <f>IF(ISERROR(VLOOKUP($S$396,'TAR FIN'!$A$1:$O$88,15,0)),0,VLOOKUP($S$396,'TAR FIN'!$A$1:$O$88,15,0))</f>
        <v>0</v>
      </c>
      <c r="W396" s="6">
        <f>IF(ISERROR(VLOOKUP($T$396,'TAR FIN'!$A$1:$O$88,15,0)),0,VLOOKUP($T$396,'TAR FIN'!$A$1:$O$88,15,0))</f>
        <v>269.91000000000003</v>
      </c>
      <c r="X396" s="6">
        <f>IF(ISERROR(VLOOKUP($U$396,'TAR FIN'!$A$1:$O$88,15,0)),0,VLOOKUP($U$396,'TAR FIN'!$A$1:$O$88,15,0))</f>
        <v>288.89999999999998</v>
      </c>
      <c r="Y396" s="6"/>
      <c r="Z396" s="6">
        <f ca="1">('TUSD BE'!$AM$48+'TUSD BF_350'!$AM$48+'TUSD CVA'!$AM$48)*1</f>
        <v>350.41122835255294</v>
      </c>
      <c r="AA396" s="6">
        <f ca="1">('TE BE'!$AB$39+'TE BF_350'!$AB$39+'TE CVA'!$AB$39)*1</f>
        <v>207.63042742196092</v>
      </c>
      <c r="AB396" s="6">
        <f>$K$396*$V$396</f>
        <v>0</v>
      </c>
      <c r="AC396" s="6">
        <f>$M$396*$W$396</f>
        <v>6194.4345000000003</v>
      </c>
      <c r="AD396" s="6">
        <f>$O$396*$X$396</f>
        <v>6630.2549999999992</v>
      </c>
      <c r="AE396" s="6">
        <f>$K$396*$Y$396</f>
        <v>0</v>
      </c>
      <c r="AF396" s="6">
        <f ca="1">$M$396*$Z$396</f>
        <v>8041.9376906910893</v>
      </c>
      <c r="AG396" s="6">
        <f ca="1">$O$396*$AA$396</f>
        <v>4765.1183093340032</v>
      </c>
    </row>
    <row r="397" spans="1:33" ht="11.25" customHeight="1" x14ac:dyDescent="0.25">
      <c r="A397" s="4" t="s">
        <v>21</v>
      </c>
      <c r="B397" s="4" t="s">
        <v>36</v>
      </c>
      <c r="C397" s="4" t="s">
        <v>23</v>
      </c>
      <c r="D397" s="4" t="s">
        <v>40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44682</v>
      </c>
      <c r="J397" s="6">
        <v>0</v>
      </c>
      <c r="K397" s="6">
        <v>0</v>
      </c>
      <c r="L397" s="6">
        <v>287.95999999999998</v>
      </c>
      <c r="M397" s="6">
        <v>287.95999999999998</v>
      </c>
      <c r="N397" s="6">
        <v>287.95999999999998</v>
      </c>
      <c r="O397" s="6">
        <v>287.95999999999998</v>
      </c>
      <c r="P397" s="6">
        <v>728</v>
      </c>
      <c r="Q397" s="4" t="s">
        <v>26</v>
      </c>
      <c r="R397" s="4">
        <v>0</v>
      </c>
      <c r="S397" s="6">
        <v>0</v>
      </c>
      <c r="T397" s="6">
        <v>65</v>
      </c>
      <c r="U397" s="6">
        <v>25</v>
      </c>
      <c r="V397" s="6">
        <f>IF(ISERROR(VLOOKUP($S$397,'TAR FIN'!$A$1:$O$88,15,0)),0,VLOOKUP($S$397,'TAR FIN'!$A$1:$O$88,15,0))</f>
        <v>0</v>
      </c>
      <c r="W397" s="6">
        <f>IF(ISERROR(VLOOKUP($T$397,'TAR FIN'!$A$1:$O$88,15,0)),0,VLOOKUP($T$397,'TAR FIN'!$A$1:$O$88,15,0))</f>
        <v>269.91000000000003</v>
      </c>
      <c r="X397" s="6">
        <f>IF(ISERROR(VLOOKUP($U$397,'TAR FIN'!$A$1:$O$88,15,0)),0,VLOOKUP($U$397,'TAR FIN'!$A$1:$O$88,15,0))</f>
        <v>288.89999999999998</v>
      </c>
      <c r="Y397" s="6"/>
      <c r="Z397" s="6">
        <f ca="1">('TUSD BE'!$AM$48+'TUSD BF_350'!$AM$48+'TUSD CVA'!$AM$48)*1</f>
        <v>350.41122835255294</v>
      </c>
      <c r="AA397" s="6">
        <f ca="1">('TE BE'!$AB$39+'TE BF_350'!$AB$39+'TE CVA'!$AB$39)*1</f>
        <v>207.63042742196092</v>
      </c>
      <c r="AB397" s="6">
        <f>$K$397*$V$397</f>
        <v>0</v>
      </c>
      <c r="AC397" s="6">
        <f>$M$397*$W$397</f>
        <v>77723.283599999995</v>
      </c>
      <c r="AD397" s="6">
        <f>$O$397*$X$397</f>
        <v>83191.643999999986</v>
      </c>
      <c r="AE397" s="6">
        <f>$K$397*$Y$397</f>
        <v>0</v>
      </c>
      <c r="AF397" s="6">
        <f ca="1">$M$397*$Z$397</f>
        <v>100904.41731640113</v>
      </c>
      <c r="AG397" s="6">
        <f ca="1">$O$397*$AA$397</f>
        <v>59789.25788042786</v>
      </c>
    </row>
    <row r="398" spans="1:33" ht="11.25" customHeight="1" x14ac:dyDescent="0.25">
      <c r="A398" s="4" t="s">
        <v>54</v>
      </c>
      <c r="B398" s="4" t="s">
        <v>36</v>
      </c>
      <c r="C398" s="4" t="s">
        <v>23</v>
      </c>
      <c r="D398" s="4" t="s">
        <v>40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44682</v>
      </c>
      <c r="J398" s="6">
        <v>0</v>
      </c>
      <c r="K398" s="6">
        <v>0</v>
      </c>
      <c r="L398" s="6">
        <v>-0.09</v>
      </c>
      <c r="M398" s="6">
        <v>-0.09</v>
      </c>
      <c r="N398" s="6">
        <v>-0.09</v>
      </c>
      <c r="O398" s="6">
        <v>-0.09</v>
      </c>
      <c r="P398" s="6">
        <v>0</v>
      </c>
      <c r="Q398" s="4" t="s">
        <v>26</v>
      </c>
      <c r="R398" s="4">
        <v>0</v>
      </c>
      <c r="S398" s="6">
        <v>0</v>
      </c>
      <c r="T398" s="6">
        <v>65</v>
      </c>
      <c r="U398" s="6">
        <v>25</v>
      </c>
      <c r="V398" s="6">
        <f>IF(ISERROR(VLOOKUP($S$398,'TAR FIN'!$A$1:$O$88,15,0)),0,VLOOKUP($S$398,'TAR FIN'!$A$1:$O$88,15,0))</f>
        <v>0</v>
      </c>
      <c r="W398" s="6">
        <f>IF(ISERROR(VLOOKUP($T$398,'TAR FIN'!$A$1:$O$88,15,0)),0,VLOOKUP($T$398,'TAR FIN'!$A$1:$O$88,15,0))</f>
        <v>269.91000000000003</v>
      </c>
      <c r="X398" s="6">
        <f>IF(ISERROR(VLOOKUP($U$398,'TAR FIN'!$A$1:$O$88,15,0)),0,VLOOKUP($U$398,'TAR FIN'!$A$1:$O$88,15,0))</f>
        <v>288.89999999999998</v>
      </c>
      <c r="Y398" s="6"/>
      <c r="Z398" s="6">
        <f ca="1">('TUSD BE'!$AM$48+'TUSD BF_350'!$AM$48+'TUSD CVA'!$AM$48)*1</f>
        <v>350.41122835255294</v>
      </c>
      <c r="AA398" s="6">
        <f ca="1">('TE BE'!$AB$39+'TE BF_350'!$AB$39+'TE CVA'!$AB$39)*1</f>
        <v>207.63042742196092</v>
      </c>
      <c r="AB398" s="6">
        <f>$K$398*$V$398</f>
        <v>0</v>
      </c>
      <c r="AC398" s="6">
        <f>$M$398*$W$398</f>
        <v>-24.291900000000002</v>
      </c>
      <c r="AD398" s="6">
        <f>$O$398*$X$398</f>
        <v>-26.000999999999998</v>
      </c>
      <c r="AE398" s="6">
        <f>$K$398*$Y$398</f>
        <v>0</v>
      </c>
      <c r="AF398" s="6">
        <f ca="1">$M$398*$Z$398</f>
        <v>-31.537010551729765</v>
      </c>
      <c r="AG398" s="6">
        <f ca="1">$O$398*$AA$398</f>
        <v>-18.686738467976483</v>
      </c>
    </row>
    <row r="399" spans="1:33" ht="11.25" customHeight="1" x14ac:dyDescent="0.25">
      <c r="A399" s="4" t="s">
        <v>27</v>
      </c>
      <c r="B399" s="4" t="s">
        <v>36</v>
      </c>
      <c r="C399" s="4" t="s">
        <v>23</v>
      </c>
      <c r="D399" s="4" t="s">
        <v>40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44682</v>
      </c>
      <c r="J399" s="6">
        <v>0</v>
      </c>
      <c r="K399" s="6">
        <v>0</v>
      </c>
      <c r="L399" s="6">
        <v>24.727</v>
      </c>
      <c r="M399" s="6">
        <v>24.727</v>
      </c>
      <c r="N399" s="6">
        <v>24.727</v>
      </c>
      <c r="O399" s="6">
        <v>24.727</v>
      </c>
      <c r="P399" s="6">
        <v>81</v>
      </c>
      <c r="Q399" s="4" t="s">
        <v>26</v>
      </c>
      <c r="R399" s="4">
        <v>0</v>
      </c>
      <c r="S399" s="6">
        <v>0</v>
      </c>
      <c r="T399" s="6">
        <v>65</v>
      </c>
      <c r="U399" s="6">
        <v>25</v>
      </c>
      <c r="V399" s="6">
        <f>IF(ISERROR(VLOOKUP($S$399,'TAR FIN'!$A$1:$O$88,15,0)),0,VLOOKUP($S$399,'TAR FIN'!$A$1:$O$88,15,0))</f>
        <v>0</v>
      </c>
      <c r="W399" s="6">
        <f>IF(ISERROR(VLOOKUP($T$399,'TAR FIN'!$A$1:$O$88,15,0)),0,VLOOKUP($T$399,'TAR FIN'!$A$1:$O$88,15,0))</f>
        <v>269.91000000000003</v>
      </c>
      <c r="X399" s="6">
        <f>IF(ISERROR(VLOOKUP($U$399,'TAR FIN'!$A$1:$O$88,15,0)),0,VLOOKUP($U$399,'TAR FIN'!$A$1:$O$88,15,0))</f>
        <v>288.89999999999998</v>
      </c>
      <c r="Y399" s="6"/>
      <c r="Z399" s="6">
        <f ca="1">('TUSD BE'!$AM$48+'TUSD BF_350'!$AM$48+'TUSD CVA'!$AM$48)*1</f>
        <v>350.41122835255294</v>
      </c>
      <c r="AA399" s="6">
        <f ca="1">('TE BE'!$AB$39+'TE BF_350'!$AB$39+'TE CVA'!$AB$39)*1</f>
        <v>207.63042742196092</v>
      </c>
      <c r="AB399" s="6">
        <f>$K$399*$V$399</f>
        <v>0</v>
      </c>
      <c r="AC399" s="6">
        <f>$M$399*$W$399</f>
        <v>6674.0645700000005</v>
      </c>
      <c r="AD399" s="6">
        <f>$O$399*$X$399</f>
        <v>7143.6302999999998</v>
      </c>
      <c r="AE399" s="6">
        <f>$K$399*$Y$399</f>
        <v>0</v>
      </c>
      <c r="AF399" s="6">
        <f ca="1">$M$399*$Z$399</f>
        <v>8664.6184434735769</v>
      </c>
      <c r="AG399" s="6">
        <f ca="1">$O$399*$AA$399</f>
        <v>5134.077578862828</v>
      </c>
    </row>
    <row r="400" spans="1:33" ht="11.25" customHeight="1" x14ac:dyDescent="0.25">
      <c r="A400" s="4" t="s">
        <v>21</v>
      </c>
      <c r="B400" s="4" t="s">
        <v>36</v>
      </c>
      <c r="C400" s="4" t="s">
        <v>23</v>
      </c>
      <c r="D400" s="4" t="s">
        <v>40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44713</v>
      </c>
      <c r="J400" s="6">
        <v>0</v>
      </c>
      <c r="K400" s="6">
        <v>0</v>
      </c>
      <c r="L400" s="6">
        <v>268.26799999999997</v>
      </c>
      <c r="M400" s="6">
        <v>268.26799999999997</v>
      </c>
      <c r="N400" s="6">
        <v>268.26799999999997</v>
      </c>
      <c r="O400" s="6">
        <v>268.26799999999997</v>
      </c>
      <c r="P400" s="6">
        <v>732</v>
      </c>
      <c r="Q400" s="4" t="s">
        <v>26</v>
      </c>
      <c r="R400" s="4">
        <v>0</v>
      </c>
      <c r="S400" s="6">
        <v>0</v>
      </c>
      <c r="T400" s="6">
        <v>65</v>
      </c>
      <c r="U400" s="6">
        <v>25</v>
      </c>
      <c r="V400" s="6">
        <f>IF(ISERROR(VLOOKUP($S$400,'TAR FIN'!$A$1:$O$88,15,0)),0,VLOOKUP($S$400,'TAR FIN'!$A$1:$O$88,15,0))</f>
        <v>0</v>
      </c>
      <c r="W400" s="6">
        <f>IF(ISERROR(VLOOKUP($T$400,'TAR FIN'!$A$1:$O$88,15,0)),0,VLOOKUP($T$400,'TAR FIN'!$A$1:$O$88,15,0))</f>
        <v>269.91000000000003</v>
      </c>
      <c r="X400" s="6">
        <f>IF(ISERROR(VLOOKUP($U$400,'TAR FIN'!$A$1:$O$88,15,0)),0,VLOOKUP($U$400,'TAR FIN'!$A$1:$O$88,15,0))</f>
        <v>288.89999999999998</v>
      </c>
      <c r="Y400" s="6"/>
      <c r="Z400" s="6">
        <f ca="1">('TUSD BE'!$AM$48+'TUSD BF_350'!$AM$48+'TUSD CVA'!$AM$48)*1</f>
        <v>350.41122835255294</v>
      </c>
      <c r="AA400" s="6">
        <f ca="1">('TE BE'!$AB$39+'TE BF_350'!$AB$39+'TE CVA'!$AB$39)*1</f>
        <v>207.63042742196092</v>
      </c>
      <c r="AB400" s="6">
        <f>$K$400*$V$400</f>
        <v>0</v>
      </c>
      <c r="AC400" s="6">
        <f>$M$400*$W$400</f>
        <v>72408.215880000003</v>
      </c>
      <c r="AD400" s="6">
        <f>$O$400*$X$400</f>
        <v>77502.62519999998</v>
      </c>
      <c r="AE400" s="6">
        <f>$K$400*$Y$400</f>
        <v>0</v>
      </c>
      <c r="AF400" s="6">
        <f ca="1">$M$400*$Z$400</f>
        <v>94004.119407682665</v>
      </c>
      <c r="AG400" s="6">
        <f ca="1">$O$400*$AA$400</f>
        <v>55700.599503634607</v>
      </c>
    </row>
    <row r="401" spans="1:33" ht="11.25" customHeight="1" x14ac:dyDescent="0.25">
      <c r="A401" s="4" t="s">
        <v>27</v>
      </c>
      <c r="B401" s="4" t="s">
        <v>36</v>
      </c>
      <c r="C401" s="4" t="s">
        <v>23</v>
      </c>
      <c r="D401" s="4" t="s">
        <v>40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44713</v>
      </c>
      <c r="J401" s="6">
        <v>0</v>
      </c>
      <c r="K401" s="6">
        <v>0</v>
      </c>
      <c r="L401" s="6">
        <v>31.753</v>
      </c>
      <c r="M401" s="6">
        <v>31.753</v>
      </c>
      <c r="N401" s="6">
        <v>31.753</v>
      </c>
      <c r="O401" s="6">
        <v>31.753</v>
      </c>
      <c r="P401" s="6">
        <v>80</v>
      </c>
      <c r="Q401" s="4" t="s">
        <v>26</v>
      </c>
      <c r="R401" s="4">
        <v>0</v>
      </c>
      <c r="S401" s="6">
        <v>0</v>
      </c>
      <c r="T401" s="6">
        <v>65</v>
      </c>
      <c r="U401" s="6">
        <v>25</v>
      </c>
      <c r="V401" s="6">
        <f>IF(ISERROR(VLOOKUP($S$401,'TAR FIN'!$A$1:$O$88,15,0)),0,VLOOKUP($S$401,'TAR FIN'!$A$1:$O$88,15,0))</f>
        <v>0</v>
      </c>
      <c r="W401" s="6">
        <f>IF(ISERROR(VLOOKUP($T$401,'TAR FIN'!$A$1:$O$88,15,0)),0,VLOOKUP($T$401,'TAR FIN'!$A$1:$O$88,15,0))</f>
        <v>269.91000000000003</v>
      </c>
      <c r="X401" s="6">
        <f>IF(ISERROR(VLOOKUP($U$401,'TAR FIN'!$A$1:$O$88,15,0)),0,VLOOKUP($U$401,'TAR FIN'!$A$1:$O$88,15,0))</f>
        <v>288.89999999999998</v>
      </c>
      <c r="Y401" s="6"/>
      <c r="Z401" s="6">
        <f ca="1">('TUSD BE'!$AM$48+'TUSD BF_350'!$AM$48+'TUSD CVA'!$AM$48)*1</f>
        <v>350.41122835255294</v>
      </c>
      <c r="AA401" s="6">
        <f ca="1">('TE BE'!$AB$39+'TE BF_350'!$AB$39+'TE CVA'!$AB$39)*1</f>
        <v>207.63042742196092</v>
      </c>
      <c r="AB401" s="6">
        <f>$K$401*$V$401</f>
        <v>0</v>
      </c>
      <c r="AC401" s="6">
        <f>$M$401*$W$401</f>
        <v>8570.4522300000008</v>
      </c>
      <c r="AD401" s="6">
        <f>$O$401*$X$401</f>
        <v>9173.4416999999994</v>
      </c>
      <c r="AE401" s="6">
        <f>$K$401*$Y$401</f>
        <v>0</v>
      </c>
      <c r="AF401" s="6">
        <f ca="1">$M$401*$Z$401</f>
        <v>11126.607733878613</v>
      </c>
      <c r="AG401" s="6">
        <f ca="1">$O$401*$AA$401</f>
        <v>6592.8889619295251</v>
      </c>
    </row>
    <row r="402" spans="1:33" ht="11.25" customHeight="1" x14ac:dyDescent="0.25">
      <c r="A402" s="4" t="s">
        <v>55</v>
      </c>
      <c r="B402" s="4" t="s">
        <v>36</v>
      </c>
      <c r="C402" s="4" t="s">
        <v>23</v>
      </c>
      <c r="D402" s="4" t="s">
        <v>40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44743</v>
      </c>
      <c r="J402" s="6">
        <v>0</v>
      </c>
      <c r="K402" s="6">
        <v>0</v>
      </c>
      <c r="L402" s="6">
        <v>268.26799999999997</v>
      </c>
      <c r="M402" s="6">
        <v>268.26799999999997</v>
      </c>
      <c r="N402" s="6">
        <v>268.26799999999997</v>
      </c>
      <c r="O402" s="6">
        <v>268.26799999999997</v>
      </c>
      <c r="P402" s="6">
        <v>732</v>
      </c>
      <c r="Q402" s="4" t="s">
        <v>26</v>
      </c>
      <c r="R402" s="4">
        <v>0</v>
      </c>
      <c r="S402" s="6">
        <v>0</v>
      </c>
      <c r="T402" s="6">
        <v>65</v>
      </c>
      <c r="U402" s="6">
        <v>25</v>
      </c>
      <c r="V402" s="6">
        <f>IF(ISERROR(VLOOKUP($S$402,'TAR FIN'!$A$1:$O$88,15,0)),0,VLOOKUP($S$402,'TAR FIN'!$A$1:$O$88,15,0))</f>
        <v>0</v>
      </c>
      <c r="W402" s="6">
        <f>IF(ISERROR(VLOOKUP($T$402,'TAR FIN'!$A$1:$O$88,15,0)),0,VLOOKUP($T$402,'TAR FIN'!$A$1:$O$88,15,0))</f>
        <v>269.91000000000003</v>
      </c>
      <c r="X402" s="6">
        <f>IF(ISERROR(VLOOKUP($U$402,'TAR FIN'!$A$1:$O$88,15,0)),0,VLOOKUP($U$402,'TAR FIN'!$A$1:$O$88,15,0))</f>
        <v>288.89999999999998</v>
      </c>
      <c r="Y402" s="6"/>
      <c r="Z402" s="6">
        <f ca="1">('TUSD BE'!$AM$48+'TUSD BF_350'!$AM$48+'TUSD CVA'!$AM$48)*1</f>
        <v>350.41122835255294</v>
      </c>
      <c r="AA402" s="6">
        <f ca="1">('TE BE'!$AB$39+'TE BF_350'!$AB$39+'TE CVA'!$AB$39)*1</f>
        <v>207.63042742196092</v>
      </c>
      <c r="AB402" s="6">
        <f>$K$402*$V$402</f>
        <v>0</v>
      </c>
      <c r="AC402" s="6">
        <f>$M$402*$W$402</f>
        <v>72408.215880000003</v>
      </c>
      <c r="AD402" s="6">
        <f>$O$402*$X$402</f>
        <v>77502.62519999998</v>
      </c>
      <c r="AE402" s="6">
        <f>$K$402*$Y$402</f>
        <v>0</v>
      </c>
      <c r="AF402" s="6">
        <f ca="1">$M$402*$Z$402</f>
        <v>94004.119407682665</v>
      </c>
      <c r="AG402" s="6">
        <f ca="1">$O$402*$AA$402</f>
        <v>55700.599503634607</v>
      </c>
    </row>
    <row r="403" spans="1:33" ht="11.25" customHeight="1" x14ac:dyDescent="0.25">
      <c r="A403" s="4" t="s">
        <v>55</v>
      </c>
      <c r="B403" s="4" t="s">
        <v>36</v>
      </c>
      <c r="C403" s="4" t="s">
        <v>23</v>
      </c>
      <c r="D403" s="4" t="s">
        <v>40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44743</v>
      </c>
      <c r="J403" s="6">
        <v>0</v>
      </c>
      <c r="K403" s="6">
        <v>0</v>
      </c>
      <c r="L403" s="6">
        <v>31.753</v>
      </c>
      <c r="M403" s="6">
        <v>31.753</v>
      </c>
      <c r="N403" s="6">
        <v>31.753</v>
      </c>
      <c r="O403" s="6">
        <v>31.753</v>
      </c>
      <c r="P403" s="6">
        <v>80</v>
      </c>
      <c r="Q403" s="4" t="s">
        <v>26</v>
      </c>
      <c r="R403" s="4">
        <v>0</v>
      </c>
      <c r="S403" s="6">
        <v>0</v>
      </c>
      <c r="T403" s="6">
        <v>65</v>
      </c>
      <c r="U403" s="6">
        <v>25</v>
      </c>
      <c r="V403" s="6">
        <f>IF(ISERROR(VLOOKUP($S$403,'TAR FIN'!$A$1:$O$88,15,0)),0,VLOOKUP($S$403,'TAR FIN'!$A$1:$O$88,15,0))</f>
        <v>0</v>
      </c>
      <c r="W403" s="6">
        <f>IF(ISERROR(VLOOKUP($T$403,'TAR FIN'!$A$1:$O$88,15,0)),0,VLOOKUP($T$403,'TAR FIN'!$A$1:$O$88,15,0))</f>
        <v>269.91000000000003</v>
      </c>
      <c r="X403" s="6">
        <f>IF(ISERROR(VLOOKUP($U$403,'TAR FIN'!$A$1:$O$88,15,0)),0,VLOOKUP($U$403,'TAR FIN'!$A$1:$O$88,15,0))</f>
        <v>288.89999999999998</v>
      </c>
      <c r="Y403" s="6"/>
      <c r="Z403" s="6">
        <f ca="1">('TUSD BE'!$AM$48+'TUSD BF_350'!$AM$48+'TUSD CVA'!$AM$48)*1</f>
        <v>350.41122835255294</v>
      </c>
      <c r="AA403" s="6">
        <f ca="1">('TE BE'!$AB$39+'TE BF_350'!$AB$39+'TE CVA'!$AB$39)*1</f>
        <v>207.63042742196092</v>
      </c>
      <c r="AB403" s="6">
        <f>$K$403*$V$403</f>
        <v>0</v>
      </c>
      <c r="AC403" s="6">
        <f>$M$403*$W$403</f>
        <v>8570.4522300000008</v>
      </c>
      <c r="AD403" s="6">
        <f>$O$403*$X$403</f>
        <v>9173.4416999999994</v>
      </c>
      <c r="AE403" s="6">
        <f>$K$403*$Y$403</f>
        <v>0</v>
      </c>
      <c r="AF403" s="6">
        <f ca="1">$M$403*$Z$403</f>
        <v>11126.607733878613</v>
      </c>
      <c r="AG403" s="6">
        <f ca="1">$O$403*$AA$403</f>
        <v>6592.8889619295251</v>
      </c>
    </row>
    <row r="404" spans="1:33" ht="11.25" customHeight="1" x14ac:dyDescent="0.25">
      <c r="A404" s="4" t="s">
        <v>21</v>
      </c>
      <c r="B404" s="4" t="s">
        <v>36</v>
      </c>
      <c r="C404" s="4" t="s">
        <v>23</v>
      </c>
      <c r="D404" s="4" t="s">
        <v>49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44409</v>
      </c>
      <c r="J404" s="6">
        <v>0</v>
      </c>
      <c r="K404" s="6">
        <v>0</v>
      </c>
      <c r="L404" s="6">
        <v>6.327</v>
      </c>
      <c r="M404" s="6">
        <v>6.327</v>
      </c>
      <c r="N404" s="6">
        <v>6.327</v>
      </c>
      <c r="O404" s="6">
        <v>6.327</v>
      </c>
      <c r="P404" s="6">
        <v>3</v>
      </c>
      <c r="Q404" s="4" t="s">
        <v>26</v>
      </c>
      <c r="R404" s="4">
        <v>0</v>
      </c>
      <c r="S404" s="6">
        <v>0</v>
      </c>
      <c r="T404" s="6">
        <v>65</v>
      </c>
      <c r="U404" s="6">
        <v>25</v>
      </c>
      <c r="V404" s="6">
        <f>IF(ISERROR(VLOOKUP($S$404,'TAR FIN'!$A$1:$O$88,15,0)),0,VLOOKUP($S$404,'TAR FIN'!$A$1:$O$88,15,0))</f>
        <v>0</v>
      </c>
      <c r="W404" s="6">
        <f>IF(ISERROR(VLOOKUP($T$404,'TAR FIN'!$A$1:$O$88,15,0)),0,VLOOKUP($T$404,'TAR FIN'!$A$1:$O$88,15,0))</f>
        <v>269.91000000000003</v>
      </c>
      <c r="X404" s="6">
        <f>IF(ISERROR(VLOOKUP($U$404,'TAR FIN'!$A$1:$O$88,15,0)),0,VLOOKUP($U$404,'TAR FIN'!$A$1:$O$88,15,0))</f>
        <v>288.89999999999998</v>
      </c>
      <c r="Y404" s="6"/>
      <c r="Z404" s="6">
        <f ca="1">('TUSD BE'!$AM$48+'TUSD BF_350'!$AM$48+'TUSD CVA'!$AM$48)*1</f>
        <v>350.41122835255294</v>
      </c>
      <c r="AA404" s="6">
        <f ca="1">('TE BE'!$AB$39+'TE BF_350'!$AB$39+'TE CVA'!$AB$39)*1</f>
        <v>207.63042742196092</v>
      </c>
      <c r="AB404" s="6">
        <f>$K$404*$V$404</f>
        <v>0</v>
      </c>
      <c r="AC404" s="6">
        <f>$M$404*$W$404</f>
        <v>1707.7205700000002</v>
      </c>
      <c r="AD404" s="6">
        <f>$O$404*$X$404</f>
        <v>1827.8702999999998</v>
      </c>
      <c r="AE404" s="6">
        <f>$K$404*$Y$404</f>
        <v>0</v>
      </c>
      <c r="AF404" s="6">
        <f ca="1">$M$404*$Z$404</f>
        <v>2217.0518417866024</v>
      </c>
      <c r="AG404" s="6">
        <f ca="1">$O$404*$AA$404</f>
        <v>1313.6777142987467</v>
      </c>
    </row>
    <row r="405" spans="1:33" ht="11.25" customHeight="1" x14ac:dyDescent="0.25">
      <c r="A405" s="4" t="s">
        <v>21</v>
      </c>
      <c r="B405" s="4" t="s">
        <v>36</v>
      </c>
      <c r="C405" s="4" t="s">
        <v>23</v>
      </c>
      <c r="D405" s="4" t="s">
        <v>49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44440</v>
      </c>
      <c r="J405" s="6">
        <v>0</v>
      </c>
      <c r="K405" s="6">
        <v>0</v>
      </c>
      <c r="L405" s="6">
        <v>6.0439999999999996</v>
      </c>
      <c r="M405" s="6">
        <v>6.0439999999999996</v>
      </c>
      <c r="N405" s="6">
        <v>6.0439999999999996</v>
      </c>
      <c r="O405" s="6">
        <v>6.0439999999999996</v>
      </c>
      <c r="P405" s="6">
        <v>3</v>
      </c>
      <c r="Q405" s="4" t="s">
        <v>26</v>
      </c>
      <c r="R405" s="4">
        <v>0</v>
      </c>
      <c r="S405" s="6">
        <v>0</v>
      </c>
      <c r="T405" s="6">
        <v>65</v>
      </c>
      <c r="U405" s="6">
        <v>25</v>
      </c>
      <c r="V405" s="6">
        <f>IF(ISERROR(VLOOKUP($S$405,'TAR FIN'!$A$1:$O$88,15,0)),0,VLOOKUP($S$405,'TAR FIN'!$A$1:$O$88,15,0))</f>
        <v>0</v>
      </c>
      <c r="W405" s="6">
        <f>IF(ISERROR(VLOOKUP($T$405,'TAR FIN'!$A$1:$O$88,15,0)),0,VLOOKUP($T$405,'TAR FIN'!$A$1:$O$88,15,0))</f>
        <v>269.91000000000003</v>
      </c>
      <c r="X405" s="6">
        <f>IF(ISERROR(VLOOKUP($U$405,'TAR FIN'!$A$1:$O$88,15,0)),0,VLOOKUP($U$405,'TAR FIN'!$A$1:$O$88,15,0))</f>
        <v>288.89999999999998</v>
      </c>
      <c r="Y405" s="6"/>
      <c r="Z405" s="6">
        <f ca="1">('TUSD BE'!$AM$48+'TUSD BF_350'!$AM$48+'TUSD CVA'!$AM$48)*1</f>
        <v>350.41122835255294</v>
      </c>
      <c r="AA405" s="6">
        <f ca="1">('TE BE'!$AB$39+'TE BF_350'!$AB$39+'TE CVA'!$AB$39)*1</f>
        <v>207.63042742196092</v>
      </c>
      <c r="AB405" s="6">
        <f>$K$405*$V$405</f>
        <v>0</v>
      </c>
      <c r="AC405" s="6">
        <f>$M$405*$W$405</f>
        <v>1631.3360400000001</v>
      </c>
      <c r="AD405" s="6">
        <f>$O$405*$X$405</f>
        <v>1746.1115999999997</v>
      </c>
      <c r="AE405" s="6">
        <f>$K$405*$Y$405</f>
        <v>0</v>
      </c>
      <c r="AF405" s="6">
        <f ca="1">$M$405*$Z$405</f>
        <v>2117.88546416283</v>
      </c>
      <c r="AG405" s="6">
        <f ca="1">$O$405*$AA$405</f>
        <v>1254.9183033383317</v>
      </c>
    </row>
    <row r="406" spans="1:33" ht="11.25" customHeight="1" x14ac:dyDescent="0.25">
      <c r="A406" s="4" t="s">
        <v>21</v>
      </c>
      <c r="B406" s="4" t="s">
        <v>36</v>
      </c>
      <c r="C406" s="4" t="s">
        <v>23</v>
      </c>
      <c r="D406" s="4" t="s">
        <v>49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44470</v>
      </c>
      <c r="J406" s="6">
        <v>0</v>
      </c>
      <c r="K406" s="6">
        <v>0</v>
      </c>
      <c r="L406" s="6">
        <v>6.4960000000000004</v>
      </c>
      <c r="M406" s="6">
        <v>6.4960000000000004</v>
      </c>
      <c r="N406" s="6">
        <v>6.4960000000000004</v>
      </c>
      <c r="O406" s="6">
        <v>6.4960000000000004</v>
      </c>
      <c r="P406" s="6">
        <v>3</v>
      </c>
      <c r="Q406" s="4" t="s">
        <v>26</v>
      </c>
      <c r="R406" s="4">
        <v>0</v>
      </c>
      <c r="S406" s="6">
        <v>0</v>
      </c>
      <c r="T406" s="6">
        <v>65</v>
      </c>
      <c r="U406" s="6">
        <v>25</v>
      </c>
      <c r="V406" s="6">
        <f>IF(ISERROR(VLOOKUP($S$406,'TAR FIN'!$A$1:$O$88,15,0)),0,VLOOKUP($S$406,'TAR FIN'!$A$1:$O$88,15,0))</f>
        <v>0</v>
      </c>
      <c r="W406" s="6">
        <f>IF(ISERROR(VLOOKUP($T$406,'TAR FIN'!$A$1:$O$88,15,0)),0,VLOOKUP($T$406,'TAR FIN'!$A$1:$O$88,15,0))</f>
        <v>269.91000000000003</v>
      </c>
      <c r="X406" s="6">
        <f>IF(ISERROR(VLOOKUP($U$406,'TAR FIN'!$A$1:$O$88,15,0)),0,VLOOKUP($U$406,'TAR FIN'!$A$1:$O$88,15,0))</f>
        <v>288.89999999999998</v>
      </c>
      <c r="Y406" s="6"/>
      <c r="Z406" s="6">
        <f ca="1">('TUSD BE'!$AM$48+'TUSD BF_350'!$AM$48+'TUSD CVA'!$AM$48)*1</f>
        <v>350.41122835255294</v>
      </c>
      <c r="AA406" s="6">
        <f ca="1">('TE BE'!$AB$39+'TE BF_350'!$AB$39+'TE CVA'!$AB$39)*1</f>
        <v>207.63042742196092</v>
      </c>
      <c r="AB406" s="6">
        <f>$K$406*$V$406</f>
        <v>0</v>
      </c>
      <c r="AC406" s="6">
        <f>$M$406*$W$406</f>
        <v>1753.3353600000003</v>
      </c>
      <c r="AD406" s="6">
        <f>$O$406*$X$406</f>
        <v>1876.6944000000001</v>
      </c>
      <c r="AE406" s="6">
        <f>$K$406*$Y$406</f>
        <v>0</v>
      </c>
      <c r="AF406" s="6">
        <f ca="1">$M$406*$Z$406</f>
        <v>2276.2713393781842</v>
      </c>
      <c r="AG406" s="6">
        <f ca="1">$O$406*$AA$406</f>
        <v>1348.7672565330581</v>
      </c>
    </row>
    <row r="407" spans="1:33" ht="11.25" customHeight="1" x14ac:dyDescent="0.25">
      <c r="A407" s="4" t="s">
        <v>21</v>
      </c>
      <c r="B407" s="4" t="s">
        <v>36</v>
      </c>
      <c r="C407" s="4" t="s">
        <v>23</v>
      </c>
      <c r="D407" s="4" t="s">
        <v>49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44501</v>
      </c>
      <c r="J407" s="6">
        <v>0</v>
      </c>
      <c r="K407" s="6">
        <v>0</v>
      </c>
      <c r="L407" s="6">
        <v>5.3410000000000002</v>
      </c>
      <c r="M407" s="6">
        <v>5.3410000000000002</v>
      </c>
      <c r="N407" s="6">
        <v>5.3410000000000002</v>
      </c>
      <c r="O407" s="6">
        <v>5.3410000000000002</v>
      </c>
      <c r="P407" s="6">
        <v>3</v>
      </c>
      <c r="Q407" s="4" t="s">
        <v>26</v>
      </c>
      <c r="R407" s="4">
        <v>0</v>
      </c>
      <c r="S407" s="6">
        <v>0</v>
      </c>
      <c r="T407" s="6">
        <v>65</v>
      </c>
      <c r="U407" s="6">
        <v>25</v>
      </c>
      <c r="V407" s="6">
        <f>IF(ISERROR(VLOOKUP($S$407,'TAR FIN'!$A$1:$O$88,15,0)),0,VLOOKUP($S$407,'TAR FIN'!$A$1:$O$88,15,0))</f>
        <v>0</v>
      </c>
      <c r="W407" s="6">
        <f>IF(ISERROR(VLOOKUP($T$407,'TAR FIN'!$A$1:$O$88,15,0)),0,VLOOKUP($T$407,'TAR FIN'!$A$1:$O$88,15,0))</f>
        <v>269.91000000000003</v>
      </c>
      <c r="X407" s="6">
        <f>IF(ISERROR(VLOOKUP($U$407,'TAR FIN'!$A$1:$O$88,15,0)),0,VLOOKUP($U$407,'TAR FIN'!$A$1:$O$88,15,0))</f>
        <v>288.89999999999998</v>
      </c>
      <c r="Y407" s="6"/>
      <c r="Z407" s="6">
        <f ca="1">('TUSD BE'!$AM$48+'TUSD BF_350'!$AM$48+'TUSD CVA'!$AM$48)*1</f>
        <v>350.41122835255294</v>
      </c>
      <c r="AA407" s="6">
        <f ca="1">('TE BE'!$AB$39+'TE BF_350'!$AB$39+'TE CVA'!$AB$39)*1</f>
        <v>207.63042742196092</v>
      </c>
      <c r="AB407" s="6">
        <f>$K$407*$V$407</f>
        <v>0</v>
      </c>
      <c r="AC407" s="6">
        <f>$M$407*$W$407</f>
        <v>1441.5893100000003</v>
      </c>
      <c r="AD407" s="6">
        <f>$O$407*$X$407</f>
        <v>1543.0148999999999</v>
      </c>
      <c r="AE407" s="6">
        <f>$K$407*$Y$407</f>
        <v>0</v>
      </c>
      <c r="AF407" s="6">
        <f ca="1">$M$407*$Z$407</f>
        <v>1871.5463706309854</v>
      </c>
      <c r="AG407" s="6">
        <f ca="1">$O$407*$AA$407</f>
        <v>1108.9541128606934</v>
      </c>
    </row>
    <row r="408" spans="1:33" ht="11.25" customHeight="1" x14ac:dyDescent="0.25">
      <c r="A408" s="4" t="s">
        <v>21</v>
      </c>
      <c r="B408" s="4" t="s">
        <v>36</v>
      </c>
      <c r="C408" s="4" t="s">
        <v>23</v>
      </c>
      <c r="D408" s="4" t="s">
        <v>49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44531</v>
      </c>
      <c r="J408" s="6">
        <v>0</v>
      </c>
      <c r="K408" s="6">
        <v>0</v>
      </c>
      <c r="L408" s="6">
        <v>5.7690000000000001</v>
      </c>
      <c r="M408" s="6">
        <v>5.7690000000000001</v>
      </c>
      <c r="N408" s="6">
        <v>5.7690000000000001</v>
      </c>
      <c r="O408" s="6">
        <v>5.7690000000000001</v>
      </c>
      <c r="P408" s="6">
        <v>3</v>
      </c>
      <c r="Q408" s="4" t="s">
        <v>26</v>
      </c>
      <c r="R408" s="4">
        <v>0</v>
      </c>
      <c r="S408" s="6">
        <v>0</v>
      </c>
      <c r="T408" s="6">
        <v>65</v>
      </c>
      <c r="U408" s="6">
        <v>25</v>
      </c>
      <c r="V408" s="6">
        <f>IF(ISERROR(VLOOKUP($S$408,'TAR FIN'!$A$1:$O$88,15,0)),0,VLOOKUP($S$408,'TAR FIN'!$A$1:$O$88,15,0))</f>
        <v>0</v>
      </c>
      <c r="W408" s="6">
        <f>IF(ISERROR(VLOOKUP($T$408,'TAR FIN'!$A$1:$O$88,15,0)),0,VLOOKUP($T$408,'TAR FIN'!$A$1:$O$88,15,0))</f>
        <v>269.91000000000003</v>
      </c>
      <c r="X408" s="6">
        <f>IF(ISERROR(VLOOKUP($U$408,'TAR FIN'!$A$1:$O$88,15,0)),0,VLOOKUP($U$408,'TAR FIN'!$A$1:$O$88,15,0))</f>
        <v>288.89999999999998</v>
      </c>
      <c r="Y408" s="6"/>
      <c r="Z408" s="6">
        <f ca="1">('TUSD BE'!$AM$48+'TUSD BF_350'!$AM$48+'TUSD CVA'!$AM$48)*1</f>
        <v>350.41122835255294</v>
      </c>
      <c r="AA408" s="6">
        <f ca="1">('TE BE'!$AB$39+'TE BF_350'!$AB$39+'TE CVA'!$AB$39)*1</f>
        <v>207.63042742196092</v>
      </c>
      <c r="AB408" s="6">
        <f>$K$408*$V$408</f>
        <v>0</v>
      </c>
      <c r="AC408" s="6">
        <f>$M$408*$W$408</f>
        <v>1557.1107900000002</v>
      </c>
      <c r="AD408" s="6">
        <f>$O$408*$X$408</f>
        <v>1666.6641</v>
      </c>
      <c r="AE408" s="6">
        <f>$K$408*$Y$408</f>
        <v>0</v>
      </c>
      <c r="AF408" s="6">
        <f ca="1">$M$408*$Z$408</f>
        <v>2021.522376365878</v>
      </c>
      <c r="AG408" s="6">
        <f ca="1">$O$408*$AA$408</f>
        <v>1197.8199357972926</v>
      </c>
    </row>
    <row r="409" spans="1:33" ht="11.25" customHeight="1" x14ac:dyDescent="0.25">
      <c r="A409" s="4" t="s">
        <v>21</v>
      </c>
      <c r="B409" s="4" t="s">
        <v>36</v>
      </c>
      <c r="C409" s="4" t="s">
        <v>23</v>
      </c>
      <c r="D409" s="4" t="s">
        <v>49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44562</v>
      </c>
      <c r="J409" s="6">
        <v>0</v>
      </c>
      <c r="K409" s="6">
        <v>0</v>
      </c>
      <c r="L409" s="6">
        <v>6.2809999999999997</v>
      </c>
      <c r="M409" s="6">
        <v>6.2809999999999997</v>
      </c>
      <c r="N409" s="6">
        <v>6.2809999999999997</v>
      </c>
      <c r="O409" s="6">
        <v>6.2809999999999997</v>
      </c>
      <c r="P409" s="6">
        <v>3</v>
      </c>
      <c r="Q409" s="4" t="s">
        <v>26</v>
      </c>
      <c r="R409" s="4">
        <v>0</v>
      </c>
      <c r="S409" s="6">
        <v>0</v>
      </c>
      <c r="T409" s="6">
        <v>65</v>
      </c>
      <c r="U409" s="6">
        <v>25</v>
      </c>
      <c r="V409" s="6">
        <f>IF(ISERROR(VLOOKUP($S$409,'TAR FIN'!$A$1:$O$88,15,0)),0,VLOOKUP($S$409,'TAR FIN'!$A$1:$O$88,15,0))</f>
        <v>0</v>
      </c>
      <c r="W409" s="6">
        <f>IF(ISERROR(VLOOKUP($T$409,'TAR FIN'!$A$1:$O$88,15,0)),0,VLOOKUP($T$409,'TAR FIN'!$A$1:$O$88,15,0))</f>
        <v>269.91000000000003</v>
      </c>
      <c r="X409" s="6">
        <f>IF(ISERROR(VLOOKUP($U$409,'TAR FIN'!$A$1:$O$88,15,0)),0,VLOOKUP($U$409,'TAR FIN'!$A$1:$O$88,15,0))</f>
        <v>288.89999999999998</v>
      </c>
      <c r="Y409" s="6"/>
      <c r="Z409" s="6">
        <f ca="1">('TUSD BE'!$AM$48+'TUSD BF_350'!$AM$48+'TUSD CVA'!$AM$48)*1</f>
        <v>350.41122835255294</v>
      </c>
      <c r="AA409" s="6">
        <f ca="1">('TE BE'!$AB$39+'TE BF_350'!$AB$39+'TE CVA'!$AB$39)*1</f>
        <v>207.63042742196092</v>
      </c>
      <c r="AB409" s="6">
        <f>$K$409*$V$409</f>
        <v>0</v>
      </c>
      <c r="AC409" s="6">
        <f>$M$409*$W$409</f>
        <v>1695.3047100000001</v>
      </c>
      <c r="AD409" s="6">
        <f>$O$409*$X$409</f>
        <v>1814.5808999999997</v>
      </c>
      <c r="AE409" s="6">
        <f>$K$409*$Y$409</f>
        <v>0</v>
      </c>
      <c r="AF409" s="6">
        <f ca="1">$M$409*$Z$409</f>
        <v>2200.932925282385</v>
      </c>
      <c r="AG409" s="6">
        <f ca="1">$O$409*$AA$409</f>
        <v>1304.1267146373364</v>
      </c>
    </row>
    <row r="410" spans="1:33" ht="11.25" customHeight="1" x14ac:dyDescent="0.25">
      <c r="A410" s="4" t="s">
        <v>21</v>
      </c>
      <c r="B410" s="4" t="s">
        <v>36</v>
      </c>
      <c r="C410" s="4" t="s">
        <v>23</v>
      </c>
      <c r="D410" s="4" t="s">
        <v>49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44593</v>
      </c>
      <c r="J410" s="6">
        <v>0</v>
      </c>
      <c r="K410" s="6">
        <v>0</v>
      </c>
      <c r="L410" s="6">
        <v>6.3</v>
      </c>
      <c r="M410" s="6">
        <v>6.3</v>
      </c>
      <c r="N410" s="6">
        <v>6.3</v>
      </c>
      <c r="O410" s="6">
        <v>6.3</v>
      </c>
      <c r="P410" s="6">
        <v>3</v>
      </c>
      <c r="Q410" s="4" t="s">
        <v>26</v>
      </c>
      <c r="R410" s="4">
        <v>0</v>
      </c>
      <c r="S410" s="6">
        <v>0</v>
      </c>
      <c r="T410" s="6">
        <v>65</v>
      </c>
      <c r="U410" s="6">
        <v>25</v>
      </c>
      <c r="V410" s="6">
        <f>IF(ISERROR(VLOOKUP($S$410,'TAR FIN'!$A$1:$O$88,15,0)),0,VLOOKUP($S$410,'TAR FIN'!$A$1:$O$88,15,0))</f>
        <v>0</v>
      </c>
      <c r="W410" s="6">
        <f>IF(ISERROR(VLOOKUP($T$410,'TAR FIN'!$A$1:$O$88,15,0)),0,VLOOKUP($T$410,'TAR FIN'!$A$1:$O$88,15,0))</f>
        <v>269.91000000000003</v>
      </c>
      <c r="X410" s="6">
        <f>IF(ISERROR(VLOOKUP($U$410,'TAR FIN'!$A$1:$O$88,15,0)),0,VLOOKUP($U$410,'TAR FIN'!$A$1:$O$88,15,0))</f>
        <v>288.89999999999998</v>
      </c>
      <c r="Y410" s="6"/>
      <c r="Z410" s="6">
        <f ca="1">('TUSD BE'!$AM$48+'TUSD BF_350'!$AM$48+'TUSD CVA'!$AM$48)*1</f>
        <v>350.41122835255294</v>
      </c>
      <c r="AA410" s="6">
        <f ca="1">('TE BE'!$AB$39+'TE BF_350'!$AB$39+'TE CVA'!$AB$39)*1</f>
        <v>207.63042742196092</v>
      </c>
      <c r="AB410" s="6">
        <f>$K$410*$V$410</f>
        <v>0</v>
      </c>
      <c r="AC410" s="6">
        <f>$M$410*$W$410</f>
        <v>1700.4330000000002</v>
      </c>
      <c r="AD410" s="6">
        <f>$O$410*$X$410</f>
        <v>1820.0699999999997</v>
      </c>
      <c r="AE410" s="6">
        <f>$K$410*$Y$410</f>
        <v>0</v>
      </c>
      <c r="AF410" s="6">
        <f ca="1">$M$410*$Z$410</f>
        <v>2207.5907386210833</v>
      </c>
      <c r="AG410" s="6">
        <f ca="1">$O$410*$AA$410</f>
        <v>1308.0716927583537</v>
      </c>
    </row>
    <row r="411" spans="1:33" ht="11.25" customHeight="1" x14ac:dyDescent="0.25">
      <c r="A411" s="4" t="s">
        <v>21</v>
      </c>
      <c r="B411" s="4" t="s">
        <v>36</v>
      </c>
      <c r="C411" s="4" t="s">
        <v>23</v>
      </c>
      <c r="D411" s="4" t="s">
        <v>49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44621</v>
      </c>
      <c r="J411" s="6">
        <v>0</v>
      </c>
      <c r="K411" s="6">
        <v>0</v>
      </c>
      <c r="L411" s="6">
        <v>5.9020000000000001</v>
      </c>
      <c r="M411" s="6">
        <v>5.9020000000000001</v>
      </c>
      <c r="N411" s="6">
        <v>5.9020000000000001</v>
      </c>
      <c r="O411" s="6">
        <v>5.9020000000000001</v>
      </c>
      <c r="P411" s="6">
        <v>4</v>
      </c>
      <c r="Q411" s="4" t="s">
        <v>26</v>
      </c>
      <c r="R411" s="4">
        <v>0</v>
      </c>
      <c r="S411" s="6">
        <v>0</v>
      </c>
      <c r="T411" s="6">
        <v>65</v>
      </c>
      <c r="U411" s="6">
        <v>25</v>
      </c>
      <c r="V411" s="6">
        <f>IF(ISERROR(VLOOKUP($S$411,'TAR FIN'!$A$1:$O$88,15,0)),0,VLOOKUP($S$411,'TAR FIN'!$A$1:$O$88,15,0))</f>
        <v>0</v>
      </c>
      <c r="W411" s="6">
        <f>IF(ISERROR(VLOOKUP($T$411,'TAR FIN'!$A$1:$O$88,15,0)),0,VLOOKUP($T$411,'TAR FIN'!$A$1:$O$88,15,0))</f>
        <v>269.91000000000003</v>
      </c>
      <c r="X411" s="6">
        <f>IF(ISERROR(VLOOKUP($U$411,'TAR FIN'!$A$1:$O$88,15,0)),0,VLOOKUP($U$411,'TAR FIN'!$A$1:$O$88,15,0))</f>
        <v>288.89999999999998</v>
      </c>
      <c r="Y411" s="6"/>
      <c r="Z411" s="6">
        <f ca="1">('TUSD BE'!$AM$48+'TUSD BF_350'!$AM$48+'TUSD CVA'!$AM$48)*1</f>
        <v>350.41122835255294</v>
      </c>
      <c r="AA411" s="6">
        <f ca="1">('TE BE'!$AB$39+'TE BF_350'!$AB$39+'TE CVA'!$AB$39)*1</f>
        <v>207.63042742196092</v>
      </c>
      <c r="AB411" s="6">
        <f>$K$411*$V$411</f>
        <v>0</v>
      </c>
      <c r="AC411" s="6">
        <f>$M$411*$W$411</f>
        <v>1593.0088200000002</v>
      </c>
      <c r="AD411" s="6">
        <f>$O$411*$X$411</f>
        <v>1705.0878</v>
      </c>
      <c r="AE411" s="6">
        <f>$K$411*$Y$411</f>
        <v>0</v>
      </c>
      <c r="AF411" s="6">
        <f ca="1">$M$411*$Z$411</f>
        <v>2068.1270697367677</v>
      </c>
      <c r="AG411" s="6">
        <f ca="1">$O$411*$AA$411</f>
        <v>1225.4347826444134</v>
      </c>
    </row>
    <row r="412" spans="1:33" ht="11.25" customHeight="1" x14ac:dyDescent="0.25">
      <c r="A412" s="4" t="s">
        <v>21</v>
      </c>
      <c r="B412" s="4" t="s">
        <v>36</v>
      </c>
      <c r="C412" s="4" t="s">
        <v>23</v>
      </c>
      <c r="D412" s="4" t="s">
        <v>49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0</v>
      </c>
      <c r="K412" s="6">
        <v>0</v>
      </c>
      <c r="L412" s="6">
        <v>5.4180000000000001</v>
      </c>
      <c r="M412" s="6">
        <v>5.4180000000000001</v>
      </c>
      <c r="N412" s="6">
        <v>5.4180000000000001</v>
      </c>
      <c r="O412" s="6">
        <v>5.4180000000000001</v>
      </c>
      <c r="P412" s="6">
        <v>5</v>
      </c>
      <c r="Q412" s="4" t="s">
        <v>26</v>
      </c>
      <c r="R412" s="4">
        <v>0</v>
      </c>
      <c r="S412" s="6">
        <v>0</v>
      </c>
      <c r="T412" s="6">
        <v>65</v>
      </c>
      <c r="U412" s="6">
        <v>25</v>
      </c>
      <c r="V412" s="6">
        <f>IF(ISERROR(VLOOKUP($S$412,'TAR FIN'!$A$1:$O$88,15,0)),0,VLOOKUP($S$412,'TAR FIN'!$A$1:$O$88,15,0))</f>
        <v>0</v>
      </c>
      <c r="W412" s="6">
        <f>IF(ISERROR(VLOOKUP($T$412,'TAR FIN'!$A$1:$O$88,15,0)),0,VLOOKUP($T$412,'TAR FIN'!$A$1:$O$88,15,0))</f>
        <v>269.91000000000003</v>
      </c>
      <c r="X412" s="6">
        <f>IF(ISERROR(VLOOKUP($U$412,'TAR FIN'!$A$1:$O$88,15,0)),0,VLOOKUP($U$412,'TAR FIN'!$A$1:$O$88,15,0))</f>
        <v>288.89999999999998</v>
      </c>
      <c r="Y412" s="6"/>
      <c r="Z412" s="6">
        <f ca="1">('TUSD BE'!$AM$48+'TUSD BF_350'!$AM$48+'TUSD CVA'!$AM$48)*1</f>
        <v>350.41122835255294</v>
      </c>
      <c r="AA412" s="6">
        <f ca="1">('TE BE'!$AB$39+'TE BF_350'!$AB$39+'TE CVA'!$AB$39)*1</f>
        <v>207.63042742196092</v>
      </c>
      <c r="AB412" s="6">
        <f>$K$412*$V$412</f>
        <v>0</v>
      </c>
      <c r="AC412" s="6">
        <f>$M$412*$W$412</f>
        <v>1462.3723800000002</v>
      </c>
      <c r="AD412" s="6">
        <f>$O$412*$X$412</f>
        <v>1565.2601999999999</v>
      </c>
      <c r="AE412" s="6">
        <f>$K$412*$Y$412</f>
        <v>0</v>
      </c>
      <c r="AF412" s="6">
        <f ca="1">$M$412*$Z$412</f>
        <v>1898.5280352141319</v>
      </c>
      <c r="AG412" s="6">
        <f ca="1">$O$412*$AA$412</f>
        <v>1124.9416557721843</v>
      </c>
    </row>
    <row r="413" spans="1:33" ht="11.25" customHeight="1" x14ac:dyDescent="0.25">
      <c r="A413" s="4" t="s">
        <v>21</v>
      </c>
      <c r="B413" s="4" t="s">
        <v>36</v>
      </c>
      <c r="C413" s="4" t="s">
        <v>23</v>
      </c>
      <c r="D413" s="4" t="s">
        <v>49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44682</v>
      </c>
      <c r="J413" s="6">
        <v>0</v>
      </c>
      <c r="K413" s="6">
        <v>0</v>
      </c>
      <c r="L413" s="6">
        <v>5.0190000000000001</v>
      </c>
      <c r="M413" s="6">
        <v>5.0190000000000001</v>
      </c>
      <c r="N413" s="6">
        <v>5.0190000000000001</v>
      </c>
      <c r="O413" s="6">
        <v>5.0190000000000001</v>
      </c>
      <c r="P413" s="6">
        <v>5</v>
      </c>
      <c r="Q413" s="4" t="s">
        <v>26</v>
      </c>
      <c r="R413" s="4">
        <v>0</v>
      </c>
      <c r="S413" s="6">
        <v>0</v>
      </c>
      <c r="T413" s="6">
        <v>65</v>
      </c>
      <c r="U413" s="6">
        <v>25</v>
      </c>
      <c r="V413" s="6">
        <f>IF(ISERROR(VLOOKUP($S$413,'TAR FIN'!$A$1:$O$88,15,0)),0,VLOOKUP($S$413,'TAR FIN'!$A$1:$O$88,15,0))</f>
        <v>0</v>
      </c>
      <c r="W413" s="6">
        <f>IF(ISERROR(VLOOKUP($T$413,'TAR FIN'!$A$1:$O$88,15,0)),0,VLOOKUP($T$413,'TAR FIN'!$A$1:$O$88,15,0))</f>
        <v>269.91000000000003</v>
      </c>
      <c r="X413" s="6">
        <f>IF(ISERROR(VLOOKUP($U$413,'TAR FIN'!$A$1:$O$88,15,0)),0,VLOOKUP($U$413,'TAR FIN'!$A$1:$O$88,15,0))</f>
        <v>288.89999999999998</v>
      </c>
      <c r="Y413" s="6"/>
      <c r="Z413" s="6">
        <f ca="1">('TUSD BE'!$AM$48+'TUSD BF_350'!$AM$48+'TUSD CVA'!$AM$48)*1</f>
        <v>350.41122835255294</v>
      </c>
      <c r="AA413" s="6">
        <f ca="1">('TE BE'!$AB$39+'TE BF_350'!$AB$39+'TE CVA'!$AB$39)*1</f>
        <v>207.63042742196092</v>
      </c>
      <c r="AB413" s="6">
        <f>$K$413*$V$413</f>
        <v>0</v>
      </c>
      <c r="AC413" s="6">
        <f>$M$413*$W$413</f>
        <v>1354.6782900000001</v>
      </c>
      <c r="AD413" s="6">
        <f>$O$413*$X$413</f>
        <v>1449.9891</v>
      </c>
      <c r="AE413" s="6">
        <f>$K$413*$Y$413</f>
        <v>0</v>
      </c>
      <c r="AF413" s="6">
        <f ca="1">$M$413*$Z$413</f>
        <v>1758.7139551014632</v>
      </c>
      <c r="AG413" s="6">
        <f ca="1">$O$413*$AA$413</f>
        <v>1042.0971152308218</v>
      </c>
    </row>
    <row r="414" spans="1:33" ht="11.25" customHeight="1" x14ac:dyDescent="0.25">
      <c r="A414" s="4" t="s">
        <v>21</v>
      </c>
      <c r="B414" s="4" t="s">
        <v>36</v>
      </c>
      <c r="C414" s="4" t="s">
        <v>23</v>
      </c>
      <c r="D414" s="4" t="s">
        <v>49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44713</v>
      </c>
      <c r="J414" s="6">
        <v>0</v>
      </c>
      <c r="K414" s="6">
        <v>0</v>
      </c>
      <c r="L414" s="6">
        <v>2.41</v>
      </c>
      <c r="M414" s="6">
        <v>2.41</v>
      </c>
      <c r="N414" s="6">
        <v>2.41</v>
      </c>
      <c r="O414" s="6">
        <v>2.41</v>
      </c>
      <c r="P414" s="6">
        <v>5</v>
      </c>
      <c r="Q414" s="4" t="s">
        <v>26</v>
      </c>
      <c r="R414" s="4">
        <v>0</v>
      </c>
      <c r="S414" s="6">
        <v>0</v>
      </c>
      <c r="T414" s="6">
        <v>65</v>
      </c>
      <c r="U414" s="6">
        <v>25</v>
      </c>
      <c r="V414" s="6">
        <f>IF(ISERROR(VLOOKUP($S$414,'TAR FIN'!$A$1:$O$88,15,0)),0,VLOOKUP($S$414,'TAR FIN'!$A$1:$O$88,15,0))</f>
        <v>0</v>
      </c>
      <c r="W414" s="6">
        <f>IF(ISERROR(VLOOKUP($T$414,'TAR FIN'!$A$1:$O$88,15,0)),0,VLOOKUP($T$414,'TAR FIN'!$A$1:$O$88,15,0))</f>
        <v>269.91000000000003</v>
      </c>
      <c r="X414" s="6">
        <f>IF(ISERROR(VLOOKUP($U$414,'TAR FIN'!$A$1:$O$88,15,0)),0,VLOOKUP($U$414,'TAR FIN'!$A$1:$O$88,15,0))</f>
        <v>288.89999999999998</v>
      </c>
      <c r="Y414" s="6"/>
      <c r="Z414" s="6">
        <f ca="1">('TUSD BE'!$AM$48+'TUSD BF_350'!$AM$48+'TUSD CVA'!$AM$48)*1</f>
        <v>350.41122835255294</v>
      </c>
      <c r="AA414" s="6">
        <f ca="1">('TE BE'!$AB$39+'TE BF_350'!$AB$39+'TE CVA'!$AB$39)*1</f>
        <v>207.63042742196092</v>
      </c>
      <c r="AB414" s="6">
        <f>$K$414*$V$414</f>
        <v>0</v>
      </c>
      <c r="AC414" s="6">
        <f>$M$414*$W$414</f>
        <v>650.48310000000015</v>
      </c>
      <c r="AD414" s="6">
        <f>$O$414*$X$414</f>
        <v>696.24900000000002</v>
      </c>
      <c r="AE414" s="6">
        <f>$K$414*$Y$414</f>
        <v>0</v>
      </c>
      <c r="AF414" s="6">
        <f ca="1">$M$414*$Z$414</f>
        <v>844.49106032965267</v>
      </c>
      <c r="AG414" s="6">
        <f ca="1">$O$414*$AA$414</f>
        <v>500.38933008692584</v>
      </c>
    </row>
    <row r="415" spans="1:33" ht="11.25" customHeight="1" x14ac:dyDescent="0.25">
      <c r="A415" s="4" t="s">
        <v>55</v>
      </c>
      <c r="B415" s="4" t="s">
        <v>36</v>
      </c>
      <c r="C415" s="4" t="s">
        <v>23</v>
      </c>
      <c r="D415" s="4" t="s">
        <v>49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44743</v>
      </c>
      <c r="J415" s="6">
        <v>0</v>
      </c>
      <c r="K415" s="6">
        <v>0</v>
      </c>
      <c r="L415" s="6">
        <v>2.41</v>
      </c>
      <c r="M415" s="6">
        <v>2.41</v>
      </c>
      <c r="N415" s="6">
        <v>2.41</v>
      </c>
      <c r="O415" s="6">
        <v>2.41</v>
      </c>
      <c r="P415" s="6">
        <v>5</v>
      </c>
      <c r="Q415" s="4" t="s">
        <v>26</v>
      </c>
      <c r="R415" s="4">
        <v>0</v>
      </c>
      <c r="S415" s="6">
        <v>0</v>
      </c>
      <c r="T415" s="6">
        <v>65</v>
      </c>
      <c r="U415" s="6">
        <v>25</v>
      </c>
      <c r="V415" s="6">
        <f>IF(ISERROR(VLOOKUP($S$415,'TAR FIN'!$A$1:$O$88,15,0)),0,VLOOKUP($S$415,'TAR FIN'!$A$1:$O$88,15,0))</f>
        <v>0</v>
      </c>
      <c r="W415" s="6">
        <f>IF(ISERROR(VLOOKUP($T$415,'TAR FIN'!$A$1:$O$88,15,0)),0,VLOOKUP($T$415,'TAR FIN'!$A$1:$O$88,15,0))</f>
        <v>269.91000000000003</v>
      </c>
      <c r="X415" s="6">
        <f>IF(ISERROR(VLOOKUP($U$415,'TAR FIN'!$A$1:$O$88,15,0)),0,VLOOKUP($U$415,'TAR FIN'!$A$1:$O$88,15,0))</f>
        <v>288.89999999999998</v>
      </c>
      <c r="Y415" s="6"/>
      <c r="Z415" s="6">
        <f ca="1">('TUSD BE'!$AM$48+'TUSD BF_350'!$AM$48+'TUSD CVA'!$AM$48)*1</f>
        <v>350.41122835255294</v>
      </c>
      <c r="AA415" s="6">
        <f ca="1">('TE BE'!$AB$39+'TE BF_350'!$AB$39+'TE CVA'!$AB$39)*1</f>
        <v>207.63042742196092</v>
      </c>
      <c r="AB415" s="6">
        <f>$K$415*$V$415</f>
        <v>0</v>
      </c>
      <c r="AC415" s="6">
        <f>$M$415*$W$415</f>
        <v>650.48310000000015</v>
      </c>
      <c r="AD415" s="6">
        <f>$O$415*$X$415</f>
        <v>696.24900000000002</v>
      </c>
      <c r="AE415" s="6">
        <f>$K$415*$Y$415</f>
        <v>0</v>
      </c>
      <c r="AF415" s="6">
        <f ca="1">$M$415*$Z$415</f>
        <v>844.49106032965267</v>
      </c>
      <c r="AG415" s="6">
        <f ca="1">$O$415*$AA$415</f>
        <v>500.38933008692584</v>
      </c>
    </row>
    <row r="416" spans="1:33" ht="11.25" customHeight="1" x14ac:dyDescent="0.25">
      <c r="A416" s="4" t="s">
        <v>21</v>
      </c>
      <c r="B416" s="4" t="s">
        <v>36</v>
      </c>
      <c r="C416" s="4" t="s">
        <v>23</v>
      </c>
      <c r="D416" s="4" t="s">
        <v>37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84.075999999999993</v>
      </c>
      <c r="M416" s="6">
        <v>84.075999999999993</v>
      </c>
      <c r="N416" s="6">
        <v>84.075999999999993</v>
      </c>
      <c r="O416" s="6">
        <v>84.075999999999993</v>
      </c>
      <c r="P416" s="6">
        <v>178</v>
      </c>
      <c r="Q416" s="4" t="s">
        <v>26</v>
      </c>
      <c r="R416" s="4">
        <v>0</v>
      </c>
      <c r="S416" s="6">
        <v>0</v>
      </c>
      <c r="T416" s="6">
        <v>65</v>
      </c>
      <c r="U416" s="6">
        <v>25</v>
      </c>
      <c r="V416" s="6">
        <f>IF(ISERROR(VLOOKUP($S$416,'TAR FIN'!$A$1:$O$88,15,0)),0,VLOOKUP($S$416,'TAR FIN'!$A$1:$O$88,15,0))</f>
        <v>0</v>
      </c>
      <c r="W416" s="6">
        <f>IF(ISERROR(VLOOKUP($T$416,'TAR FIN'!$A$1:$O$88,15,0)),0,VLOOKUP($T$416,'TAR FIN'!$A$1:$O$88,15,0))</f>
        <v>269.91000000000003</v>
      </c>
      <c r="X416" s="6">
        <f>IF(ISERROR(VLOOKUP($U$416,'TAR FIN'!$A$1:$O$88,15,0)),0,VLOOKUP($U$416,'TAR FIN'!$A$1:$O$88,15,0))</f>
        <v>288.89999999999998</v>
      </c>
      <c r="Y416" s="6"/>
      <c r="Z416" s="6">
        <f ca="1">('TUSD BE'!$AM$48+'TUSD BF_350'!$AM$48+'TUSD CVA'!$AM$48)*1</f>
        <v>350.41122835255294</v>
      </c>
      <c r="AA416" s="6">
        <f ca="1">('TE BE'!$AB$39+'TE BF_350'!$AB$39+'TE CVA'!$AB$39)*1</f>
        <v>207.63042742196092</v>
      </c>
      <c r="AB416" s="6">
        <f>$K$416*$V$416</f>
        <v>0</v>
      </c>
      <c r="AC416" s="6">
        <f>$M$416*$W$416</f>
        <v>22692.953160000001</v>
      </c>
      <c r="AD416" s="6">
        <f>$O$416*$X$416</f>
        <v>24289.556399999998</v>
      </c>
      <c r="AE416" s="6">
        <f>$K$416*$Y$416</f>
        <v>0</v>
      </c>
      <c r="AF416" s="6">
        <f ca="1">$M$416*$Z$416</f>
        <v>29461.174434969238</v>
      </c>
      <c r="AG416" s="6">
        <f ca="1">$O$416*$AA$416</f>
        <v>17456.735815928783</v>
      </c>
    </row>
    <row r="417" spans="1:33" ht="11.25" customHeight="1" x14ac:dyDescent="0.25">
      <c r="A417" s="4" t="s">
        <v>27</v>
      </c>
      <c r="B417" s="4" t="s">
        <v>36</v>
      </c>
      <c r="C417" s="4" t="s">
        <v>23</v>
      </c>
      <c r="D417" s="4" t="s">
        <v>37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44409</v>
      </c>
      <c r="J417" s="6">
        <v>0</v>
      </c>
      <c r="K417" s="6">
        <v>0</v>
      </c>
      <c r="L417" s="6">
        <v>1.48</v>
      </c>
      <c r="M417" s="6">
        <v>1.48</v>
      </c>
      <c r="N417" s="6">
        <v>1.48</v>
      </c>
      <c r="O417" s="6">
        <v>1.48</v>
      </c>
      <c r="P417" s="6">
        <v>5</v>
      </c>
      <c r="Q417" s="4" t="s">
        <v>26</v>
      </c>
      <c r="R417" s="4">
        <v>0</v>
      </c>
      <c r="S417" s="6">
        <v>0</v>
      </c>
      <c r="T417" s="6">
        <v>65</v>
      </c>
      <c r="U417" s="6">
        <v>25</v>
      </c>
      <c r="V417" s="6">
        <f>IF(ISERROR(VLOOKUP($S$417,'TAR FIN'!$A$1:$O$88,15,0)),0,VLOOKUP($S$417,'TAR FIN'!$A$1:$O$88,15,0))</f>
        <v>0</v>
      </c>
      <c r="W417" s="6">
        <f>IF(ISERROR(VLOOKUP($T$417,'TAR FIN'!$A$1:$O$88,15,0)),0,VLOOKUP($T$417,'TAR FIN'!$A$1:$O$88,15,0))</f>
        <v>269.91000000000003</v>
      </c>
      <c r="X417" s="6">
        <f>IF(ISERROR(VLOOKUP($U$417,'TAR FIN'!$A$1:$O$88,15,0)),0,VLOOKUP($U$417,'TAR FIN'!$A$1:$O$88,15,0))</f>
        <v>288.89999999999998</v>
      </c>
      <c r="Y417" s="6"/>
      <c r="Z417" s="6">
        <f ca="1">('TUSD BE'!$AM$48+'TUSD BF_350'!$AM$48+'TUSD CVA'!$AM$48)*1</f>
        <v>350.41122835255294</v>
      </c>
      <c r="AA417" s="6">
        <f ca="1">('TE BE'!$AB$39+'TE BF_350'!$AB$39+'TE CVA'!$AB$39)*1</f>
        <v>207.63042742196092</v>
      </c>
      <c r="AB417" s="6">
        <f>$K$417*$V$417</f>
        <v>0</v>
      </c>
      <c r="AC417" s="6">
        <f>$M$417*$W$417</f>
        <v>399.46680000000003</v>
      </c>
      <c r="AD417" s="6">
        <f>$O$417*$X$417</f>
        <v>427.57199999999995</v>
      </c>
      <c r="AE417" s="6">
        <f>$K$417*$Y$417</f>
        <v>0</v>
      </c>
      <c r="AF417" s="6">
        <f ca="1">$M$417*$Z$417</f>
        <v>518.60861796177835</v>
      </c>
      <c r="AG417" s="6">
        <f ca="1">$O$417*$AA$417</f>
        <v>307.29303258450216</v>
      </c>
    </row>
    <row r="418" spans="1:33" ht="11.25" customHeight="1" x14ac:dyDescent="0.25">
      <c r="A418" s="4" t="s">
        <v>21</v>
      </c>
      <c r="B418" s="4" t="s">
        <v>36</v>
      </c>
      <c r="C418" s="4" t="s">
        <v>23</v>
      </c>
      <c r="D418" s="4" t="s">
        <v>37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91.444999999999993</v>
      </c>
      <c r="M418" s="6">
        <v>91.444999999999993</v>
      </c>
      <c r="N418" s="6">
        <v>91.444999999999993</v>
      </c>
      <c r="O418" s="6">
        <v>91.444999999999993</v>
      </c>
      <c r="P418" s="6">
        <v>191</v>
      </c>
      <c r="Q418" s="4" t="s">
        <v>26</v>
      </c>
      <c r="R418" s="4">
        <v>0</v>
      </c>
      <c r="S418" s="6">
        <v>0</v>
      </c>
      <c r="T418" s="6">
        <v>65</v>
      </c>
      <c r="U418" s="6">
        <v>25</v>
      </c>
      <c r="V418" s="6">
        <f>IF(ISERROR(VLOOKUP($S$418,'TAR FIN'!$A$1:$O$88,15,0)),0,VLOOKUP($S$418,'TAR FIN'!$A$1:$O$88,15,0))</f>
        <v>0</v>
      </c>
      <c r="W418" s="6">
        <f>IF(ISERROR(VLOOKUP($T$418,'TAR FIN'!$A$1:$O$88,15,0)),0,VLOOKUP($T$418,'TAR FIN'!$A$1:$O$88,15,0))</f>
        <v>269.91000000000003</v>
      </c>
      <c r="X418" s="6">
        <f>IF(ISERROR(VLOOKUP($U$418,'TAR FIN'!$A$1:$O$88,15,0)),0,VLOOKUP($U$418,'TAR FIN'!$A$1:$O$88,15,0))</f>
        <v>288.89999999999998</v>
      </c>
      <c r="Y418" s="6"/>
      <c r="Z418" s="6">
        <f ca="1">('TUSD BE'!$AM$48+'TUSD BF_350'!$AM$48+'TUSD CVA'!$AM$48)*1</f>
        <v>350.41122835255294</v>
      </c>
      <c r="AA418" s="6">
        <f ca="1">('TE BE'!$AB$39+'TE BF_350'!$AB$39+'TE CVA'!$AB$39)*1</f>
        <v>207.63042742196092</v>
      </c>
      <c r="AB418" s="6">
        <f>$K$418*$V$418</f>
        <v>0</v>
      </c>
      <c r="AC418" s="6">
        <f>$M$418*$W$418</f>
        <v>24681.91995</v>
      </c>
      <c r="AD418" s="6">
        <f>$O$418*$X$418</f>
        <v>26418.460499999997</v>
      </c>
      <c r="AE418" s="6">
        <f>$K$418*$Y$418</f>
        <v>0</v>
      </c>
      <c r="AF418" s="6">
        <f ca="1">$M$418*$Z$418</f>
        <v>32043.354776699201</v>
      </c>
      <c r="AG418" s="6">
        <f ca="1">$O$418*$AA$418</f>
        <v>18986.764435601213</v>
      </c>
    </row>
    <row r="419" spans="1:33" ht="11.25" customHeight="1" x14ac:dyDescent="0.25">
      <c r="A419" s="4" t="s">
        <v>27</v>
      </c>
      <c r="B419" s="4" t="s">
        <v>36</v>
      </c>
      <c r="C419" s="4" t="s">
        <v>23</v>
      </c>
      <c r="D419" s="4" t="s">
        <v>37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44440</v>
      </c>
      <c r="J419" s="6">
        <v>0</v>
      </c>
      <c r="K419" s="6">
        <v>0</v>
      </c>
      <c r="L419" s="6">
        <v>0.55900000000000005</v>
      </c>
      <c r="M419" s="6">
        <v>0.55900000000000005</v>
      </c>
      <c r="N419" s="6">
        <v>0.55900000000000005</v>
      </c>
      <c r="O419" s="6">
        <v>0.55900000000000005</v>
      </c>
      <c r="P419" s="6">
        <v>5</v>
      </c>
      <c r="Q419" s="4" t="s">
        <v>26</v>
      </c>
      <c r="R419" s="4">
        <v>0</v>
      </c>
      <c r="S419" s="6">
        <v>0</v>
      </c>
      <c r="T419" s="6">
        <v>65</v>
      </c>
      <c r="U419" s="6">
        <v>25</v>
      </c>
      <c r="V419" s="6">
        <f>IF(ISERROR(VLOOKUP($S$419,'TAR FIN'!$A$1:$O$88,15,0)),0,VLOOKUP($S$419,'TAR FIN'!$A$1:$O$88,15,0))</f>
        <v>0</v>
      </c>
      <c r="W419" s="6">
        <f>IF(ISERROR(VLOOKUP($T$419,'TAR FIN'!$A$1:$O$88,15,0)),0,VLOOKUP($T$419,'TAR FIN'!$A$1:$O$88,15,0))</f>
        <v>269.91000000000003</v>
      </c>
      <c r="X419" s="6">
        <f>IF(ISERROR(VLOOKUP($U$419,'TAR FIN'!$A$1:$O$88,15,0)),0,VLOOKUP($U$419,'TAR FIN'!$A$1:$O$88,15,0))</f>
        <v>288.89999999999998</v>
      </c>
      <c r="Y419" s="6"/>
      <c r="Z419" s="6">
        <f ca="1">('TUSD BE'!$AM$48+'TUSD BF_350'!$AM$48+'TUSD CVA'!$AM$48)*1</f>
        <v>350.41122835255294</v>
      </c>
      <c r="AA419" s="6">
        <f ca="1">('TE BE'!$AB$39+'TE BF_350'!$AB$39+'TE CVA'!$AB$39)*1</f>
        <v>207.63042742196092</v>
      </c>
      <c r="AB419" s="6">
        <f>$K$419*$V$419</f>
        <v>0</v>
      </c>
      <c r="AC419" s="6">
        <f>$M$419*$W$419</f>
        <v>150.87969000000004</v>
      </c>
      <c r="AD419" s="6">
        <f>$O$419*$X$419</f>
        <v>161.49510000000001</v>
      </c>
      <c r="AE419" s="6">
        <f>$K$419*$Y$419</f>
        <v>0</v>
      </c>
      <c r="AF419" s="6">
        <f ca="1">$M$419*$Z$419</f>
        <v>195.87987664907712</v>
      </c>
      <c r="AG419" s="6">
        <f ca="1">$O$419*$AA$419</f>
        <v>116.06540892887617</v>
      </c>
    </row>
    <row r="420" spans="1:33" ht="11.25" customHeight="1" x14ac:dyDescent="0.25">
      <c r="A420" s="4" t="s">
        <v>21</v>
      </c>
      <c r="B420" s="4" t="s">
        <v>36</v>
      </c>
      <c r="C420" s="4" t="s">
        <v>23</v>
      </c>
      <c r="D420" s="4" t="s">
        <v>37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44470</v>
      </c>
      <c r="J420" s="6">
        <v>0</v>
      </c>
      <c r="K420" s="6">
        <v>0</v>
      </c>
      <c r="L420" s="6">
        <v>87.825999999999993</v>
      </c>
      <c r="M420" s="6">
        <v>87.825999999999993</v>
      </c>
      <c r="N420" s="6">
        <v>87.825999999999993</v>
      </c>
      <c r="O420" s="6">
        <v>87.825999999999993</v>
      </c>
      <c r="P420" s="6">
        <v>204</v>
      </c>
      <c r="Q420" s="4" t="s">
        <v>26</v>
      </c>
      <c r="R420" s="4">
        <v>0</v>
      </c>
      <c r="S420" s="6">
        <v>0</v>
      </c>
      <c r="T420" s="6">
        <v>65</v>
      </c>
      <c r="U420" s="6">
        <v>25</v>
      </c>
      <c r="V420" s="6">
        <f>IF(ISERROR(VLOOKUP($S$420,'TAR FIN'!$A$1:$O$88,15,0)),0,VLOOKUP($S$420,'TAR FIN'!$A$1:$O$88,15,0))</f>
        <v>0</v>
      </c>
      <c r="W420" s="6">
        <f>IF(ISERROR(VLOOKUP($T$420,'TAR FIN'!$A$1:$O$88,15,0)),0,VLOOKUP($T$420,'TAR FIN'!$A$1:$O$88,15,0))</f>
        <v>269.91000000000003</v>
      </c>
      <c r="X420" s="6">
        <f>IF(ISERROR(VLOOKUP($U$420,'TAR FIN'!$A$1:$O$88,15,0)),0,VLOOKUP($U$420,'TAR FIN'!$A$1:$O$88,15,0))</f>
        <v>288.89999999999998</v>
      </c>
      <c r="Y420" s="6"/>
      <c r="Z420" s="6">
        <f ca="1">('TUSD BE'!$AM$48+'TUSD BF_350'!$AM$48+'TUSD CVA'!$AM$48)*1</f>
        <v>350.41122835255294</v>
      </c>
      <c r="AA420" s="6">
        <f ca="1">('TE BE'!$AB$39+'TE BF_350'!$AB$39+'TE CVA'!$AB$39)*1</f>
        <v>207.63042742196092</v>
      </c>
      <c r="AB420" s="6">
        <f>$K$420*$V$420</f>
        <v>0</v>
      </c>
      <c r="AC420" s="6">
        <f>$M$420*$W$420</f>
        <v>23705.115659999999</v>
      </c>
      <c r="AD420" s="6">
        <f>$O$420*$X$420</f>
        <v>25372.931399999998</v>
      </c>
      <c r="AE420" s="6">
        <f>$K$420*$Y$420</f>
        <v>0</v>
      </c>
      <c r="AF420" s="6">
        <f ca="1">$M$420*$Z$420</f>
        <v>30775.216541291313</v>
      </c>
      <c r="AG420" s="6">
        <f ca="1">$O$420*$AA$420</f>
        <v>18235.349918761138</v>
      </c>
    </row>
    <row r="421" spans="1:33" ht="11.25" customHeight="1" x14ac:dyDescent="0.25">
      <c r="A421" s="4" t="s">
        <v>27</v>
      </c>
      <c r="B421" s="4" t="s">
        <v>36</v>
      </c>
      <c r="C421" s="4" t="s">
        <v>23</v>
      </c>
      <c r="D421" s="4" t="s">
        <v>37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44470</v>
      </c>
      <c r="J421" s="6">
        <v>0</v>
      </c>
      <c r="K421" s="6">
        <v>0</v>
      </c>
      <c r="L421" s="6">
        <v>0.92300000000000004</v>
      </c>
      <c r="M421" s="6">
        <v>0.92300000000000004</v>
      </c>
      <c r="N421" s="6">
        <v>0.92300000000000004</v>
      </c>
      <c r="O421" s="6">
        <v>0.92300000000000004</v>
      </c>
      <c r="P421" s="6">
        <v>6</v>
      </c>
      <c r="Q421" s="4" t="s">
        <v>26</v>
      </c>
      <c r="R421" s="4">
        <v>0</v>
      </c>
      <c r="S421" s="6">
        <v>0</v>
      </c>
      <c r="T421" s="6">
        <v>65</v>
      </c>
      <c r="U421" s="6">
        <v>25</v>
      </c>
      <c r="V421" s="6">
        <f>IF(ISERROR(VLOOKUP($S$421,'TAR FIN'!$A$1:$O$88,15,0)),0,VLOOKUP($S$421,'TAR FIN'!$A$1:$O$88,15,0))</f>
        <v>0</v>
      </c>
      <c r="W421" s="6">
        <f>IF(ISERROR(VLOOKUP($T$421,'TAR FIN'!$A$1:$O$88,15,0)),0,VLOOKUP($T$421,'TAR FIN'!$A$1:$O$88,15,0))</f>
        <v>269.91000000000003</v>
      </c>
      <c r="X421" s="6">
        <f>IF(ISERROR(VLOOKUP($U$421,'TAR FIN'!$A$1:$O$88,15,0)),0,VLOOKUP($U$421,'TAR FIN'!$A$1:$O$88,15,0))</f>
        <v>288.89999999999998</v>
      </c>
      <c r="Y421" s="6"/>
      <c r="Z421" s="6">
        <f ca="1">('TUSD BE'!$AM$48+'TUSD BF_350'!$AM$48+'TUSD CVA'!$AM$48)*1</f>
        <v>350.41122835255294</v>
      </c>
      <c r="AA421" s="6">
        <f ca="1">('TE BE'!$AB$39+'TE BF_350'!$AB$39+'TE CVA'!$AB$39)*1</f>
        <v>207.63042742196092</v>
      </c>
      <c r="AB421" s="6">
        <f>$K$421*$V$421</f>
        <v>0</v>
      </c>
      <c r="AC421" s="6">
        <f>$M$421*$W$421</f>
        <v>249.12693000000004</v>
      </c>
      <c r="AD421" s="6">
        <f>$O$421*$X$421</f>
        <v>266.65469999999999</v>
      </c>
      <c r="AE421" s="6">
        <f>$K$421*$Y$421</f>
        <v>0</v>
      </c>
      <c r="AF421" s="6">
        <f ca="1">$M$421*$Z$421</f>
        <v>323.4295637694064</v>
      </c>
      <c r="AG421" s="6">
        <f ca="1">$O$421*$AA$421</f>
        <v>191.64288451046994</v>
      </c>
    </row>
    <row r="422" spans="1:33" ht="11.25" customHeight="1" x14ac:dyDescent="0.25">
      <c r="A422" s="4" t="s">
        <v>21</v>
      </c>
      <c r="B422" s="4" t="s">
        <v>36</v>
      </c>
      <c r="C422" s="4" t="s">
        <v>23</v>
      </c>
      <c r="D422" s="4" t="s">
        <v>37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44501</v>
      </c>
      <c r="J422" s="6">
        <v>0</v>
      </c>
      <c r="K422" s="6">
        <v>0</v>
      </c>
      <c r="L422" s="6">
        <v>90.174999999999997</v>
      </c>
      <c r="M422" s="6">
        <v>90.174999999999997</v>
      </c>
      <c r="N422" s="6">
        <v>90.174999999999997</v>
      </c>
      <c r="O422" s="6">
        <v>90.174999999999997</v>
      </c>
      <c r="P422" s="6">
        <v>209</v>
      </c>
      <c r="Q422" s="4" t="s">
        <v>26</v>
      </c>
      <c r="R422" s="4">
        <v>0</v>
      </c>
      <c r="S422" s="6">
        <v>0</v>
      </c>
      <c r="T422" s="6">
        <v>65</v>
      </c>
      <c r="U422" s="6">
        <v>25</v>
      </c>
      <c r="V422" s="6">
        <f>IF(ISERROR(VLOOKUP($S$422,'TAR FIN'!$A$1:$O$88,15,0)),0,VLOOKUP($S$422,'TAR FIN'!$A$1:$O$88,15,0))</f>
        <v>0</v>
      </c>
      <c r="W422" s="6">
        <f>IF(ISERROR(VLOOKUP($T$422,'TAR FIN'!$A$1:$O$88,15,0)),0,VLOOKUP($T$422,'TAR FIN'!$A$1:$O$88,15,0))</f>
        <v>269.91000000000003</v>
      </c>
      <c r="X422" s="6">
        <f>IF(ISERROR(VLOOKUP($U$422,'TAR FIN'!$A$1:$O$88,15,0)),0,VLOOKUP($U$422,'TAR FIN'!$A$1:$O$88,15,0))</f>
        <v>288.89999999999998</v>
      </c>
      <c r="Y422" s="6"/>
      <c r="Z422" s="6">
        <f ca="1">('TUSD BE'!$AM$48+'TUSD BF_350'!$AM$48+'TUSD CVA'!$AM$48)*1</f>
        <v>350.41122835255294</v>
      </c>
      <c r="AA422" s="6">
        <f ca="1">('TE BE'!$AB$39+'TE BF_350'!$AB$39+'TE CVA'!$AB$39)*1</f>
        <v>207.63042742196092</v>
      </c>
      <c r="AB422" s="6">
        <f>$K$422*$V$422</f>
        <v>0</v>
      </c>
      <c r="AC422" s="6">
        <f>$M$422*$W$422</f>
        <v>24339.134250000003</v>
      </c>
      <c r="AD422" s="6">
        <f>$O$422*$X$422</f>
        <v>26051.557499999995</v>
      </c>
      <c r="AE422" s="6">
        <f>$K$422*$Y$422</f>
        <v>0</v>
      </c>
      <c r="AF422" s="6">
        <f ca="1">$M$422*$Z$422</f>
        <v>31598.332516691462</v>
      </c>
      <c r="AG422" s="6">
        <f ca="1">$O$422*$AA$422</f>
        <v>18723.073792775325</v>
      </c>
    </row>
    <row r="423" spans="1:33" ht="11.25" customHeight="1" x14ac:dyDescent="0.25">
      <c r="A423" s="4" t="s">
        <v>27</v>
      </c>
      <c r="B423" s="4" t="s">
        <v>36</v>
      </c>
      <c r="C423" s="4" t="s">
        <v>23</v>
      </c>
      <c r="D423" s="4" t="s">
        <v>37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44501</v>
      </c>
      <c r="J423" s="6">
        <v>0</v>
      </c>
      <c r="K423" s="6">
        <v>0</v>
      </c>
      <c r="L423" s="6">
        <v>0.64300000000000002</v>
      </c>
      <c r="M423" s="6">
        <v>0.64300000000000002</v>
      </c>
      <c r="N423" s="6">
        <v>0.64300000000000002</v>
      </c>
      <c r="O423" s="6">
        <v>0.64300000000000002</v>
      </c>
      <c r="P423" s="6">
        <v>6</v>
      </c>
      <c r="Q423" s="4" t="s">
        <v>26</v>
      </c>
      <c r="R423" s="4">
        <v>0</v>
      </c>
      <c r="S423" s="6">
        <v>0</v>
      </c>
      <c r="T423" s="6">
        <v>65</v>
      </c>
      <c r="U423" s="6">
        <v>25</v>
      </c>
      <c r="V423" s="6">
        <f>IF(ISERROR(VLOOKUP($S$423,'TAR FIN'!$A$1:$O$88,15,0)),0,VLOOKUP($S$423,'TAR FIN'!$A$1:$O$88,15,0))</f>
        <v>0</v>
      </c>
      <c r="W423" s="6">
        <f>IF(ISERROR(VLOOKUP($T$423,'TAR FIN'!$A$1:$O$88,15,0)),0,VLOOKUP($T$423,'TAR FIN'!$A$1:$O$88,15,0))</f>
        <v>269.91000000000003</v>
      </c>
      <c r="X423" s="6">
        <f>IF(ISERROR(VLOOKUP($U$423,'TAR FIN'!$A$1:$O$88,15,0)),0,VLOOKUP($U$423,'TAR FIN'!$A$1:$O$88,15,0))</f>
        <v>288.89999999999998</v>
      </c>
      <c r="Y423" s="6"/>
      <c r="Z423" s="6">
        <f ca="1">('TUSD BE'!$AM$48+'TUSD BF_350'!$AM$48+'TUSD CVA'!$AM$48)*1</f>
        <v>350.41122835255294</v>
      </c>
      <c r="AA423" s="6">
        <f ca="1">('TE BE'!$AB$39+'TE BF_350'!$AB$39+'TE CVA'!$AB$39)*1</f>
        <v>207.63042742196092</v>
      </c>
      <c r="AB423" s="6">
        <f>$K$423*$V$423</f>
        <v>0</v>
      </c>
      <c r="AC423" s="6">
        <f>$M$423*$W$423</f>
        <v>173.55213000000003</v>
      </c>
      <c r="AD423" s="6">
        <f>$O$423*$X$423</f>
        <v>185.7627</v>
      </c>
      <c r="AE423" s="6">
        <f>$K$423*$Y$423</f>
        <v>0</v>
      </c>
      <c r="AF423" s="6">
        <f ca="1">$M$423*$Z$423</f>
        <v>225.31441983069155</v>
      </c>
      <c r="AG423" s="6">
        <f ca="1">$O$423*$AA$423</f>
        <v>133.50636483232088</v>
      </c>
    </row>
    <row r="424" spans="1:33" ht="11.25" customHeight="1" x14ac:dyDescent="0.25">
      <c r="A424" s="4" t="s">
        <v>21</v>
      </c>
      <c r="B424" s="4" t="s">
        <v>36</v>
      </c>
      <c r="C424" s="4" t="s">
        <v>23</v>
      </c>
      <c r="D424" s="4" t="s">
        <v>37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98.649000000000001</v>
      </c>
      <c r="M424" s="6">
        <v>98.649000000000001</v>
      </c>
      <c r="N424" s="6">
        <v>98.649000000000001</v>
      </c>
      <c r="O424" s="6">
        <v>98.649000000000001</v>
      </c>
      <c r="P424" s="6">
        <v>209</v>
      </c>
      <c r="Q424" s="4" t="s">
        <v>26</v>
      </c>
      <c r="R424" s="4">
        <v>0</v>
      </c>
      <c r="S424" s="6">
        <v>0</v>
      </c>
      <c r="T424" s="6">
        <v>65</v>
      </c>
      <c r="U424" s="6">
        <v>25</v>
      </c>
      <c r="V424" s="6">
        <f>IF(ISERROR(VLOOKUP($S$424,'TAR FIN'!$A$1:$O$88,15,0)),0,VLOOKUP($S$424,'TAR FIN'!$A$1:$O$88,15,0))</f>
        <v>0</v>
      </c>
      <c r="W424" s="6">
        <f>IF(ISERROR(VLOOKUP($T$424,'TAR FIN'!$A$1:$O$88,15,0)),0,VLOOKUP($T$424,'TAR FIN'!$A$1:$O$88,15,0))</f>
        <v>269.91000000000003</v>
      </c>
      <c r="X424" s="6">
        <f>IF(ISERROR(VLOOKUP($U$424,'TAR FIN'!$A$1:$O$88,15,0)),0,VLOOKUP($U$424,'TAR FIN'!$A$1:$O$88,15,0))</f>
        <v>288.89999999999998</v>
      </c>
      <c r="Y424" s="6"/>
      <c r="Z424" s="6">
        <f ca="1">('TUSD BE'!$AM$48+'TUSD BF_350'!$AM$48+'TUSD CVA'!$AM$48)*1</f>
        <v>350.41122835255294</v>
      </c>
      <c r="AA424" s="6">
        <f ca="1">('TE BE'!$AB$39+'TE BF_350'!$AB$39+'TE CVA'!$AB$39)*1</f>
        <v>207.63042742196092</v>
      </c>
      <c r="AB424" s="6">
        <f>$K$424*$V$424</f>
        <v>0</v>
      </c>
      <c r="AC424" s="6">
        <f>$M$424*$W$424</f>
        <v>26626.351590000002</v>
      </c>
      <c r="AD424" s="6">
        <f>$O$424*$X$424</f>
        <v>28499.696099999997</v>
      </c>
      <c r="AE424" s="6">
        <f>$K$424*$Y$424</f>
        <v>0</v>
      </c>
      <c r="AF424" s="6">
        <f ca="1">$M$424*$Z$424</f>
        <v>34567.717265750995</v>
      </c>
      <c r="AG424" s="6">
        <f ca="1">$O$424*$AA$424</f>
        <v>20482.534034749024</v>
      </c>
    </row>
    <row r="425" spans="1:33" ht="11.25" customHeight="1" x14ac:dyDescent="0.25">
      <c r="A425" s="4" t="s">
        <v>27</v>
      </c>
      <c r="B425" s="4" t="s">
        <v>36</v>
      </c>
      <c r="C425" s="4" t="s">
        <v>23</v>
      </c>
      <c r="D425" s="4" t="s">
        <v>37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44531</v>
      </c>
      <c r="J425" s="6">
        <v>0</v>
      </c>
      <c r="K425" s="6">
        <v>0</v>
      </c>
      <c r="L425" s="6">
        <v>1.7350000000000001</v>
      </c>
      <c r="M425" s="6">
        <v>1.7350000000000001</v>
      </c>
      <c r="N425" s="6">
        <v>1.7350000000000001</v>
      </c>
      <c r="O425" s="6">
        <v>1.7350000000000001</v>
      </c>
      <c r="P425" s="6">
        <v>7</v>
      </c>
      <c r="Q425" s="4" t="s">
        <v>26</v>
      </c>
      <c r="R425" s="4">
        <v>0</v>
      </c>
      <c r="S425" s="6">
        <v>0</v>
      </c>
      <c r="T425" s="6">
        <v>65</v>
      </c>
      <c r="U425" s="6">
        <v>25</v>
      </c>
      <c r="V425" s="6">
        <f>IF(ISERROR(VLOOKUP($S$425,'TAR FIN'!$A$1:$O$88,15,0)),0,VLOOKUP($S$425,'TAR FIN'!$A$1:$O$88,15,0))</f>
        <v>0</v>
      </c>
      <c r="W425" s="6">
        <f>IF(ISERROR(VLOOKUP($T$425,'TAR FIN'!$A$1:$O$88,15,0)),0,VLOOKUP($T$425,'TAR FIN'!$A$1:$O$88,15,0))</f>
        <v>269.91000000000003</v>
      </c>
      <c r="X425" s="6">
        <f>IF(ISERROR(VLOOKUP($U$425,'TAR FIN'!$A$1:$O$88,15,0)),0,VLOOKUP($U$425,'TAR FIN'!$A$1:$O$88,15,0))</f>
        <v>288.89999999999998</v>
      </c>
      <c r="Y425" s="6"/>
      <c r="Z425" s="6">
        <f ca="1">('TUSD BE'!$AM$48+'TUSD BF_350'!$AM$48+'TUSD CVA'!$AM$48)*1</f>
        <v>350.41122835255294</v>
      </c>
      <c r="AA425" s="6">
        <f ca="1">('TE BE'!$AB$39+'TE BF_350'!$AB$39+'TE CVA'!$AB$39)*1</f>
        <v>207.63042742196092</v>
      </c>
      <c r="AB425" s="6">
        <f>$K$425*$V$425</f>
        <v>0</v>
      </c>
      <c r="AC425" s="6">
        <f>$M$425*$W$425</f>
        <v>468.29385000000008</v>
      </c>
      <c r="AD425" s="6">
        <f>$O$425*$X$425</f>
        <v>501.24149999999997</v>
      </c>
      <c r="AE425" s="6">
        <f>$K$425*$Y$425</f>
        <v>0</v>
      </c>
      <c r="AF425" s="6">
        <f ca="1">$M$425*$Z$425</f>
        <v>607.96348119167942</v>
      </c>
      <c r="AG425" s="6">
        <f ca="1">$O$425*$AA$425</f>
        <v>360.23879157710223</v>
      </c>
    </row>
    <row r="426" spans="1:33" ht="11.25" customHeight="1" x14ac:dyDescent="0.25">
      <c r="A426" s="4" t="s">
        <v>21</v>
      </c>
      <c r="B426" s="4" t="s">
        <v>36</v>
      </c>
      <c r="C426" s="4" t="s">
        <v>23</v>
      </c>
      <c r="D426" s="4" t="s">
        <v>37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92.94</v>
      </c>
      <c r="M426" s="6">
        <v>92.94</v>
      </c>
      <c r="N426" s="6">
        <v>92.94</v>
      </c>
      <c r="O426" s="6">
        <v>92.94</v>
      </c>
      <c r="P426" s="6">
        <v>213</v>
      </c>
      <c r="Q426" s="4" t="s">
        <v>26</v>
      </c>
      <c r="R426" s="4">
        <v>0</v>
      </c>
      <c r="S426" s="6">
        <v>0</v>
      </c>
      <c r="T426" s="6">
        <v>65</v>
      </c>
      <c r="U426" s="6">
        <v>25</v>
      </c>
      <c r="V426" s="6">
        <f>IF(ISERROR(VLOOKUP($S$426,'TAR FIN'!$A$1:$O$88,15,0)),0,VLOOKUP($S$426,'TAR FIN'!$A$1:$O$88,15,0))</f>
        <v>0</v>
      </c>
      <c r="W426" s="6">
        <f>IF(ISERROR(VLOOKUP($T$426,'TAR FIN'!$A$1:$O$88,15,0)),0,VLOOKUP($T$426,'TAR FIN'!$A$1:$O$88,15,0))</f>
        <v>269.91000000000003</v>
      </c>
      <c r="X426" s="6">
        <f>IF(ISERROR(VLOOKUP($U$426,'TAR FIN'!$A$1:$O$88,15,0)),0,VLOOKUP($U$426,'TAR FIN'!$A$1:$O$88,15,0))</f>
        <v>288.89999999999998</v>
      </c>
      <c r="Y426" s="6"/>
      <c r="Z426" s="6">
        <f ca="1">('TUSD BE'!$AM$48+'TUSD BF_350'!$AM$48+'TUSD CVA'!$AM$48)*1</f>
        <v>350.41122835255294</v>
      </c>
      <c r="AA426" s="6">
        <f ca="1">('TE BE'!$AB$39+'TE BF_350'!$AB$39+'TE CVA'!$AB$39)*1</f>
        <v>207.63042742196092</v>
      </c>
      <c r="AB426" s="6">
        <f>$K$426*$V$426</f>
        <v>0</v>
      </c>
      <c r="AC426" s="6">
        <f>$M$426*$W$426</f>
        <v>25085.435400000002</v>
      </c>
      <c r="AD426" s="6">
        <f>$O$426*$X$426</f>
        <v>26850.365999999998</v>
      </c>
      <c r="AE426" s="6">
        <f>$K$426*$Y$426</f>
        <v>0</v>
      </c>
      <c r="AF426" s="6">
        <f ca="1">$M$426*$Z$426</f>
        <v>32567.21956308627</v>
      </c>
      <c r="AG426" s="6">
        <f ca="1">$O$426*$AA$426</f>
        <v>19297.171924597049</v>
      </c>
    </row>
    <row r="427" spans="1:33" ht="11.25" customHeight="1" x14ac:dyDescent="0.25">
      <c r="A427" s="4" t="s">
        <v>27</v>
      </c>
      <c r="B427" s="4" t="s">
        <v>36</v>
      </c>
      <c r="C427" s="4" t="s">
        <v>23</v>
      </c>
      <c r="D427" s="4" t="s">
        <v>37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">
        <v>0</v>
      </c>
      <c r="L427" s="6">
        <v>0.7</v>
      </c>
      <c r="M427" s="6">
        <v>0.7</v>
      </c>
      <c r="N427" s="6">
        <v>0.7</v>
      </c>
      <c r="O427" s="6">
        <v>0.7</v>
      </c>
      <c r="P427" s="6">
        <v>7</v>
      </c>
      <c r="Q427" s="4" t="s">
        <v>26</v>
      </c>
      <c r="R427" s="4">
        <v>0</v>
      </c>
      <c r="S427" s="6">
        <v>0</v>
      </c>
      <c r="T427" s="6">
        <v>65</v>
      </c>
      <c r="U427" s="6">
        <v>25</v>
      </c>
      <c r="V427" s="6">
        <f>IF(ISERROR(VLOOKUP($S$427,'TAR FIN'!$A$1:$O$88,15,0)),0,VLOOKUP($S$427,'TAR FIN'!$A$1:$O$88,15,0))</f>
        <v>0</v>
      </c>
      <c r="W427" s="6">
        <f>IF(ISERROR(VLOOKUP($T$427,'TAR FIN'!$A$1:$O$88,15,0)),0,VLOOKUP($T$427,'TAR FIN'!$A$1:$O$88,15,0))</f>
        <v>269.91000000000003</v>
      </c>
      <c r="X427" s="6">
        <f>IF(ISERROR(VLOOKUP($U$427,'TAR FIN'!$A$1:$O$88,15,0)),0,VLOOKUP($U$427,'TAR FIN'!$A$1:$O$88,15,0))</f>
        <v>288.89999999999998</v>
      </c>
      <c r="Y427" s="6"/>
      <c r="Z427" s="6">
        <f ca="1">('TUSD BE'!$AM$48+'TUSD BF_350'!$AM$48+'TUSD CVA'!$AM$48)*1</f>
        <v>350.41122835255294</v>
      </c>
      <c r="AA427" s="6">
        <f ca="1">('TE BE'!$AB$39+'TE BF_350'!$AB$39+'TE CVA'!$AB$39)*1</f>
        <v>207.63042742196092</v>
      </c>
      <c r="AB427" s="6">
        <f>$K$427*$V$427</f>
        <v>0</v>
      </c>
      <c r="AC427" s="6">
        <f>$M$427*$W$427</f>
        <v>188.93700000000001</v>
      </c>
      <c r="AD427" s="6">
        <f>$O$427*$X$427</f>
        <v>202.22999999999996</v>
      </c>
      <c r="AE427" s="6">
        <f>$K$427*$Y$427</f>
        <v>0</v>
      </c>
      <c r="AF427" s="6">
        <f ca="1">$M$427*$Z$427</f>
        <v>245.28785984678703</v>
      </c>
      <c r="AG427" s="6">
        <f ca="1">$O$427*$AA$427</f>
        <v>145.34129919537264</v>
      </c>
    </row>
    <row r="428" spans="1:33" ht="11.25" customHeight="1" x14ac:dyDescent="0.25">
      <c r="A428" s="4" t="s">
        <v>21</v>
      </c>
      <c r="B428" s="4" t="s">
        <v>36</v>
      </c>
      <c r="C428" s="4" t="s">
        <v>23</v>
      </c>
      <c r="D428" s="4" t="s">
        <v>37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">
        <v>0</v>
      </c>
      <c r="L428" s="6">
        <v>99.83</v>
      </c>
      <c r="M428" s="6">
        <v>99.83</v>
      </c>
      <c r="N428" s="6">
        <v>99.83</v>
      </c>
      <c r="O428" s="6">
        <v>99.83</v>
      </c>
      <c r="P428" s="6">
        <v>216</v>
      </c>
      <c r="Q428" s="4" t="s">
        <v>26</v>
      </c>
      <c r="R428" s="4">
        <v>0</v>
      </c>
      <c r="S428" s="6">
        <v>0</v>
      </c>
      <c r="T428" s="6">
        <v>65</v>
      </c>
      <c r="U428" s="6">
        <v>25</v>
      </c>
      <c r="V428" s="6">
        <f>IF(ISERROR(VLOOKUP($S$428,'TAR FIN'!$A$1:$O$88,15,0)),0,VLOOKUP($S$428,'TAR FIN'!$A$1:$O$88,15,0))</f>
        <v>0</v>
      </c>
      <c r="W428" s="6">
        <f>IF(ISERROR(VLOOKUP($T$428,'TAR FIN'!$A$1:$O$88,15,0)),0,VLOOKUP($T$428,'TAR FIN'!$A$1:$O$88,15,0))</f>
        <v>269.91000000000003</v>
      </c>
      <c r="X428" s="6">
        <f>IF(ISERROR(VLOOKUP($U$428,'TAR FIN'!$A$1:$O$88,15,0)),0,VLOOKUP($U$428,'TAR FIN'!$A$1:$O$88,15,0))</f>
        <v>288.89999999999998</v>
      </c>
      <c r="Y428" s="6"/>
      <c r="Z428" s="6">
        <f ca="1">('TUSD BE'!$AM$48+'TUSD BF_350'!$AM$48+'TUSD CVA'!$AM$48)*1</f>
        <v>350.41122835255294</v>
      </c>
      <c r="AA428" s="6">
        <f ca="1">('TE BE'!$AB$39+'TE BF_350'!$AB$39+'TE CVA'!$AB$39)*1</f>
        <v>207.63042742196092</v>
      </c>
      <c r="AB428" s="6">
        <f>$K$428*$V$428</f>
        <v>0</v>
      </c>
      <c r="AC428" s="6">
        <f>$M$428*$W$428</f>
        <v>26945.115300000001</v>
      </c>
      <c r="AD428" s="6">
        <f>$O$428*$X$428</f>
        <v>28840.886999999999</v>
      </c>
      <c r="AE428" s="6">
        <f>$K$428*$Y$428</f>
        <v>0</v>
      </c>
      <c r="AF428" s="6">
        <f ca="1">$M$428*$Z$428</f>
        <v>34981.552926435361</v>
      </c>
      <c r="AG428" s="6">
        <f ca="1">$O$428*$AA$428</f>
        <v>20727.74556953436</v>
      </c>
    </row>
    <row r="429" spans="1:33" ht="11.25" customHeight="1" x14ac:dyDescent="0.25">
      <c r="A429" s="4" t="s">
        <v>27</v>
      </c>
      <c r="B429" s="4" t="s">
        <v>36</v>
      </c>
      <c r="C429" s="4" t="s">
        <v>23</v>
      </c>
      <c r="D429" s="4" t="s">
        <v>37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44593</v>
      </c>
      <c r="J429" s="6">
        <v>0</v>
      </c>
      <c r="K429" s="6">
        <v>0</v>
      </c>
      <c r="L429" s="6">
        <v>1.284</v>
      </c>
      <c r="M429" s="6">
        <v>1.284</v>
      </c>
      <c r="N429" s="6">
        <v>1.284</v>
      </c>
      <c r="O429" s="6">
        <v>1.284</v>
      </c>
      <c r="P429" s="6">
        <v>8</v>
      </c>
      <c r="Q429" s="4" t="s">
        <v>26</v>
      </c>
      <c r="R429" s="4">
        <v>0</v>
      </c>
      <c r="S429" s="6">
        <v>0</v>
      </c>
      <c r="T429" s="6">
        <v>65</v>
      </c>
      <c r="U429" s="6">
        <v>25</v>
      </c>
      <c r="V429" s="6">
        <f>IF(ISERROR(VLOOKUP($S$429,'TAR FIN'!$A$1:$O$88,15,0)),0,VLOOKUP($S$429,'TAR FIN'!$A$1:$O$88,15,0))</f>
        <v>0</v>
      </c>
      <c r="W429" s="6">
        <f>IF(ISERROR(VLOOKUP($T$429,'TAR FIN'!$A$1:$O$88,15,0)),0,VLOOKUP($T$429,'TAR FIN'!$A$1:$O$88,15,0))</f>
        <v>269.91000000000003</v>
      </c>
      <c r="X429" s="6">
        <f>IF(ISERROR(VLOOKUP($U$429,'TAR FIN'!$A$1:$O$88,15,0)),0,VLOOKUP($U$429,'TAR FIN'!$A$1:$O$88,15,0))</f>
        <v>288.89999999999998</v>
      </c>
      <c r="Y429" s="6"/>
      <c r="Z429" s="6">
        <f ca="1">('TUSD BE'!$AM$48+'TUSD BF_350'!$AM$48+'TUSD CVA'!$AM$48)*1</f>
        <v>350.41122835255294</v>
      </c>
      <c r="AA429" s="6">
        <f ca="1">('TE BE'!$AB$39+'TE BF_350'!$AB$39+'TE CVA'!$AB$39)*1</f>
        <v>207.63042742196092</v>
      </c>
      <c r="AB429" s="6">
        <f>$K$429*$V$429</f>
        <v>0</v>
      </c>
      <c r="AC429" s="6">
        <f>$M$429*$W$429</f>
        <v>346.56444000000005</v>
      </c>
      <c r="AD429" s="6">
        <f>$O$429*$X$429</f>
        <v>370.94759999999997</v>
      </c>
      <c r="AE429" s="6">
        <f>$K$429*$Y$429</f>
        <v>0</v>
      </c>
      <c r="AF429" s="6">
        <f ca="1">$M$429*$Z$429</f>
        <v>449.92801720467799</v>
      </c>
      <c r="AG429" s="6">
        <f ca="1">$O$429*$AA$429</f>
        <v>266.59746880979782</v>
      </c>
    </row>
    <row r="430" spans="1:33" ht="11.25" customHeight="1" x14ac:dyDescent="0.25">
      <c r="A430" s="4" t="s">
        <v>21</v>
      </c>
      <c r="B430" s="4" t="s">
        <v>36</v>
      </c>
      <c r="C430" s="4" t="s">
        <v>23</v>
      </c>
      <c r="D430" s="4" t="s">
        <v>37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44621</v>
      </c>
      <c r="J430" s="6">
        <v>0</v>
      </c>
      <c r="K430" s="6">
        <v>0</v>
      </c>
      <c r="L430" s="6">
        <v>92.855000000000004</v>
      </c>
      <c r="M430" s="6">
        <v>92.855000000000004</v>
      </c>
      <c r="N430" s="6">
        <v>92.855000000000004</v>
      </c>
      <c r="O430" s="6">
        <v>92.855000000000004</v>
      </c>
      <c r="P430" s="6">
        <v>219</v>
      </c>
      <c r="Q430" s="4" t="s">
        <v>26</v>
      </c>
      <c r="R430" s="4">
        <v>0</v>
      </c>
      <c r="S430" s="6">
        <v>0</v>
      </c>
      <c r="T430" s="6">
        <v>65</v>
      </c>
      <c r="U430" s="6">
        <v>25</v>
      </c>
      <c r="V430" s="6">
        <f>IF(ISERROR(VLOOKUP($S$430,'TAR FIN'!$A$1:$O$88,15,0)),0,VLOOKUP($S$430,'TAR FIN'!$A$1:$O$88,15,0))</f>
        <v>0</v>
      </c>
      <c r="W430" s="6">
        <f>IF(ISERROR(VLOOKUP($T$430,'TAR FIN'!$A$1:$O$88,15,0)),0,VLOOKUP($T$430,'TAR FIN'!$A$1:$O$88,15,0))</f>
        <v>269.91000000000003</v>
      </c>
      <c r="X430" s="6">
        <f>IF(ISERROR(VLOOKUP($U$430,'TAR FIN'!$A$1:$O$88,15,0)),0,VLOOKUP($U$430,'TAR FIN'!$A$1:$O$88,15,0))</f>
        <v>288.89999999999998</v>
      </c>
      <c r="Y430" s="6"/>
      <c r="Z430" s="6">
        <f ca="1">('TUSD BE'!$AM$48+'TUSD BF_350'!$AM$48+'TUSD CVA'!$AM$48)*1</f>
        <v>350.41122835255294</v>
      </c>
      <c r="AA430" s="6">
        <f ca="1">('TE BE'!$AB$39+'TE BF_350'!$AB$39+'TE CVA'!$AB$39)*1</f>
        <v>207.63042742196092</v>
      </c>
      <c r="AB430" s="6">
        <f>$K$430*$V$430</f>
        <v>0</v>
      </c>
      <c r="AC430" s="6">
        <f>$M$430*$W$430</f>
        <v>25062.493050000005</v>
      </c>
      <c r="AD430" s="6">
        <f>$O$430*$X$430</f>
        <v>26825.809499999999</v>
      </c>
      <c r="AE430" s="6">
        <f>$K$430*$Y$430</f>
        <v>0</v>
      </c>
      <c r="AF430" s="6">
        <f ca="1">$M$430*$Z$430</f>
        <v>32537.434608676303</v>
      </c>
      <c r="AG430" s="6">
        <f ca="1">$O$430*$AA$430</f>
        <v>19279.523338266183</v>
      </c>
    </row>
    <row r="431" spans="1:33" ht="11.25" customHeight="1" x14ac:dyDescent="0.25">
      <c r="A431" s="4" t="s">
        <v>27</v>
      </c>
      <c r="B431" s="4" t="s">
        <v>36</v>
      </c>
      <c r="C431" s="4" t="s">
        <v>23</v>
      </c>
      <c r="D431" s="4" t="s">
        <v>37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44621</v>
      </c>
      <c r="J431" s="6">
        <v>0</v>
      </c>
      <c r="K431" s="6">
        <v>0</v>
      </c>
      <c r="L431" s="6">
        <v>6.6959999999999997</v>
      </c>
      <c r="M431" s="6">
        <v>6.6959999999999997</v>
      </c>
      <c r="N431" s="6">
        <v>6.6959999999999997</v>
      </c>
      <c r="O431" s="6">
        <v>6.6959999999999997</v>
      </c>
      <c r="P431" s="6">
        <v>10</v>
      </c>
      <c r="Q431" s="4" t="s">
        <v>26</v>
      </c>
      <c r="R431" s="4">
        <v>0</v>
      </c>
      <c r="S431" s="6">
        <v>0</v>
      </c>
      <c r="T431" s="6">
        <v>65</v>
      </c>
      <c r="U431" s="6">
        <v>25</v>
      </c>
      <c r="V431" s="6">
        <f>IF(ISERROR(VLOOKUP($S$431,'TAR FIN'!$A$1:$O$88,15,0)),0,VLOOKUP($S$431,'TAR FIN'!$A$1:$O$88,15,0))</f>
        <v>0</v>
      </c>
      <c r="W431" s="6">
        <f>IF(ISERROR(VLOOKUP($T$431,'TAR FIN'!$A$1:$O$88,15,0)),0,VLOOKUP($T$431,'TAR FIN'!$A$1:$O$88,15,0))</f>
        <v>269.91000000000003</v>
      </c>
      <c r="X431" s="6">
        <f>IF(ISERROR(VLOOKUP($U$431,'TAR FIN'!$A$1:$O$88,15,0)),0,VLOOKUP($U$431,'TAR FIN'!$A$1:$O$88,15,0))</f>
        <v>288.89999999999998</v>
      </c>
      <c r="Y431" s="6"/>
      <c r="Z431" s="6">
        <f ca="1">('TUSD BE'!$AM$48+'TUSD BF_350'!$AM$48+'TUSD CVA'!$AM$48)*1</f>
        <v>350.41122835255294</v>
      </c>
      <c r="AA431" s="6">
        <f ca="1">('TE BE'!$AB$39+'TE BF_350'!$AB$39+'TE CVA'!$AB$39)*1</f>
        <v>207.63042742196092</v>
      </c>
      <c r="AB431" s="6">
        <f>$K$431*$V$431</f>
        <v>0</v>
      </c>
      <c r="AC431" s="6">
        <f>$M$431*$W$431</f>
        <v>1807.31736</v>
      </c>
      <c r="AD431" s="6">
        <f>$O$431*$X$431</f>
        <v>1934.4743999999998</v>
      </c>
      <c r="AE431" s="6">
        <f>$K$431*$Y$431</f>
        <v>0</v>
      </c>
      <c r="AF431" s="6">
        <f ca="1">$M$431*$Z$431</f>
        <v>2346.3535850486942</v>
      </c>
      <c r="AG431" s="6">
        <f ca="1">$O$431*$AA$431</f>
        <v>1390.2933420174502</v>
      </c>
    </row>
    <row r="432" spans="1:33" ht="11.25" customHeight="1" x14ac:dyDescent="0.25">
      <c r="A432" s="4" t="s">
        <v>21</v>
      </c>
      <c r="B432" s="4" t="s">
        <v>36</v>
      </c>
      <c r="C432" s="4" t="s">
        <v>23</v>
      </c>
      <c r="D432" s="4" t="s">
        <v>37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44652</v>
      </c>
      <c r="J432" s="6">
        <v>0</v>
      </c>
      <c r="K432" s="6">
        <v>0</v>
      </c>
      <c r="L432" s="6">
        <v>79.927000000000007</v>
      </c>
      <c r="M432" s="6">
        <v>79.927000000000007</v>
      </c>
      <c r="N432" s="6">
        <v>79.927000000000007</v>
      </c>
      <c r="O432" s="6">
        <v>79.927000000000007</v>
      </c>
      <c r="P432" s="6">
        <v>221</v>
      </c>
      <c r="Q432" s="4" t="s">
        <v>26</v>
      </c>
      <c r="R432" s="4">
        <v>0</v>
      </c>
      <c r="S432" s="6">
        <v>0</v>
      </c>
      <c r="T432" s="6">
        <v>65</v>
      </c>
      <c r="U432" s="6">
        <v>25</v>
      </c>
      <c r="V432" s="6">
        <f>IF(ISERROR(VLOOKUP($S$432,'TAR FIN'!$A$1:$O$88,15,0)),0,VLOOKUP($S$432,'TAR FIN'!$A$1:$O$88,15,0))</f>
        <v>0</v>
      </c>
      <c r="W432" s="6">
        <f>IF(ISERROR(VLOOKUP($T$432,'TAR FIN'!$A$1:$O$88,15,0)),0,VLOOKUP($T$432,'TAR FIN'!$A$1:$O$88,15,0))</f>
        <v>269.91000000000003</v>
      </c>
      <c r="X432" s="6">
        <f>IF(ISERROR(VLOOKUP($U$432,'TAR FIN'!$A$1:$O$88,15,0)),0,VLOOKUP($U$432,'TAR FIN'!$A$1:$O$88,15,0))</f>
        <v>288.89999999999998</v>
      </c>
      <c r="Y432" s="6"/>
      <c r="Z432" s="6">
        <f ca="1">('TUSD BE'!$AM$48+'TUSD BF_350'!$AM$48+'TUSD CVA'!$AM$48)*1</f>
        <v>350.41122835255294</v>
      </c>
      <c r="AA432" s="6">
        <f ca="1">('TE BE'!$AB$39+'TE BF_350'!$AB$39+'TE CVA'!$AB$39)*1</f>
        <v>207.63042742196092</v>
      </c>
      <c r="AB432" s="6">
        <f>$K$432*$V$432</f>
        <v>0</v>
      </c>
      <c r="AC432" s="6">
        <f>$M$432*$W$432</f>
        <v>21573.096570000005</v>
      </c>
      <c r="AD432" s="6">
        <f>$O$432*$X$432</f>
        <v>23090.9103</v>
      </c>
      <c r="AE432" s="6">
        <f>$K$432*$Y$432</f>
        <v>0</v>
      </c>
      <c r="AF432" s="6">
        <f ca="1">$M$432*$Z$432</f>
        <v>28007.318248534502</v>
      </c>
      <c r="AG432" s="6">
        <f ca="1">$O$432*$AA$432</f>
        <v>16595.27717255507</v>
      </c>
    </row>
    <row r="433" spans="1:33" ht="11.25" customHeight="1" x14ac:dyDescent="0.25">
      <c r="A433" s="4" t="s">
        <v>27</v>
      </c>
      <c r="B433" s="4" t="s">
        <v>36</v>
      </c>
      <c r="C433" s="4" t="s">
        <v>23</v>
      </c>
      <c r="D433" s="4" t="s">
        <v>37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44652</v>
      </c>
      <c r="J433" s="6">
        <v>0</v>
      </c>
      <c r="K433" s="6">
        <v>0</v>
      </c>
      <c r="L433" s="6">
        <v>8.5050000000000008</v>
      </c>
      <c r="M433" s="6">
        <v>8.5050000000000008</v>
      </c>
      <c r="N433" s="6">
        <v>8.5050000000000008</v>
      </c>
      <c r="O433" s="6">
        <v>8.5050000000000008</v>
      </c>
      <c r="P433" s="6">
        <v>11</v>
      </c>
      <c r="Q433" s="4" t="s">
        <v>26</v>
      </c>
      <c r="R433" s="4">
        <v>0</v>
      </c>
      <c r="S433" s="6">
        <v>0</v>
      </c>
      <c r="T433" s="6">
        <v>65</v>
      </c>
      <c r="U433" s="6">
        <v>25</v>
      </c>
      <c r="V433" s="6">
        <f>IF(ISERROR(VLOOKUP($S$433,'TAR FIN'!$A$1:$O$88,15,0)),0,VLOOKUP($S$433,'TAR FIN'!$A$1:$O$88,15,0))</f>
        <v>0</v>
      </c>
      <c r="W433" s="6">
        <f>IF(ISERROR(VLOOKUP($T$433,'TAR FIN'!$A$1:$O$88,15,0)),0,VLOOKUP($T$433,'TAR FIN'!$A$1:$O$88,15,0))</f>
        <v>269.91000000000003</v>
      </c>
      <c r="X433" s="6">
        <f>IF(ISERROR(VLOOKUP($U$433,'TAR FIN'!$A$1:$O$88,15,0)),0,VLOOKUP($U$433,'TAR FIN'!$A$1:$O$88,15,0))</f>
        <v>288.89999999999998</v>
      </c>
      <c r="Y433" s="6"/>
      <c r="Z433" s="6">
        <f ca="1">('TUSD BE'!$AM$48+'TUSD BF_350'!$AM$48+'TUSD CVA'!$AM$48)*1</f>
        <v>350.41122835255294</v>
      </c>
      <c r="AA433" s="6">
        <f ca="1">('TE BE'!$AB$39+'TE BF_350'!$AB$39+'TE CVA'!$AB$39)*1</f>
        <v>207.63042742196092</v>
      </c>
      <c r="AB433" s="6">
        <f>$K$433*$V$433</f>
        <v>0</v>
      </c>
      <c r="AC433" s="6">
        <f>$M$433*$W$433</f>
        <v>2295.5845500000005</v>
      </c>
      <c r="AD433" s="6">
        <f>$O$433*$X$433</f>
        <v>2457.0945000000002</v>
      </c>
      <c r="AE433" s="6">
        <f>$K$433*$Y$433</f>
        <v>0</v>
      </c>
      <c r="AF433" s="6">
        <f ca="1">$M$433*$Z$433</f>
        <v>2980.2474971384631</v>
      </c>
      <c r="AG433" s="6">
        <f ca="1">$O$433*$AA$433</f>
        <v>1765.8967852237777</v>
      </c>
    </row>
    <row r="434" spans="1:33" ht="11.25" customHeight="1" x14ac:dyDescent="0.25">
      <c r="A434" s="4" t="s">
        <v>21</v>
      </c>
      <c r="B434" s="4" t="s">
        <v>36</v>
      </c>
      <c r="C434" s="4" t="s">
        <v>23</v>
      </c>
      <c r="D434" s="4" t="s">
        <v>37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44682</v>
      </c>
      <c r="J434" s="6">
        <v>0</v>
      </c>
      <c r="K434" s="6">
        <v>0</v>
      </c>
      <c r="L434" s="6">
        <v>83.653999999999996</v>
      </c>
      <c r="M434" s="6">
        <v>83.653999999999996</v>
      </c>
      <c r="N434" s="6">
        <v>83.653999999999996</v>
      </c>
      <c r="O434" s="6">
        <v>83.653999999999996</v>
      </c>
      <c r="P434" s="6">
        <v>222</v>
      </c>
      <c r="Q434" s="4" t="s">
        <v>26</v>
      </c>
      <c r="R434" s="4">
        <v>0</v>
      </c>
      <c r="S434" s="6">
        <v>0</v>
      </c>
      <c r="T434" s="6">
        <v>65</v>
      </c>
      <c r="U434" s="6">
        <v>25</v>
      </c>
      <c r="V434" s="6">
        <f>IF(ISERROR(VLOOKUP($S$434,'TAR FIN'!$A$1:$O$88,15,0)),0,VLOOKUP($S$434,'TAR FIN'!$A$1:$O$88,15,0))</f>
        <v>0</v>
      </c>
      <c r="W434" s="6">
        <f>IF(ISERROR(VLOOKUP($T$434,'TAR FIN'!$A$1:$O$88,15,0)),0,VLOOKUP($T$434,'TAR FIN'!$A$1:$O$88,15,0))</f>
        <v>269.91000000000003</v>
      </c>
      <c r="X434" s="6">
        <f>IF(ISERROR(VLOOKUP($U$434,'TAR FIN'!$A$1:$O$88,15,0)),0,VLOOKUP($U$434,'TAR FIN'!$A$1:$O$88,15,0))</f>
        <v>288.89999999999998</v>
      </c>
      <c r="Y434" s="6"/>
      <c r="Z434" s="6">
        <f ca="1">('TUSD BE'!$AM$48+'TUSD BF_350'!$AM$48+'TUSD CVA'!$AM$48)*1</f>
        <v>350.41122835255294</v>
      </c>
      <c r="AA434" s="6">
        <f ca="1">('TE BE'!$AB$39+'TE BF_350'!$AB$39+'TE CVA'!$AB$39)*1</f>
        <v>207.63042742196092</v>
      </c>
      <c r="AB434" s="6">
        <f>$K$434*$V$434</f>
        <v>0</v>
      </c>
      <c r="AC434" s="6">
        <f>$M$434*$W$434</f>
        <v>22579.05114</v>
      </c>
      <c r="AD434" s="6">
        <f>$O$434*$X$434</f>
        <v>24167.640599999999</v>
      </c>
      <c r="AE434" s="6">
        <f>$K$434*$Y$434</f>
        <v>0</v>
      </c>
      <c r="AF434" s="6">
        <f ca="1">$M$434*$Z$434</f>
        <v>29313.300896604462</v>
      </c>
      <c r="AG434" s="6">
        <f ca="1">$O$434*$AA$434</f>
        <v>17369.115775556718</v>
      </c>
    </row>
    <row r="435" spans="1:33" ht="11.25" customHeight="1" x14ac:dyDescent="0.25">
      <c r="A435" s="4" t="s">
        <v>27</v>
      </c>
      <c r="B435" s="4" t="s">
        <v>36</v>
      </c>
      <c r="C435" s="4" t="s">
        <v>23</v>
      </c>
      <c r="D435" s="4" t="s">
        <v>37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44682</v>
      </c>
      <c r="J435" s="6">
        <v>0</v>
      </c>
      <c r="K435" s="6">
        <v>0</v>
      </c>
      <c r="L435" s="6">
        <v>8.6859999999999999</v>
      </c>
      <c r="M435" s="6">
        <v>8.6859999999999999</v>
      </c>
      <c r="N435" s="6">
        <v>8.6859999999999999</v>
      </c>
      <c r="O435" s="6">
        <v>8.6859999999999999</v>
      </c>
      <c r="P435" s="6">
        <v>11</v>
      </c>
      <c r="Q435" s="4" t="s">
        <v>26</v>
      </c>
      <c r="R435" s="4">
        <v>0</v>
      </c>
      <c r="S435" s="6">
        <v>0</v>
      </c>
      <c r="T435" s="6">
        <v>65</v>
      </c>
      <c r="U435" s="6">
        <v>25</v>
      </c>
      <c r="V435" s="6">
        <f>IF(ISERROR(VLOOKUP($S$435,'TAR FIN'!$A$1:$O$88,15,0)),0,VLOOKUP($S$435,'TAR FIN'!$A$1:$O$88,15,0))</f>
        <v>0</v>
      </c>
      <c r="W435" s="6">
        <f>IF(ISERROR(VLOOKUP($T$435,'TAR FIN'!$A$1:$O$88,15,0)),0,VLOOKUP($T$435,'TAR FIN'!$A$1:$O$88,15,0))</f>
        <v>269.91000000000003</v>
      </c>
      <c r="X435" s="6">
        <f>IF(ISERROR(VLOOKUP($U$435,'TAR FIN'!$A$1:$O$88,15,0)),0,VLOOKUP($U$435,'TAR FIN'!$A$1:$O$88,15,0))</f>
        <v>288.89999999999998</v>
      </c>
      <c r="Y435" s="6"/>
      <c r="Z435" s="6">
        <f ca="1">('TUSD BE'!$AM$48+'TUSD BF_350'!$AM$48+'TUSD CVA'!$AM$48)*1</f>
        <v>350.41122835255294</v>
      </c>
      <c r="AA435" s="6">
        <f ca="1">('TE BE'!$AB$39+'TE BF_350'!$AB$39+'TE CVA'!$AB$39)*1</f>
        <v>207.63042742196092</v>
      </c>
      <c r="AB435" s="6">
        <f>$K$435*$V$435</f>
        <v>0</v>
      </c>
      <c r="AC435" s="6">
        <f>$M$435*$W$435</f>
        <v>2344.4382600000004</v>
      </c>
      <c r="AD435" s="6">
        <f>$O$435*$X$435</f>
        <v>2509.3853999999997</v>
      </c>
      <c r="AE435" s="6">
        <f>$K$435*$Y$435</f>
        <v>0</v>
      </c>
      <c r="AF435" s="6">
        <f ca="1">$M$435*$Z$435</f>
        <v>3043.6719294702748</v>
      </c>
      <c r="AG435" s="6">
        <f ca="1">$O$435*$AA$435</f>
        <v>1803.4778925871526</v>
      </c>
    </row>
    <row r="436" spans="1:33" ht="11.25" customHeight="1" x14ac:dyDescent="0.25">
      <c r="A436" s="4" t="s">
        <v>21</v>
      </c>
      <c r="B436" s="4" t="s">
        <v>36</v>
      </c>
      <c r="C436" s="4" t="s">
        <v>23</v>
      </c>
      <c r="D436" s="4" t="s">
        <v>37</v>
      </c>
      <c r="E436" s="4" t="s">
        <v>25</v>
      </c>
      <c r="F436" s="4" t="s">
        <v>25</v>
      </c>
      <c r="G436" s="4" t="s">
        <v>25</v>
      </c>
      <c r="H436" s="4" t="s">
        <v>25</v>
      </c>
      <c r="I436" s="5">
        <v>44713</v>
      </c>
      <c r="J436" s="6">
        <v>0</v>
      </c>
      <c r="K436" s="6">
        <v>0</v>
      </c>
      <c r="L436" s="6">
        <v>82.186999999999998</v>
      </c>
      <c r="M436" s="6">
        <v>82.186999999999998</v>
      </c>
      <c r="N436" s="6">
        <v>82.186999999999998</v>
      </c>
      <c r="O436" s="6">
        <v>82.186999999999998</v>
      </c>
      <c r="P436" s="6">
        <v>223</v>
      </c>
      <c r="Q436" s="4" t="s">
        <v>26</v>
      </c>
      <c r="R436" s="4">
        <v>0</v>
      </c>
      <c r="S436" s="6">
        <v>0</v>
      </c>
      <c r="T436" s="6">
        <v>65</v>
      </c>
      <c r="U436" s="6">
        <v>25</v>
      </c>
      <c r="V436" s="6">
        <f>IF(ISERROR(VLOOKUP($S$436,'TAR FIN'!$A$1:$O$88,15,0)),0,VLOOKUP($S$436,'TAR FIN'!$A$1:$O$88,15,0))</f>
        <v>0</v>
      </c>
      <c r="W436" s="6">
        <f>IF(ISERROR(VLOOKUP($T$436,'TAR FIN'!$A$1:$O$88,15,0)),0,VLOOKUP($T$436,'TAR FIN'!$A$1:$O$88,15,0))</f>
        <v>269.91000000000003</v>
      </c>
      <c r="X436" s="6">
        <f>IF(ISERROR(VLOOKUP($U$436,'TAR FIN'!$A$1:$O$88,15,0)),0,VLOOKUP($U$436,'TAR FIN'!$A$1:$O$88,15,0))</f>
        <v>288.89999999999998</v>
      </c>
      <c r="Y436" s="6"/>
      <c r="Z436" s="6">
        <f ca="1">('TUSD BE'!$AM$48+'TUSD BF_350'!$AM$48+'TUSD CVA'!$AM$48)*1</f>
        <v>350.41122835255294</v>
      </c>
      <c r="AA436" s="6">
        <f ca="1">('TE BE'!$AB$39+'TE BF_350'!$AB$39+'TE CVA'!$AB$39)*1</f>
        <v>207.63042742196092</v>
      </c>
      <c r="AB436" s="6">
        <f>$K$436*$V$436</f>
        <v>0</v>
      </c>
      <c r="AC436" s="6">
        <f>$M$436*$W$436</f>
        <v>22183.09317</v>
      </c>
      <c r="AD436" s="6">
        <f>$O$436*$X$436</f>
        <v>23743.824299999997</v>
      </c>
      <c r="AE436" s="6">
        <f>$K$436*$Y$436</f>
        <v>0</v>
      </c>
      <c r="AF436" s="6">
        <f ca="1">$M$436*$Z$436</f>
        <v>28799.247624611267</v>
      </c>
      <c r="AG436" s="6">
        <f ca="1">$O$436*$AA$436</f>
        <v>17064.521938528702</v>
      </c>
    </row>
    <row r="437" spans="1:33" ht="11.25" customHeight="1" x14ac:dyDescent="0.25">
      <c r="A437" s="4" t="s">
        <v>27</v>
      </c>
      <c r="B437" s="4" t="s">
        <v>36</v>
      </c>
      <c r="C437" s="4" t="s">
        <v>23</v>
      </c>
      <c r="D437" s="4" t="s">
        <v>37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44713</v>
      </c>
      <c r="J437" s="6">
        <v>0</v>
      </c>
      <c r="K437" s="6">
        <v>0</v>
      </c>
      <c r="L437" s="6">
        <v>10.351000000000001</v>
      </c>
      <c r="M437" s="6">
        <v>10.351000000000001</v>
      </c>
      <c r="N437" s="6">
        <v>10.351000000000001</v>
      </c>
      <c r="O437" s="6">
        <v>10.351000000000001</v>
      </c>
      <c r="P437" s="6">
        <v>11</v>
      </c>
      <c r="Q437" s="4" t="s">
        <v>26</v>
      </c>
      <c r="R437" s="4">
        <v>0</v>
      </c>
      <c r="S437" s="6">
        <v>0</v>
      </c>
      <c r="T437" s="6">
        <v>65</v>
      </c>
      <c r="U437" s="6">
        <v>25</v>
      </c>
      <c r="V437" s="6">
        <f>IF(ISERROR(VLOOKUP($S$437,'TAR FIN'!$A$1:$O$88,15,0)),0,VLOOKUP($S$437,'TAR FIN'!$A$1:$O$88,15,0))</f>
        <v>0</v>
      </c>
      <c r="W437" s="6">
        <f>IF(ISERROR(VLOOKUP($T$437,'TAR FIN'!$A$1:$O$88,15,0)),0,VLOOKUP($T$437,'TAR FIN'!$A$1:$O$88,15,0))</f>
        <v>269.91000000000003</v>
      </c>
      <c r="X437" s="6">
        <f>IF(ISERROR(VLOOKUP($U$437,'TAR FIN'!$A$1:$O$88,15,0)),0,VLOOKUP($U$437,'TAR FIN'!$A$1:$O$88,15,0))</f>
        <v>288.89999999999998</v>
      </c>
      <c r="Y437" s="6"/>
      <c r="Z437" s="6">
        <f ca="1">('TUSD BE'!$AM$48+'TUSD BF_350'!$AM$48+'TUSD CVA'!$AM$48)*1</f>
        <v>350.41122835255294</v>
      </c>
      <c r="AA437" s="6">
        <f ca="1">('TE BE'!$AB$39+'TE BF_350'!$AB$39+'TE CVA'!$AB$39)*1</f>
        <v>207.63042742196092</v>
      </c>
      <c r="AB437" s="6">
        <f>$K$437*$V$437</f>
        <v>0</v>
      </c>
      <c r="AC437" s="6">
        <f>$M$437*$W$437</f>
        <v>2793.8384100000003</v>
      </c>
      <c r="AD437" s="6">
        <f>$O$437*$X$437</f>
        <v>2990.4038999999998</v>
      </c>
      <c r="AE437" s="6">
        <f>$K$437*$Y$437</f>
        <v>0</v>
      </c>
      <c r="AF437" s="6">
        <f ca="1">$M$437*$Z$437</f>
        <v>3627.1066246772757</v>
      </c>
      <c r="AG437" s="6">
        <f ca="1">$O$437*$AA$437</f>
        <v>2149.1825542447177</v>
      </c>
    </row>
    <row r="438" spans="1:33" ht="11.25" customHeight="1" x14ac:dyDescent="0.25">
      <c r="A438" s="4" t="s">
        <v>55</v>
      </c>
      <c r="B438" s="4" t="s">
        <v>36</v>
      </c>
      <c r="C438" s="4" t="s">
        <v>23</v>
      </c>
      <c r="D438" s="4" t="s">
        <v>37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44743</v>
      </c>
      <c r="J438" s="6">
        <v>0</v>
      </c>
      <c r="K438" s="6">
        <v>0</v>
      </c>
      <c r="L438" s="6">
        <v>82.186999999999998</v>
      </c>
      <c r="M438" s="6">
        <v>82.186999999999998</v>
      </c>
      <c r="N438" s="6">
        <v>82.186999999999998</v>
      </c>
      <c r="O438" s="6">
        <v>82.186999999999998</v>
      </c>
      <c r="P438" s="6">
        <v>223</v>
      </c>
      <c r="Q438" s="4" t="s">
        <v>26</v>
      </c>
      <c r="R438" s="4">
        <v>0</v>
      </c>
      <c r="S438" s="6">
        <v>0</v>
      </c>
      <c r="T438" s="6">
        <v>65</v>
      </c>
      <c r="U438" s="6">
        <v>25</v>
      </c>
      <c r="V438" s="6">
        <f>IF(ISERROR(VLOOKUP($S$438,'TAR FIN'!$A$1:$O$88,15,0)),0,VLOOKUP($S$438,'TAR FIN'!$A$1:$O$88,15,0))</f>
        <v>0</v>
      </c>
      <c r="W438" s="6">
        <f>IF(ISERROR(VLOOKUP($T$438,'TAR FIN'!$A$1:$O$88,15,0)),0,VLOOKUP($T$438,'TAR FIN'!$A$1:$O$88,15,0))</f>
        <v>269.91000000000003</v>
      </c>
      <c r="X438" s="6">
        <f>IF(ISERROR(VLOOKUP($U$438,'TAR FIN'!$A$1:$O$88,15,0)),0,VLOOKUP($U$438,'TAR FIN'!$A$1:$O$88,15,0))</f>
        <v>288.89999999999998</v>
      </c>
      <c r="Y438" s="6"/>
      <c r="Z438" s="6">
        <f ca="1">('TUSD BE'!$AM$48+'TUSD BF_350'!$AM$48+'TUSD CVA'!$AM$48)*1</f>
        <v>350.41122835255294</v>
      </c>
      <c r="AA438" s="6">
        <f ca="1">('TE BE'!$AB$39+'TE BF_350'!$AB$39+'TE CVA'!$AB$39)*1</f>
        <v>207.63042742196092</v>
      </c>
      <c r="AB438" s="6">
        <f>$K$438*$V$438</f>
        <v>0</v>
      </c>
      <c r="AC438" s="6">
        <f>$M$438*$W$438</f>
        <v>22183.09317</v>
      </c>
      <c r="AD438" s="6">
        <f>$O$438*$X$438</f>
        <v>23743.824299999997</v>
      </c>
      <c r="AE438" s="6">
        <f>$K$438*$Y$438</f>
        <v>0</v>
      </c>
      <c r="AF438" s="6">
        <f ca="1">$M$438*$Z$438</f>
        <v>28799.247624611267</v>
      </c>
      <c r="AG438" s="6">
        <f ca="1">$O$438*$AA$438</f>
        <v>17064.521938528702</v>
      </c>
    </row>
    <row r="439" spans="1:33" ht="11.25" customHeight="1" x14ac:dyDescent="0.25">
      <c r="A439" s="4" t="s">
        <v>55</v>
      </c>
      <c r="B439" s="4" t="s">
        <v>36</v>
      </c>
      <c r="C439" s="4" t="s">
        <v>23</v>
      </c>
      <c r="D439" s="4" t="s">
        <v>37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44743</v>
      </c>
      <c r="J439" s="6">
        <v>0</v>
      </c>
      <c r="K439" s="6">
        <v>0</v>
      </c>
      <c r="L439" s="6">
        <v>10.351000000000001</v>
      </c>
      <c r="M439" s="6">
        <v>10.351000000000001</v>
      </c>
      <c r="N439" s="6">
        <v>10.351000000000001</v>
      </c>
      <c r="O439" s="6">
        <v>10.351000000000001</v>
      </c>
      <c r="P439" s="6">
        <v>11</v>
      </c>
      <c r="Q439" s="4" t="s">
        <v>26</v>
      </c>
      <c r="R439" s="4">
        <v>0</v>
      </c>
      <c r="S439" s="6">
        <v>0</v>
      </c>
      <c r="T439" s="6">
        <v>65</v>
      </c>
      <c r="U439" s="6">
        <v>25</v>
      </c>
      <c r="V439" s="6">
        <f>IF(ISERROR(VLOOKUP($S$439,'TAR FIN'!$A$1:$O$88,15,0)),0,VLOOKUP($S$439,'TAR FIN'!$A$1:$O$88,15,0))</f>
        <v>0</v>
      </c>
      <c r="W439" s="6">
        <f>IF(ISERROR(VLOOKUP($T$439,'TAR FIN'!$A$1:$O$88,15,0)),0,VLOOKUP($T$439,'TAR FIN'!$A$1:$O$88,15,0))</f>
        <v>269.91000000000003</v>
      </c>
      <c r="X439" s="6">
        <f>IF(ISERROR(VLOOKUP($U$439,'TAR FIN'!$A$1:$O$88,15,0)),0,VLOOKUP($U$439,'TAR FIN'!$A$1:$O$88,15,0))</f>
        <v>288.89999999999998</v>
      </c>
      <c r="Y439" s="6"/>
      <c r="Z439" s="6">
        <f ca="1">('TUSD BE'!$AM$48+'TUSD BF_350'!$AM$48+'TUSD CVA'!$AM$48)*1</f>
        <v>350.41122835255294</v>
      </c>
      <c r="AA439" s="6">
        <f ca="1">('TE BE'!$AB$39+'TE BF_350'!$AB$39+'TE CVA'!$AB$39)*1</f>
        <v>207.63042742196092</v>
      </c>
      <c r="AB439" s="6">
        <f>$K$439*$V$439</f>
        <v>0</v>
      </c>
      <c r="AC439" s="6">
        <f>$M$439*$W$439</f>
        <v>2793.8384100000003</v>
      </c>
      <c r="AD439" s="6">
        <f>$O$439*$X$439</f>
        <v>2990.4038999999998</v>
      </c>
      <c r="AE439" s="6">
        <f>$K$439*$Y$439</f>
        <v>0</v>
      </c>
      <c r="AF439" s="6">
        <f ca="1">$M$439*$Z$439</f>
        <v>3627.1066246772757</v>
      </c>
      <c r="AG439" s="6">
        <f ca="1">$O$439*$AA$439</f>
        <v>2149.1825542447177</v>
      </c>
    </row>
    <row r="440" spans="1:33" ht="11.25" customHeight="1" x14ac:dyDescent="0.25">
      <c r="A440" s="4" t="s">
        <v>21</v>
      </c>
      <c r="B440" s="4" t="s">
        <v>36</v>
      </c>
      <c r="C440" s="4" t="s">
        <v>23</v>
      </c>
      <c r="D440" s="4" t="s">
        <v>43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44409</v>
      </c>
      <c r="J440" s="6">
        <v>0</v>
      </c>
      <c r="K440" s="6">
        <v>0</v>
      </c>
      <c r="L440" s="6">
        <v>76.701999999999998</v>
      </c>
      <c r="M440" s="6">
        <v>76.701999999999998</v>
      </c>
      <c r="N440" s="6">
        <v>76.701999999999998</v>
      </c>
      <c r="O440" s="6">
        <v>76.701999999999998</v>
      </c>
      <c r="P440" s="6">
        <v>95</v>
      </c>
      <c r="Q440" s="4" t="s">
        <v>26</v>
      </c>
      <c r="R440" s="4">
        <v>0</v>
      </c>
      <c r="S440" s="6">
        <v>0</v>
      </c>
      <c r="T440" s="6">
        <v>65</v>
      </c>
      <c r="U440" s="6">
        <v>25</v>
      </c>
      <c r="V440" s="6">
        <f>IF(ISERROR(VLOOKUP($S$440,'TAR FIN'!$A$1:$O$88,15,0)),0,VLOOKUP($S$440,'TAR FIN'!$A$1:$O$88,15,0))</f>
        <v>0</v>
      </c>
      <c r="W440" s="6">
        <f>IF(ISERROR(VLOOKUP($T$440,'TAR FIN'!$A$1:$O$88,15,0)),0,VLOOKUP($T$440,'TAR FIN'!$A$1:$O$88,15,0))</f>
        <v>269.91000000000003</v>
      </c>
      <c r="X440" s="6">
        <f>IF(ISERROR(VLOOKUP($U$440,'TAR FIN'!$A$1:$O$88,15,0)),0,VLOOKUP($U$440,'TAR FIN'!$A$1:$O$88,15,0))</f>
        <v>288.89999999999998</v>
      </c>
      <c r="Y440" s="6"/>
      <c r="Z440" s="6">
        <f ca="1">('TUSD BE'!$AM$48+'TUSD BF_350'!$AM$48+'TUSD CVA'!$AM$48)*1</f>
        <v>350.41122835255294</v>
      </c>
      <c r="AA440" s="6">
        <f ca="1">('TE BE'!$AB$39+'TE BF_350'!$AB$39+'TE CVA'!$AB$39)*1</f>
        <v>207.63042742196092</v>
      </c>
      <c r="AB440" s="6">
        <f>$K$440*$V$440</f>
        <v>0</v>
      </c>
      <c r="AC440" s="6">
        <f>$M$440*$W$440</f>
        <v>20702.63682</v>
      </c>
      <c r="AD440" s="6">
        <f>$O$440*$X$440</f>
        <v>22159.207799999996</v>
      </c>
      <c r="AE440" s="6">
        <f>$K$440*$Y$440</f>
        <v>0</v>
      </c>
      <c r="AF440" s="6">
        <f ca="1">$M$440*$Z$440</f>
        <v>26877.242037097516</v>
      </c>
      <c r="AG440" s="6">
        <f ca="1">$O$440*$AA$440</f>
        <v>15925.669044119246</v>
      </c>
    </row>
    <row r="441" spans="1:33" ht="11.25" customHeight="1" x14ac:dyDescent="0.25">
      <c r="A441" s="4" t="s">
        <v>21</v>
      </c>
      <c r="B441" s="4" t="s">
        <v>36</v>
      </c>
      <c r="C441" s="4" t="s">
        <v>23</v>
      </c>
      <c r="D441" s="4" t="s">
        <v>43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44440</v>
      </c>
      <c r="J441" s="6">
        <v>0</v>
      </c>
      <c r="K441" s="6">
        <v>0</v>
      </c>
      <c r="L441" s="6">
        <v>76.453999999999994</v>
      </c>
      <c r="M441" s="6">
        <v>76.453999999999994</v>
      </c>
      <c r="N441" s="6">
        <v>76.453999999999994</v>
      </c>
      <c r="O441" s="6">
        <v>76.453999999999994</v>
      </c>
      <c r="P441" s="6">
        <v>95</v>
      </c>
      <c r="Q441" s="4" t="s">
        <v>26</v>
      </c>
      <c r="R441" s="4">
        <v>0</v>
      </c>
      <c r="S441" s="6">
        <v>0</v>
      </c>
      <c r="T441" s="6">
        <v>65</v>
      </c>
      <c r="U441" s="6">
        <v>25</v>
      </c>
      <c r="V441" s="6">
        <f>IF(ISERROR(VLOOKUP($S$441,'TAR FIN'!$A$1:$O$88,15,0)),0,VLOOKUP($S$441,'TAR FIN'!$A$1:$O$88,15,0))</f>
        <v>0</v>
      </c>
      <c r="W441" s="6">
        <f>IF(ISERROR(VLOOKUP($T$441,'TAR FIN'!$A$1:$O$88,15,0)),0,VLOOKUP($T$441,'TAR FIN'!$A$1:$O$88,15,0))</f>
        <v>269.91000000000003</v>
      </c>
      <c r="X441" s="6">
        <f>IF(ISERROR(VLOOKUP($U$441,'TAR FIN'!$A$1:$O$88,15,0)),0,VLOOKUP($U$441,'TAR FIN'!$A$1:$O$88,15,0))</f>
        <v>288.89999999999998</v>
      </c>
      <c r="Y441" s="6"/>
      <c r="Z441" s="6">
        <f ca="1">('TUSD BE'!$AM$48+'TUSD BF_350'!$AM$48+'TUSD CVA'!$AM$48)*1</f>
        <v>350.41122835255294</v>
      </c>
      <c r="AA441" s="6">
        <f ca="1">('TE BE'!$AB$39+'TE BF_350'!$AB$39+'TE CVA'!$AB$39)*1</f>
        <v>207.63042742196092</v>
      </c>
      <c r="AB441" s="6">
        <f>$K$441*$V$441</f>
        <v>0</v>
      </c>
      <c r="AC441" s="6">
        <f>$M$441*$W$441</f>
        <v>20635.699140000001</v>
      </c>
      <c r="AD441" s="6">
        <f>$O$441*$X$441</f>
        <v>22087.560599999997</v>
      </c>
      <c r="AE441" s="6">
        <f>$K$441*$Y$441</f>
        <v>0</v>
      </c>
      <c r="AF441" s="6">
        <f ca="1">$M$441*$Z$441</f>
        <v>26790.340052466079</v>
      </c>
      <c r="AG441" s="6">
        <f ca="1">$O$441*$AA$441</f>
        <v>15874.176698118599</v>
      </c>
    </row>
    <row r="442" spans="1:33" ht="11.25" customHeight="1" x14ac:dyDescent="0.25">
      <c r="A442" s="4" t="s">
        <v>21</v>
      </c>
      <c r="B442" s="4" t="s">
        <v>36</v>
      </c>
      <c r="C442" s="4" t="s">
        <v>23</v>
      </c>
      <c r="D442" s="4" t="s">
        <v>43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44470</v>
      </c>
      <c r="J442" s="6">
        <v>0</v>
      </c>
      <c r="K442" s="6">
        <v>0</v>
      </c>
      <c r="L442" s="6">
        <v>69.247</v>
      </c>
      <c r="M442" s="6">
        <v>69.247</v>
      </c>
      <c r="N442" s="6">
        <v>69.247</v>
      </c>
      <c r="O442" s="6">
        <v>69.247</v>
      </c>
      <c r="P442" s="6">
        <v>95</v>
      </c>
      <c r="Q442" s="4" t="s">
        <v>26</v>
      </c>
      <c r="R442" s="4">
        <v>0</v>
      </c>
      <c r="S442" s="6">
        <v>0</v>
      </c>
      <c r="T442" s="6">
        <v>65</v>
      </c>
      <c r="U442" s="6">
        <v>25</v>
      </c>
      <c r="V442" s="6">
        <f>IF(ISERROR(VLOOKUP($S$442,'TAR FIN'!$A$1:$O$88,15,0)),0,VLOOKUP($S$442,'TAR FIN'!$A$1:$O$88,15,0))</f>
        <v>0</v>
      </c>
      <c r="W442" s="6">
        <f>IF(ISERROR(VLOOKUP($T$442,'TAR FIN'!$A$1:$O$88,15,0)),0,VLOOKUP($T$442,'TAR FIN'!$A$1:$O$88,15,0))</f>
        <v>269.91000000000003</v>
      </c>
      <c r="X442" s="6">
        <f>IF(ISERROR(VLOOKUP($U$442,'TAR FIN'!$A$1:$O$88,15,0)),0,VLOOKUP($U$442,'TAR FIN'!$A$1:$O$88,15,0))</f>
        <v>288.89999999999998</v>
      </c>
      <c r="Y442" s="6"/>
      <c r="Z442" s="6">
        <f ca="1">('TUSD BE'!$AM$48+'TUSD BF_350'!$AM$48+'TUSD CVA'!$AM$48)*1</f>
        <v>350.41122835255294</v>
      </c>
      <c r="AA442" s="6">
        <f ca="1">('TE BE'!$AB$39+'TE BF_350'!$AB$39+'TE CVA'!$AB$39)*1</f>
        <v>207.63042742196092</v>
      </c>
      <c r="AB442" s="6">
        <f>$K$442*$V$442</f>
        <v>0</v>
      </c>
      <c r="AC442" s="6">
        <f>$M$442*$W$442</f>
        <v>18690.457770000001</v>
      </c>
      <c r="AD442" s="6">
        <f>$O$442*$X$442</f>
        <v>20005.458299999998</v>
      </c>
      <c r="AE442" s="6">
        <f>$K$442*$Y$442</f>
        <v>0</v>
      </c>
      <c r="AF442" s="6">
        <f ca="1">$M$442*$Z$442</f>
        <v>24264.926329729235</v>
      </c>
      <c r="AG442" s="6">
        <f ca="1">$O$442*$AA$442</f>
        <v>14377.784207688528</v>
      </c>
    </row>
    <row r="443" spans="1:33" ht="11.25" customHeight="1" x14ac:dyDescent="0.25">
      <c r="A443" s="4" t="s">
        <v>21</v>
      </c>
      <c r="B443" s="4" t="s">
        <v>36</v>
      </c>
      <c r="C443" s="4" t="s">
        <v>23</v>
      </c>
      <c r="D443" s="4" t="s">
        <v>43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44501</v>
      </c>
      <c r="J443" s="6">
        <v>0</v>
      </c>
      <c r="K443" s="6">
        <v>0</v>
      </c>
      <c r="L443" s="6">
        <v>90.073999999999998</v>
      </c>
      <c r="M443" s="6">
        <v>90.073999999999998</v>
      </c>
      <c r="N443" s="6">
        <v>90.073999999999998</v>
      </c>
      <c r="O443" s="6">
        <v>90.073999999999998</v>
      </c>
      <c r="P443" s="6">
        <v>96</v>
      </c>
      <c r="Q443" s="4" t="s">
        <v>26</v>
      </c>
      <c r="R443" s="4">
        <v>0</v>
      </c>
      <c r="S443" s="6">
        <v>0</v>
      </c>
      <c r="T443" s="6">
        <v>65</v>
      </c>
      <c r="U443" s="6">
        <v>25</v>
      </c>
      <c r="V443" s="6">
        <f>IF(ISERROR(VLOOKUP($S$443,'TAR FIN'!$A$1:$O$88,15,0)),0,VLOOKUP($S$443,'TAR FIN'!$A$1:$O$88,15,0))</f>
        <v>0</v>
      </c>
      <c r="W443" s="6">
        <f>IF(ISERROR(VLOOKUP($T$443,'TAR FIN'!$A$1:$O$88,15,0)),0,VLOOKUP($T$443,'TAR FIN'!$A$1:$O$88,15,0))</f>
        <v>269.91000000000003</v>
      </c>
      <c r="X443" s="6">
        <f>IF(ISERROR(VLOOKUP($U$443,'TAR FIN'!$A$1:$O$88,15,0)),0,VLOOKUP($U$443,'TAR FIN'!$A$1:$O$88,15,0))</f>
        <v>288.89999999999998</v>
      </c>
      <c r="Y443" s="6"/>
      <c r="Z443" s="6">
        <f ca="1">('TUSD BE'!$AM$48+'TUSD BF_350'!$AM$48+'TUSD CVA'!$AM$48)*1</f>
        <v>350.41122835255294</v>
      </c>
      <c r="AA443" s="6">
        <f ca="1">('TE BE'!$AB$39+'TE BF_350'!$AB$39+'TE CVA'!$AB$39)*1</f>
        <v>207.63042742196092</v>
      </c>
      <c r="AB443" s="6">
        <f>$K$443*$V$443</f>
        <v>0</v>
      </c>
      <c r="AC443" s="6">
        <f>$M$443*$W$443</f>
        <v>24311.873340000002</v>
      </c>
      <c r="AD443" s="6">
        <f>$O$443*$X$443</f>
        <v>26022.378599999996</v>
      </c>
      <c r="AE443" s="6">
        <f>$K$443*$Y$443</f>
        <v>0</v>
      </c>
      <c r="AF443" s="6">
        <f ca="1">$M$443*$Z$443</f>
        <v>31562.940982627853</v>
      </c>
      <c r="AG443" s="6">
        <f ca="1">$O$443*$AA$443</f>
        <v>18702.103119605708</v>
      </c>
    </row>
    <row r="444" spans="1:33" ht="11.25" customHeight="1" x14ac:dyDescent="0.25">
      <c r="A444" s="4" t="s">
        <v>21</v>
      </c>
      <c r="B444" s="4" t="s">
        <v>36</v>
      </c>
      <c r="C444" s="4" t="s">
        <v>23</v>
      </c>
      <c r="D444" s="4" t="s">
        <v>43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44531</v>
      </c>
      <c r="J444" s="6">
        <v>0</v>
      </c>
      <c r="K444" s="6">
        <v>0</v>
      </c>
      <c r="L444" s="6">
        <v>100.26300000000001</v>
      </c>
      <c r="M444" s="6">
        <v>100.26300000000001</v>
      </c>
      <c r="N444" s="6">
        <v>100.26300000000001</v>
      </c>
      <c r="O444" s="6">
        <v>100.26300000000001</v>
      </c>
      <c r="P444" s="6">
        <v>96</v>
      </c>
      <c r="Q444" s="4" t="s">
        <v>26</v>
      </c>
      <c r="R444" s="4">
        <v>0</v>
      </c>
      <c r="S444" s="6">
        <v>0</v>
      </c>
      <c r="T444" s="6">
        <v>65</v>
      </c>
      <c r="U444" s="6">
        <v>25</v>
      </c>
      <c r="V444" s="6">
        <f>IF(ISERROR(VLOOKUP($S$444,'TAR FIN'!$A$1:$O$88,15,0)),0,VLOOKUP($S$444,'TAR FIN'!$A$1:$O$88,15,0))</f>
        <v>0</v>
      </c>
      <c r="W444" s="6">
        <f>IF(ISERROR(VLOOKUP($T$444,'TAR FIN'!$A$1:$O$88,15,0)),0,VLOOKUP($T$444,'TAR FIN'!$A$1:$O$88,15,0))</f>
        <v>269.91000000000003</v>
      </c>
      <c r="X444" s="6">
        <f>IF(ISERROR(VLOOKUP($U$444,'TAR FIN'!$A$1:$O$88,15,0)),0,VLOOKUP($U$444,'TAR FIN'!$A$1:$O$88,15,0))</f>
        <v>288.89999999999998</v>
      </c>
      <c r="Y444" s="6"/>
      <c r="Z444" s="6">
        <f ca="1">('TUSD BE'!$AM$48+'TUSD BF_350'!$AM$48+'TUSD CVA'!$AM$48)*1</f>
        <v>350.41122835255294</v>
      </c>
      <c r="AA444" s="6">
        <f ca="1">('TE BE'!$AB$39+'TE BF_350'!$AB$39+'TE CVA'!$AB$39)*1</f>
        <v>207.63042742196092</v>
      </c>
      <c r="AB444" s="6">
        <f>$K$444*$V$444</f>
        <v>0</v>
      </c>
      <c r="AC444" s="6">
        <f>$M$444*$W$444</f>
        <v>27061.986330000003</v>
      </c>
      <c r="AD444" s="6">
        <f>$O$444*$X$444</f>
        <v>28965.9807</v>
      </c>
      <c r="AE444" s="6">
        <f>$K$444*$Y$444</f>
        <v>0</v>
      </c>
      <c r="AF444" s="6">
        <f ca="1">$M$444*$Z$444</f>
        <v>35133.280988312021</v>
      </c>
      <c r="AG444" s="6">
        <f ca="1">$O$444*$AA$444</f>
        <v>20817.64954460807</v>
      </c>
    </row>
    <row r="445" spans="1:33" ht="11.25" customHeight="1" x14ac:dyDescent="0.25">
      <c r="A445" s="4" t="s">
        <v>21</v>
      </c>
      <c r="B445" s="4" t="s">
        <v>36</v>
      </c>
      <c r="C445" s="4" t="s">
        <v>23</v>
      </c>
      <c r="D445" s="4" t="s">
        <v>43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44562</v>
      </c>
      <c r="J445" s="6">
        <v>0</v>
      </c>
      <c r="K445" s="6">
        <v>0</v>
      </c>
      <c r="L445" s="6">
        <v>87.025000000000006</v>
      </c>
      <c r="M445" s="6">
        <v>87.025000000000006</v>
      </c>
      <c r="N445" s="6">
        <v>87.025000000000006</v>
      </c>
      <c r="O445" s="6">
        <v>87.025000000000006</v>
      </c>
      <c r="P445" s="6">
        <v>96</v>
      </c>
      <c r="Q445" s="4" t="s">
        <v>26</v>
      </c>
      <c r="R445" s="4">
        <v>0</v>
      </c>
      <c r="S445" s="6">
        <v>0</v>
      </c>
      <c r="T445" s="6">
        <v>65</v>
      </c>
      <c r="U445" s="6">
        <v>25</v>
      </c>
      <c r="V445" s="6">
        <f>IF(ISERROR(VLOOKUP($S$445,'TAR FIN'!$A$1:$O$88,15,0)),0,VLOOKUP($S$445,'TAR FIN'!$A$1:$O$88,15,0))</f>
        <v>0</v>
      </c>
      <c r="W445" s="6">
        <f>IF(ISERROR(VLOOKUP($T$445,'TAR FIN'!$A$1:$O$88,15,0)),0,VLOOKUP($T$445,'TAR FIN'!$A$1:$O$88,15,0))</f>
        <v>269.91000000000003</v>
      </c>
      <c r="X445" s="6">
        <f>IF(ISERROR(VLOOKUP($U$445,'TAR FIN'!$A$1:$O$88,15,0)),0,VLOOKUP($U$445,'TAR FIN'!$A$1:$O$88,15,0))</f>
        <v>288.89999999999998</v>
      </c>
      <c r="Y445" s="6"/>
      <c r="Z445" s="6">
        <f ca="1">('TUSD BE'!$AM$48+'TUSD BF_350'!$AM$48+'TUSD CVA'!$AM$48)*1</f>
        <v>350.41122835255294</v>
      </c>
      <c r="AA445" s="6">
        <f ca="1">('TE BE'!$AB$39+'TE BF_350'!$AB$39+'TE CVA'!$AB$39)*1</f>
        <v>207.63042742196092</v>
      </c>
      <c r="AB445" s="6">
        <f>$K$445*$V$445</f>
        <v>0</v>
      </c>
      <c r="AC445" s="6">
        <f>$M$445*$W$445</f>
        <v>23488.917750000004</v>
      </c>
      <c r="AD445" s="6">
        <f>$O$445*$X$445</f>
        <v>25141.522499999999</v>
      </c>
      <c r="AE445" s="6">
        <f>$K$445*$Y$445</f>
        <v>0</v>
      </c>
      <c r="AF445" s="6">
        <f ca="1">$M$445*$Z$445</f>
        <v>30494.537147380921</v>
      </c>
      <c r="AG445" s="6">
        <f ca="1">$O$445*$AA$445</f>
        <v>18069.037946396151</v>
      </c>
    </row>
    <row r="446" spans="1:33" ht="11.25" customHeight="1" x14ac:dyDescent="0.25">
      <c r="A446" s="4" t="s">
        <v>21</v>
      </c>
      <c r="B446" s="4" t="s">
        <v>36</v>
      </c>
      <c r="C446" s="4" t="s">
        <v>23</v>
      </c>
      <c r="D446" s="4" t="s">
        <v>43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44593</v>
      </c>
      <c r="J446" s="6">
        <v>0</v>
      </c>
      <c r="K446" s="6">
        <v>0</v>
      </c>
      <c r="L446" s="6">
        <v>94.317999999999998</v>
      </c>
      <c r="M446" s="6">
        <v>94.317999999999998</v>
      </c>
      <c r="N446" s="6">
        <v>94.317999999999998</v>
      </c>
      <c r="O446" s="6">
        <v>94.317999999999998</v>
      </c>
      <c r="P446" s="6">
        <v>96</v>
      </c>
      <c r="Q446" s="4" t="s">
        <v>26</v>
      </c>
      <c r="R446" s="4">
        <v>0</v>
      </c>
      <c r="S446" s="6">
        <v>0</v>
      </c>
      <c r="T446" s="6">
        <v>65</v>
      </c>
      <c r="U446" s="6">
        <v>25</v>
      </c>
      <c r="V446" s="6">
        <f>IF(ISERROR(VLOOKUP($S$446,'TAR FIN'!$A$1:$O$88,15,0)),0,VLOOKUP($S$446,'TAR FIN'!$A$1:$O$88,15,0))</f>
        <v>0</v>
      </c>
      <c r="W446" s="6">
        <f>IF(ISERROR(VLOOKUP($T$446,'TAR FIN'!$A$1:$O$88,15,0)),0,VLOOKUP($T$446,'TAR FIN'!$A$1:$O$88,15,0))</f>
        <v>269.91000000000003</v>
      </c>
      <c r="X446" s="6">
        <f>IF(ISERROR(VLOOKUP($U$446,'TAR FIN'!$A$1:$O$88,15,0)),0,VLOOKUP($U$446,'TAR FIN'!$A$1:$O$88,15,0))</f>
        <v>288.89999999999998</v>
      </c>
      <c r="Y446" s="6"/>
      <c r="Z446" s="6">
        <f ca="1">('TUSD BE'!$AM$48+'TUSD BF_350'!$AM$48+'TUSD CVA'!$AM$48)*1</f>
        <v>350.41122835255294</v>
      </c>
      <c r="AA446" s="6">
        <f ca="1">('TE BE'!$AB$39+'TE BF_350'!$AB$39+'TE CVA'!$AB$39)*1</f>
        <v>207.63042742196092</v>
      </c>
      <c r="AB446" s="6">
        <f>$K$446*$V$446</f>
        <v>0</v>
      </c>
      <c r="AC446" s="6">
        <f>$M$446*$W$446</f>
        <v>25457.37138</v>
      </c>
      <c r="AD446" s="6">
        <f>$O$446*$X$446</f>
        <v>27248.470199999996</v>
      </c>
      <c r="AE446" s="6">
        <f>$K$446*$Y$446</f>
        <v>0</v>
      </c>
      <c r="AF446" s="6">
        <f ca="1">$M$446*$Z$446</f>
        <v>33050.086235756091</v>
      </c>
      <c r="AG446" s="6">
        <f ca="1">$O$446*$AA$446</f>
        <v>19583.28665358451</v>
      </c>
    </row>
    <row r="447" spans="1:33" ht="11.25" customHeight="1" x14ac:dyDescent="0.25">
      <c r="A447" s="4" t="s">
        <v>21</v>
      </c>
      <c r="B447" s="4" t="s">
        <v>36</v>
      </c>
      <c r="C447" s="4" t="s">
        <v>23</v>
      </c>
      <c r="D447" s="4" t="s">
        <v>43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44621</v>
      </c>
      <c r="J447" s="6">
        <v>0</v>
      </c>
      <c r="K447" s="6">
        <v>0</v>
      </c>
      <c r="L447" s="6">
        <v>102.974</v>
      </c>
      <c r="M447" s="6">
        <v>102.974</v>
      </c>
      <c r="N447" s="6">
        <v>102.974</v>
      </c>
      <c r="O447" s="6">
        <v>102.974</v>
      </c>
      <c r="P447" s="6">
        <v>96</v>
      </c>
      <c r="Q447" s="4" t="s">
        <v>26</v>
      </c>
      <c r="R447" s="4">
        <v>0</v>
      </c>
      <c r="S447" s="6">
        <v>0</v>
      </c>
      <c r="T447" s="6">
        <v>65</v>
      </c>
      <c r="U447" s="6">
        <v>25</v>
      </c>
      <c r="V447" s="6">
        <f>IF(ISERROR(VLOOKUP($S$447,'TAR FIN'!$A$1:$O$88,15,0)),0,VLOOKUP($S$447,'TAR FIN'!$A$1:$O$88,15,0))</f>
        <v>0</v>
      </c>
      <c r="W447" s="6">
        <f>IF(ISERROR(VLOOKUP($T$447,'TAR FIN'!$A$1:$O$88,15,0)),0,VLOOKUP($T$447,'TAR FIN'!$A$1:$O$88,15,0))</f>
        <v>269.91000000000003</v>
      </c>
      <c r="X447" s="6">
        <f>IF(ISERROR(VLOOKUP($U$447,'TAR FIN'!$A$1:$O$88,15,0)),0,VLOOKUP($U$447,'TAR FIN'!$A$1:$O$88,15,0))</f>
        <v>288.89999999999998</v>
      </c>
      <c r="Y447" s="6"/>
      <c r="Z447" s="6">
        <f ca="1">('TUSD BE'!$AM$48+'TUSD BF_350'!$AM$48+'TUSD CVA'!$AM$48)*1</f>
        <v>350.41122835255294</v>
      </c>
      <c r="AA447" s="6">
        <f ca="1">('TE BE'!$AB$39+'TE BF_350'!$AB$39+'TE CVA'!$AB$39)*1</f>
        <v>207.63042742196092</v>
      </c>
      <c r="AB447" s="6">
        <f>$K$447*$V$447</f>
        <v>0</v>
      </c>
      <c r="AC447" s="6">
        <f>$M$447*$W$447</f>
        <v>27793.712340000002</v>
      </c>
      <c r="AD447" s="6">
        <f>$O$447*$X$447</f>
        <v>29749.188599999998</v>
      </c>
      <c r="AE447" s="6">
        <f>$K$447*$Y$447</f>
        <v>0</v>
      </c>
      <c r="AF447" s="6">
        <f ca="1">$M$447*$Z$447</f>
        <v>36083.245828375788</v>
      </c>
      <c r="AG447" s="6">
        <f ca="1">$O$447*$AA$447</f>
        <v>21380.535633349005</v>
      </c>
    </row>
    <row r="448" spans="1:33" ht="11.25" customHeight="1" x14ac:dyDescent="0.25">
      <c r="A448" s="4" t="s">
        <v>21</v>
      </c>
      <c r="B448" s="4" t="s">
        <v>36</v>
      </c>
      <c r="C448" s="4" t="s">
        <v>23</v>
      </c>
      <c r="D448" s="4" t="s">
        <v>43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44652</v>
      </c>
      <c r="J448" s="6">
        <v>0</v>
      </c>
      <c r="K448" s="6">
        <v>0</v>
      </c>
      <c r="L448" s="6">
        <v>86.786000000000001</v>
      </c>
      <c r="M448" s="6">
        <v>86.786000000000001</v>
      </c>
      <c r="N448" s="6">
        <v>86.786000000000001</v>
      </c>
      <c r="O448" s="6">
        <v>86.786000000000001</v>
      </c>
      <c r="P448" s="6">
        <v>96</v>
      </c>
      <c r="Q448" s="4" t="s">
        <v>26</v>
      </c>
      <c r="R448" s="4">
        <v>0</v>
      </c>
      <c r="S448" s="6">
        <v>0</v>
      </c>
      <c r="T448" s="6">
        <v>65</v>
      </c>
      <c r="U448" s="6">
        <v>25</v>
      </c>
      <c r="V448" s="6">
        <f>IF(ISERROR(VLOOKUP($S$448,'TAR FIN'!$A$1:$O$88,15,0)),0,VLOOKUP($S$448,'TAR FIN'!$A$1:$O$88,15,0))</f>
        <v>0</v>
      </c>
      <c r="W448" s="6">
        <f>IF(ISERROR(VLOOKUP($T$448,'TAR FIN'!$A$1:$O$88,15,0)),0,VLOOKUP($T$448,'TAR FIN'!$A$1:$O$88,15,0))</f>
        <v>269.91000000000003</v>
      </c>
      <c r="X448" s="6">
        <f>IF(ISERROR(VLOOKUP($U$448,'TAR FIN'!$A$1:$O$88,15,0)),0,VLOOKUP($U$448,'TAR FIN'!$A$1:$O$88,15,0))</f>
        <v>288.89999999999998</v>
      </c>
      <c r="Y448" s="6"/>
      <c r="Z448" s="6">
        <f ca="1">('TUSD BE'!$AM$48+'TUSD BF_350'!$AM$48+'TUSD CVA'!$AM$48)*1</f>
        <v>350.41122835255294</v>
      </c>
      <c r="AA448" s="6">
        <f ca="1">('TE BE'!$AB$39+'TE BF_350'!$AB$39+'TE CVA'!$AB$39)*1</f>
        <v>207.63042742196092</v>
      </c>
      <c r="AB448" s="6">
        <f>$K$448*$V$448</f>
        <v>0</v>
      </c>
      <c r="AC448" s="6">
        <f>$M$448*$W$448</f>
        <v>23424.409260000004</v>
      </c>
      <c r="AD448" s="6">
        <f>$O$448*$X$448</f>
        <v>25072.475399999999</v>
      </c>
      <c r="AE448" s="6">
        <f>$K$448*$Y$448</f>
        <v>0</v>
      </c>
      <c r="AF448" s="6">
        <f ca="1">$M$448*$Z$448</f>
        <v>30410.788863804661</v>
      </c>
      <c r="AG448" s="6">
        <f ca="1">$O$448*$AA$448</f>
        <v>18019.414274242299</v>
      </c>
    </row>
    <row r="449" spans="1:33" ht="11.25" customHeight="1" x14ac:dyDescent="0.25">
      <c r="A449" s="4" t="s">
        <v>21</v>
      </c>
      <c r="B449" s="4" t="s">
        <v>36</v>
      </c>
      <c r="C449" s="4" t="s">
        <v>23</v>
      </c>
      <c r="D449" s="4" t="s">
        <v>43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44682</v>
      </c>
      <c r="J449" s="6">
        <v>0</v>
      </c>
      <c r="K449" s="6">
        <v>0</v>
      </c>
      <c r="L449" s="6">
        <v>92.078000000000003</v>
      </c>
      <c r="M449" s="6">
        <v>92.078000000000003</v>
      </c>
      <c r="N449" s="6">
        <v>92.078000000000003</v>
      </c>
      <c r="O449" s="6">
        <v>92.078000000000003</v>
      </c>
      <c r="P449" s="6">
        <v>96</v>
      </c>
      <c r="Q449" s="4" t="s">
        <v>26</v>
      </c>
      <c r="R449" s="4">
        <v>0</v>
      </c>
      <c r="S449" s="6">
        <v>0</v>
      </c>
      <c r="T449" s="6">
        <v>65</v>
      </c>
      <c r="U449" s="6">
        <v>25</v>
      </c>
      <c r="V449" s="6">
        <f>IF(ISERROR(VLOOKUP($S$449,'TAR FIN'!$A$1:$O$88,15,0)),0,VLOOKUP($S$449,'TAR FIN'!$A$1:$O$88,15,0))</f>
        <v>0</v>
      </c>
      <c r="W449" s="6">
        <f>IF(ISERROR(VLOOKUP($T$449,'TAR FIN'!$A$1:$O$88,15,0)),0,VLOOKUP($T$449,'TAR FIN'!$A$1:$O$88,15,0))</f>
        <v>269.91000000000003</v>
      </c>
      <c r="X449" s="6">
        <f>IF(ISERROR(VLOOKUP($U$449,'TAR FIN'!$A$1:$O$88,15,0)),0,VLOOKUP($U$449,'TAR FIN'!$A$1:$O$88,15,0))</f>
        <v>288.89999999999998</v>
      </c>
      <c r="Y449" s="6"/>
      <c r="Z449" s="6">
        <f ca="1">('TUSD BE'!$AM$48+'TUSD BF_350'!$AM$48+'TUSD CVA'!$AM$48)*1</f>
        <v>350.41122835255294</v>
      </c>
      <c r="AA449" s="6">
        <f ca="1">('TE BE'!$AB$39+'TE BF_350'!$AB$39+'TE CVA'!$AB$39)*1</f>
        <v>207.63042742196092</v>
      </c>
      <c r="AB449" s="6">
        <f>$K$449*$V$449</f>
        <v>0</v>
      </c>
      <c r="AC449" s="6">
        <f>$M$449*$W$449</f>
        <v>24852.772980000002</v>
      </c>
      <c r="AD449" s="6">
        <f>$O$449*$X$449</f>
        <v>26601.334199999998</v>
      </c>
      <c r="AE449" s="6">
        <f>$K$449*$Y$449</f>
        <v>0</v>
      </c>
      <c r="AF449" s="6">
        <f ca="1">$M$449*$Z$449</f>
        <v>32265.165084246371</v>
      </c>
      <c r="AG449" s="6">
        <f ca="1">$O$449*$AA$449</f>
        <v>19118.194496159318</v>
      </c>
    </row>
    <row r="450" spans="1:33" ht="11.25" customHeight="1" x14ac:dyDescent="0.25">
      <c r="A450" s="4" t="s">
        <v>21</v>
      </c>
      <c r="B450" s="4" t="s">
        <v>36</v>
      </c>
      <c r="C450" s="4" t="s">
        <v>23</v>
      </c>
      <c r="D450" s="4" t="s">
        <v>43</v>
      </c>
      <c r="E450" s="4" t="s">
        <v>25</v>
      </c>
      <c r="F450" s="4" t="s">
        <v>25</v>
      </c>
      <c r="G450" s="4" t="s">
        <v>25</v>
      </c>
      <c r="H450" s="4" t="s">
        <v>25</v>
      </c>
      <c r="I450" s="5">
        <v>44713</v>
      </c>
      <c r="J450" s="6">
        <v>0</v>
      </c>
      <c r="K450" s="6">
        <v>0</v>
      </c>
      <c r="L450" s="6">
        <v>85.515000000000001</v>
      </c>
      <c r="M450" s="6">
        <v>85.515000000000001</v>
      </c>
      <c r="N450" s="6">
        <v>85.515000000000001</v>
      </c>
      <c r="O450" s="6">
        <v>85.515000000000001</v>
      </c>
      <c r="P450" s="6">
        <v>96</v>
      </c>
      <c r="Q450" s="4" t="s">
        <v>26</v>
      </c>
      <c r="R450" s="4">
        <v>0</v>
      </c>
      <c r="S450" s="6">
        <v>0</v>
      </c>
      <c r="T450" s="6">
        <v>65</v>
      </c>
      <c r="U450" s="6">
        <v>25</v>
      </c>
      <c r="V450" s="6">
        <f>IF(ISERROR(VLOOKUP($S$450,'TAR FIN'!$A$1:$O$88,15,0)),0,VLOOKUP($S$450,'TAR FIN'!$A$1:$O$88,15,0))</f>
        <v>0</v>
      </c>
      <c r="W450" s="6">
        <f>IF(ISERROR(VLOOKUP($T$450,'TAR FIN'!$A$1:$O$88,15,0)),0,VLOOKUP($T$450,'TAR FIN'!$A$1:$O$88,15,0))</f>
        <v>269.91000000000003</v>
      </c>
      <c r="X450" s="6">
        <f>IF(ISERROR(VLOOKUP($U$450,'TAR FIN'!$A$1:$O$88,15,0)),0,VLOOKUP($U$450,'TAR FIN'!$A$1:$O$88,15,0))</f>
        <v>288.89999999999998</v>
      </c>
      <c r="Y450" s="6"/>
      <c r="Z450" s="6">
        <f ca="1">('TUSD BE'!$AM$48+'TUSD BF_350'!$AM$48+'TUSD CVA'!$AM$48)*1</f>
        <v>350.41122835255294</v>
      </c>
      <c r="AA450" s="6">
        <f ca="1">('TE BE'!$AB$39+'TE BF_350'!$AB$39+'TE CVA'!$AB$39)*1</f>
        <v>207.63042742196092</v>
      </c>
      <c r="AB450" s="6">
        <f>$K$450*$V$450</f>
        <v>0</v>
      </c>
      <c r="AC450" s="6">
        <f>$M$450*$W$450</f>
        <v>23081.353650000001</v>
      </c>
      <c r="AD450" s="6">
        <f>$O$450*$X$450</f>
        <v>24705.283499999998</v>
      </c>
      <c r="AE450" s="6">
        <f>$K$450*$Y$450</f>
        <v>0</v>
      </c>
      <c r="AF450" s="6">
        <f ca="1">$M$450*$Z$450</f>
        <v>29965.416192568566</v>
      </c>
      <c r="AG450" s="6">
        <f ca="1">$O$450*$AA$450</f>
        <v>17755.516000988988</v>
      </c>
    </row>
    <row r="451" spans="1:33" ht="11.25" customHeight="1" x14ac:dyDescent="0.25">
      <c r="A451" s="4" t="s">
        <v>55</v>
      </c>
      <c r="B451" s="4" t="s">
        <v>36</v>
      </c>
      <c r="C451" s="4" t="s">
        <v>23</v>
      </c>
      <c r="D451" s="4" t="s">
        <v>43</v>
      </c>
      <c r="E451" s="4" t="s">
        <v>25</v>
      </c>
      <c r="F451" s="4" t="s">
        <v>25</v>
      </c>
      <c r="G451" s="4" t="s">
        <v>25</v>
      </c>
      <c r="H451" s="4" t="s">
        <v>25</v>
      </c>
      <c r="I451" s="5">
        <v>44743</v>
      </c>
      <c r="J451" s="6">
        <v>0</v>
      </c>
      <c r="K451" s="6">
        <v>0</v>
      </c>
      <c r="L451" s="6">
        <v>85.515000000000001</v>
      </c>
      <c r="M451" s="6">
        <v>85.515000000000001</v>
      </c>
      <c r="N451" s="6">
        <v>85.515000000000001</v>
      </c>
      <c r="O451" s="6">
        <v>85.515000000000001</v>
      </c>
      <c r="P451" s="6">
        <v>96</v>
      </c>
      <c r="Q451" s="4" t="s">
        <v>26</v>
      </c>
      <c r="R451" s="4">
        <v>0</v>
      </c>
      <c r="S451" s="6">
        <v>0</v>
      </c>
      <c r="T451" s="6">
        <v>65</v>
      </c>
      <c r="U451" s="6">
        <v>25</v>
      </c>
      <c r="V451" s="6">
        <f>IF(ISERROR(VLOOKUP($S$451,'TAR FIN'!$A$1:$O$88,15,0)),0,VLOOKUP($S$451,'TAR FIN'!$A$1:$O$88,15,0))</f>
        <v>0</v>
      </c>
      <c r="W451" s="6">
        <f>IF(ISERROR(VLOOKUP($T$451,'TAR FIN'!$A$1:$O$88,15,0)),0,VLOOKUP($T$451,'TAR FIN'!$A$1:$O$88,15,0))</f>
        <v>269.91000000000003</v>
      </c>
      <c r="X451" s="6">
        <f>IF(ISERROR(VLOOKUP($U$451,'TAR FIN'!$A$1:$O$88,15,0)),0,VLOOKUP($U$451,'TAR FIN'!$A$1:$O$88,15,0))</f>
        <v>288.89999999999998</v>
      </c>
      <c r="Y451" s="6"/>
      <c r="Z451" s="6">
        <f ca="1">('TUSD BE'!$AM$48+'TUSD BF_350'!$AM$48+'TUSD CVA'!$AM$48)*1</f>
        <v>350.41122835255294</v>
      </c>
      <c r="AA451" s="6">
        <f ca="1">('TE BE'!$AB$39+'TE BF_350'!$AB$39+'TE CVA'!$AB$39)*1</f>
        <v>207.63042742196092</v>
      </c>
      <c r="AB451" s="6">
        <f>$K$451*$V$451</f>
        <v>0</v>
      </c>
      <c r="AC451" s="6">
        <f>$M$451*$W$451</f>
        <v>23081.353650000001</v>
      </c>
      <c r="AD451" s="6">
        <f>$O$451*$X$451</f>
        <v>24705.283499999998</v>
      </c>
      <c r="AE451" s="6">
        <f>$K$451*$Y$451</f>
        <v>0</v>
      </c>
      <c r="AF451" s="6">
        <f ca="1">$M$451*$Z$451</f>
        <v>29965.416192568566</v>
      </c>
      <c r="AG451" s="6">
        <f ca="1">$O$451*$AA$451</f>
        <v>17755.516000988988</v>
      </c>
    </row>
    <row r="452" spans="1:33" ht="11.25" customHeight="1" x14ac:dyDescent="0.25">
      <c r="A452" s="4" t="s">
        <v>21</v>
      </c>
      <c r="B452" s="4" t="s">
        <v>36</v>
      </c>
      <c r="C452" s="4" t="s">
        <v>23</v>
      </c>
      <c r="D452" s="4" t="s">
        <v>47</v>
      </c>
      <c r="E452" s="4" t="s">
        <v>48</v>
      </c>
      <c r="F452" s="4" t="s">
        <v>25</v>
      </c>
      <c r="G452" s="4" t="s">
        <v>25</v>
      </c>
      <c r="H452" s="4" t="s">
        <v>25</v>
      </c>
      <c r="I452" s="5">
        <v>44409</v>
      </c>
      <c r="J452" s="6">
        <v>0</v>
      </c>
      <c r="K452" s="58">
        <v>0</v>
      </c>
      <c r="L452" s="6">
        <v>19.503</v>
      </c>
      <c r="M452" s="58">
        <v>19.503</v>
      </c>
      <c r="N452" s="6">
        <v>19.503</v>
      </c>
      <c r="O452" s="58">
        <v>19.503</v>
      </c>
      <c r="P452" s="6">
        <v>8</v>
      </c>
      <c r="Q452" s="4" t="s">
        <v>26</v>
      </c>
      <c r="R452" s="4">
        <v>0</v>
      </c>
      <c r="S452" s="6">
        <v>0</v>
      </c>
      <c r="T452" s="6">
        <v>65</v>
      </c>
      <c r="U452" s="6">
        <v>25</v>
      </c>
      <c r="V452" s="58">
        <f>IF(ISERROR(VLOOKUP($S$452,'TAR FIN'!$A$1:$O$88,15,0)),0,VLOOKUP($S$452,'TAR FIN'!$A$1:$O$88,15,0))</f>
        <v>0</v>
      </c>
      <c r="W452" s="58">
        <f>IF(ISERROR(VLOOKUP($T$452,'TAR FIN'!$A$1:$O$88,15,0)),0,VLOOKUP($T$452,'TAR FIN'!$A$1:$O$88,15,0))*(1-0.06)</f>
        <v>253.71540000000002</v>
      </c>
      <c r="X452" s="58">
        <f>IF(ISERROR(VLOOKUP($U$452,'TAR FIN'!$A$1:$O$88,15,0)),0,VLOOKUP($U$452,'TAR FIN'!$A$1:$O$88,15,0))*(1-0.06)</f>
        <v>271.56599999999997</v>
      </c>
      <c r="Y452" s="58"/>
      <c r="Z452" s="58">
        <f ca="1">('TUSD BE'!$AM$48+'TUSD BF_350'!$AM$48+'TUSD CVA'!$AM$48)*1*(1-0.03)</f>
        <v>339.89889150197632</v>
      </c>
      <c r="AA452" s="58">
        <f ca="1">('TE BE'!$AB$39+'TE BF_350'!$AB$39+'TE CVA'!$AB$39)*1*(1-0.03)</f>
        <v>201.40151459930209</v>
      </c>
      <c r="AB452" s="6">
        <f>$K$452*$V$452</f>
        <v>0</v>
      </c>
      <c r="AC452" s="6">
        <f>$M$452*$W$452</f>
        <v>4948.2114462</v>
      </c>
      <c r="AD452" s="6">
        <f>$O$452*$X$452</f>
        <v>5296.3516979999995</v>
      </c>
      <c r="AE452" s="6">
        <f>$K$452*$Y$452</f>
        <v>0</v>
      </c>
      <c r="AF452" s="6">
        <f ca="1">$M$452*$Z$452</f>
        <v>6629.0480809630444</v>
      </c>
      <c r="AG452" s="6">
        <f ca="1">$O$452*$AA$452</f>
        <v>3927.9337392301886</v>
      </c>
    </row>
    <row r="453" spans="1:33" ht="11.25" customHeight="1" x14ac:dyDescent="0.25">
      <c r="A453" s="4" t="s">
        <v>21</v>
      </c>
      <c r="B453" s="4" t="s">
        <v>36</v>
      </c>
      <c r="C453" s="4" t="s">
        <v>23</v>
      </c>
      <c r="D453" s="4" t="s">
        <v>47</v>
      </c>
      <c r="E453" s="4" t="s">
        <v>48</v>
      </c>
      <c r="F453" s="4" t="s">
        <v>25</v>
      </c>
      <c r="G453" s="4" t="s">
        <v>25</v>
      </c>
      <c r="H453" s="4" t="s">
        <v>25</v>
      </c>
      <c r="I453" s="5">
        <v>44440</v>
      </c>
      <c r="J453" s="6">
        <v>0</v>
      </c>
      <c r="K453" s="58">
        <v>0</v>
      </c>
      <c r="L453" s="6">
        <v>21.786999999999999</v>
      </c>
      <c r="M453" s="58">
        <v>21.786999999999999</v>
      </c>
      <c r="N453" s="6">
        <v>21.786999999999999</v>
      </c>
      <c r="O453" s="58">
        <v>21.786999999999999</v>
      </c>
      <c r="P453" s="6">
        <v>8</v>
      </c>
      <c r="Q453" s="4" t="s">
        <v>26</v>
      </c>
      <c r="R453" s="4">
        <v>0</v>
      </c>
      <c r="S453" s="6">
        <v>0</v>
      </c>
      <c r="T453" s="6">
        <v>65</v>
      </c>
      <c r="U453" s="6">
        <v>25</v>
      </c>
      <c r="V453" s="58">
        <f>IF(ISERROR(VLOOKUP($S$453,'TAR FIN'!$A$1:$O$88,15,0)),0,VLOOKUP($S$453,'TAR FIN'!$A$1:$O$88,15,0))</f>
        <v>0</v>
      </c>
      <c r="W453" s="58">
        <f>IF(ISERROR(VLOOKUP($T$453,'TAR FIN'!$A$1:$O$88,15,0)),0,VLOOKUP($T$453,'TAR FIN'!$A$1:$O$88,15,0))*(1-0.06)</f>
        <v>253.71540000000002</v>
      </c>
      <c r="X453" s="58">
        <f>IF(ISERROR(VLOOKUP($U$453,'TAR FIN'!$A$1:$O$88,15,0)),0,VLOOKUP($U$453,'TAR FIN'!$A$1:$O$88,15,0))*(1-0.06)</f>
        <v>271.56599999999997</v>
      </c>
      <c r="Y453" s="58"/>
      <c r="Z453" s="58">
        <f ca="1">('TUSD BE'!$AM$48+'TUSD BF_350'!$AM$48+'TUSD CVA'!$AM$48)*1*(1-0.03)</f>
        <v>339.89889150197632</v>
      </c>
      <c r="AA453" s="58">
        <f ca="1">('TE BE'!$AB$39+'TE BF_350'!$AB$39+'TE CVA'!$AB$39)*1*(1-0.03)</f>
        <v>201.40151459930209</v>
      </c>
      <c r="AB453" s="6">
        <f>$K$453*$V$453</f>
        <v>0</v>
      </c>
      <c r="AC453" s="6">
        <f>$M$453*$W$453</f>
        <v>5527.6974197999998</v>
      </c>
      <c r="AD453" s="6">
        <f>$O$453*$X$453</f>
        <v>5916.6084419999988</v>
      </c>
      <c r="AE453" s="6">
        <f>$K$453*$Y$453</f>
        <v>0</v>
      </c>
      <c r="AF453" s="6">
        <f ca="1">$M$453*$Z$453</f>
        <v>7405.3771491535581</v>
      </c>
      <c r="AG453" s="6">
        <f ca="1">$O$453*$AA$453</f>
        <v>4387.9347985749946</v>
      </c>
    </row>
    <row r="454" spans="1:33" ht="11.25" customHeight="1" x14ac:dyDescent="0.25">
      <c r="A454" s="4" t="s">
        <v>21</v>
      </c>
      <c r="B454" s="4" t="s">
        <v>36</v>
      </c>
      <c r="C454" s="4" t="s">
        <v>23</v>
      </c>
      <c r="D454" s="4" t="s">
        <v>47</v>
      </c>
      <c r="E454" s="4" t="s">
        <v>48</v>
      </c>
      <c r="F454" s="4" t="s">
        <v>25</v>
      </c>
      <c r="G454" s="4" t="s">
        <v>25</v>
      </c>
      <c r="H454" s="4" t="s">
        <v>25</v>
      </c>
      <c r="I454" s="5">
        <v>44470</v>
      </c>
      <c r="J454" s="6">
        <v>0</v>
      </c>
      <c r="K454" s="58">
        <v>0</v>
      </c>
      <c r="L454" s="6">
        <v>19.158000000000001</v>
      </c>
      <c r="M454" s="58">
        <v>19.158000000000001</v>
      </c>
      <c r="N454" s="6">
        <v>19.158000000000001</v>
      </c>
      <c r="O454" s="58">
        <v>19.158000000000001</v>
      </c>
      <c r="P454" s="6">
        <v>8</v>
      </c>
      <c r="Q454" s="4" t="s">
        <v>26</v>
      </c>
      <c r="R454" s="4">
        <v>0</v>
      </c>
      <c r="S454" s="6">
        <v>0</v>
      </c>
      <c r="T454" s="6">
        <v>65</v>
      </c>
      <c r="U454" s="6">
        <v>25</v>
      </c>
      <c r="V454" s="58">
        <f>IF(ISERROR(VLOOKUP($S$454,'TAR FIN'!$A$1:$O$88,15,0)),0,VLOOKUP($S$454,'TAR FIN'!$A$1:$O$88,15,0))</f>
        <v>0</v>
      </c>
      <c r="W454" s="58">
        <f>IF(ISERROR(VLOOKUP($T$454,'TAR FIN'!$A$1:$O$88,15,0)),0,VLOOKUP($T$454,'TAR FIN'!$A$1:$O$88,15,0))*(1-0.06)</f>
        <v>253.71540000000002</v>
      </c>
      <c r="X454" s="58">
        <f>IF(ISERROR(VLOOKUP($U$454,'TAR FIN'!$A$1:$O$88,15,0)),0,VLOOKUP($U$454,'TAR FIN'!$A$1:$O$88,15,0))*(1-0.06)</f>
        <v>271.56599999999997</v>
      </c>
      <c r="Y454" s="58"/>
      <c r="Z454" s="58">
        <f ca="1">('TUSD BE'!$AM$48+'TUSD BF_350'!$AM$48+'TUSD CVA'!$AM$48)*1*(1-0.03)</f>
        <v>339.89889150197632</v>
      </c>
      <c r="AA454" s="58">
        <f ca="1">('TE BE'!$AB$39+'TE BF_350'!$AB$39+'TE CVA'!$AB$39)*1*(1-0.03)</f>
        <v>201.40151459930209</v>
      </c>
      <c r="AB454" s="6">
        <f>$K$454*$V$454</f>
        <v>0</v>
      </c>
      <c r="AC454" s="6">
        <f>$M$454*$W$454</f>
        <v>4860.6796332000004</v>
      </c>
      <c r="AD454" s="6">
        <f>$O$454*$X$454</f>
        <v>5202.6614279999994</v>
      </c>
      <c r="AE454" s="6">
        <f>$K$454*$Y$454</f>
        <v>0</v>
      </c>
      <c r="AF454" s="6">
        <f ca="1">$M$454*$Z$454</f>
        <v>6511.7829633948631</v>
      </c>
      <c r="AG454" s="6">
        <f ca="1">$O$454*$AA$454</f>
        <v>3858.4502166934299</v>
      </c>
    </row>
    <row r="455" spans="1:33" ht="11.25" customHeight="1" x14ac:dyDescent="0.25">
      <c r="A455" s="4" t="s">
        <v>21</v>
      </c>
      <c r="B455" s="4" t="s">
        <v>36</v>
      </c>
      <c r="C455" s="4" t="s">
        <v>23</v>
      </c>
      <c r="D455" s="4" t="s">
        <v>47</v>
      </c>
      <c r="E455" s="4" t="s">
        <v>48</v>
      </c>
      <c r="F455" s="4" t="s">
        <v>25</v>
      </c>
      <c r="G455" s="4" t="s">
        <v>25</v>
      </c>
      <c r="H455" s="4" t="s">
        <v>25</v>
      </c>
      <c r="I455" s="5">
        <v>44501</v>
      </c>
      <c r="J455" s="6">
        <v>0</v>
      </c>
      <c r="K455" s="58">
        <v>0</v>
      </c>
      <c r="L455" s="6">
        <v>20.58</v>
      </c>
      <c r="M455" s="58">
        <v>20.58</v>
      </c>
      <c r="N455" s="6">
        <v>20.58</v>
      </c>
      <c r="O455" s="58">
        <v>20.58</v>
      </c>
      <c r="P455" s="6">
        <v>8</v>
      </c>
      <c r="Q455" s="4" t="s">
        <v>26</v>
      </c>
      <c r="R455" s="4">
        <v>0</v>
      </c>
      <c r="S455" s="6">
        <v>0</v>
      </c>
      <c r="T455" s="6">
        <v>65</v>
      </c>
      <c r="U455" s="6">
        <v>25</v>
      </c>
      <c r="V455" s="58">
        <f>IF(ISERROR(VLOOKUP($S$455,'TAR FIN'!$A$1:$O$88,15,0)),0,VLOOKUP($S$455,'TAR FIN'!$A$1:$O$88,15,0))</f>
        <v>0</v>
      </c>
      <c r="W455" s="58">
        <f>IF(ISERROR(VLOOKUP($T$455,'TAR FIN'!$A$1:$O$88,15,0)),0,VLOOKUP($T$455,'TAR FIN'!$A$1:$O$88,15,0))*(1-0.06)</f>
        <v>253.71540000000002</v>
      </c>
      <c r="X455" s="58">
        <f>IF(ISERROR(VLOOKUP($U$455,'TAR FIN'!$A$1:$O$88,15,0)),0,VLOOKUP($U$455,'TAR FIN'!$A$1:$O$88,15,0))*(1-0.06)</f>
        <v>271.56599999999997</v>
      </c>
      <c r="Y455" s="58"/>
      <c r="Z455" s="58">
        <f ca="1">('TUSD BE'!$AM$48+'TUSD BF_350'!$AM$48+'TUSD CVA'!$AM$48)*1*(1-0.03)</f>
        <v>339.89889150197632</v>
      </c>
      <c r="AA455" s="58">
        <f ca="1">('TE BE'!$AB$39+'TE BF_350'!$AB$39+'TE CVA'!$AB$39)*1*(1-0.03)</f>
        <v>201.40151459930209</v>
      </c>
      <c r="AB455" s="6">
        <f>$K$455*$V$455</f>
        <v>0</v>
      </c>
      <c r="AC455" s="6">
        <f>$M$455*$W$455</f>
        <v>5221.4629320000004</v>
      </c>
      <c r="AD455" s="6">
        <f>$O$455*$X$455</f>
        <v>5588.8282799999988</v>
      </c>
      <c r="AE455" s="6">
        <f>$K$455*$Y$455</f>
        <v>0</v>
      </c>
      <c r="AF455" s="6">
        <f ca="1">$M$455*$Z$455</f>
        <v>6995.1191871106721</v>
      </c>
      <c r="AG455" s="6">
        <f ca="1">$O$455*$AA$455</f>
        <v>4144.843170453637</v>
      </c>
    </row>
    <row r="456" spans="1:33" ht="11.25" customHeight="1" x14ac:dyDescent="0.25">
      <c r="A456" s="4" t="s">
        <v>21</v>
      </c>
      <c r="B456" s="4" t="s">
        <v>36</v>
      </c>
      <c r="C456" s="4" t="s">
        <v>23</v>
      </c>
      <c r="D456" s="4" t="s">
        <v>47</v>
      </c>
      <c r="E456" s="4" t="s">
        <v>48</v>
      </c>
      <c r="F456" s="4" t="s">
        <v>25</v>
      </c>
      <c r="G456" s="4" t="s">
        <v>25</v>
      </c>
      <c r="H456" s="4" t="s">
        <v>25</v>
      </c>
      <c r="I456" s="5">
        <v>44531</v>
      </c>
      <c r="J456" s="6">
        <v>0</v>
      </c>
      <c r="K456" s="58">
        <v>0</v>
      </c>
      <c r="L456" s="6">
        <v>22.370999999999999</v>
      </c>
      <c r="M456" s="58">
        <v>22.370999999999999</v>
      </c>
      <c r="N456" s="6">
        <v>22.370999999999999</v>
      </c>
      <c r="O456" s="58">
        <v>22.370999999999999</v>
      </c>
      <c r="P456" s="6">
        <v>8</v>
      </c>
      <c r="Q456" s="4" t="s">
        <v>26</v>
      </c>
      <c r="R456" s="4">
        <v>0</v>
      </c>
      <c r="S456" s="6">
        <v>0</v>
      </c>
      <c r="T456" s="6">
        <v>65</v>
      </c>
      <c r="U456" s="6">
        <v>25</v>
      </c>
      <c r="V456" s="58">
        <f>IF(ISERROR(VLOOKUP($S$456,'TAR FIN'!$A$1:$O$88,15,0)),0,VLOOKUP($S$456,'TAR FIN'!$A$1:$O$88,15,0))</f>
        <v>0</v>
      </c>
      <c r="W456" s="58">
        <f>IF(ISERROR(VLOOKUP($T$456,'TAR FIN'!$A$1:$O$88,15,0)),0,VLOOKUP($T$456,'TAR FIN'!$A$1:$O$88,15,0))*(1-0.06)</f>
        <v>253.71540000000002</v>
      </c>
      <c r="X456" s="58">
        <f>IF(ISERROR(VLOOKUP($U$456,'TAR FIN'!$A$1:$O$88,15,0)),0,VLOOKUP($U$456,'TAR FIN'!$A$1:$O$88,15,0))*(1-0.06)</f>
        <v>271.56599999999997</v>
      </c>
      <c r="Y456" s="58"/>
      <c r="Z456" s="58">
        <f ca="1">('TUSD BE'!$AM$48+'TUSD BF_350'!$AM$48+'TUSD CVA'!$AM$48)*1*(1-0.03)</f>
        <v>339.89889150197632</v>
      </c>
      <c r="AA456" s="58">
        <f ca="1">('TE BE'!$AB$39+'TE BF_350'!$AB$39+'TE CVA'!$AB$39)*1*(1-0.03)</f>
        <v>201.40151459930209</v>
      </c>
      <c r="AB456" s="6">
        <f>$K$456*$V$456</f>
        <v>0</v>
      </c>
      <c r="AC456" s="6">
        <f>$M$456*$W$456</f>
        <v>5675.8672133999999</v>
      </c>
      <c r="AD456" s="6">
        <f>$O$456*$X$456</f>
        <v>6075.2029859999993</v>
      </c>
      <c r="AE456" s="6">
        <f>$K$456*$Y$456</f>
        <v>0</v>
      </c>
      <c r="AF456" s="6">
        <f ca="1">$M$456*$Z$456</f>
        <v>7603.8781017907122</v>
      </c>
      <c r="AG456" s="6">
        <f ca="1">$O$456*$AA$456</f>
        <v>4505.5532831009868</v>
      </c>
    </row>
    <row r="457" spans="1:33" ht="11.25" customHeight="1" x14ac:dyDescent="0.25">
      <c r="A457" s="4" t="s">
        <v>21</v>
      </c>
      <c r="B457" s="4" t="s">
        <v>36</v>
      </c>
      <c r="C457" s="4" t="s">
        <v>23</v>
      </c>
      <c r="D457" s="4" t="s">
        <v>47</v>
      </c>
      <c r="E457" s="4" t="s">
        <v>48</v>
      </c>
      <c r="F457" s="4" t="s">
        <v>25</v>
      </c>
      <c r="G457" s="4" t="s">
        <v>25</v>
      </c>
      <c r="H457" s="4" t="s">
        <v>25</v>
      </c>
      <c r="I457" s="5">
        <v>44562</v>
      </c>
      <c r="J457" s="6">
        <v>0</v>
      </c>
      <c r="K457" s="58">
        <v>0</v>
      </c>
      <c r="L457" s="6">
        <v>19.013000000000002</v>
      </c>
      <c r="M457" s="58">
        <v>19.013000000000002</v>
      </c>
      <c r="N457" s="6">
        <v>19.013000000000002</v>
      </c>
      <c r="O457" s="58">
        <v>19.013000000000002</v>
      </c>
      <c r="P457" s="6">
        <v>8</v>
      </c>
      <c r="Q457" s="4" t="s">
        <v>26</v>
      </c>
      <c r="R457" s="4">
        <v>0</v>
      </c>
      <c r="S457" s="6">
        <v>0</v>
      </c>
      <c r="T457" s="6">
        <v>65</v>
      </c>
      <c r="U457" s="6">
        <v>25</v>
      </c>
      <c r="V457" s="58">
        <f>IF(ISERROR(VLOOKUP($S$457,'TAR FIN'!$A$1:$O$88,15,0)),0,VLOOKUP($S$457,'TAR FIN'!$A$1:$O$88,15,0))</f>
        <v>0</v>
      </c>
      <c r="W457" s="58">
        <f>IF(ISERROR(VLOOKUP($T$457,'TAR FIN'!$A$1:$O$88,15,0)),0,VLOOKUP($T$457,'TAR FIN'!$A$1:$O$88,15,0))*(1-0.06)</f>
        <v>253.71540000000002</v>
      </c>
      <c r="X457" s="58">
        <f>IF(ISERROR(VLOOKUP($U$457,'TAR FIN'!$A$1:$O$88,15,0)),0,VLOOKUP($U$457,'TAR FIN'!$A$1:$O$88,15,0))*(1-0.06)</f>
        <v>271.56599999999997</v>
      </c>
      <c r="Y457" s="58"/>
      <c r="Z457" s="58">
        <f ca="1">('TUSD BE'!$AM$48+'TUSD BF_350'!$AM$48+'TUSD CVA'!$AM$48)*1*(1-0.03)</f>
        <v>339.89889150197632</v>
      </c>
      <c r="AA457" s="58">
        <f ca="1">('TE BE'!$AB$39+'TE BF_350'!$AB$39+'TE CVA'!$AB$39)*1*(1-0.03)</f>
        <v>201.40151459930209</v>
      </c>
      <c r="AB457" s="6">
        <f>$K$457*$V$457</f>
        <v>0</v>
      </c>
      <c r="AC457" s="6">
        <f>$M$457*$W$457</f>
        <v>4823.8909002000009</v>
      </c>
      <c r="AD457" s="6">
        <f>$O$457*$X$457</f>
        <v>5163.2843579999999</v>
      </c>
      <c r="AE457" s="6">
        <f>$K$457*$Y$457</f>
        <v>0</v>
      </c>
      <c r="AF457" s="6">
        <f ca="1">$M$457*$Z$457</f>
        <v>6462.4976241270761</v>
      </c>
      <c r="AG457" s="6">
        <f ca="1">$O$457*$AA$457</f>
        <v>3829.246997076531</v>
      </c>
    </row>
    <row r="458" spans="1:33" ht="11.25" customHeight="1" x14ac:dyDescent="0.25">
      <c r="A458" s="4" t="s">
        <v>21</v>
      </c>
      <c r="B458" s="4" t="s">
        <v>36</v>
      </c>
      <c r="C458" s="4" t="s">
        <v>23</v>
      </c>
      <c r="D458" s="4" t="s">
        <v>47</v>
      </c>
      <c r="E458" s="4" t="s">
        <v>48</v>
      </c>
      <c r="F458" s="4" t="s">
        <v>25</v>
      </c>
      <c r="G458" s="4" t="s">
        <v>25</v>
      </c>
      <c r="H458" s="4" t="s">
        <v>25</v>
      </c>
      <c r="I458" s="5">
        <v>44593</v>
      </c>
      <c r="J458" s="6">
        <v>0</v>
      </c>
      <c r="K458" s="58">
        <v>0</v>
      </c>
      <c r="L458" s="6">
        <v>17.38</v>
      </c>
      <c r="M458" s="58">
        <v>17.38</v>
      </c>
      <c r="N458" s="6">
        <v>17.38</v>
      </c>
      <c r="O458" s="58">
        <v>17.38</v>
      </c>
      <c r="P458" s="6">
        <v>8</v>
      </c>
      <c r="Q458" s="4" t="s">
        <v>26</v>
      </c>
      <c r="R458" s="4">
        <v>0</v>
      </c>
      <c r="S458" s="6">
        <v>0</v>
      </c>
      <c r="T458" s="6">
        <v>65</v>
      </c>
      <c r="U458" s="6">
        <v>25</v>
      </c>
      <c r="V458" s="58">
        <f>IF(ISERROR(VLOOKUP($S$458,'TAR FIN'!$A$1:$O$88,15,0)),0,VLOOKUP($S$458,'TAR FIN'!$A$1:$O$88,15,0))</f>
        <v>0</v>
      </c>
      <c r="W458" s="58">
        <f>IF(ISERROR(VLOOKUP($T$458,'TAR FIN'!$A$1:$O$88,15,0)),0,VLOOKUP($T$458,'TAR FIN'!$A$1:$O$88,15,0))*(1-0.06)</f>
        <v>253.71540000000002</v>
      </c>
      <c r="X458" s="58">
        <f>IF(ISERROR(VLOOKUP($U$458,'TAR FIN'!$A$1:$O$88,15,0)),0,VLOOKUP($U$458,'TAR FIN'!$A$1:$O$88,15,0))*(1-0.06)</f>
        <v>271.56599999999997</v>
      </c>
      <c r="Y458" s="58"/>
      <c r="Z458" s="58">
        <f ca="1">('TUSD BE'!$AM$48+'TUSD BF_350'!$AM$48+'TUSD CVA'!$AM$48)*1*(1-0.03)</f>
        <v>339.89889150197632</v>
      </c>
      <c r="AA458" s="58">
        <f ca="1">('TE BE'!$AB$39+'TE BF_350'!$AB$39+'TE CVA'!$AB$39)*1*(1-0.03)</f>
        <v>201.40151459930209</v>
      </c>
      <c r="AB458" s="6">
        <f>$K$458*$V$458</f>
        <v>0</v>
      </c>
      <c r="AC458" s="6">
        <f>$M$458*$W$458</f>
        <v>4409.573652</v>
      </c>
      <c r="AD458" s="6">
        <f>$O$458*$X$458</f>
        <v>4719.8170799999989</v>
      </c>
      <c r="AE458" s="6">
        <f>$K$458*$Y$458</f>
        <v>0</v>
      </c>
      <c r="AF458" s="6">
        <f ca="1">$M$458*$Z$458</f>
        <v>5907.4427343043481</v>
      </c>
      <c r="AG458" s="6">
        <f ca="1">$O$458*$AA$458</f>
        <v>3500.3583237358703</v>
      </c>
    </row>
    <row r="459" spans="1:33" ht="11.25" customHeight="1" x14ac:dyDescent="0.25">
      <c r="A459" s="4" t="s">
        <v>21</v>
      </c>
      <c r="B459" s="4" t="s">
        <v>36</v>
      </c>
      <c r="C459" s="4" t="s">
        <v>23</v>
      </c>
      <c r="D459" s="4" t="s">
        <v>47</v>
      </c>
      <c r="E459" s="4" t="s">
        <v>48</v>
      </c>
      <c r="F459" s="4" t="s">
        <v>25</v>
      </c>
      <c r="G459" s="4" t="s">
        <v>25</v>
      </c>
      <c r="H459" s="4" t="s">
        <v>25</v>
      </c>
      <c r="I459" s="5">
        <v>44621</v>
      </c>
      <c r="J459" s="6">
        <v>0</v>
      </c>
      <c r="K459" s="58">
        <v>0</v>
      </c>
      <c r="L459" s="6">
        <v>19.004999999999999</v>
      </c>
      <c r="M459" s="58">
        <v>19.004999999999999</v>
      </c>
      <c r="N459" s="6">
        <v>19.004999999999999</v>
      </c>
      <c r="O459" s="58">
        <v>19.004999999999999</v>
      </c>
      <c r="P459" s="6">
        <v>8</v>
      </c>
      <c r="Q459" s="4" t="s">
        <v>26</v>
      </c>
      <c r="R459" s="4">
        <v>0</v>
      </c>
      <c r="S459" s="6">
        <v>0</v>
      </c>
      <c r="T459" s="6">
        <v>65</v>
      </c>
      <c r="U459" s="6">
        <v>25</v>
      </c>
      <c r="V459" s="58">
        <f>IF(ISERROR(VLOOKUP($S$459,'TAR FIN'!$A$1:$O$88,15,0)),0,VLOOKUP($S$459,'TAR FIN'!$A$1:$O$88,15,0))</f>
        <v>0</v>
      </c>
      <c r="W459" s="58">
        <f>IF(ISERROR(VLOOKUP($T$459,'TAR FIN'!$A$1:$O$88,15,0)),0,VLOOKUP($T$459,'TAR FIN'!$A$1:$O$88,15,0))*(1-0.06)</f>
        <v>253.71540000000002</v>
      </c>
      <c r="X459" s="58">
        <f>IF(ISERROR(VLOOKUP($U$459,'TAR FIN'!$A$1:$O$88,15,0)),0,VLOOKUP($U$459,'TAR FIN'!$A$1:$O$88,15,0))*(1-0.06)</f>
        <v>271.56599999999997</v>
      </c>
      <c r="Y459" s="58"/>
      <c r="Z459" s="58">
        <f ca="1">('TUSD BE'!$AM$48+'TUSD BF_350'!$AM$48+'TUSD CVA'!$AM$48)*1*(1-0.03)</f>
        <v>339.89889150197632</v>
      </c>
      <c r="AA459" s="58">
        <f ca="1">('TE BE'!$AB$39+'TE BF_350'!$AB$39+'TE CVA'!$AB$39)*1*(1-0.03)</f>
        <v>201.40151459930209</v>
      </c>
      <c r="AB459" s="6">
        <f>$K$459*$V$459</f>
        <v>0</v>
      </c>
      <c r="AC459" s="6">
        <f>$M$459*$W$459</f>
        <v>4821.8611769999998</v>
      </c>
      <c r="AD459" s="6">
        <f>$O$459*$X$459</f>
        <v>5161.1118299999989</v>
      </c>
      <c r="AE459" s="6">
        <f>$K$459*$Y$459</f>
        <v>0</v>
      </c>
      <c r="AF459" s="6">
        <f ca="1">$M$459*$Z$459</f>
        <v>6459.77843299506</v>
      </c>
      <c r="AG459" s="6">
        <f ca="1">$O$459*$AA$459</f>
        <v>3827.6357849597362</v>
      </c>
    </row>
    <row r="460" spans="1:33" ht="11.25" customHeight="1" x14ac:dyDescent="0.25">
      <c r="A460" s="4" t="s">
        <v>21</v>
      </c>
      <c r="B460" s="4" t="s">
        <v>36</v>
      </c>
      <c r="C460" s="4" t="s">
        <v>23</v>
      </c>
      <c r="D460" s="4" t="s">
        <v>47</v>
      </c>
      <c r="E460" s="4" t="s">
        <v>48</v>
      </c>
      <c r="F460" s="4" t="s">
        <v>25</v>
      </c>
      <c r="G460" s="4" t="s">
        <v>25</v>
      </c>
      <c r="H460" s="4" t="s">
        <v>25</v>
      </c>
      <c r="I460" s="5">
        <v>44652</v>
      </c>
      <c r="J460" s="6">
        <v>0</v>
      </c>
      <c r="K460" s="58">
        <v>0</v>
      </c>
      <c r="L460" s="6">
        <v>17.613</v>
      </c>
      <c r="M460" s="58">
        <v>17.613</v>
      </c>
      <c r="N460" s="6">
        <v>17.613</v>
      </c>
      <c r="O460" s="58">
        <v>17.613</v>
      </c>
      <c r="P460" s="6">
        <v>8</v>
      </c>
      <c r="Q460" s="4" t="s">
        <v>26</v>
      </c>
      <c r="R460" s="4">
        <v>0</v>
      </c>
      <c r="S460" s="6">
        <v>0</v>
      </c>
      <c r="T460" s="6">
        <v>65</v>
      </c>
      <c r="U460" s="6">
        <v>25</v>
      </c>
      <c r="V460" s="58">
        <f>IF(ISERROR(VLOOKUP($S$460,'TAR FIN'!$A$1:$O$88,15,0)),0,VLOOKUP($S$460,'TAR FIN'!$A$1:$O$88,15,0))</f>
        <v>0</v>
      </c>
      <c r="W460" s="58">
        <f>IF(ISERROR(VLOOKUP($T$460,'TAR FIN'!$A$1:$O$88,15,0)),0,VLOOKUP($T$460,'TAR FIN'!$A$1:$O$88,15,0))*(1-0.06)</f>
        <v>253.71540000000002</v>
      </c>
      <c r="X460" s="58">
        <f>IF(ISERROR(VLOOKUP($U$460,'TAR FIN'!$A$1:$O$88,15,0)),0,VLOOKUP($U$460,'TAR FIN'!$A$1:$O$88,15,0))*(1-0.06)</f>
        <v>271.56599999999997</v>
      </c>
      <c r="Y460" s="58"/>
      <c r="Z460" s="58">
        <f ca="1">('TUSD BE'!$AM$48+'TUSD BF_350'!$AM$48+'TUSD CVA'!$AM$48)*1*(1-0.03)</f>
        <v>339.89889150197632</v>
      </c>
      <c r="AA460" s="58">
        <f ca="1">('TE BE'!$AB$39+'TE BF_350'!$AB$39+'TE CVA'!$AB$39)*1*(1-0.03)</f>
        <v>201.40151459930209</v>
      </c>
      <c r="AB460" s="6">
        <f>$K$460*$V$460</f>
        <v>0</v>
      </c>
      <c r="AC460" s="6">
        <f>$M$460*$W$460</f>
        <v>4468.6893402000005</v>
      </c>
      <c r="AD460" s="6">
        <f>$O$460*$X$460</f>
        <v>4783.0919579999991</v>
      </c>
      <c r="AE460" s="6">
        <f>$K$460*$Y$460</f>
        <v>0</v>
      </c>
      <c r="AF460" s="6">
        <f ca="1">$M$460*$Z$460</f>
        <v>5986.6391760243087</v>
      </c>
      <c r="AG460" s="6">
        <f ca="1">$O$460*$AA$460</f>
        <v>3547.2848766375078</v>
      </c>
    </row>
    <row r="461" spans="1:33" ht="11.25" customHeight="1" x14ac:dyDescent="0.25">
      <c r="A461" s="4" t="s">
        <v>21</v>
      </c>
      <c r="B461" s="4" t="s">
        <v>36</v>
      </c>
      <c r="C461" s="4" t="s">
        <v>23</v>
      </c>
      <c r="D461" s="4" t="s">
        <v>47</v>
      </c>
      <c r="E461" s="4" t="s">
        <v>48</v>
      </c>
      <c r="F461" s="4" t="s">
        <v>25</v>
      </c>
      <c r="G461" s="4" t="s">
        <v>25</v>
      </c>
      <c r="H461" s="4" t="s">
        <v>25</v>
      </c>
      <c r="I461" s="5">
        <v>44682</v>
      </c>
      <c r="J461" s="6">
        <v>0</v>
      </c>
      <c r="K461" s="58">
        <v>0</v>
      </c>
      <c r="L461" s="6">
        <v>15.208</v>
      </c>
      <c r="M461" s="58">
        <v>15.208</v>
      </c>
      <c r="N461" s="6">
        <v>15.208</v>
      </c>
      <c r="O461" s="58">
        <v>15.208</v>
      </c>
      <c r="P461" s="6">
        <v>8</v>
      </c>
      <c r="Q461" s="4" t="s">
        <v>26</v>
      </c>
      <c r="R461" s="4">
        <v>0</v>
      </c>
      <c r="S461" s="6">
        <v>0</v>
      </c>
      <c r="T461" s="6">
        <v>65</v>
      </c>
      <c r="U461" s="6">
        <v>25</v>
      </c>
      <c r="V461" s="58">
        <f>IF(ISERROR(VLOOKUP($S$461,'TAR FIN'!$A$1:$O$88,15,0)),0,VLOOKUP($S$461,'TAR FIN'!$A$1:$O$88,15,0))</f>
        <v>0</v>
      </c>
      <c r="W461" s="58">
        <f>IF(ISERROR(VLOOKUP($T$461,'TAR FIN'!$A$1:$O$88,15,0)),0,VLOOKUP($T$461,'TAR FIN'!$A$1:$O$88,15,0))*(1-0.06)</f>
        <v>253.71540000000002</v>
      </c>
      <c r="X461" s="58">
        <f>IF(ISERROR(VLOOKUP($U$461,'TAR FIN'!$A$1:$O$88,15,0)),0,VLOOKUP($U$461,'TAR FIN'!$A$1:$O$88,15,0))*(1-0.06)</f>
        <v>271.56599999999997</v>
      </c>
      <c r="Y461" s="58"/>
      <c r="Z461" s="58">
        <f ca="1">('TUSD BE'!$AM$48+'TUSD BF_350'!$AM$48+'TUSD CVA'!$AM$48)*1*(1-0.03)</f>
        <v>339.89889150197632</v>
      </c>
      <c r="AA461" s="58">
        <f ca="1">('TE BE'!$AB$39+'TE BF_350'!$AB$39+'TE CVA'!$AB$39)*1*(1-0.03)</f>
        <v>201.40151459930209</v>
      </c>
      <c r="AB461" s="6">
        <f>$K$461*$V$461</f>
        <v>0</v>
      </c>
      <c r="AC461" s="6">
        <f>$M$461*$W$461</f>
        <v>3858.5038032000002</v>
      </c>
      <c r="AD461" s="6">
        <f>$O$461*$X$461</f>
        <v>4129.9757279999994</v>
      </c>
      <c r="AE461" s="6">
        <f>$K$461*$Y$461</f>
        <v>0</v>
      </c>
      <c r="AF461" s="6">
        <f ca="1">$M$461*$Z$461</f>
        <v>5169.1823419620559</v>
      </c>
      <c r="AG461" s="6">
        <f ca="1">$O$461*$AA$461</f>
        <v>3062.914234026186</v>
      </c>
    </row>
    <row r="462" spans="1:33" ht="11.25" customHeight="1" x14ac:dyDescent="0.25">
      <c r="A462" s="4" t="s">
        <v>21</v>
      </c>
      <c r="B462" s="4" t="s">
        <v>36</v>
      </c>
      <c r="C462" s="4" t="s">
        <v>23</v>
      </c>
      <c r="D462" s="4" t="s">
        <v>47</v>
      </c>
      <c r="E462" s="4" t="s">
        <v>48</v>
      </c>
      <c r="F462" s="4" t="s">
        <v>25</v>
      </c>
      <c r="G462" s="4" t="s">
        <v>25</v>
      </c>
      <c r="H462" s="4" t="s">
        <v>25</v>
      </c>
      <c r="I462" s="5">
        <v>44713</v>
      </c>
      <c r="J462" s="6">
        <v>0</v>
      </c>
      <c r="K462" s="58">
        <v>0</v>
      </c>
      <c r="L462" s="6">
        <v>15.242000000000001</v>
      </c>
      <c r="M462" s="58">
        <v>15.242000000000001</v>
      </c>
      <c r="N462" s="6">
        <v>15.242000000000001</v>
      </c>
      <c r="O462" s="58">
        <v>15.242000000000001</v>
      </c>
      <c r="P462" s="6">
        <v>8</v>
      </c>
      <c r="Q462" s="4" t="s">
        <v>26</v>
      </c>
      <c r="R462" s="4">
        <v>0</v>
      </c>
      <c r="S462" s="6">
        <v>0</v>
      </c>
      <c r="T462" s="6">
        <v>65</v>
      </c>
      <c r="U462" s="6">
        <v>25</v>
      </c>
      <c r="V462" s="58">
        <f>IF(ISERROR(VLOOKUP($S$462,'TAR FIN'!$A$1:$O$88,15,0)),0,VLOOKUP($S$462,'TAR FIN'!$A$1:$O$88,15,0))</f>
        <v>0</v>
      </c>
      <c r="W462" s="58">
        <f>IF(ISERROR(VLOOKUP($T$462,'TAR FIN'!$A$1:$O$88,15,0)),0,VLOOKUP($T$462,'TAR FIN'!$A$1:$O$88,15,0))*(1-0.06)</f>
        <v>253.71540000000002</v>
      </c>
      <c r="X462" s="58">
        <f>IF(ISERROR(VLOOKUP($U$462,'TAR FIN'!$A$1:$O$88,15,0)),0,VLOOKUP($U$462,'TAR FIN'!$A$1:$O$88,15,0))*(1-0.06)</f>
        <v>271.56599999999997</v>
      </c>
      <c r="Y462" s="58"/>
      <c r="Z462" s="58">
        <f ca="1">('TUSD BE'!$AM$48+'TUSD BF_350'!$AM$48+'TUSD CVA'!$AM$48)*1*(1-0.03)</f>
        <v>339.89889150197632</v>
      </c>
      <c r="AA462" s="58">
        <f ca="1">('TE BE'!$AB$39+'TE BF_350'!$AB$39+'TE CVA'!$AB$39)*1*(1-0.03)</f>
        <v>201.40151459930209</v>
      </c>
      <c r="AB462" s="6">
        <f>$K$462*$V$462</f>
        <v>0</v>
      </c>
      <c r="AC462" s="6">
        <f>$M$462*$W$462</f>
        <v>3867.1301268000007</v>
      </c>
      <c r="AD462" s="6">
        <f>$O$462*$X$462</f>
        <v>4139.2089719999994</v>
      </c>
      <c r="AE462" s="6">
        <f>$K$462*$Y$462</f>
        <v>0</v>
      </c>
      <c r="AF462" s="6">
        <f ca="1">$M$462*$Z$462</f>
        <v>5180.7389042731238</v>
      </c>
      <c r="AG462" s="6">
        <f ca="1">$O$462*$AA$462</f>
        <v>3069.7618855225628</v>
      </c>
    </row>
    <row r="463" spans="1:33" ht="11.25" customHeight="1" x14ac:dyDescent="0.25">
      <c r="A463" s="4" t="s">
        <v>55</v>
      </c>
      <c r="B463" s="4" t="s">
        <v>36</v>
      </c>
      <c r="C463" s="4" t="s">
        <v>23</v>
      </c>
      <c r="D463" s="4" t="s">
        <v>47</v>
      </c>
      <c r="E463" s="4" t="s">
        <v>48</v>
      </c>
      <c r="F463" s="4" t="s">
        <v>25</v>
      </c>
      <c r="G463" s="4" t="s">
        <v>25</v>
      </c>
      <c r="H463" s="4" t="s">
        <v>25</v>
      </c>
      <c r="I463" s="5">
        <v>44743</v>
      </c>
      <c r="J463" s="6">
        <v>0</v>
      </c>
      <c r="K463" s="58">
        <v>0</v>
      </c>
      <c r="L463" s="6">
        <v>15.242000000000001</v>
      </c>
      <c r="M463" s="58">
        <v>15.242000000000001</v>
      </c>
      <c r="N463" s="6">
        <v>15.242000000000001</v>
      </c>
      <c r="O463" s="58">
        <v>15.242000000000001</v>
      </c>
      <c r="P463" s="6">
        <v>8</v>
      </c>
      <c r="Q463" s="4" t="s">
        <v>26</v>
      </c>
      <c r="R463" s="4">
        <v>0</v>
      </c>
      <c r="S463" s="6">
        <v>0</v>
      </c>
      <c r="T463" s="6">
        <v>65</v>
      </c>
      <c r="U463" s="6">
        <v>25</v>
      </c>
      <c r="V463" s="58">
        <f>IF(ISERROR(VLOOKUP($S$463,'TAR FIN'!$A$1:$O$88,15,0)),0,VLOOKUP($S$463,'TAR FIN'!$A$1:$O$88,15,0))</f>
        <v>0</v>
      </c>
      <c r="W463" s="58">
        <f>IF(ISERROR(VLOOKUP($T$463,'TAR FIN'!$A$1:$O$88,15,0)),0,VLOOKUP($T$463,'TAR FIN'!$A$1:$O$88,15,0))*(1-0.06)</f>
        <v>253.71540000000002</v>
      </c>
      <c r="X463" s="58">
        <f>IF(ISERROR(VLOOKUP($U$463,'TAR FIN'!$A$1:$O$88,15,0)),0,VLOOKUP($U$463,'TAR FIN'!$A$1:$O$88,15,0))*(1-0.06)</f>
        <v>271.56599999999997</v>
      </c>
      <c r="Y463" s="58"/>
      <c r="Z463" s="58">
        <f ca="1">('TUSD BE'!$AM$48+'TUSD BF_350'!$AM$48+'TUSD CVA'!$AM$48)*1*(1-0.03)</f>
        <v>339.89889150197632</v>
      </c>
      <c r="AA463" s="58">
        <f ca="1">('TE BE'!$AB$39+'TE BF_350'!$AB$39+'TE CVA'!$AB$39)*1*(1-0.03)</f>
        <v>201.40151459930209</v>
      </c>
      <c r="AB463" s="6">
        <f>$K$463*$V$463</f>
        <v>0</v>
      </c>
      <c r="AC463" s="6">
        <f>$M$463*$W$463</f>
        <v>3867.1301268000007</v>
      </c>
      <c r="AD463" s="6">
        <f>$O$463*$X$463</f>
        <v>4139.2089719999994</v>
      </c>
      <c r="AE463" s="6">
        <f>$K$463*$Y$463</f>
        <v>0</v>
      </c>
      <c r="AF463" s="6">
        <f ca="1">$M$463*$Z$463</f>
        <v>5180.7389042731238</v>
      </c>
      <c r="AG463" s="6">
        <f ca="1">$O$463*$AA$463</f>
        <v>3069.7618855225628</v>
      </c>
    </row>
    <row r="464" spans="1:33" ht="11.25" customHeight="1" x14ac:dyDescent="0.25">
      <c r="A464" s="4" t="s">
        <v>21</v>
      </c>
      <c r="B464" s="4" t="s">
        <v>44</v>
      </c>
      <c r="C464" s="4" t="s">
        <v>23</v>
      </c>
      <c r="D464" s="4" t="s">
        <v>45</v>
      </c>
      <c r="E464" s="4" t="s">
        <v>46</v>
      </c>
      <c r="F464" s="4" t="s">
        <v>25</v>
      </c>
      <c r="G464" s="4" t="s">
        <v>25</v>
      </c>
      <c r="H464" s="4" t="s">
        <v>25</v>
      </c>
      <c r="I464" s="5">
        <v>44409</v>
      </c>
      <c r="J464" s="6">
        <v>0</v>
      </c>
      <c r="K464" s="6">
        <v>0</v>
      </c>
      <c r="L464" s="6">
        <v>137.149</v>
      </c>
      <c r="M464" s="6">
        <v>137.149</v>
      </c>
      <c r="N464" s="6">
        <v>137.149</v>
      </c>
      <c r="O464" s="6">
        <v>137.149</v>
      </c>
      <c r="P464" s="6">
        <v>1</v>
      </c>
      <c r="Q464" s="4" t="s">
        <v>26</v>
      </c>
      <c r="R464" s="4">
        <v>0</v>
      </c>
      <c r="S464" s="6">
        <v>0</v>
      </c>
      <c r="T464" s="6">
        <v>68</v>
      </c>
      <c r="U464" s="6">
        <v>29</v>
      </c>
      <c r="V464" s="6">
        <f>IF(ISERROR(VLOOKUP($S$464,'TAR FIN'!$A$1:$O$88,15,0)),0,VLOOKUP($S$464,'TAR FIN'!$A$1:$O$88,15,0))</f>
        <v>0</v>
      </c>
      <c r="W464" s="6">
        <f>IF(ISERROR(VLOOKUP($T$464,'TAR FIN'!$A$1:$O$88,15,0)),0,VLOOKUP($T$464,'TAR FIN'!$A$1:$O$88,15,0))</f>
        <v>161.94999999999999</v>
      </c>
      <c r="X464" s="6">
        <f>IF(ISERROR(VLOOKUP($U$464,'TAR FIN'!$A$1:$O$88,15,0)),0,VLOOKUP($U$464,'TAR FIN'!$A$1:$O$88,15,0))</f>
        <v>173.34</v>
      </c>
      <c r="Y464" s="6"/>
      <c r="Z464" s="6">
        <f ca="1">('TUSD BE'!$AM$51+'TUSD BF_350'!$AM$51+'TUSD CVA'!$AM$51)*1</f>
        <v>210.24673701153174</v>
      </c>
      <c r="AA464" s="6">
        <f ca="1">('TE BE'!$AB$42+'TE BF_350'!$AB$42+'TE CVA'!$AB$42)*1</f>
        <v>124.57825645317655</v>
      </c>
      <c r="AB464" s="6">
        <f>$K$464*$V$464</f>
        <v>0</v>
      </c>
      <c r="AC464" s="6">
        <f>$M$464*$W$464</f>
        <v>22211.280549999999</v>
      </c>
      <c r="AD464" s="6">
        <f>$O$464*$X$464</f>
        <v>23773.407660000001</v>
      </c>
      <c r="AE464" s="6">
        <f>$K$464*$Y$464</f>
        <v>0</v>
      </c>
      <c r="AF464" s="6">
        <f ca="1">$M$464*$Z$464</f>
        <v>28835.129734394566</v>
      </c>
      <c r="AG464" s="6">
        <f ca="1">$O$464*$AA$464</f>
        <v>17085.783294296711</v>
      </c>
    </row>
    <row r="465" spans="1:33" ht="11.25" customHeight="1" x14ac:dyDescent="0.25">
      <c r="A465" s="4" t="s">
        <v>21</v>
      </c>
      <c r="B465" s="4" t="s">
        <v>44</v>
      </c>
      <c r="C465" s="4" t="s">
        <v>23</v>
      </c>
      <c r="D465" s="4" t="s">
        <v>45</v>
      </c>
      <c r="E465" s="4" t="s">
        <v>46</v>
      </c>
      <c r="F465" s="4" t="s">
        <v>25</v>
      </c>
      <c r="G465" s="4" t="s">
        <v>25</v>
      </c>
      <c r="H465" s="4" t="s">
        <v>25</v>
      </c>
      <c r="I465" s="5">
        <v>44440</v>
      </c>
      <c r="J465" s="6">
        <v>0</v>
      </c>
      <c r="K465" s="6">
        <v>0</v>
      </c>
      <c r="L465" s="6">
        <v>137.149</v>
      </c>
      <c r="M465" s="6">
        <v>137.149</v>
      </c>
      <c r="N465" s="6">
        <v>137.149</v>
      </c>
      <c r="O465" s="6">
        <v>137.149</v>
      </c>
      <c r="P465" s="6">
        <v>1</v>
      </c>
      <c r="Q465" s="4" t="s">
        <v>26</v>
      </c>
      <c r="R465" s="4">
        <v>0</v>
      </c>
      <c r="S465" s="6">
        <v>0</v>
      </c>
      <c r="T465" s="6">
        <v>68</v>
      </c>
      <c r="U465" s="6">
        <v>29</v>
      </c>
      <c r="V465" s="6">
        <f>IF(ISERROR(VLOOKUP($S$465,'TAR FIN'!$A$1:$O$88,15,0)),0,VLOOKUP($S$465,'TAR FIN'!$A$1:$O$88,15,0))</f>
        <v>0</v>
      </c>
      <c r="W465" s="6">
        <f>IF(ISERROR(VLOOKUP($T$465,'TAR FIN'!$A$1:$O$88,15,0)),0,VLOOKUP($T$465,'TAR FIN'!$A$1:$O$88,15,0))</f>
        <v>161.94999999999999</v>
      </c>
      <c r="X465" s="6">
        <f>IF(ISERROR(VLOOKUP($U$465,'TAR FIN'!$A$1:$O$88,15,0)),0,VLOOKUP($U$465,'TAR FIN'!$A$1:$O$88,15,0))</f>
        <v>173.34</v>
      </c>
      <c r="Y465" s="6"/>
      <c r="Z465" s="6">
        <f ca="1">('TUSD BE'!$AM$51+'TUSD BF_350'!$AM$51+'TUSD CVA'!$AM$51)*1</f>
        <v>210.24673701153174</v>
      </c>
      <c r="AA465" s="6">
        <f ca="1">('TE BE'!$AB$42+'TE BF_350'!$AB$42+'TE CVA'!$AB$42)*1</f>
        <v>124.57825645317655</v>
      </c>
      <c r="AB465" s="6">
        <f>$K$465*$V$465</f>
        <v>0</v>
      </c>
      <c r="AC465" s="6">
        <f>$M$465*$W$465</f>
        <v>22211.280549999999</v>
      </c>
      <c r="AD465" s="6">
        <f>$O$465*$X$465</f>
        <v>23773.407660000001</v>
      </c>
      <c r="AE465" s="6">
        <f>$K$465*$Y$465</f>
        <v>0</v>
      </c>
      <c r="AF465" s="6">
        <f ca="1">$M$465*$Z$465</f>
        <v>28835.129734394566</v>
      </c>
      <c r="AG465" s="6">
        <f ca="1">$O$465*$AA$465</f>
        <v>17085.783294296711</v>
      </c>
    </row>
    <row r="466" spans="1:33" ht="11.25" customHeight="1" x14ac:dyDescent="0.25">
      <c r="A466" s="4" t="s">
        <v>21</v>
      </c>
      <c r="B466" s="4" t="s">
        <v>44</v>
      </c>
      <c r="C466" s="4" t="s">
        <v>23</v>
      </c>
      <c r="D466" s="4" t="s">
        <v>45</v>
      </c>
      <c r="E466" s="4" t="s">
        <v>46</v>
      </c>
      <c r="F466" s="4" t="s">
        <v>25</v>
      </c>
      <c r="G466" s="4" t="s">
        <v>25</v>
      </c>
      <c r="H466" s="4" t="s">
        <v>25</v>
      </c>
      <c r="I466" s="5">
        <v>44470</v>
      </c>
      <c r="J466" s="6">
        <v>0</v>
      </c>
      <c r="K466" s="6">
        <v>0</v>
      </c>
      <c r="L466" s="6">
        <v>137.149</v>
      </c>
      <c r="M466" s="6">
        <v>137.149</v>
      </c>
      <c r="N466" s="6">
        <v>137.149</v>
      </c>
      <c r="O466" s="6">
        <v>137.149</v>
      </c>
      <c r="P466" s="6">
        <v>1</v>
      </c>
      <c r="Q466" s="4" t="s">
        <v>26</v>
      </c>
      <c r="R466" s="4">
        <v>0</v>
      </c>
      <c r="S466" s="6">
        <v>0</v>
      </c>
      <c r="T466" s="6">
        <v>68</v>
      </c>
      <c r="U466" s="6">
        <v>29</v>
      </c>
      <c r="V466" s="6">
        <f>IF(ISERROR(VLOOKUP($S$466,'TAR FIN'!$A$1:$O$88,15,0)),0,VLOOKUP($S$466,'TAR FIN'!$A$1:$O$88,15,0))</f>
        <v>0</v>
      </c>
      <c r="W466" s="6">
        <f>IF(ISERROR(VLOOKUP($T$466,'TAR FIN'!$A$1:$O$88,15,0)),0,VLOOKUP($T$466,'TAR FIN'!$A$1:$O$88,15,0))</f>
        <v>161.94999999999999</v>
      </c>
      <c r="X466" s="6">
        <f>IF(ISERROR(VLOOKUP($U$466,'TAR FIN'!$A$1:$O$88,15,0)),0,VLOOKUP($U$466,'TAR FIN'!$A$1:$O$88,15,0))</f>
        <v>173.34</v>
      </c>
      <c r="Y466" s="6"/>
      <c r="Z466" s="6">
        <f ca="1">('TUSD BE'!$AM$51+'TUSD BF_350'!$AM$51+'TUSD CVA'!$AM$51)*1</f>
        <v>210.24673701153174</v>
      </c>
      <c r="AA466" s="6">
        <f ca="1">('TE BE'!$AB$42+'TE BF_350'!$AB$42+'TE CVA'!$AB$42)*1</f>
        <v>124.57825645317655</v>
      </c>
      <c r="AB466" s="6">
        <f>$K$466*$V$466</f>
        <v>0</v>
      </c>
      <c r="AC466" s="6">
        <f>$M$466*$W$466</f>
        <v>22211.280549999999</v>
      </c>
      <c r="AD466" s="6">
        <f>$O$466*$X$466</f>
        <v>23773.407660000001</v>
      </c>
      <c r="AE466" s="6">
        <f>$K$466*$Y$466</f>
        <v>0</v>
      </c>
      <c r="AF466" s="6">
        <f ca="1">$M$466*$Z$466</f>
        <v>28835.129734394566</v>
      </c>
      <c r="AG466" s="6">
        <f ca="1">$O$466*$AA$466</f>
        <v>17085.783294296711</v>
      </c>
    </row>
    <row r="467" spans="1:33" ht="11.25" customHeight="1" x14ac:dyDescent="0.25">
      <c r="A467" s="4" t="s">
        <v>21</v>
      </c>
      <c r="B467" s="4" t="s">
        <v>44</v>
      </c>
      <c r="C467" s="4" t="s">
        <v>23</v>
      </c>
      <c r="D467" s="4" t="s">
        <v>45</v>
      </c>
      <c r="E467" s="4" t="s">
        <v>46</v>
      </c>
      <c r="F467" s="4" t="s">
        <v>25</v>
      </c>
      <c r="G467" s="4" t="s">
        <v>25</v>
      </c>
      <c r="H467" s="4" t="s">
        <v>25</v>
      </c>
      <c r="I467" s="5">
        <v>44501</v>
      </c>
      <c r="J467" s="6">
        <v>0</v>
      </c>
      <c r="K467" s="6">
        <v>0</v>
      </c>
      <c r="L467" s="6">
        <v>137.52600000000001</v>
      </c>
      <c r="M467" s="6">
        <v>137.52600000000001</v>
      </c>
      <c r="N467" s="6">
        <v>137.52600000000001</v>
      </c>
      <c r="O467" s="6">
        <v>137.52600000000001</v>
      </c>
      <c r="P467" s="6">
        <v>1</v>
      </c>
      <c r="Q467" s="4" t="s">
        <v>26</v>
      </c>
      <c r="R467" s="4">
        <v>0</v>
      </c>
      <c r="S467" s="6">
        <v>0</v>
      </c>
      <c r="T467" s="6">
        <v>68</v>
      </c>
      <c r="U467" s="6">
        <v>29</v>
      </c>
      <c r="V467" s="6">
        <f>IF(ISERROR(VLOOKUP($S$467,'TAR FIN'!$A$1:$O$88,15,0)),0,VLOOKUP($S$467,'TAR FIN'!$A$1:$O$88,15,0))</f>
        <v>0</v>
      </c>
      <c r="W467" s="6">
        <f>IF(ISERROR(VLOOKUP($T$467,'TAR FIN'!$A$1:$O$88,15,0)),0,VLOOKUP($T$467,'TAR FIN'!$A$1:$O$88,15,0))</f>
        <v>161.94999999999999</v>
      </c>
      <c r="X467" s="6">
        <f>IF(ISERROR(VLOOKUP($U$467,'TAR FIN'!$A$1:$O$88,15,0)),0,VLOOKUP($U$467,'TAR FIN'!$A$1:$O$88,15,0))</f>
        <v>173.34</v>
      </c>
      <c r="Y467" s="6"/>
      <c r="Z467" s="6">
        <f ca="1">('TUSD BE'!$AM$51+'TUSD BF_350'!$AM$51+'TUSD CVA'!$AM$51)*1</f>
        <v>210.24673701153174</v>
      </c>
      <c r="AA467" s="6">
        <f ca="1">('TE BE'!$AB$42+'TE BF_350'!$AB$42+'TE CVA'!$AB$42)*1</f>
        <v>124.57825645317655</v>
      </c>
      <c r="AB467" s="6">
        <f>$K$467*$V$467</f>
        <v>0</v>
      </c>
      <c r="AC467" s="6">
        <f>$M$467*$W$467</f>
        <v>22272.3357</v>
      </c>
      <c r="AD467" s="6">
        <f>$O$467*$X$467</f>
        <v>23838.756840000002</v>
      </c>
      <c r="AE467" s="6">
        <f>$K$467*$Y$467</f>
        <v>0</v>
      </c>
      <c r="AF467" s="6">
        <f ca="1">$M$467*$Z$467</f>
        <v>28914.392754247914</v>
      </c>
      <c r="AG467" s="6">
        <f ca="1">$O$467*$AA$467</f>
        <v>17132.74929697956</v>
      </c>
    </row>
    <row r="468" spans="1:33" ht="11.25" customHeight="1" x14ac:dyDescent="0.25">
      <c r="A468" s="4" t="s">
        <v>21</v>
      </c>
      <c r="B468" s="4" t="s">
        <v>44</v>
      </c>
      <c r="C468" s="4" t="s">
        <v>23</v>
      </c>
      <c r="D468" s="4" t="s">
        <v>45</v>
      </c>
      <c r="E468" s="4" t="s">
        <v>46</v>
      </c>
      <c r="F468" s="4" t="s">
        <v>25</v>
      </c>
      <c r="G468" s="4" t="s">
        <v>25</v>
      </c>
      <c r="H468" s="4" t="s">
        <v>25</v>
      </c>
      <c r="I468" s="5">
        <v>44531</v>
      </c>
      <c r="J468" s="6">
        <v>0</v>
      </c>
      <c r="K468" s="6">
        <v>0</v>
      </c>
      <c r="L468" s="6">
        <v>137.52600000000001</v>
      </c>
      <c r="M468" s="6">
        <v>137.52600000000001</v>
      </c>
      <c r="N468" s="6">
        <v>137.52600000000001</v>
      </c>
      <c r="O468" s="6">
        <v>137.52600000000001</v>
      </c>
      <c r="P468" s="6">
        <v>1</v>
      </c>
      <c r="Q468" s="4" t="s">
        <v>26</v>
      </c>
      <c r="R468" s="4">
        <v>0</v>
      </c>
      <c r="S468" s="6">
        <v>0</v>
      </c>
      <c r="T468" s="6">
        <v>68</v>
      </c>
      <c r="U468" s="6">
        <v>29</v>
      </c>
      <c r="V468" s="6">
        <f>IF(ISERROR(VLOOKUP($S$468,'TAR FIN'!$A$1:$O$88,15,0)),0,VLOOKUP($S$468,'TAR FIN'!$A$1:$O$88,15,0))</f>
        <v>0</v>
      </c>
      <c r="W468" s="6">
        <f>IF(ISERROR(VLOOKUP($T$468,'TAR FIN'!$A$1:$O$88,15,0)),0,VLOOKUP($T$468,'TAR FIN'!$A$1:$O$88,15,0))</f>
        <v>161.94999999999999</v>
      </c>
      <c r="X468" s="6">
        <f>IF(ISERROR(VLOOKUP($U$468,'TAR FIN'!$A$1:$O$88,15,0)),0,VLOOKUP($U$468,'TAR FIN'!$A$1:$O$88,15,0))</f>
        <v>173.34</v>
      </c>
      <c r="Y468" s="6"/>
      <c r="Z468" s="6">
        <f ca="1">('TUSD BE'!$AM$51+'TUSD BF_350'!$AM$51+'TUSD CVA'!$AM$51)*1</f>
        <v>210.24673701153174</v>
      </c>
      <c r="AA468" s="6">
        <f ca="1">('TE BE'!$AB$42+'TE BF_350'!$AB$42+'TE CVA'!$AB$42)*1</f>
        <v>124.57825645317655</v>
      </c>
      <c r="AB468" s="6">
        <f>$K$468*$V$468</f>
        <v>0</v>
      </c>
      <c r="AC468" s="6">
        <f>$M$468*$W$468</f>
        <v>22272.3357</v>
      </c>
      <c r="AD468" s="6">
        <f>$O$468*$X$468</f>
        <v>23838.756840000002</v>
      </c>
      <c r="AE468" s="6">
        <f>$K$468*$Y$468</f>
        <v>0</v>
      </c>
      <c r="AF468" s="6">
        <f ca="1">$M$468*$Z$468</f>
        <v>28914.392754247914</v>
      </c>
      <c r="AG468" s="6">
        <f ca="1">$O$468*$AA$468</f>
        <v>17132.74929697956</v>
      </c>
    </row>
    <row r="469" spans="1:33" ht="11.25" customHeight="1" x14ac:dyDescent="0.25">
      <c r="A469" s="4" t="s">
        <v>21</v>
      </c>
      <c r="B469" s="4" t="s">
        <v>44</v>
      </c>
      <c r="C469" s="4" t="s">
        <v>23</v>
      </c>
      <c r="D469" s="4" t="s">
        <v>45</v>
      </c>
      <c r="E469" s="4" t="s">
        <v>46</v>
      </c>
      <c r="F469" s="4" t="s">
        <v>25</v>
      </c>
      <c r="G469" s="4" t="s">
        <v>25</v>
      </c>
      <c r="H469" s="4" t="s">
        <v>25</v>
      </c>
      <c r="I469" s="5">
        <v>44562</v>
      </c>
      <c r="J469" s="6">
        <v>0</v>
      </c>
      <c r="K469" s="6">
        <v>0</v>
      </c>
      <c r="L469" s="6">
        <v>138.613</v>
      </c>
      <c r="M469" s="6">
        <v>138.613</v>
      </c>
      <c r="N469" s="6">
        <v>138.613</v>
      </c>
      <c r="O469" s="6">
        <v>138.613</v>
      </c>
      <c r="P469" s="6">
        <v>1</v>
      </c>
      <c r="Q469" s="4" t="s">
        <v>26</v>
      </c>
      <c r="R469" s="4">
        <v>0</v>
      </c>
      <c r="S469" s="6">
        <v>0</v>
      </c>
      <c r="T469" s="6">
        <v>68</v>
      </c>
      <c r="U469" s="6">
        <v>29</v>
      </c>
      <c r="V469" s="6">
        <f>IF(ISERROR(VLOOKUP($S$469,'TAR FIN'!$A$1:$O$88,15,0)),0,VLOOKUP($S$469,'TAR FIN'!$A$1:$O$88,15,0))</f>
        <v>0</v>
      </c>
      <c r="W469" s="6">
        <f>IF(ISERROR(VLOOKUP($T$469,'TAR FIN'!$A$1:$O$88,15,0)),0,VLOOKUP($T$469,'TAR FIN'!$A$1:$O$88,15,0))</f>
        <v>161.94999999999999</v>
      </c>
      <c r="X469" s="6">
        <f>IF(ISERROR(VLOOKUP($U$469,'TAR FIN'!$A$1:$O$88,15,0)),0,VLOOKUP($U$469,'TAR FIN'!$A$1:$O$88,15,0))</f>
        <v>173.34</v>
      </c>
      <c r="Y469" s="6"/>
      <c r="Z469" s="6">
        <f ca="1">('TUSD BE'!$AM$51+'TUSD BF_350'!$AM$51+'TUSD CVA'!$AM$51)*1</f>
        <v>210.24673701153174</v>
      </c>
      <c r="AA469" s="6">
        <f ca="1">('TE BE'!$AB$42+'TE BF_350'!$AB$42+'TE CVA'!$AB$42)*1</f>
        <v>124.57825645317655</v>
      </c>
      <c r="AB469" s="6">
        <f>$K$469*$V$469</f>
        <v>0</v>
      </c>
      <c r="AC469" s="6">
        <f>$M$469*$W$469</f>
        <v>22448.375349999998</v>
      </c>
      <c r="AD469" s="6">
        <f>$O$469*$X$469</f>
        <v>24027.17742</v>
      </c>
      <c r="AE469" s="6">
        <f>$K$469*$Y$469</f>
        <v>0</v>
      </c>
      <c r="AF469" s="6">
        <f ca="1">$M$469*$Z$469</f>
        <v>29142.930957379449</v>
      </c>
      <c r="AG469" s="6">
        <f ca="1">$O$469*$AA$469</f>
        <v>17268.165861744161</v>
      </c>
    </row>
    <row r="470" spans="1:33" ht="11.25" customHeight="1" x14ac:dyDescent="0.25">
      <c r="A470" s="4" t="s">
        <v>21</v>
      </c>
      <c r="B470" s="4" t="s">
        <v>44</v>
      </c>
      <c r="C470" s="4" t="s">
        <v>23</v>
      </c>
      <c r="D470" s="4" t="s">
        <v>45</v>
      </c>
      <c r="E470" s="4" t="s">
        <v>46</v>
      </c>
      <c r="F470" s="4" t="s">
        <v>25</v>
      </c>
      <c r="G470" s="4" t="s">
        <v>25</v>
      </c>
      <c r="H470" s="4" t="s">
        <v>25</v>
      </c>
      <c r="I470" s="5">
        <v>44593</v>
      </c>
      <c r="J470" s="6">
        <v>0</v>
      </c>
      <c r="K470" s="6">
        <v>0</v>
      </c>
      <c r="L470" s="6">
        <v>138.547</v>
      </c>
      <c r="M470" s="6">
        <v>138.547</v>
      </c>
      <c r="N470" s="6">
        <v>138.547</v>
      </c>
      <c r="O470" s="6">
        <v>138.547</v>
      </c>
      <c r="P470" s="6">
        <v>1</v>
      </c>
      <c r="Q470" s="4" t="s">
        <v>26</v>
      </c>
      <c r="R470" s="4">
        <v>0</v>
      </c>
      <c r="S470" s="6">
        <v>0</v>
      </c>
      <c r="T470" s="6">
        <v>68</v>
      </c>
      <c r="U470" s="6">
        <v>29</v>
      </c>
      <c r="V470" s="6">
        <f>IF(ISERROR(VLOOKUP($S$470,'TAR FIN'!$A$1:$O$88,15,0)),0,VLOOKUP($S$470,'TAR FIN'!$A$1:$O$88,15,0))</f>
        <v>0</v>
      </c>
      <c r="W470" s="6">
        <f>IF(ISERROR(VLOOKUP($T$470,'TAR FIN'!$A$1:$O$88,15,0)),0,VLOOKUP($T$470,'TAR FIN'!$A$1:$O$88,15,0))</f>
        <v>161.94999999999999</v>
      </c>
      <c r="X470" s="6">
        <f>IF(ISERROR(VLOOKUP($U$470,'TAR FIN'!$A$1:$O$88,15,0)),0,VLOOKUP($U$470,'TAR FIN'!$A$1:$O$88,15,0))</f>
        <v>173.34</v>
      </c>
      <c r="Y470" s="6"/>
      <c r="Z470" s="6">
        <f ca="1">('TUSD BE'!$AM$51+'TUSD BF_350'!$AM$51+'TUSD CVA'!$AM$51)*1</f>
        <v>210.24673701153174</v>
      </c>
      <c r="AA470" s="6">
        <f ca="1">('TE BE'!$AB$42+'TE BF_350'!$AB$42+'TE CVA'!$AB$42)*1</f>
        <v>124.57825645317655</v>
      </c>
      <c r="AB470" s="6">
        <f>$K$470*$V$470</f>
        <v>0</v>
      </c>
      <c r="AC470" s="6">
        <f>$M$470*$W$470</f>
        <v>22437.68665</v>
      </c>
      <c r="AD470" s="6">
        <f>$O$470*$X$470</f>
        <v>24015.736980000001</v>
      </c>
      <c r="AE470" s="6">
        <f>$K$470*$Y$470</f>
        <v>0</v>
      </c>
      <c r="AF470" s="6">
        <f ca="1">$M$470*$Z$470</f>
        <v>29129.054672736685</v>
      </c>
      <c r="AG470" s="6">
        <f ca="1">$O$470*$AA$470</f>
        <v>17259.943696818253</v>
      </c>
    </row>
    <row r="471" spans="1:33" ht="11.25" customHeight="1" x14ac:dyDescent="0.25">
      <c r="A471" s="4" t="s">
        <v>21</v>
      </c>
      <c r="B471" s="4" t="s">
        <v>44</v>
      </c>
      <c r="C471" s="4" t="s">
        <v>23</v>
      </c>
      <c r="D471" s="4" t="s">
        <v>45</v>
      </c>
      <c r="E471" s="4" t="s">
        <v>46</v>
      </c>
      <c r="F471" s="4" t="s">
        <v>25</v>
      </c>
      <c r="G471" s="4" t="s">
        <v>25</v>
      </c>
      <c r="H471" s="4" t="s">
        <v>25</v>
      </c>
      <c r="I471" s="5">
        <v>44621</v>
      </c>
      <c r="J471" s="6">
        <v>0</v>
      </c>
      <c r="K471" s="6">
        <v>0</v>
      </c>
      <c r="L471" s="6">
        <v>138.04</v>
      </c>
      <c r="M471" s="6">
        <v>138.04</v>
      </c>
      <c r="N471" s="6">
        <v>138.04</v>
      </c>
      <c r="O471" s="6">
        <v>138.04</v>
      </c>
      <c r="P471" s="6">
        <v>1</v>
      </c>
      <c r="Q471" s="4" t="s">
        <v>26</v>
      </c>
      <c r="R471" s="4">
        <v>0</v>
      </c>
      <c r="S471" s="6">
        <v>0</v>
      </c>
      <c r="T471" s="6">
        <v>68</v>
      </c>
      <c r="U471" s="6">
        <v>29</v>
      </c>
      <c r="V471" s="6">
        <f>IF(ISERROR(VLOOKUP($S$471,'TAR FIN'!$A$1:$O$88,15,0)),0,VLOOKUP($S$471,'TAR FIN'!$A$1:$O$88,15,0))</f>
        <v>0</v>
      </c>
      <c r="W471" s="6">
        <f>IF(ISERROR(VLOOKUP($T$471,'TAR FIN'!$A$1:$O$88,15,0)),0,VLOOKUP($T$471,'TAR FIN'!$A$1:$O$88,15,0))</f>
        <v>161.94999999999999</v>
      </c>
      <c r="X471" s="6">
        <f>IF(ISERROR(VLOOKUP($U$471,'TAR FIN'!$A$1:$O$88,15,0)),0,VLOOKUP($U$471,'TAR FIN'!$A$1:$O$88,15,0))</f>
        <v>173.34</v>
      </c>
      <c r="Y471" s="6"/>
      <c r="Z471" s="6">
        <f ca="1">('TUSD BE'!$AM$51+'TUSD BF_350'!$AM$51+'TUSD CVA'!$AM$51)*1</f>
        <v>210.24673701153174</v>
      </c>
      <c r="AA471" s="6">
        <f ca="1">('TE BE'!$AB$42+'TE BF_350'!$AB$42+'TE CVA'!$AB$42)*1</f>
        <v>124.57825645317655</v>
      </c>
      <c r="AB471" s="6">
        <f>$K$471*$V$471</f>
        <v>0</v>
      </c>
      <c r="AC471" s="6">
        <f>$M$471*$W$471</f>
        <v>22355.577999999998</v>
      </c>
      <c r="AD471" s="6">
        <f>$O$471*$X$471</f>
        <v>23927.853599999999</v>
      </c>
      <c r="AE471" s="6">
        <f>$K$471*$Y$471</f>
        <v>0</v>
      </c>
      <c r="AF471" s="6">
        <f ca="1">$M$471*$Z$471</f>
        <v>29022.459577071841</v>
      </c>
      <c r="AG471" s="6">
        <f ca="1">$O$471*$AA$471</f>
        <v>17196.782520796489</v>
      </c>
    </row>
    <row r="472" spans="1:33" ht="11.25" customHeight="1" x14ac:dyDescent="0.25">
      <c r="A472" s="4" t="s">
        <v>21</v>
      </c>
      <c r="B472" s="4" t="s">
        <v>44</v>
      </c>
      <c r="C472" s="4" t="s">
        <v>23</v>
      </c>
      <c r="D472" s="4" t="s">
        <v>45</v>
      </c>
      <c r="E472" s="4" t="s">
        <v>46</v>
      </c>
      <c r="F472" s="4" t="s">
        <v>25</v>
      </c>
      <c r="G472" s="4" t="s">
        <v>25</v>
      </c>
      <c r="H472" s="4" t="s">
        <v>25</v>
      </c>
      <c r="I472" s="5">
        <v>44652</v>
      </c>
      <c r="J472" s="6">
        <v>0</v>
      </c>
      <c r="K472" s="6">
        <v>0</v>
      </c>
      <c r="L472" s="6">
        <v>138.06899999999999</v>
      </c>
      <c r="M472" s="6">
        <v>138.06899999999999</v>
      </c>
      <c r="N472" s="6">
        <v>138.06899999999999</v>
      </c>
      <c r="O472" s="6">
        <v>138.06899999999999</v>
      </c>
      <c r="P472" s="6">
        <v>1</v>
      </c>
      <c r="Q472" s="4" t="s">
        <v>26</v>
      </c>
      <c r="R472" s="4">
        <v>0</v>
      </c>
      <c r="S472" s="6">
        <v>0</v>
      </c>
      <c r="T472" s="6">
        <v>68</v>
      </c>
      <c r="U472" s="6">
        <v>29</v>
      </c>
      <c r="V472" s="6">
        <f>IF(ISERROR(VLOOKUP($S$472,'TAR FIN'!$A$1:$O$88,15,0)),0,VLOOKUP($S$472,'TAR FIN'!$A$1:$O$88,15,0))</f>
        <v>0</v>
      </c>
      <c r="W472" s="6">
        <f>IF(ISERROR(VLOOKUP($T$472,'TAR FIN'!$A$1:$O$88,15,0)),0,VLOOKUP($T$472,'TAR FIN'!$A$1:$O$88,15,0))</f>
        <v>161.94999999999999</v>
      </c>
      <c r="X472" s="6">
        <f>IF(ISERROR(VLOOKUP($U$472,'TAR FIN'!$A$1:$O$88,15,0)),0,VLOOKUP($U$472,'TAR FIN'!$A$1:$O$88,15,0))</f>
        <v>173.34</v>
      </c>
      <c r="Y472" s="6"/>
      <c r="Z472" s="6">
        <f ca="1">('TUSD BE'!$AM$51+'TUSD BF_350'!$AM$51+'TUSD CVA'!$AM$51)*1</f>
        <v>210.24673701153174</v>
      </c>
      <c r="AA472" s="6">
        <f ca="1">('TE BE'!$AB$42+'TE BF_350'!$AB$42+'TE CVA'!$AB$42)*1</f>
        <v>124.57825645317655</v>
      </c>
      <c r="AB472" s="6">
        <f>$K$472*$V$472</f>
        <v>0</v>
      </c>
      <c r="AC472" s="6">
        <f>$M$472*$W$472</f>
        <v>22360.274549999998</v>
      </c>
      <c r="AD472" s="6">
        <f>$O$472*$X$472</f>
        <v>23932.880459999997</v>
      </c>
      <c r="AE472" s="6">
        <f>$K$472*$Y$472</f>
        <v>0</v>
      </c>
      <c r="AF472" s="6">
        <f ca="1">$M$472*$Z$472</f>
        <v>29028.556732445173</v>
      </c>
      <c r="AG472" s="6">
        <f ca="1">$O$472*$AA$472</f>
        <v>17200.395290233631</v>
      </c>
    </row>
    <row r="473" spans="1:33" ht="11.25" customHeight="1" x14ac:dyDescent="0.25">
      <c r="A473" s="4" t="s">
        <v>21</v>
      </c>
      <c r="B473" s="4" t="s">
        <v>44</v>
      </c>
      <c r="C473" s="4" t="s">
        <v>23</v>
      </c>
      <c r="D473" s="4" t="s">
        <v>45</v>
      </c>
      <c r="E473" s="4" t="s">
        <v>46</v>
      </c>
      <c r="F473" s="4" t="s">
        <v>25</v>
      </c>
      <c r="G473" s="4" t="s">
        <v>25</v>
      </c>
      <c r="H473" s="4" t="s">
        <v>25</v>
      </c>
      <c r="I473" s="5">
        <v>44682</v>
      </c>
      <c r="J473" s="6">
        <v>0</v>
      </c>
      <c r="K473" s="6">
        <v>0</v>
      </c>
      <c r="L473" s="6">
        <v>138.06899999999999</v>
      </c>
      <c r="M473" s="6">
        <v>138.06899999999999</v>
      </c>
      <c r="N473" s="6">
        <v>138.06899999999999</v>
      </c>
      <c r="O473" s="6">
        <v>138.06899999999999</v>
      </c>
      <c r="P473" s="6">
        <v>1</v>
      </c>
      <c r="Q473" s="4" t="s">
        <v>26</v>
      </c>
      <c r="R473" s="4">
        <v>0</v>
      </c>
      <c r="S473" s="6">
        <v>0</v>
      </c>
      <c r="T473" s="6">
        <v>68</v>
      </c>
      <c r="U473" s="6">
        <v>29</v>
      </c>
      <c r="V473" s="6">
        <f>IF(ISERROR(VLOOKUP($S$473,'TAR FIN'!$A$1:$O$88,15,0)),0,VLOOKUP($S$473,'TAR FIN'!$A$1:$O$88,15,0))</f>
        <v>0</v>
      </c>
      <c r="W473" s="6">
        <f>IF(ISERROR(VLOOKUP($T$473,'TAR FIN'!$A$1:$O$88,15,0)),0,VLOOKUP($T$473,'TAR FIN'!$A$1:$O$88,15,0))</f>
        <v>161.94999999999999</v>
      </c>
      <c r="X473" s="6">
        <f>IF(ISERROR(VLOOKUP($U$473,'TAR FIN'!$A$1:$O$88,15,0)),0,VLOOKUP($U$473,'TAR FIN'!$A$1:$O$88,15,0))</f>
        <v>173.34</v>
      </c>
      <c r="Y473" s="6"/>
      <c r="Z473" s="6">
        <f ca="1">('TUSD BE'!$AM$51+'TUSD BF_350'!$AM$51+'TUSD CVA'!$AM$51)*1</f>
        <v>210.24673701153174</v>
      </c>
      <c r="AA473" s="6">
        <f ca="1">('TE BE'!$AB$42+'TE BF_350'!$AB$42+'TE CVA'!$AB$42)*1</f>
        <v>124.57825645317655</v>
      </c>
      <c r="AB473" s="6">
        <f>$K$473*$V$473</f>
        <v>0</v>
      </c>
      <c r="AC473" s="6">
        <f>$M$473*$W$473</f>
        <v>22360.274549999998</v>
      </c>
      <c r="AD473" s="6">
        <f>$O$473*$X$473</f>
        <v>23932.880459999997</v>
      </c>
      <c r="AE473" s="6">
        <f>$K$473*$Y$473</f>
        <v>0</v>
      </c>
      <c r="AF473" s="6">
        <f ca="1">$M$473*$Z$473</f>
        <v>29028.556732445173</v>
      </c>
      <c r="AG473" s="6">
        <f ca="1">$O$473*$AA$473</f>
        <v>17200.395290233631</v>
      </c>
    </row>
    <row r="474" spans="1:33" ht="11.25" customHeight="1" x14ac:dyDescent="0.25">
      <c r="A474" s="4" t="s">
        <v>21</v>
      </c>
      <c r="B474" s="4" t="s">
        <v>44</v>
      </c>
      <c r="C474" s="4" t="s">
        <v>23</v>
      </c>
      <c r="D474" s="4" t="s">
        <v>45</v>
      </c>
      <c r="E474" s="4" t="s">
        <v>46</v>
      </c>
      <c r="F474" s="4" t="s">
        <v>25</v>
      </c>
      <c r="G474" s="4" t="s">
        <v>25</v>
      </c>
      <c r="H474" s="4" t="s">
        <v>25</v>
      </c>
      <c r="I474" s="5">
        <v>44713</v>
      </c>
      <c r="J474" s="6">
        <v>0</v>
      </c>
      <c r="K474" s="6">
        <v>0</v>
      </c>
      <c r="L474" s="6">
        <v>139.01400000000001</v>
      </c>
      <c r="M474" s="6">
        <v>139.01400000000001</v>
      </c>
      <c r="N474" s="6">
        <v>139.01400000000001</v>
      </c>
      <c r="O474" s="6">
        <v>139.01400000000001</v>
      </c>
      <c r="P474" s="6">
        <v>1</v>
      </c>
      <c r="Q474" s="4" t="s">
        <v>26</v>
      </c>
      <c r="R474" s="4">
        <v>0</v>
      </c>
      <c r="S474" s="6">
        <v>0</v>
      </c>
      <c r="T474" s="6">
        <v>68</v>
      </c>
      <c r="U474" s="6">
        <v>29</v>
      </c>
      <c r="V474" s="6">
        <f>IF(ISERROR(VLOOKUP($S$474,'TAR FIN'!$A$1:$O$88,15,0)),0,VLOOKUP($S$474,'TAR FIN'!$A$1:$O$88,15,0))</f>
        <v>0</v>
      </c>
      <c r="W474" s="6">
        <f>IF(ISERROR(VLOOKUP($T$474,'TAR FIN'!$A$1:$O$88,15,0)),0,VLOOKUP($T$474,'TAR FIN'!$A$1:$O$88,15,0))</f>
        <v>161.94999999999999</v>
      </c>
      <c r="X474" s="6">
        <f>IF(ISERROR(VLOOKUP($U$474,'TAR FIN'!$A$1:$O$88,15,0)),0,VLOOKUP($U$474,'TAR FIN'!$A$1:$O$88,15,0))</f>
        <v>173.34</v>
      </c>
      <c r="Y474" s="6"/>
      <c r="Z474" s="6">
        <f ca="1">('TUSD BE'!$AM$51+'TUSD BF_350'!$AM$51+'TUSD CVA'!$AM$51)*1</f>
        <v>210.24673701153174</v>
      </c>
      <c r="AA474" s="6">
        <f ca="1">('TE BE'!$AB$42+'TE BF_350'!$AB$42+'TE CVA'!$AB$42)*1</f>
        <v>124.57825645317655</v>
      </c>
      <c r="AB474" s="6">
        <f>$K$474*$V$474</f>
        <v>0</v>
      </c>
      <c r="AC474" s="6">
        <f>$M$474*$W$474</f>
        <v>22513.317299999999</v>
      </c>
      <c r="AD474" s="6">
        <f>$O$474*$X$474</f>
        <v>24096.686760000001</v>
      </c>
      <c r="AE474" s="6">
        <f>$K$474*$Y$474</f>
        <v>0</v>
      </c>
      <c r="AF474" s="6">
        <f ca="1">$M$474*$Z$474</f>
        <v>29227.239898921074</v>
      </c>
      <c r="AG474" s="6">
        <f ca="1">$O$474*$AA$474</f>
        <v>17318.121742581887</v>
      </c>
    </row>
    <row r="475" spans="1:33" ht="11.25" customHeight="1" x14ac:dyDescent="0.25">
      <c r="A475" s="4" t="s">
        <v>55</v>
      </c>
      <c r="B475" s="4" t="s">
        <v>44</v>
      </c>
      <c r="C475" s="4" t="s">
        <v>23</v>
      </c>
      <c r="D475" s="4" t="s">
        <v>45</v>
      </c>
      <c r="E475" s="4" t="s">
        <v>46</v>
      </c>
      <c r="F475" s="4" t="s">
        <v>25</v>
      </c>
      <c r="G475" s="4" t="s">
        <v>25</v>
      </c>
      <c r="H475" s="4" t="s">
        <v>25</v>
      </c>
      <c r="I475" s="5">
        <v>44743</v>
      </c>
      <c r="J475" s="6">
        <v>0</v>
      </c>
      <c r="K475" s="6">
        <v>0</v>
      </c>
      <c r="L475" s="6">
        <v>139.01400000000001</v>
      </c>
      <c r="M475" s="6">
        <v>139.01400000000001</v>
      </c>
      <c r="N475" s="6">
        <v>139.01400000000001</v>
      </c>
      <c r="O475" s="6">
        <v>139.01400000000001</v>
      </c>
      <c r="P475" s="6">
        <v>1</v>
      </c>
      <c r="Q475" s="4" t="s">
        <v>26</v>
      </c>
      <c r="R475" s="4">
        <v>0</v>
      </c>
      <c r="S475" s="6">
        <v>0</v>
      </c>
      <c r="T475" s="6">
        <v>68</v>
      </c>
      <c r="U475" s="6">
        <v>29</v>
      </c>
      <c r="V475" s="6">
        <f>IF(ISERROR(VLOOKUP($S$475,'TAR FIN'!$A$1:$O$88,15,0)),0,VLOOKUP($S$475,'TAR FIN'!$A$1:$O$88,15,0))</f>
        <v>0</v>
      </c>
      <c r="W475" s="6">
        <f>IF(ISERROR(VLOOKUP($T$475,'TAR FIN'!$A$1:$O$88,15,0)),0,VLOOKUP($T$475,'TAR FIN'!$A$1:$O$88,15,0))</f>
        <v>161.94999999999999</v>
      </c>
      <c r="X475" s="6">
        <f>IF(ISERROR(VLOOKUP($U$475,'TAR FIN'!$A$1:$O$88,15,0)),0,VLOOKUP($U$475,'TAR FIN'!$A$1:$O$88,15,0))</f>
        <v>173.34</v>
      </c>
      <c r="Y475" s="6"/>
      <c r="Z475" s="6">
        <f ca="1">('TUSD BE'!$AM$51+'TUSD BF_350'!$AM$51+'TUSD CVA'!$AM$51)*1</f>
        <v>210.24673701153174</v>
      </c>
      <c r="AA475" s="6">
        <f ca="1">('TE BE'!$AB$42+'TE BF_350'!$AB$42+'TE CVA'!$AB$42)*1</f>
        <v>124.57825645317655</v>
      </c>
      <c r="AB475" s="6">
        <f>$K$475*$V$475</f>
        <v>0</v>
      </c>
      <c r="AC475" s="6">
        <f>$M$475*$W$475</f>
        <v>22513.317299999999</v>
      </c>
      <c r="AD475" s="6">
        <f>$O$475*$X$475</f>
        <v>24096.686760000001</v>
      </c>
      <c r="AE475" s="6">
        <f>$K$475*$Y$475</f>
        <v>0</v>
      </c>
      <c r="AF475" s="6">
        <f ca="1">$M$475*$Z$475</f>
        <v>29227.239898921074</v>
      </c>
      <c r="AG475" s="6">
        <f ca="1">$O$475*$AA$475</f>
        <v>17318.121742581887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C5DFA-9D51-4B87-BA2A-BA6FF7708F4F}">
  <sheetPr>
    <tabColor indexed="12" tint="-0.249977111117893"/>
  </sheetPr>
  <dimension ref="B1:AB20"/>
  <sheetViews>
    <sheetView topLeftCell="A4" workbookViewId="0">
      <selection activeCell="E20" sqref="E20"/>
    </sheetView>
  </sheetViews>
  <sheetFormatPr defaultRowHeight="15" x14ac:dyDescent="0.25"/>
  <cols>
    <col min="2" max="2" width="15.85546875" bestFit="1" customWidth="1"/>
    <col min="3" max="3" width="11.7109375" bestFit="1" customWidth="1"/>
    <col min="4" max="4" width="13.28515625" bestFit="1" customWidth="1"/>
    <col min="5" max="5" width="11.140625" bestFit="1" customWidth="1"/>
    <col min="6" max="6" width="16.140625" bestFit="1" customWidth="1"/>
    <col min="7" max="7" width="14.28515625" bestFit="1" customWidth="1"/>
    <col min="8" max="8" width="28.85546875" bestFit="1" customWidth="1"/>
    <col min="9" max="9" width="14.140625" bestFit="1" customWidth="1"/>
    <col min="10" max="10" width="28.7109375" bestFit="1" customWidth="1"/>
    <col min="28" max="28" width="5" bestFit="1" customWidth="1"/>
  </cols>
  <sheetData>
    <row r="1" spans="2:28" x14ac:dyDescent="0.25">
      <c r="AA1" t="s">
        <v>835</v>
      </c>
      <c r="AB1">
        <v>2866</v>
      </c>
    </row>
    <row r="2" spans="2:28" x14ac:dyDescent="0.25">
      <c r="AA2" t="s">
        <v>836</v>
      </c>
      <c r="AB2">
        <v>2022</v>
      </c>
    </row>
    <row r="3" spans="2:28" x14ac:dyDescent="0.25">
      <c r="AA3" t="s">
        <v>677</v>
      </c>
      <c r="AB3">
        <v>0</v>
      </c>
    </row>
    <row r="4" spans="2:28" ht="15.75" thickBot="1" x14ac:dyDescent="0.3">
      <c r="B4" s="64" t="s">
        <v>572</v>
      </c>
      <c r="C4" s="64" t="s">
        <v>65</v>
      </c>
      <c r="D4" s="64" t="s">
        <v>66</v>
      </c>
      <c r="E4" s="64" t="s">
        <v>71</v>
      </c>
      <c r="F4" s="64" t="s">
        <v>837</v>
      </c>
      <c r="G4" s="64" t="s">
        <v>838</v>
      </c>
      <c r="H4" s="64" t="s">
        <v>839</v>
      </c>
      <c r="I4" s="64" t="s">
        <v>840</v>
      </c>
      <c r="J4" s="64" t="s">
        <v>841</v>
      </c>
    </row>
    <row r="5" spans="2:28" x14ac:dyDescent="0.25">
      <c r="B5" s="68" t="s">
        <v>533</v>
      </c>
      <c r="C5" s="69" t="s">
        <v>38</v>
      </c>
      <c r="D5" s="69" t="s">
        <v>56</v>
      </c>
      <c r="E5" s="69" t="s">
        <v>842</v>
      </c>
      <c r="F5" s="72">
        <f>SUMIFS(Mercado_Receita!J:J,Mercado_Receita!B:B,"=A4",Mercado_Receita!C:C,"=AZUL",Mercado_Receita!H:H,"=Ponta")</f>
        <v>40015</v>
      </c>
      <c r="G5" s="72">
        <f ca="1">ROUND('TUSD BE'!$AM$5+'TUSD BF'!$AM$5+'TUSD CVA'!$AM$5,2)</f>
        <v>39.79</v>
      </c>
      <c r="H5" s="72">
        <v>37.770000000000003</v>
      </c>
      <c r="I5" s="72">
        <f t="shared" ref="I5:I14" ca="1" si="0">F5*G5</f>
        <v>1592196.8499999999</v>
      </c>
      <c r="J5" s="73">
        <f t="shared" ref="J5:J14" si="1">F5*H5</f>
        <v>1511366.55</v>
      </c>
    </row>
    <row r="6" spans="2:28" x14ac:dyDescent="0.25">
      <c r="B6" s="66" t="s">
        <v>533</v>
      </c>
      <c r="C6" s="39" t="s">
        <v>38</v>
      </c>
      <c r="D6" s="39" t="s">
        <v>56</v>
      </c>
      <c r="E6" s="39" t="s">
        <v>843</v>
      </c>
      <c r="F6" s="74">
        <f>SUMIFS(Mercado_Receita!J:J,Mercado_Receita!B:B,"=A4",Mercado_Receita!C:C,"=AZUL",Mercado_Receita!H:H,"=Fora Ponta")</f>
        <v>87299</v>
      </c>
      <c r="G6" s="74">
        <f ca="1">ROUND('TUSD BE'!$AM$6+'TUSD BF'!$AM$6+'TUSD CVA'!$AM$6,2)</f>
        <v>13.66</v>
      </c>
      <c r="H6" s="74">
        <v>17.579999999999998</v>
      </c>
      <c r="I6" s="74">
        <f t="shared" ca="1" si="0"/>
        <v>1192504.3400000001</v>
      </c>
      <c r="J6" s="75">
        <f t="shared" si="1"/>
        <v>1534716.42</v>
      </c>
    </row>
    <row r="7" spans="2:28" x14ac:dyDescent="0.25">
      <c r="B7" s="66" t="s">
        <v>533</v>
      </c>
      <c r="C7" s="39" t="s">
        <v>38</v>
      </c>
      <c r="D7" s="39" t="s">
        <v>56</v>
      </c>
      <c r="E7" s="39" t="s">
        <v>11</v>
      </c>
      <c r="F7" s="74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40556.964</v>
      </c>
      <c r="G7" s="74">
        <f ca="1">ROUND('TUSD BE'!$AM$7+'TUSD BF'!$AM$7+'TUSD CVA'!$AM$7,2)</f>
        <v>83.28</v>
      </c>
      <c r="H7" s="74">
        <v>110.85</v>
      </c>
      <c r="I7" s="74">
        <f t="shared" ca="1" si="0"/>
        <v>3377583.9619200001</v>
      </c>
      <c r="J7" s="75">
        <f t="shared" si="1"/>
        <v>4495739.4594000001</v>
      </c>
    </row>
    <row r="8" spans="2:28" x14ac:dyDescent="0.25">
      <c r="B8" s="66" t="s">
        <v>561</v>
      </c>
      <c r="C8" s="39" t="s">
        <v>38</v>
      </c>
      <c r="D8" s="39" t="s">
        <v>56</v>
      </c>
      <c r="E8" s="39" t="s">
        <v>844</v>
      </c>
      <c r="F8" s="74">
        <f>SUMIFS(Mercado_Receita!N:N,Mercado_Receita!B:B,"=A4",Mercado_Receita!C:C,"=AZUL",Mercado_Receita!H:H,"=Ponta",Mercado_Receita!Q:Q,"=Cativo")</f>
        <v>0</v>
      </c>
      <c r="G8" s="74">
        <f>ROUND('TE BE'!$AB$5+'TE BF'!$AB$5+'TE CVA'!$AB$5,2)</f>
        <v>316.98</v>
      </c>
      <c r="H8" s="74">
        <v>388.08</v>
      </c>
      <c r="I8" s="74">
        <f t="shared" si="0"/>
        <v>0</v>
      </c>
      <c r="J8" s="75">
        <f t="shared" si="1"/>
        <v>0</v>
      </c>
    </row>
    <row r="9" spans="2:28" ht="15.75" thickBot="1" x14ac:dyDescent="0.3">
      <c r="B9" s="67" t="s">
        <v>561</v>
      </c>
      <c r="C9" s="38" t="s">
        <v>38</v>
      </c>
      <c r="D9" s="38" t="s">
        <v>56</v>
      </c>
      <c r="E9" s="38" t="s">
        <v>845</v>
      </c>
      <c r="F9" s="79">
        <f>SUMIFS(Mercado_Receita!N:N,Mercado_Receita!B:B,"=A4",Mercado_Receita!C:C,"=AZUL",Mercado_Receita!H:H,"=Fora Ponta",Mercado_Receita!Q:Q,"=Cativo")</f>
        <v>0</v>
      </c>
      <c r="G9" s="79">
        <f>ROUND('TE BE'!$AB$6+'TE BF'!$AB$6+'TE CVA'!$AB$6,2)</f>
        <v>197.69</v>
      </c>
      <c r="H9" s="79">
        <v>247.2</v>
      </c>
      <c r="I9" s="79">
        <f t="shared" si="0"/>
        <v>0</v>
      </c>
      <c r="J9" s="80">
        <f t="shared" si="1"/>
        <v>0</v>
      </c>
    </row>
    <row r="10" spans="2:28" x14ac:dyDescent="0.25">
      <c r="B10" s="68" t="s">
        <v>533</v>
      </c>
      <c r="C10" s="69" t="s">
        <v>38</v>
      </c>
      <c r="D10" s="69" t="s">
        <v>39</v>
      </c>
      <c r="E10" s="69" t="s">
        <v>9</v>
      </c>
      <c r="F10" s="72">
        <f>SUMIFS(Mercado_Receita!J:J,Mercado_Receita!B:B,"=A4",Mercado_Receita!C:C,"=VERDE",Mercado_Receita!H:H,"=Não se aplica")</f>
        <v>37121</v>
      </c>
      <c r="G10" s="72">
        <f ca="1">ROUND('TUSD BE'!$AM$10+'TUSD BF'!$AM$10+'TUSD CVA'!$AM$10,2)</f>
        <v>13.66</v>
      </c>
      <c r="H10" s="72">
        <v>17.579999999999998</v>
      </c>
      <c r="I10" s="72">
        <f t="shared" ca="1" si="0"/>
        <v>507072.86</v>
      </c>
      <c r="J10" s="73">
        <f t="shared" si="1"/>
        <v>652587.17999999993</v>
      </c>
    </row>
    <row r="11" spans="2:28" x14ac:dyDescent="0.25">
      <c r="B11" s="66" t="s">
        <v>533</v>
      </c>
      <c r="C11" s="39" t="s">
        <v>38</v>
      </c>
      <c r="D11" s="39" t="s">
        <v>39</v>
      </c>
      <c r="E11" s="39" t="s">
        <v>846</v>
      </c>
      <c r="F11" s="74">
        <f>SUMIFS(Mercado_Receita!L:L,Mercado_Receita!B:B,"=A4",Mercado_Receita!C:C,"=VERDE",Mercado_Receita!H:H,"=Ponta")</f>
        <v>280.50399999999991</v>
      </c>
      <c r="G11" s="74">
        <f ca="1">ROUND('TUSD BE'!$AM$11+'TUSD BF'!$AM$11+'TUSD CVA'!$AM$11,2)</f>
        <v>1048.58</v>
      </c>
      <c r="H11" s="74">
        <v>1027.46</v>
      </c>
      <c r="I11" s="74">
        <f t="shared" ca="1" si="0"/>
        <v>294130.8843199999</v>
      </c>
      <c r="J11" s="75">
        <f t="shared" si="1"/>
        <v>288206.6398399999</v>
      </c>
    </row>
    <row r="12" spans="2:28" x14ac:dyDescent="0.25">
      <c r="B12" s="66" t="s">
        <v>533</v>
      </c>
      <c r="C12" s="39" t="s">
        <v>38</v>
      </c>
      <c r="D12" s="39" t="s">
        <v>39</v>
      </c>
      <c r="E12" s="39" t="s">
        <v>847</v>
      </c>
      <c r="F12" s="74">
        <f>SUMIFS(Mercado_Receita!L:L,Mercado_Receita!B:B,"=A4",Mercado_Receita!C:C,"=VERDE",Mercado_Receita!H:H,"=Fora Ponta")</f>
        <v>7558.6610000000028</v>
      </c>
      <c r="G12" s="74">
        <f ca="1">ROUND('TUSD BE'!$AM$12+'TUSD BF'!$AM$12+'TUSD CVA'!$AM$12,2)</f>
        <v>83.28</v>
      </c>
      <c r="H12" s="74">
        <v>110.85</v>
      </c>
      <c r="I12" s="74">
        <f t="shared" ca="1" si="0"/>
        <v>629485.2880800002</v>
      </c>
      <c r="J12" s="75">
        <f t="shared" si="1"/>
        <v>837877.5718500003</v>
      </c>
    </row>
    <row r="13" spans="2:28" x14ac:dyDescent="0.25">
      <c r="B13" s="66" t="s">
        <v>561</v>
      </c>
      <c r="C13" s="39" t="s">
        <v>38</v>
      </c>
      <c r="D13" s="39" t="s">
        <v>39</v>
      </c>
      <c r="E13" s="39" t="s">
        <v>844</v>
      </c>
      <c r="F13" s="74">
        <f>SUMIFS(Mercado_Receita!N:N,Mercado_Receita!B:B,"=A4",Mercado_Receita!C:C,"=VERDE",Mercado_Receita!H:H,"=Ponta",Mercado_Receita!Q:Q,"=Cativo")</f>
        <v>280.50399999999991</v>
      </c>
      <c r="G13" s="74">
        <f>ROUND('TE BE'!$AB$5+'TE BF'!$AB$5+'TE CVA'!$AB$5,2)</f>
        <v>316.98</v>
      </c>
      <c r="H13" s="74">
        <v>388.08</v>
      </c>
      <c r="I13" s="74">
        <f t="shared" si="0"/>
        <v>88914.157919999969</v>
      </c>
      <c r="J13" s="75">
        <f t="shared" si="1"/>
        <v>108857.99231999996</v>
      </c>
    </row>
    <row r="14" spans="2:28" ht="15.75" thickBot="1" x14ac:dyDescent="0.3">
      <c r="B14" s="70" t="s">
        <v>561</v>
      </c>
      <c r="C14" s="71" t="s">
        <v>38</v>
      </c>
      <c r="D14" s="71" t="s">
        <v>39</v>
      </c>
      <c r="E14" s="71" t="s">
        <v>845</v>
      </c>
      <c r="F14" s="76">
        <f>SUMIFS(Mercado_Receita!N:N,Mercado_Receita!B:B,"=A4",Mercado_Receita!C:C,"=VERDE",Mercado_Receita!H:H,"=Fora Ponta",Mercado_Receita!Q:Q,"=Cativo")</f>
        <v>7558.6610000000028</v>
      </c>
      <c r="G14" s="76">
        <f>ROUND('TE BE'!$AB$6+'TE BF'!$AB$6+'TE CVA'!$AB$6,2)</f>
        <v>197.69</v>
      </c>
      <c r="H14" s="76">
        <v>247.2</v>
      </c>
      <c r="I14" s="76">
        <f t="shared" si="0"/>
        <v>1494271.6930900004</v>
      </c>
      <c r="J14" s="77">
        <f t="shared" si="1"/>
        <v>1868500.9992000007</v>
      </c>
    </row>
    <row r="16" spans="2:28" ht="15.75" thickBot="1" x14ac:dyDescent="0.3">
      <c r="D16" t="s">
        <v>848</v>
      </c>
      <c r="E16" t="s">
        <v>849</v>
      </c>
      <c r="F16" t="s">
        <v>850</v>
      </c>
      <c r="G16" t="s">
        <v>851</v>
      </c>
    </row>
    <row r="17" spans="2:7" ht="15.75" thickBot="1" x14ac:dyDescent="0.3">
      <c r="B17" t="s">
        <v>852</v>
      </c>
      <c r="C17" s="81" t="s">
        <v>38</v>
      </c>
      <c r="D17" s="86">
        <f ca="1">SUMIFS($I$5:$I$14,$C$5:$C$14,C17,$B$5:$B$14,"TUSD")/(SUMIFS($F$5:$F$14,$C$5:$C$14,C17,$B$5:$B$14,"TUSD",$E$5:$E$14,"TUSD_E")+SUMIFS($F$5:$F$14,$C$5:$C$14,C17,$B$5:$B$14,"TUSD",$E$5:$E$14,"TUSD_E P")+SUMIFS($F$5:$F$14,$C$5:$C$14,C17,$B$5:$B$14,"TUSD",$E$5:$E$14,"TUSD_E FP"))</f>
        <v>156.89218004026728</v>
      </c>
      <c r="E17" s="86">
        <f>SUMIFS($J$5:$J$14,$C$5:$C$14,C17,$B$5:$B$14,"TUSD")/(SUMIFS($F$5:$F$14,$C$5:$C$14,C17,$B$5:$B$14,"TUSD",$E$5:$E$14,"TUSD_E")+SUMIFS($F$5:$F$14,$C$5:$C$14,C17,$B$5:$B$14,"TUSD",$E$5:$E$14,"TUSD_E P")+SUMIFS($F$5:$F$14,$C$5:$C$14,C17,$B$5:$B$14,"TUSD",$E$5:$E$14,"TUSD_E FP"))</f>
        <v>192.58758941422772</v>
      </c>
      <c r="F17" s="78" t="str">
        <f ca="1">IF(AND(E17&lt;D17,NOT(ISERROR(_xlfn.XMATCH("AVALIAR " &amp;C17,$F$17:$F$20,2)))),"APLICAR","NÃO APLICAR")</f>
        <v>NÃO APLICAR</v>
      </c>
      <c r="G17" s="87">
        <f ca="1">IF(AND(E17&lt;D17,NOT(ISERROR(_xlfn.XMATCH("AVALIAR " &amp;C17,$F$17:$F$20,2)))),1,0)</f>
        <v>0</v>
      </c>
    </row>
    <row r="18" spans="2:7" ht="15.75" thickBot="1" x14ac:dyDescent="0.3">
      <c r="B18" t="s">
        <v>853</v>
      </c>
      <c r="C18" s="81" t="s">
        <v>38</v>
      </c>
      <c r="D18" s="86">
        <f>IF((SUMIFS($F$5:$F$14,$C$5:$C$14,C18,$B$5:$B$14,"TE",$E$5:$E$14,"TE P")+SUMIFS($F$5:$F$14,$C$5:$C$14,C18,$B$5:$B$14,"TE",$E$5:$E$14,"TE FP") = 0),0,SUMIFS($I$5:$I$14,$C$5:$C$14,C18,$B$5:$B$14,"TE")/(SUMIFS($F$5:$F$14,$C$5:$C$14,C18,$B$5:$B$14,"TUSD",$E$5:$E$14,"TUSD_E")+SUMIFS($F$5:$F$14,$C$5:$C$14,C18,$B$5:$B$14,"TUSD",$E$5:$E$14,"TUSD_E P")+SUMIFS($F$5:$F$14,$C$5:$C$14,C18,$B$5:$B$14,"TUSD",$E$5:$E$14,"TUSD_E FP")))</f>
        <v>32.713067836685873</v>
      </c>
      <c r="E18" s="86">
        <f>IF((SUMIFS($F$5:$F$14,$C$5:$C$14,C18,$B$5:$B$14,"TE",$E$5:$E$14,"TE P")+SUMIFS($F$5:$F$14,$C$5:$C$14,C18,$B$5:$B$14,"TE",$E$5:$E$14,"TE FP") = 0),0,SUMIFS($J$5:$J$14,$C$5:$C$14,C18,$B$5:$B$14,"TE")/(SUMIFS($F$5:$F$14,$C$5:$C$14,C18,$B$5:$B$14,"TUSD",$E$5:$E$14,"TUSD_E")+SUMIFS($F$5:$F$14,$C$5:$C$14,C18,$B$5:$B$14,"TUSD",$E$5:$E$14,"TUSD_E P")+SUMIFS($F$5:$F$14,$C$5:$C$14,C18,$B$5:$B$14,"TUSD",$E$5:$E$14,"TUSD_E FP")))</f>
        <v>40.85779239740436</v>
      </c>
      <c r="F18" s="78" t="str">
        <f ca="1">IF(AND(E18&lt;D18,NOT(ISERROR(_xlfn.XMATCH("AVALIAR " &amp;C18,$F$17:$F$20,2)))),"APLICAR","NÃO APLICAR")</f>
        <v>NÃO APLICAR</v>
      </c>
      <c r="G18" s="87">
        <f ca="1">IF(AND(E18&lt;D18,NOT(ISERROR(_xlfn.XMATCH("AVALIAR " &amp;C18,$F$17:$F$20,2)))),1,0)</f>
        <v>0</v>
      </c>
    </row>
    <row r="19" spans="2:7" ht="15.75" thickBot="1" x14ac:dyDescent="0.3">
      <c r="B19" t="s">
        <v>854</v>
      </c>
      <c r="C19" s="81" t="s">
        <v>38</v>
      </c>
      <c r="D19" s="86">
        <f ca="1">SUMIFS(D$17:D$18,C$17:C$18,C19)</f>
        <v>189.60524787695314</v>
      </c>
      <c r="E19" s="86">
        <f>SUMIFS(E$17:E$18,C$17:C$18,C19)</f>
        <v>233.44538181163207</v>
      </c>
      <c r="F19" s="78" t="str">
        <f ca="1">IF(E19&lt;D19,"AVALIAR "&amp;C19,"NÃO ALTERAR")</f>
        <v>NÃO ALTERAR</v>
      </c>
      <c r="G19" s="87">
        <f ca="1">IF(E19&lt;D19,1,0)</f>
        <v>0</v>
      </c>
    </row>
    <row r="20" spans="2:7" ht="15.75" thickBot="1" x14ac:dyDescent="0.3">
      <c r="B20" t="s">
        <v>855</v>
      </c>
      <c r="C20" s="82" t="s">
        <v>856</v>
      </c>
      <c r="D20" s="85">
        <f ca="1">ROUND('TE BE'!$AB$11+'TE BF'!$AB$11+'TE CVA'!$AB$11,2)+ROUND('TUSD BE'!$AM$20+'TUSD BF'!$AM$20+'TUSD CVA'!$AM$20,2)</f>
        <v>558.04</v>
      </c>
      <c r="E20" s="85">
        <v>569.74</v>
      </c>
      <c r="F20" s="83" t="str">
        <f ca="1">IF(D20&lt;=E20,"NÃO ALTERAR","AVALIAR TarB1")</f>
        <v>NÃO ALTERAR</v>
      </c>
      <c r="G20" s="84">
        <f ca="1">IF(E20&lt;D20,1,0)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39F6D-E28D-43C8-A3F4-64EB9CF8DE02}">
  <dimension ref="B1:U16"/>
  <sheetViews>
    <sheetView showGridLines="0" topLeftCell="K1" workbookViewId="0">
      <selection activeCell="U1" sqref="U1"/>
    </sheetView>
  </sheetViews>
  <sheetFormatPr defaultRowHeight="15" x14ac:dyDescent="0.25"/>
  <sheetData>
    <row r="1" spans="2:21" x14ac:dyDescent="0.25">
      <c r="B1" s="57" t="s">
        <v>766</v>
      </c>
      <c r="C1" s="57" t="s">
        <v>767</v>
      </c>
      <c r="D1" s="57" t="s">
        <v>768</v>
      </c>
      <c r="E1" s="57" t="s">
        <v>2</v>
      </c>
      <c r="F1" s="57" t="s">
        <v>769</v>
      </c>
      <c r="G1" s="57" t="s">
        <v>676</v>
      </c>
      <c r="H1" s="57" t="s">
        <v>3</v>
      </c>
      <c r="I1" s="57" t="s">
        <v>770</v>
      </c>
      <c r="J1" s="57" t="s">
        <v>5</v>
      </c>
      <c r="K1" s="57" t="s">
        <v>1</v>
      </c>
      <c r="L1" s="57" t="s">
        <v>771</v>
      </c>
      <c r="M1" s="57" t="s">
        <v>772</v>
      </c>
      <c r="N1" s="57" t="s">
        <v>773</v>
      </c>
      <c r="O1" s="57" t="s">
        <v>774</v>
      </c>
      <c r="P1" s="57" t="s">
        <v>775</v>
      </c>
      <c r="Q1" s="57" t="s">
        <v>776</v>
      </c>
      <c r="R1" s="57" t="s">
        <v>777</v>
      </c>
      <c r="S1" s="57" t="s">
        <v>778</v>
      </c>
      <c r="T1" s="57" t="s">
        <v>779</v>
      </c>
      <c r="U1" s="57" t="s">
        <v>780</v>
      </c>
    </row>
    <row r="2" spans="2:21" x14ac:dyDescent="0.25">
      <c r="B2" s="56" t="s">
        <v>750</v>
      </c>
      <c r="C2" s="56">
        <v>7638</v>
      </c>
      <c r="D2" s="56">
        <v>83</v>
      </c>
      <c r="E2" s="56" t="s">
        <v>56</v>
      </c>
      <c r="F2" s="56">
        <v>1</v>
      </c>
      <c r="G2" s="56" t="s">
        <v>751</v>
      </c>
      <c r="H2" s="56" t="s">
        <v>47</v>
      </c>
      <c r="I2" s="56" t="s">
        <v>48</v>
      </c>
      <c r="J2" s="56" t="s">
        <v>700</v>
      </c>
      <c r="K2" s="56" t="s">
        <v>38</v>
      </c>
      <c r="L2" s="56">
        <v>0.15</v>
      </c>
      <c r="M2" s="56">
        <v>0.12</v>
      </c>
      <c r="N2" s="56">
        <v>0.09</v>
      </c>
      <c r="O2" s="56">
        <v>0.06</v>
      </c>
      <c r="P2" s="56">
        <v>0.03</v>
      </c>
      <c r="Q2" s="56">
        <v>0</v>
      </c>
      <c r="R2" s="56"/>
      <c r="S2" s="56"/>
      <c r="T2" s="56"/>
      <c r="U2" s="56">
        <v>3</v>
      </c>
    </row>
    <row r="3" spans="2:21" x14ac:dyDescent="0.25">
      <c r="B3" s="56" t="s">
        <v>752</v>
      </c>
      <c r="C3" s="56">
        <v>7639</v>
      </c>
      <c r="D3" s="56">
        <v>83</v>
      </c>
      <c r="E3" s="56" t="s">
        <v>39</v>
      </c>
      <c r="F3" s="56">
        <v>1</v>
      </c>
      <c r="G3" s="56" t="s">
        <v>751</v>
      </c>
      <c r="H3" s="56" t="s">
        <v>47</v>
      </c>
      <c r="I3" s="56" t="s">
        <v>48</v>
      </c>
      <c r="J3" s="56" t="s">
        <v>700</v>
      </c>
      <c r="K3" s="56" t="s">
        <v>38</v>
      </c>
      <c r="L3" s="56">
        <v>0.15</v>
      </c>
      <c r="M3" s="56">
        <v>0.12</v>
      </c>
      <c r="N3" s="56">
        <v>0.09</v>
      </c>
      <c r="O3" s="56">
        <v>0.06</v>
      </c>
      <c r="P3" s="56">
        <v>0.03</v>
      </c>
      <c r="Q3" s="56">
        <v>0</v>
      </c>
      <c r="R3" s="56"/>
      <c r="S3" s="56"/>
      <c r="T3" s="56"/>
      <c r="U3" s="56">
        <v>3</v>
      </c>
    </row>
    <row r="4" spans="2:21" x14ac:dyDescent="0.25">
      <c r="B4" s="56" t="s">
        <v>753</v>
      </c>
      <c r="C4" s="56">
        <v>7640</v>
      </c>
      <c r="D4" s="56">
        <v>83</v>
      </c>
      <c r="E4" s="56" t="s">
        <v>703</v>
      </c>
      <c r="F4" s="56">
        <v>1</v>
      </c>
      <c r="G4" s="56" t="s">
        <v>751</v>
      </c>
      <c r="H4" s="56" t="s">
        <v>47</v>
      </c>
      <c r="I4" s="56" t="s">
        <v>48</v>
      </c>
      <c r="J4" s="56" t="s">
        <v>700</v>
      </c>
      <c r="K4" s="56" t="s">
        <v>38</v>
      </c>
      <c r="L4" s="56">
        <v>0.15</v>
      </c>
      <c r="M4" s="56">
        <v>0.12</v>
      </c>
      <c r="N4" s="56">
        <v>0.09</v>
      </c>
      <c r="O4" s="56">
        <v>0.06</v>
      </c>
      <c r="P4" s="56">
        <v>0.03</v>
      </c>
      <c r="Q4" s="56">
        <v>0</v>
      </c>
      <c r="R4" s="56"/>
      <c r="S4" s="56"/>
      <c r="T4" s="56"/>
      <c r="U4" s="56">
        <v>3</v>
      </c>
    </row>
    <row r="5" spans="2:21" x14ac:dyDescent="0.25">
      <c r="B5" s="56" t="s">
        <v>754</v>
      </c>
      <c r="C5" s="56">
        <v>7641</v>
      </c>
      <c r="D5" s="56">
        <v>83</v>
      </c>
      <c r="E5" s="56" t="s">
        <v>23</v>
      </c>
      <c r="F5" s="56">
        <v>1</v>
      </c>
      <c r="G5" s="56" t="s">
        <v>751</v>
      </c>
      <c r="H5" s="56" t="s">
        <v>47</v>
      </c>
      <c r="I5" s="56" t="s">
        <v>48</v>
      </c>
      <c r="J5" s="56" t="s">
        <v>700</v>
      </c>
      <c r="K5" s="56" t="s">
        <v>36</v>
      </c>
      <c r="L5" s="56">
        <v>0.15</v>
      </c>
      <c r="M5" s="56">
        <v>0.12</v>
      </c>
      <c r="N5" s="56">
        <v>0.09</v>
      </c>
      <c r="O5" s="56">
        <v>0.06</v>
      </c>
      <c r="P5" s="56">
        <v>0.03</v>
      </c>
      <c r="Q5" s="56">
        <v>0</v>
      </c>
      <c r="R5" s="56"/>
      <c r="S5" s="56"/>
      <c r="T5" s="56"/>
      <c r="U5" s="56">
        <v>3</v>
      </c>
    </row>
    <row r="6" spans="2:21" x14ac:dyDescent="0.25">
      <c r="B6" s="56" t="s">
        <v>755</v>
      </c>
      <c r="C6" s="56">
        <v>7642</v>
      </c>
      <c r="D6" s="56">
        <v>83</v>
      </c>
      <c r="E6" s="56" t="s">
        <v>32</v>
      </c>
      <c r="F6" s="56">
        <v>1</v>
      </c>
      <c r="G6" s="56" t="s">
        <v>751</v>
      </c>
      <c r="H6" s="56" t="s">
        <v>47</v>
      </c>
      <c r="I6" s="56" t="s">
        <v>48</v>
      </c>
      <c r="J6" s="56" t="s">
        <v>700</v>
      </c>
      <c r="K6" s="56" t="s">
        <v>36</v>
      </c>
      <c r="L6" s="56">
        <v>0.15</v>
      </c>
      <c r="M6" s="56">
        <v>0.12</v>
      </c>
      <c r="N6" s="56">
        <v>0.09</v>
      </c>
      <c r="O6" s="56">
        <v>0.06</v>
      </c>
      <c r="P6" s="56">
        <v>0.03</v>
      </c>
      <c r="Q6" s="56">
        <v>0</v>
      </c>
      <c r="R6" s="56"/>
      <c r="S6" s="56"/>
      <c r="T6" s="56"/>
      <c r="U6" s="56">
        <v>3</v>
      </c>
    </row>
    <row r="7" spans="2:21" x14ac:dyDescent="0.25">
      <c r="B7" s="56" t="s">
        <v>756</v>
      </c>
      <c r="C7" s="56">
        <v>7643</v>
      </c>
      <c r="D7" s="56">
        <v>83</v>
      </c>
      <c r="E7" s="56" t="s">
        <v>23</v>
      </c>
      <c r="F7" s="56">
        <v>1</v>
      </c>
      <c r="G7" s="56" t="s">
        <v>751</v>
      </c>
      <c r="H7" s="56" t="s">
        <v>42</v>
      </c>
      <c r="I7" s="56" t="s">
        <v>91</v>
      </c>
      <c r="J7" s="56" t="s">
        <v>700</v>
      </c>
      <c r="K7" s="56" t="s">
        <v>41</v>
      </c>
      <c r="L7" s="56">
        <v>0.3</v>
      </c>
      <c r="M7" s="56">
        <v>0.24</v>
      </c>
      <c r="N7" s="56">
        <v>0.18</v>
      </c>
      <c r="O7" s="56">
        <v>0.12</v>
      </c>
      <c r="P7" s="56">
        <v>0.06</v>
      </c>
      <c r="Q7" s="56">
        <v>0</v>
      </c>
      <c r="R7" s="56"/>
      <c r="S7" s="56"/>
      <c r="T7" s="56"/>
      <c r="U7" s="56">
        <v>3</v>
      </c>
    </row>
    <row r="8" spans="2:21" x14ac:dyDescent="0.25">
      <c r="B8" s="56" t="s">
        <v>757</v>
      </c>
      <c r="C8" s="56">
        <v>7644</v>
      </c>
      <c r="D8" s="56">
        <v>83</v>
      </c>
      <c r="E8" s="56" t="s">
        <v>702</v>
      </c>
      <c r="F8" s="56">
        <v>1</v>
      </c>
      <c r="G8" s="56" t="s">
        <v>751</v>
      </c>
      <c r="H8" s="56" t="s">
        <v>42</v>
      </c>
      <c r="I8" s="56" t="s">
        <v>91</v>
      </c>
      <c r="J8" s="56" t="s">
        <v>700</v>
      </c>
      <c r="K8" s="56" t="s">
        <v>41</v>
      </c>
      <c r="L8" s="56">
        <v>0.3</v>
      </c>
      <c r="M8" s="56">
        <v>0.24</v>
      </c>
      <c r="N8" s="56">
        <v>0.18</v>
      </c>
      <c r="O8" s="56">
        <v>0.12</v>
      </c>
      <c r="P8" s="56">
        <v>0.06</v>
      </c>
      <c r="Q8" s="56">
        <v>0</v>
      </c>
      <c r="R8" s="56"/>
      <c r="S8" s="56"/>
      <c r="T8" s="56"/>
      <c r="U8" s="56">
        <v>3</v>
      </c>
    </row>
    <row r="9" spans="2:21" x14ac:dyDescent="0.25">
      <c r="B9" s="56" t="s">
        <v>758</v>
      </c>
      <c r="C9" s="56">
        <v>7645</v>
      </c>
      <c r="D9" s="56">
        <v>83</v>
      </c>
      <c r="E9" s="56"/>
      <c r="F9" s="56">
        <v>1</v>
      </c>
      <c r="G9" s="56" t="s">
        <v>751</v>
      </c>
      <c r="H9" s="56" t="s">
        <v>42</v>
      </c>
      <c r="I9" s="56" t="s">
        <v>25</v>
      </c>
      <c r="J9" s="56" t="s">
        <v>700</v>
      </c>
      <c r="K9" s="56" t="s">
        <v>41</v>
      </c>
      <c r="L9" s="56">
        <v>0.3</v>
      </c>
      <c r="M9" s="56">
        <v>0.24</v>
      </c>
      <c r="N9" s="56">
        <v>0.18</v>
      </c>
      <c r="O9" s="56">
        <v>0.12</v>
      </c>
      <c r="P9" s="56">
        <v>0.06</v>
      </c>
      <c r="Q9" s="56">
        <v>0</v>
      </c>
      <c r="R9" s="56"/>
      <c r="S9" s="56"/>
      <c r="T9" s="56"/>
      <c r="U9" s="56">
        <v>3</v>
      </c>
    </row>
    <row r="10" spans="2:21" x14ac:dyDescent="0.25">
      <c r="B10" s="56" t="s">
        <v>759</v>
      </c>
      <c r="C10" s="56">
        <v>7646</v>
      </c>
      <c r="D10" s="56">
        <v>83</v>
      </c>
      <c r="E10" s="56" t="s">
        <v>56</v>
      </c>
      <c r="F10" s="56">
        <v>1</v>
      </c>
      <c r="G10" s="56" t="s">
        <v>751</v>
      </c>
      <c r="H10" s="56" t="s">
        <v>42</v>
      </c>
      <c r="I10" s="56" t="s">
        <v>25</v>
      </c>
      <c r="J10" s="56" t="s">
        <v>701</v>
      </c>
      <c r="K10" s="56" t="s">
        <v>38</v>
      </c>
      <c r="L10" s="56">
        <v>0.1</v>
      </c>
      <c r="M10" s="56">
        <v>0.08</v>
      </c>
      <c r="N10" s="56">
        <v>0.06</v>
      </c>
      <c r="O10" s="56">
        <v>0.04</v>
      </c>
      <c r="P10" s="56">
        <v>0.02</v>
      </c>
      <c r="Q10" s="56">
        <v>0</v>
      </c>
      <c r="R10" s="56"/>
      <c r="S10" s="56"/>
      <c r="T10" s="56"/>
      <c r="U10" s="56">
        <v>3</v>
      </c>
    </row>
    <row r="11" spans="2:21" x14ac:dyDescent="0.25">
      <c r="B11" s="56" t="s">
        <v>760</v>
      </c>
      <c r="C11" s="56">
        <v>7647</v>
      </c>
      <c r="D11" s="56">
        <v>83</v>
      </c>
      <c r="E11" s="56" t="s">
        <v>39</v>
      </c>
      <c r="F11" s="56">
        <v>1</v>
      </c>
      <c r="G11" s="56" t="s">
        <v>751</v>
      </c>
      <c r="H11" s="56" t="s">
        <v>42</v>
      </c>
      <c r="I11" s="56" t="s">
        <v>25</v>
      </c>
      <c r="J11" s="56" t="s">
        <v>701</v>
      </c>
      <c r="K11" s="56" t="s">
        <v>38</v>
      </c>
      <c r="L11" s="56">
        <v>0.1</v>
      </c>
      <c r="M11" s="56">
        <v>0.08</v>
      </c>
      <c r="N11" s="56">
        <v>0.06</v>
      </c>
      <c r="O11" s="56">
        <v>0.04</v>
      </c>
      <c r="P11" s="56">
        <v>0.02</v>
      </c>
      <c r="Q11" s="56">
        <v>0</v>
      </c>
      <c r="R11" s="56"/>
      <c r="S11" s="56"/>
      <c r="T11" s="56"/>
      <c r="U11" s="56">
        <v>3</v>
      </c>
    </row>
    <row r="12" spans="2:21" x14ac:dyDescent="0.25">
      <c r="B12" s="56" t="s">
        <v>761</v>
      </c>
      <c r="C12" s="56">
        <v>7648</v>
      </c>
      <c r="D12" s="56">
        <v>83</v>
      </c>
      <c r="E12" s="56" t="s">
        <v>23</v>
      </c>
      <c r="F12" s="56">
        <v>1</v>
      </c>
      <c r="G12" s="56" t="s">
        <v>751</v>
      </c>
      <c r="H12" s="56" t="s">
        <v>42</v>
      </c>
      <c r="I12" s="56" t="s">
        <v>25</v>
      </c>
      <c r="J12" s="56" t="s">
        <v>701</v>
      </c>
      <c r="K12" s="56" t="s">
        <v>38</v>
      </c>
      <c r="L12" s="56">
        <v>0.1</v>
      </c>
      <c r="M12" s="56">
        <v>0.08</v>
      </c>
      <c r="N12" s="56">
        <v>0.06</v>
      </c>
      <c r="O12" s="56">
        <v>0.04</v>
      </c>
      <c r="P12" s="56">
        <v>0.02</v>
      </c>
      <c r="Q12" s="56">
        <v>0</v>
      </c>
      <c r="R12" s="56"/>
      <c r="S12" s="56"/>
      <c r="T12" s="56"/>
      <c r="U12" s="56">
        <v>3</v>
      </c>
    </row>
    <row r="13" spans="2:21" x14ac:dyDescent="0.25">
      <c r="B13" s="56" t="s">
        <v>762</v>
      </c>
      <c r="C13" s="56">
        <v>7649</v>
      </c>
      <c r="D13" s="56">
        <v>83</v>
      </c>
      <c r="E13" s="56" t="s">
        <v>23</v>
      </c>
      <c r="F13" s="56">
        <v>1</v>
      </c>
      <c r="G13" s="56" t="s">
        <v>751</v>
      </c>
      <c r="H13" s="56" t="s">
        <v>42</v>
      </c>
      <c r="I13" s="56" t="s">
        <v>25</v>
      </c>
      <c r="J13" s="56" t="s">
        <v>42</v>
      </c>
      <c r="K13" s="56" t="s">
        <v>41</v>
      </c>
      <c r="L13" s="56">
        <v>0.3</v>
      </c>
      <c r="M13" s="56">
        <v>0.24</v>
      </c>
      <c r="N13" s="56">
        <v>0.18</v>
      </c>
      <c r="O13" s="56">
        <v>0.12</v>
      </c>
      <c r="P13" s="56">
        <v>0.06</v>
      </c>
      <c r="Q13" s="56">
        <v>0</v>
      </c>
      <c r="R13" s="56"/>
      <c r="S13" s="56"/>
      <c r="T13" s="56"/>
      <c r="U13" s="56">
        <v>3</v>
      </c>
    </row>
    <row r="14" spans="2:21" x14ac:dyDescent="0.25">
      <c r="B14" s="56" t="s">
        <v>763</v>
      </c>
      <c r="C14" s="56">
        <v>7650</v>
      </c>
      <c r="D14" s="56">
        <v>83</v>
      </c>
      <c r="E14" s="56" t="s">
        <v>32</v>
      </c>
      <c r="F14" s="56">
        <v>1</v>
      </c>
      <c r="G14" s="56" t="s">
        <v>751</v>
      </c>
      <c r="H14" s="56" t="s">
        <v>42</v>
      </c>
      <c r="I14" s="56" t="s">
        <v>25</v>
      </c>
      <c r="J14" s="56" t="s">
        <v>42</v>
      </c>
      <c r="K14" s="56" t="s">
        <v>41</v>
      </c>
      <c r="L14" s="56">
        <v>0.3</v>
      </c>
      <c r="M14" s="56">
        <v>0.24</v>
      </c>
      <c r="N14" s="56">
        <v>0.18</v>
      </c>
      <c r="O14" s="56">
        <v>0.12</v>
      </c>
      <c r="P14" s="56">
        <v>0.06</v>
      </c>
      <c r="Q14" s="56">
        <v>0</v>
      </c>
      <c r="R14" s="56"/>
      <c r="S14" s="56"/>
      <c r="T14" s="56"/>
      <c r="U14" s="56">
        <v>3</v>
      </c>
    </row>
    <row r="15" spans="2:21" x14ac:dyDescent="0.25">
      <c r="B15" s="56" t="s">
        <v>764</v>
      </c>
      <c r="C15" s="56">
        <v>7651</v>
      </c>
      <c r="D15" s="56">
        <v>83</v>
      </c>
      <c r="E15" s="56" t="s">
        <v>23</v>
      </c>
      <c r="F15" s="56">
        <v>1</v>
      </c>
      <c r="G15" s="56" t="s">
        <v>751</v>
      </c>
      <c r="H15" s="56" t="s">
        <v>42</v>
      </c>
      <c r="I15" s="56" t="s">
        <v>92</v>
      </c>
      <c r="J15" s="56" t="s">
        <v>700</v>
      </c>
      <c r="K15" s="56" t="s">
        <v>41</v>
      </c>
      <c r="L15" s="56">
        <v>0.4</v>
      </c>
      <c r="M15" s="56">
        <v>0.32</v>
      </c>
      <c r="N15" s="56">
        <v>0.24</v>
      </c>
      <c r="O15" s="56">
        <v>0.16</v>
      </c>
      <c r="P15" s="56">
        <v>0.08</v>
      </c>
      <c r="Q15" s="56">
        <v>0</v>
      </c>
      <c r="R15" s="56"/>
      <c r="S15" s="56"/>
      <c r="T15" s="56"/>
      <c r="U15" s="56">
        <v>3</v>
      </c>
    </row>
    <row r="16" spans="2:21" x14ac:dyDescent="0.25">
      <c r="B16" s="56" t="s">
        <v>765</v>
      </c>
      <c r="C16" s="56">
        <v>7652</v>
      </c>
      <c r="D16" s="56">
        <v>83</v>
      </c>
      <c r="E16" s="56" t="s">
        <v>702</v>
      </c>
      <c r="F16" s="56">
        <v>1</v>
      </c>
      <c r="G16" s="56" t="s">
        <v>751</v>
      </c>
      <c r="H16" s="56" t="s">
        <v>42</v>
      </c>
      <c r="I16" s="56" t="s">
        <v>92</v>
      </c>
      <c r="J16" s="56" t="s">
        <v>700</v>
      </c>
      <c r="K16" s="56" t="s">
        <v>41</v>
      </c>
      <c r="L16" s="56">
        <v>0.4</v>
      </c>
      <c r="M16" s="56">
        <v>0.32</v>
      </c>
      <c r="N16" s="56">
        <v>0.24</v>
      </c>
      <c r="O16" s="56">
        <v>0.16</v>
      </c>
      <c r="P16" s="56">
        <v>0.08</v>
      </c>
      <c r="Q16" s="56">
        <v>0</v>
      </c>
      <c r="R16" s="56"/>
      <c r="S16" s="56"/>
      <c r="T16" s="56"/>
      <c r="U16" s="56">
        <v>3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2820F-78BA-4DBD-A9F0-13532E49D972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109" t="s">
        <v>1297</v>
      </c>
      <c r="B1" s="109" t="s">
        <v>22</v>
      </c>
      <c r="C1" s="109" t="s">
        <v>1296</v>
      </c>
      <c r="D1" s="109" t="s">
        <v>1295</v>
      </c>
      <c r="E1" s="109" t="s">
        <v>36</v>
      </c>
      <c r="F1" s="109" t="s">
        <v>1294</v>
      </c>
      <c r="G1" s="109" t="s">
        <v>1293</v>
      </c>
      <c r="H1" s="109" t="s">
        <v>669</v>
      </c>
      <c r="I1" s="109" t="s">
        <v>38</v>
      </c>
      <c r="J1" s="109" t="s">
        <v>668</v>
      </c>
      <c r="K1" s="109" t="s">
        <v>667</v>
      </c>
      <c r="L1" s="109" t="s">
        <v>666</v>
      </c>
    </row>
    <row r="2" spans="1:12" x14ac:dyDescent="0.2">
      <c r="A2" s="105" t="s">
        <v>1292</v>
      </c>
      <c r="B2" s="111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250.03393845165036</v>
      </c>
      <c r="C2" s="111">
        <f t="shared" si="0"/>
        <v>234.94313269894721</v>
      </c>
      <c r="D2" s="111">
        <f t="shared" si="0"/>
        <v>229.91286411471282</v>
      </c>
      <c r="E2" s="111">
        <f t="shared" si="0"/>
        <v>250.03393845165036</v>
      </c>
      <c r="F2" s="111">
        <f t="shared" si="0"/>
        <v>137.59264068641116</v>
      </c>
      <c r="G2" s="111">
        <f t="shared" si="0"/>
        <v>150.02036307099021</v>
      </c>
      <c r="H2" s="111">
        <f t="shared" si="0"/>
        <v>0</v>
      </c>
      <c r="I2" s="111">
        <f t="shared" si="0"/>
        <v>168.78220726060687</v>
      </c>
      <c r="J2" s="111">
        <f t="shared" si="0"/>
        <v>0</v>
      </c>
      <c r="K2" s="111">
        <f t="shared" si="0"/>
        <v>0</v>
      </c>
      <c r="L2" s="111">
        <f t="shared" si="0"/>
        <v>0</v>
      </c>
    </row>
    <row r="3" spans="1:12" ht="12" thickBot="1" x14ac:dyDescent="0.25">
      <c r="A3" s="103" t="s">
        <v>1291</v>
      </c>
      <c r="B3" s="110">
        <v>8.4499999999999993</v>
      </c>
      <c r="C3" s="110">
        <v>7.94</v>
      </c>
      <c r="D3" s="110">
        <v>7.77</v>
      </c>
      <c r="E3" s="110">
        <v>8.4499999999999993</v>
      </c>
      <c r="F3" s="110">
        <v>4.6500000000000004</v>
      </c>
      <c r="G3" s="110">
        <v>5.07</v>
      </c>
      <c r="H3" s="110">
        <v>0</v>
      </c>
      <c r="I3" s="110">
        <f>'TUSD BE'!$AC$6</f>
        <v>5.7040642569725293</v>
      </c>
      <c r="J3" s="110">
        <v>0</v>
      </c>
      <c r="K3" s="110">
        <v>0</v>
      </c>
      <c r="L3" s="110">
        <v>0</v>
      </c>
    </row>
    <row r="5" spans="1:12" ht="12" thickBot="1" x14ac:dyDescent="0.25">
      <c r="A5" s="109" t="s">
        <v>1290</v>
      </c>
      <c r="B5" s="109" t="s">
        <v>1289</v>
      </c>
    </row>
    <row r="6" spans="1:12" x14ac:dyDescent="0.2">
      <c r="A6" s="105" t="s">
        <v>1288</v>
      </c>
      <c r="B6" s="108">
        <v>0.1063543545436658</v>
      </c>
    </row>
    <row r="7" spans="1:12" x14ac:dyDescent="0.2">
      <c r="A7" s="107" t="s">
        <v>1287</v>
      </c>
      <c r="B7" s="106">
        <v>0.34</v>
      </c>
    </row>
    <row r="8" spans="1:12" x14ac:dyDescent="0.2">
      <c r="A8" s="105" t="s">
        <v>1286</v>
      </c>
      <c r="B8" s="104">
        <v>6131172.6344181849</v>
      </c>
    </row>
    <row r="9" spans="1:12" x14ac:dyDescent="0.2">
      <c r="A9" s="107" t="s">
        <v>1285</v>
      </c>
      <c r="B9" s="106">
        <v>4.02E-2</v>
      </c>
    </row>
    <row r="10" spans="1:12" x14ac:dyDescent="0.2">
      <c r="A10" s="105" t="s">
        <v>1284</v>
      </c>
      <c r="B10" s="104">
        <v>4381685.7817393942</v>
      </c>
    </row>
    <row r="11" spans="1:12" ht="12" thickBot="1" x14ac:dyDescent="0.25">
      <c r="A11" s="103" t="s">
        <v>1283</v>
      </c>
      <c r="B11" s="102">
        <f>(1+$B$6)^(1/IF($B$9&lt;&gt;0,$B$9,1))*$B$6/IF((1+$B$6)^(1/IF($B$9&lt;&gt;0,$B$9,1))-1&lt;&gt;0,(1+$B$6)^(1/IF($B$9&lt;&gt;0,$B$9,1))-1,1)</f>
        <v>0.11571938893742585</v>
      </c>
    </row>
    <row r="18" spans="2:2" x14ac:dyDescent="0.2">
      <c r="B18" s="10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D9FFC-946B-40CC-8A48-A5CBF6986211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61" t="s">
        <v>1335</v>
      </c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  <c r="AD1" s="161"/>
      <c r="AE1" s="161"/>
      <c r="AF1" s="161"/>
      <c r="AG1" s="162"/>
      <c r="AH1" s="161" t="s">
        <v>1336</v>
      </c>
      <c r="AI1" s="161"/>
      <c r="AJ1" s="161"/>
      <c r="AK1" s="161"/>
      <c r="AL1" s="161"/>
      <c r="AM1" s="161"/>
      <c r="AN1" s="161"/>
      <c r="AO1" s="161"/>
      <c r="AP1" s="161"/>
      <c r="AQ1" s="161"/>
      <c r="AR1" s="161"/>
    </row>
    <row r="2" spans="2:44" ht="12" customHeight="1" x14ac:dyDescent="0.25">
      <c r="L2" s="163" t="s">
        <v>534</v>
      </c>
      <c r="M2" s="163"/>
      <c r="N2" s="163"/>
      <c r="O2" s="163"/>
      <c r="P2" s="163"/>
      <c r="Q2" s="163"/>
      <c r="R2" s="163"/>
      <c r="S2" s="164"/>
      <c r="T2" s="163" t="s">
        <v>543</v>
      </c>
      <c r="U2" s="163"/>
      <c r="V2" s="163"/>
      <c r="W2" s="163"/>
      <c r="X2" s="163"/>
      <c r="Y2" s="163"/>
      <c r="Z2" s="164"/>
      <c r="AA2" s="122" t="s">
        <v>551</v>
      </c>
      <c r="AB2" s="163" t="s">
        <v>25</v>
      </c>
      <c r="AC2" s="164"/>
      <c r="AD2" s="163" t="s">
        <v>1334</v>
      </c>
      <c r="AE2" s="163"/>
      <c r="AF2" s="163"/>
      <c r="AG2" s="164"/>
      <c r="AH2" s="163" t="s">
        <v>534</v>
      </c>
      <c r="AI2" s="163"/>
      <c r="AJ2" s="163"/>
      <c r="AK2" s="163"/>
      <c r="AL2" s="164"/>
      <c r="AM2" s="122" t="s">
        <v>565</v>
      </c>
      <c r="AN2" s="163" t="s">
        <v>543</v>
      </c>
      <c r="AO2" s="163"/>
      <c r="AP2" s="163"/>
      <c r="AQ2" s="164"/>
      <c r="AR2" s="121" t="s">
        <v>1334</v>
      </c>
    </row>
    <row r="3" spans="2:44" ht="12" customHeight="1" x14ac:dyDescent="0.25">
      <c r="B3" s="112" t="s">
        <v>65</v>
      </c>
      <c r="C3" s="113" t="s">
        <v>66</v>
      </c>
      <c r="D3" s="113" t="s">
        <v>67</v>
      </c>
      <c r="E3" s="113" t="s">
        <v>68</v>
      </c>
      <c r="F3" s="113" t="s">
        <v>69</v>
      </c>
      <c r="G3" s="113" t="s">
        <v>71</v>
      </c>
      <c r="H3" s="113" t="s">
        <v>72</v>
      </c>
      <c r="I3" s="113" t="s">
        <v>811</v>
      </c>
      <c r="J3" s="113" t="s">
        <v>1298</v>
      </c>
      <c r="K3" s="113" t="s">
        <v>1299</v>
      </c>
      <c r="L3" s="113" t="s">
        <v>1300</v>
      </c>
      <c r="M3" s="113" t="s">
        <v>1301</v>
      </c>
      <c r="N3" s="113" t="s">
        <v>1302</v>
      </c>
      <c r="O3" s="113" t="s">
        <v>1303</v>
      </c>
      <c r="P3" s="113" t="s">
        <v>1304</v>
      </c>
      <c r="Q3" s="113" t="s">
        <v>1305</v>
      </c>
      <c r="R3" s="113" t="s">
        <v>1306</v>
      </c>
      <c r="S3" s="113" t="s">
        <v>1307</v>
      </c>
      <c r="T3" s="113" t="s">
        <v>1308</v>
      </c>
      <c r="U3" s="113" t="s">
        <v>1309</v>
      </c>
      <c r="V3" s="113" t="s">
        <v>1310</v>
      </c>
      <c r="W3" s="113" t="s">
        <v>1311</v>
      </c>
      <c r="X3" s="113" t="s">
        <v>1312</v>
      </c>
      <c r="Y3" s="113" t="s">
        <v>1313</v>
      </c>
      <c r="Z3" s="113" t="s">
        <v>1314</v>
      </c>
      <c r="AA3" s="113" t="s">
        <v>1315</v>
      </c>
      <c r="AB3" s="113" t="s">
        <v>1316</v>
      </c>
      <c r="AC3" s="113" t="s">
        <v>1317</v>
      </c>
      <c r="AD3" s="113" t="s">
        <v>1318</v>
      </c>
      <c r="AE3" s="113" t="s">
        <v>1319</v>
      </c>
      <c r="AF3" s="113" t="s">
        <v>1320</v>
      </c>
      <c r="AG3" s="113" t="s">
        <v>1321</v>
      </c>
      <c r="AH3" s="113" t="s">
        <v>1322</v>
      </c>
      <c r="AI3" s="113" t="s">
        <v>1323</v>
      </c>
      <c r="AJ3" s="113" t="s">
        <v>1324</v>
      </c>
      <c r="AK3" s="113" t="s">
        <v>1325</v>
      </c>
      <c r="AL3" s="113" t="s">
        <v>1326</v>
      </c>
      <c r="AM3" s="113" t="s">
        <v>1327</v>
      </c>
      <c r="AN3" s="113" t="s">
        <v>1328</v>
      </c>
      <c r="AO3" s="113" t="s">
        <v>1329</v>
      </c>
      <c r="AP3" s="113" t="s">
        <v>1330</v>
      </c>
      <c r="AQ3" s="113" t="s">
        <v>1331</v>
      </c>
      <c r="AR3" s="114" t="s">
        <v>1332</v>
      </c>
    </row>
    <row r="4" spans="2:44" ht="12" customHeight="1" x14ac:dyDescent="0.25">
      <c r="B4" s="115" t="s">
        <v>38</v>
      </c>
      <c r="C4" s="116" t="s">
        <v>56</v>
      </c>
      <c r="D4" s="116" t="s">
        <v>25</v>
      </c>
      <c r="E4" s="116" t="s">
        <v>25</v>
      </c>
      <c r="F4" s="116" t="s">
        <v>83</v>
      </c>
      <c r="G4" s="116" t="s">
        <v>33</v>
      </c>
      <c r="H4" s="116" t="s">
        <v>75</v>
      </c>
      <c r="I4" s="116" t="s">
        <v>25</v>
      </c>
      <c r="J4" s="116">
        <v>3.96</v>
      </c>
      <c r="K4" s="116">
        <v>0</v>
      </c>
      <c r="L4" s="116">
        <v>0</v>
      </c>
      <c r="M4" s="116">
        <v>0.15765867997420599</v>
      </c>
      <c r="N4" s="116">
        <v>9.0257269257270706E-2</v>
      </c>
      <c r="O4" s="116">
        <v>0</v>
      </c>
      <c r="P4" s="116">
        <v>0</v>
      </c>
      <c r="Q4" s="116">
        <v>0</v>
      </c>
      <c r="R4" s="116">
        <v>0</v>
      </c>
      <c r="S4" s="116">
        <v>0</v>
      </c>
      <c r="T4" s="116">
        <v>0</v>
      </c>
      <c r="U4" s="116">
        <v>0</v>
      </c>
      <c r="V4" s="116">
        <v>0</v>
      </c>
      <c r="W4" s="116">
        <v>0</v>
      </c>
      <c r="X4" s="116">
        <v>0</v>
      </c>
      <c r="Y4" s="116">
        <v>0</v>
      </c>
      <c r="Z4" s="116">
        <v>0</v>
      </c>
      <c r="AA4" s="116">
        <v>0</v>
      </c>
      <c r="AB4" s="116">
        <v>-1.2645756724936801</v>
      </c>
      <c r="AC4" s="116">
        <v>0</v>
      </c>
      <c r="AD4" s="116">
        <v>2.8367396766568702</v>
      </c>
      <c r="AE4" s="116">
        <v>9.7323960655877007E-2</v>
      </c>
      <c r="AF4" s="116">
        <v>1.9350165550345999</v>
      </c>
      <c r="AG4" s="116">
        <v>0.10725548002138</v>
      </c>
      <c r="AH4" s="116">
        <v>0</v>
      </c>
      <c r="AI4" s="116">
        <v>0</v>
      </c>
      <c r="AJ4" s="116">
        <v>0</v>
      </c>
      <c r="AK4" s="116">
        <v>0</v>
      </c>
      <c r="AL4" s="116">
        <v>0</v>
      </c>
      <c r="AM4" s="116">
        <v>0</v>
      </c>
      <c r="AN4" s="116">
        <v>0</v>
      </c>
      <c r="AO4" s="116">
        <v>0</v>
      </c>
      <c r="AP4" s="116">
        <v>0</v>
      </c>
      <c r="AQ4" s="116">
        <v>0</v>
      </c>
      <c r="AR4" s="117">
        <v>0</v>
      </c>
    </row>
    <row r="5" spans="2:44" ht="12" customHeight="1" x14ac:dyDescent="0.25">
      <c r="B5" s="115" t="s">
        <v>38</v>
      </c>
      <c r="C5" s="116" t="s">
        <v>56</v>
      </c>
      <c r="D5" s="116" t="s">
        <v>25</v>
      </c>
      <c r="E5" s="116" t="s">
        <v>25</v>
      </c>
      <c r="F5" s="116" t="s">
        <v>83</v>
      </c>
      <c r="G5" s="116" t="s">
        <v>33</v>
      </c>
      <c r="H5" s="116" t="s">
        <v>80</v>
      </c>
      <c r="I5" s="116" t="s">
        <v>25</v>
      </c>
      <c r="J5" s="116">
        <v>39.79</v>
      </c>
      <c r="K5" s="116">
        <v>0</v>
      </c>
      <c r="L5" s="116">
        <v>0</v>
      </c>
      <c r="M5" s="116">
        <v>0</v>
      </c>
      <c r="N5" s="116">
        <v>0</v>
      </c>
      <c r="O5" s="116">
        <v>0</v>
      </c>
      <c r="P5" s="116">
        <v>0</v>
      </c>
      <c r="Q5" s="116">
        <v>0</v>
      </c>
      <c r="R5" s="116">
        <v>0</v>
      </c>
      <c r="S5" s="116">
        <v>0</v>
      </c>
      <c r="T5" s="116">
        <v>0</v>
      </c>
      <c r="U5" s="116">
        <v>0</v>
      </c>
      <c r="V5" s="116">
        <v>0</v>
      </c>
      <c r="W5" s="116">
        <v>0</v>
      </c>
      <c r="X5" s="116">
        <v>33.414891148720002</v>
      </c>
      <c r="Y5" s="116">
        <v>0</v>
      </c>
      <c r="Z5" s="116">
        <v>0</v>
      </c>
      <c r="AA5" s="116">
        <v>21.4536469893965</v>
      </c>
      <c r="AB5" s="116">
        <v>-15.0831008365504</v>
      </c>
      <c r="AC5" s="116">
        <v>0</v>
      </c>
      <c r="AD5" s="116">
        <v>0</v>
      </c>
      <c r="AE5" s="116">
        <v>0</v>
      </c>
      <c r="AF5" s="116">
        <v>0</v>
      </c>
      <c r="AG5" s="116">
        <v>0</v>
      </c>
      <c r="AH5" s="116">
        <v>0</v>
      </c>
      <c r="AI5" s="116">
        <v>0</v>
      </c>
      <c r="AJ5" s="116">
        <v>0</v>
      </c>
      <c r="AK5" s="116">
        <v>0</v>
      </c>
      <c r="AL5" s="116">
        <v>0</v>
      </c>
      <c r="AM5" s="116">
        <v>0</v>
      </c>
      <c r="AN5" s="116">
        <v>0</v>
      </c>
      <c r="AO5" s="116">
        <v>0</v>
      </c>
      <c r="AP5" s="116">
        <v>0</v>
      </c>
      <c r="AQ5" s="116">
        <v>0</v>
      </c>
      <c r="AR5" s="117">
        <v>0</v>
      </c>
    </row>
    <row r="6" spans="2:44" ht="12" customHeight="1" x14ac:dyDescent="0.25">
      <c r="B6" s="115" t="s">
        <v>38</v>
      </c>
      <c r="C6" s="116" t="s">
        <v>56</v>
      </c>
      <c r="D6" s="116" t="s">
        <v>25</v>
      </c>
      <c r="E6" s="116" t="s">
        <v>25</v>
      </c>
      <c r="F6" s="116" t="s">
        <v>83</v>
      </c>
      <c r="G6" s="116" t="s">
        <v>34</v>
      </c>
      <c r="H6" s="116" t="s">
        <v>75</v>
      </c>
      <c r="I6" s="116" t="s">
        <v>25</v>
      </c>
      <c r="J6" s="116">
        <v>3.96</v>
      </c>
      <c r="K6" s="116">
        <v>0</v>
      </c>
      <c r="L6" s="116">
        <v>0</v>
      </c>
      <c r="M6" s="116">
        <v>0.15765867997420599</v>
      </c>
      <c r="N6" s="116">
        <v>9.0257269257270706E-2</v>
      </c>
      <c r="O6" s="116">
        <v>0</v>
      </c>
      <c r="P6" s="116">
        <v>0</v>
      </c>
      <c r="Q6" s="116">
        <v>0</v>
      </c>
      <c r="R6" s="116">
        <v>0</v>
      </c>
      <c r="S6" s="116">
        <v>0</v>
      </c>
      <c r="T6" s="116">
        <v>0</v>
      </c>
      <c r="U6" s="116">
        <v>0</v>
      </c>
      <c r="V6" s="116">
        <v>0</v>
      </c>
      <c r="W6" s="116">
        <v>0</v>
      </c>
      <c r="X6" s="116">
        <v>0</v>
      </c>
      <c r="Y6" s="116">
        <v>0</v>
      </c>
      <c r="Z6" s="116">
        <v>0</v>
      </c>
      <c r="AA6" s="116">
        <v>0</v>
      </c>
      <c r="AB6" s="116">
        <v>-1.2645756724936801</v>
      </c>
      <c r="AC6" s="116">
        <v>0</v>
      </c>
      <c r="AD6" s="116">
        <v>2.8367396766568702</v>
      </c>
      <c r="AE6" s="116">
        <v>9.7323960655877007E-2</v>
      </c>
      <c r="AF6" s="116">
        <v>1.9350165550345999</v>
      </c>
      <c r="AG6" s="116">
        <v>0.10725548002138</v>
      </c>
      <c r="AH6" s="116">
        <v>0</v>
      </c>
      <c r="AI6" s="116">
        <v>0</v>
      </c>
      <c r="AJ6" s="116">
        <v>0</v>
      </c>
      <c r="AK6" s="116">
        <v>0</v>
      </c>
      <c r="AL6" s="116">
        <v>0</v>
      </c>
      <c r="AM6" s="116">
        <v>0</v>
      </c>
      <c r="AN6" s="116">
        <v>0</v>
      </c>
      <c r="AO6" s="116">
        <v>0</v>
      </c>
      <c r="AP6" s="116">
        <v>0</v>
      </c>
      <c r="AQ6" s="116">
        <v>0</v>
      </c>
      <c r="AR6" s="117">
        <v>0</v>
      </c>
    </row>
    <row r="7" spans="2:44" ht="12" customHeight="1" x14ac:dyDescent="0.25">
      <c r="B7" s="115" t="s">
        <v>38</v>
      </c>
      <c r="C7" s="116" t="s">
        <v>56</v>
      </c>
      <c r="D7" s="116" t="s">
        <v>25</v>
      </c>
      <c r="E7" s="116" t="s">
        <v>25</v>
      </c>
      <c r="F7" s="116" t="s">
        <v>83</v>
      </c>
      <c r="G7" s="116" t="s">
        <v>34</v>
      </c>
      <c r="H7" s="116" t="s">
        <v>80</v>
      </c>
      <c r="I7" s="116" t="s">
        <v>25</v>
      </c>
      <c r="J7" s="116">
        <v>13.66</v>
      </c>
      <c r="K7" s="116">
        <v>0</v>
      </c>
      <c r="L7" s="116">
        <v>0</v>
      </c>
      <c r="M7" s="116">
        <v>0</v>
      </c>
      <c r="N7" s="116">
        <v>0</v>
      </c>
      <c r="O7" s="116">
        <v>0</v>
      </c>
      <c r="P7" s="116">
        <v>0</v>
      </c>
      <c r="Q7" s="116">
        <v>0</v>
      </c>
      <c r="R7" s="116">
        <v>0</v>
      </c>
      <c r="S7" s="116">
        <v>0</v>
      </c>
      <c r="T7" s="116">
        <v>0</v>
      </c>
      <c r="U7" s="116">
        <v>0</v>
      </c>
      <c r="V7" s="116">
        <v>0</v>
      </c>
      <c r="W7" s="116">
        <v>0</v>
      </c>
      <c r="X7" s="116">
        <v>13.130787787147099</v>
      </c>
      <c r="Y7" s="116">
        <v>0</v>
      </c>
      <c r="Z7" s="116">
        <v>0</v>
      </c>
      <c r="AA7" s="116">
        <v>5.7040642569725302</v>
      </c>
      <c r="AB7" s="116">
        <v>-5.1743872308518997</v>
      </c>
      <c r="AC7" s="116">
        <v>0</v>
      </c>
      <c r="AD7" s="116">
        <v>0</v>
      </c>
      <c r="AE7" s="116">
        <v>0</v>
      </c>
      <c r="AF7" s="116">
        <v>0</v>
      </c>
      <c r="AG7" s="116">
        <v>0</v>
      </c>
      <c r="AH7" s="116">
        <v>0</v>
      </c>
      <c r="AI7" s="116">
        <v>0</v>
      </c>
      <c r="AJ7" s="116">
        <v>0</v>
      </c>
      <c r="AK7" s="116">
        <v>0</v>
      </c>
      <c r="AL7" s="116">
        <v>0</v>
      </c>
      <c r="AM7" s="116">
        <v>0</v>
      </c>
      <c r="AN7" s="116">
        <v>0</v>
      </c>
      <c r="AO7" s="116">
        <v>0</v>
      </c>
      <c r="AP7" s="116">
        <v>0</v>
      </c>
      <c r="AQ7" s="116">
        <v>0</v>
      </c>
      <c r="AR7" s="117">
        <v>0</v>
      </c>
    </row>
    <row r="8" spans="2:44" ht="12" customHeight="1" x14ac:dyDescent="0.25">
      <c r="B8" s="115" t="s">
        <v>38</v>
      </c>
      <c r="C8" s="116" t="s">
        <v>56</v>
      </c>
      <c r="D8" s="116" t="s">
        <v>25</v>
      </c>
      <c r="E8" s="116" t="s">
        <v>25</v>
      </c>
      <c r="F8" s="116" t="s">
        <v>25</v>
      </c>
      <c r="G8" s="116" t="s">
        <v>33</v>
      </c>
      <c r="H8" s="116" t="s">
        <v>75</v>
      </c>
      <c r="I8" s="116" t="s">
        <v>25</v>
      </c>
      <c r="J8" s="116">
        <v>83.28</v>
      </c>
      <c r="K8" s="116">
        <v>316.98</v>
      </c>
      <c r="L8" s="116">
        <v>0</v>
      </c>
      <c r="M8" s="116">
        <v>0.15765867997420599</v>
      </c>
      <c r="N8" s="116">
        <v>0.100627051336677</v>
      </c>
      <c r="O8" s="116">
        <v>0</v>
      </c>
      <c r="P8" s="116">
        <v>0</v>
      </c>
      <c r="Q8" s="116">
        <v>85.826188605446305</v>
      </c>
      <c r="R8" s="116">
        <v>18.0548366013739</v>
      </c>
      <c r="S8" s="116">
        <v>0</v>
      </c>
      <c r="T8" s="116">
        <v>0</v>
      </c>
      <c r="U8" s="116">
        <v>0</v>
      </c>
      <c r="V8" s="116">
        <v>0</v>
      </c>
      <c r="W8" s="116">
        <v>0</v>
      </c>
      <c r="X8" s="116">
        <v>0</v>
      </c>
      <c r="Y8" s="116">
        <v>0</v>
      </c>
      <c r="Z8" s="116">
        <v>0</v>
      </c>
      <c r="AA8" s="116">
        <v>0</v>
      </c>
      <c r="AB8" s="116">
        <v>-25.8401288029408</v>
      </c>
      <c r="AC8" s="116">
        <v>0</v>
      </c>
      <c r="AD8" s="116">
        <v>2.8367396766568702</v>
      </c>
      <c r="AE8" s="116">
        <v>9.7323960655877007E-2</v>
      </c>
      <c r="AF8" s="116">
        <v>1.9350165550345999</v>
      </c>
      <c r="AG8" s="116">
        <v>0.10725548002138</v>
      </c>
      <c r="AH8" s="116">
        <v>0</v>
      </c>
      <c r="AI8" s="116">
        <v>-23.339897791030999</v>
      </c>
      <c r="AJ8" s="116">
        <v>2.4354735912537802</v>
      </c>
      <c r="AK8" s="116">
        <v>31.886548035212599</v>
      </c>
      <c r="AL8" s="116">
        <v>0</v>
      </c>
      <c r="AM8" s="116">
        <v>374.78276969355602</v>
      </c>
      <c r="AN8" s="116">
        <v>12.999711155801499</v>
      </c>
      <c r="AO8" s="116">
        <v>8.1146164679834101</v>
      </c>
      <c r="AP8" s="116">
        <v>0</v>
      </c>
      <c r="AQ8" s="116">
        <v>-95.946345103613297</v>
      </c>
      <c r="AR8" s="117">
        <v>6.0469553570820898</v>
      </c>
    </row>
    <row r="9" spans="2:44" ht="12" customHeight="1" x14ac:dyDescent="0.25">
      <c r="B9" s="115" t="s">
        <v>38</v>
      </c>
      <c r="C9" s="116" t="s">
        <v>56</v>
      </c>
      <c r="D9" s="116" t="s">
        <v>25</v>
      </c>
      <c r="E9" s="116" t="s">
        <v>25</v>
      </c>
      <c r="F9" s="116" t="s">
        <v>25</v>
      </c>
      <c r="G9" s="116" t="s">
        <v>33</v>
      </c>
      <c r="H9" s="116" t="s">
        <v>80</v>
      </c>
      <c r="I9" s="116" t="s">
        <v>25</v>
      </c>
      <c r="J9" s="116">
        <v>39.79</v>
      </c>
      <c r="K9" s="116">
        <v>0</v>
      </c>
      <c r="L9" s="116">
        <v>0</v>
      </c>
      <c r="M9" s="116">
        <v>0</v>
      </c>
      <c r="N9" s="116">
        <v>0</v>
      </c>
      <c r="O9" s="116">
        <v>0</v>
      </c>
      <c r="P9" s="116">
        <v>0</v>
      </c>
      <c r="Q9" s="116">
        <v>0</v>
      </c>
      <c r="R9" s="116">
        <v>0</v>
      </c>
      <c r="S9" s="116">
        <v>0</v>
      </c>
      <c r="T9" s="116">
        <v>0</v>
      </c>
      <c r="U9" s="116">
        <v>0</v>
      </c>
      <c r="V9" s="116">
        <v>0</v>
      </c>
      <c r="W9" s="116">
        <v>0</v>
      </c>
      <c r="X9" s="116">
        <v>33.414891148720002</v>
      </c>
      <c r="Y9" s="116">
        <v>0</v>
      </c>
      <c r="Z9" s="116">
        <v>0</v>
      </c>
      <c r="AA9" s="116">
        <v>21.4536469893965</v>
      </c>
      <c r="AB9" s="116">
        <v>-15.0831008365504</v>
      </c>
      <c r="AC9" s="116">
        <v>0</v>
      </c>
      <c r="AD9" s="116">
        <v>0</v>
      </c>
      <c r="AE9" s="116">
        <v>0</v>
      </c>
      <c r="AF9" s="116">
        <v>0</v>
      </c>
      <c r="AG9" s="116">
        <v>0</v>
      </c>
      <c r="AH9" s="116">
        <v>0</v>
      </c>
      <c r="AI9" s="116">
        <v>0</v>
      </c>
      <c r="AJ9" s="116">
        <v>0</v>
      </c>
      <c r="AK9" s="116">
        <v>0</v>
      </c>
      <c r="AL9" s="116">
        <v>0</v>
      </c>
      <c r="AM9" s="116">
        <v>0</v>
      </c>
      <c r="AN9" s="116">
        <v>0</v>
      </c>
      <c r="AO9" s="116">
        <v>0</v>
      </c>
      <c r="AP9" s="116">
        <v>0</v>
      </c>
      <c r="AQ9" s="116">
        <v>0</v>
      </c>
      <c r="AR9" s="117">
        <v>0</v>
      </c>
    </row>
    <row r="10" spans="2:44" ht="12" customHeight="1" x14ac:dyDescent="0.25">
      <c r="B10" s="115" t="s">
        <v>38</v>
      </c>
      <c r="C10" s="116" t="s">
        <v>56</v>
      </c>
      <c r="D10" s="116" t="s">
        <v>25</v>
      </c>
      <c r="E10" s="116" t="s">
        <v>25</v>
      </c>
      <c r="F10" s="116" t="s">
        <v>25</v>
      </c>
      <c r="G10" s="116" t="s">
        <v>34</v>
      </c>
      <c r="H10" s="116" t="s">
        <v>75</v>
      </c>
      <c r="I10" s="116" t="s">
        <v>25</v>
      </c>
      <c r="J10" s="116">
        <v>83.28</v>
      </c>
      <c r="K10" s="116">
        <v>197.69</v>
      </c>
      <c r="L10" s="116">
        <v>0</v>
      </c>
      <c r="M10" s="116">
        <v>0.15765867997420599</v>
      </c>
      <c r="N10" s="116">
        <v>0.100627051336677</v>
      </c>
      <c r="O10" s="116">
        <v>0</v>
      </c>
      <c r="P10" s="116">
        <v>0</v>
      </c>
      <c r="Q10" s="116">
        <v>85.826188605446305</v>
      </c>
      <c r="R10" s="116">
        <v>18.0548366013739</v>
      </c>
      <c r="S10" s="116">
        <v>0</v>
      </c>
      <c r="T10" s="116">
        <v>0</v>
      </c>
      <c r="U10" s="116">
        <v>0</v>
      </c>
      <c r="V10" s="116">
        <v>0</v>
      </c>
      <c r="W10" s="116">
        <v>0</v>
      </c>
      <c r="X10" s="116">
        <v>0</v>
      </c>
      <c r="Y10" s="116">
        <v>0</v>
      </c>
      <c r="Z10" s="116">
        <v>0</v>
      </c>
      <c r="AA10" s="116">
        <v>0</v>
      </c>
      <c r="AB10" s="116">
        <v>-25.8401288029408</v>
      </c>
      <c r="AC10" s="116">
        <v>0</v>
      </c>
      <c r="AD10" s="116">
        <v>2.8367396766568702</v>
      </c>
      <c r="AE10" s="116">
        <v>9.7323960655877007E-2</v>
      </c>
      <c r="AF10" s="116">
        <v>1.9350165550345999</v>
      </c>
      <c r="AG10" s="116">
        <v>0.10725548002138</v>
      </c>
      <c r="AH10" s="116">
        <v>0</v>
      </c>
      <c r="AI10" s="116">
        <v>-23.339897791030999</v>
      </c>
      <c r="AJ10" s="116">
        <v>2.4354735912537802</v>
      </c>
      <c r="AK10" s="116">
        <v>31.886548035212599</v>
      </c>
      <c r="AL10" s="116">
        <v>0</v>
      </c>
      <c r="AM10" s="116">
        <v>217.89695912416099</v>
      </c>
      <c r="AN10" s="116">
        <v>12.999711155801499</v>
      </c>
      <c r="AO10" s="116">
        <v>8.1146164679834101</v>
      </c>
      <c r="AP10" s="116">
        <v>0</v>
      </c>
      <c r="AQ10" s="116">
        <v>-58.350793426164401</v>
      </c>
      <c r="AR10" s="117">
        <v>6.0469553570820898</v>
      </c>
    </row>
    <row r="11" spans="2:44" ht="12" customHeight="1" x14ac:dyDescent="0.25">
      <c r="B11" s="115" t="s">
        <v>38</v>
      </c>
      <c r="C11" s="116" t="s">
        <v>56</v>
      </c>
      <c r="D11" s="116" t="s">
        <v>25</v>
      </c>
      <c r="E11" s="116" t="s">
        <v>25</v>
      </c>
      <c r="F11" s="116" t="s">
        <v>25</v>
      </c>
      <c r="G11" s="116" t="s">
        <v>34</v>
      </c>
      <c r="H11" s="116" t="s">
        <v>80</v>
      </c>
      <c r="I11" s="116" t="s">
        <v>25</v>
      </c>
      <c r="J11" s="116">
        <v>13.66</v>
      </c>
      <c r="K11" s="116">
        <v>0</v>
      </c>
      <c r="L11" s="116">
        <v>0</v>
      </c>
      <c r="M11" s="116">
        <v>0</v>
      </c>
      <c r="N11" s="116">
        <v>0</v>
      </c>
      <c r="O11" s="116">
        <v>0</v>
      </c>
      <c r="P11" s="116">
        <v>0</v>
      </c>
      <c r="Q11" s="116">
        <v>0</v>
      </c>
      <c r="R11" s="116">
        <v>0</v>
      </c>
      <c r="S11" s="116">
        <v>0</v>
      </c>
      <c r="T11" s="116">
        <v>0</v>
      </c>
      <c r="U11" s="116">
        <v>0</v>
      </c>
      <c r="V11" s="116">
        <v>0</v>
      </c>
      <c r="W11" s="116">
        <v>0</v>
      </c>
      <c r="X11" s="116">
        <v>13.130787787147099</v>
      </c>
      <c r="Y11" s="116">
        <v>0</v>
      </c>
      <c r="Z11" s="116">
        <v>0</v>
      </c>
      <c r="AA11" s="116">
        <v>5.7040642569725302</v>
      </c>
      <c r="AB11" s="116">
        <v>-5.1743872308518997</v>
      </c>
      <c r="AC11" s="116">
        <v>0</v>
      </c>
      <c r="AD11" s="116">
        <v>0</v>
      </c>
      <c r="AE11" s="116">
        <v>0</v>
      </c>
      <c r="AF11" s="116">
        <v>0</v>
      </c>
      <c r="AG11" s="116">
        <v>0</v>
      </c>
      <c r="AH11" s="116">
        <v>0</v>
      </c>
      <c r="AI11" s="116">
        <v>0</v>
      </c>
      <c r="AJ11" s="116">
        <v>0</v>
      </c>
      <c r="AK11" s="116">
        <v>0</v>
      </c>
      <c r="AL11" s="116">
        <v>0</v>
      </c>
      <c r="AM11" s="116">
        <v>0</v>
      </c>
      <c r="AN11" s="116">
        <v>0</v>
      </c>
      <c r="AO11" s="116">
        <v>0</v>
      </c>
      <c r="AP11" s="116">
        <v>0</v>
      </c>
      <c r="AQ11" s="116">
        <v>0</v>
      </c>
      <c r="AR11" s="117">
        <v>0</v>
      </c>
    </row>
    <row r="12" spans="2:44" ht="12" customHeight="1" x14ac:dyDescent="0.25">
      <c r="B12" s="115" t="s">
        <v>38</v>
      </c>
      <c r="C12" s="116" t="s">
        <v>23</v>
      </c>
      <c r="D12" s="116" t="s">
        <v>25</v>
      </c>
      <c r="E12" s="116" t="s">
        <v>25</v>
      </c>
      <c r="F12" s="116" t="s">
        <v>25</v>
      </c>
      <c r="G12" s="116" t="s">
        <v>25</v>
      </c>
      <c r="H12" s="116" t="s">
        <v>75</v>
      </c>
      <c r="I12" s="116" t="s">
        <v>25</v>
      </c>
      <c r="J12" s="116">
        <v>0</v>
      </c>
      <c r="K12" s="116">
        <v>207.63</v>
      </c>
      <c r="L12" s="116">
        <v>0</v>
      </c>
      <c r="M12" s="116">
        <v>0</v>
      </c>
      <c r="N12" s="116">
        <v>0</v>
      </c>
      <c r="O12" s="116">
        <v>0</v>
      </c>
      <c r="P12" s="116">
        <v>0</v>
      </c>
      <c r="Q12" s="116">
        <v>0</v>
      </c>
      <c r="R12" s="116">
        <v>0</v>
      </c>
      <c r="S12" s="116">
        <v>0</v>
      </c>
      <c r="T12" s="116">
        <v>0</v>
      </c>
      <c r="U12" s="116">
        <v>0</v>
      </c>
      <c r="V12" s="116">
        <v>0</v>
      </c>
      <c r="W12" s="116">
        <v>0</v>
      </c>
      <c r="X12" s="116">
        <v>0</v>
      </c>
      <c r="Y12" s="116">
        <v>0</v>
      </c>
      <c r="Z12" s="116">
        <v>0</v>
      </c>
      <c r="AA12" s="116">
        <v>0</v>
      </c>
      <c r="AB12" s="116">
        <v>0</v>
      </c>
      <c r="AC12" s="116">
        <v>0</v>
      </c>
      <c r="AD12" s="116">
        <v>0</v>
      </c>
      <c r="AE12" s="116">
        <v>0</v>
      </c>
      <c r="AF12" s="116">
        <v>0</v>
      </c>
      <c r="AG12" s="116">
        <v>0</v>
      </c>
      <c r="AH12" s="116">
        <v>0</v>
      </c>
      <c r="AI12" s="116">
        <v>-23.339897791030999</v>
      </c>
      <c r="AJ12" s="116">
        <v>2.4354735912537802</v>
      </c>
      <c r="AK12" s="116">
        <v>31.886548035212599</v>
      </c>
      <c r="AL12" s="116">
        <v>0</v>
      </c>
      <c r="AM12" s="116">
        <v>230.97077667161</v>
      </c>
      <c r="AN12" s="116">
        <v>12.999711155801499</v>
      </c>
      <c r="AO12" s="116">
        <v>8.1146164679834101</v>
      </c>
      <c r="AP12" s="116">
        <v>0</v>
      </c>
      <c r="AQ12" s="116">
        <v>-61.483756065951802</v>
      </c>
      <c r="AR12" s="117">
        <v>6.0469553570820898</v>
      </c>
    </row>
    <row r="13" spans="2:44" ht="12" customHeight="1" x14ac:dyDescent="0.25">
      <c r="B13" s="115" t="s">
        <v>38</v>
      </c>
      <c r="C13" s="116" t="s">
        <v>84</v>
      </c>
      <c r="D13" s="116" t="s">
        <v>25</v>
      </c>
      <c r="E13" s="116" t="s">
        <v>25</v>
      </c>
      <c r="F13" s="116" t="s">
        <v>25</v>
      </c>
      <c r="G13" s="116" t="s">
        <v>25</v>
      </c>
      <c r="H13" s="116" t="s">
        <v>80</v>
      </c>
      <c r="I13" s="116" t="s">
        <v>25</v>
      </c>
      <c r="J13" s="116">
        <v>5.34</v>
      </c>
      <c r="K13" s="116">
        <v>0</v>
      </c>
      <c r="L13" s="116">
        <v>0</v>
      </c>
      <c r="M13" s="116">
        <v>2.7115475596816499E-2</v>
      </c>
      <c r="N13" s="116">
        <v>7.0307122498374397E-2</v>
      </c>
      <c r="O13" s="116">
        <v>0</v>
      </c>
      <c r="P13" s="116">
        <v>0</v>
      </c>
      <c r="Q13" s="116">
        <v>0</v>
      </c>
      <c r="R13" s="116">
        <v>0</v>
      </c>
      <c r="S13" s="116">
        <v>0</v>
      </c>
      <c r="T13" s="116">
        <v>0</v>
      </c>
      <c r="U13" s="116">
        <v>0</v>
      </c>
      <c r="V13" s="116">
        <v>0</v>
      </c>
      <c r="W13" s="116">
        <v>0</v>
      </c>
      <c r="X13" s="116">
        <v>0</v>
      </c>
      <c r="Y13" s="116">
        <v>0</v>
      </c>
      <c r="Z13" s="116">
        <v>0</v>
      </c>
      <c r="AA13" s="116">
        <v>7.2791410461509001</v>
      </c>
      <c r="AB13" s="116">
        <v>-2.0366331771274702</v>
      </c>
      <c r="AC13" s="116">
        <v>0</v>
      </c>
      <c r="AD13" s="116">
        <v>0</v>
      </c>
      <c r="AE13" s="116">
        <v>0</v>
      </c>
      <c r="AF13" s="116">
        <v>0</v>
      </c>
      <c r="AG13" s="116">
        <v>0</v>
      </c>
      <c r="AH13" s="116">
        <v>0</v>
      </c>
      <c r="AI13" s="116">
        <v>0</v>
      </c>
      <c r="AJ13" s="116">
        <v>0</v>
      </c>
      <c r="AK13" s="116">
        <v>0</v>
      </c>
      <c r="AL13" s="116">
        <v>0</v>
      </c>
      <c r="AM13" s="116">
        <v>0</v>
      </c>
      <c r="AN13" s="116">
        <v>0</v>
      </c>
      <c r="AO13" s="116">
        <v>0</v>
      </c>
      <c r="AP13" s="116">
        <v>0</v>
      </c>
      <c r="AQ13" s="116">
        <v>0</v>
      </c>
      <c r="AR13" s="117">
        <v>0</v>
      </c>
    </row>
    <row r="14" spans="2:44" ht="12" customHeight="1" x14ac:dyDescent="0.25">
      <c r="B14" s="115" t="s">
        <v>38</v>
      </c>
      <c r="C14" s="116" t="s">
        <v>39</v>
      </c>
      <c r="D14" s="116" t="s">
        <v>25</v>
      </c>
      <c r="E14" s="116" t="s">
        <v>25</v>
      </c>
      <c r="F14" s="116" t="s">
        <v>83</v>
      </c>
      <c r="G14" s="116" t="s">
        <v>33</v>
      </c>
      <c r="H14" s="116" t="s">
        <v>75</v>
      </c>
      <c r="I14" s="116" t="s">
        <v>25</v>
      </c>
      <c r="J14" s="116">
        <v>969.26</v>
      </c>
      <c r="K14" s="116">
        <v>0</v>
      </c>
      <c r="L14" s="116">
        <v>0</v>
      </c>
      <c r="M14" s="116">
        <v>0.15765867997420599</v>
      </c>
      <c r="N14" s="116">
        <v>11.781973983255201</v>
      </c>
      <c r="O14" s="116">
        <v>0</v>
      </c>
      <c r="P14" s="116">
        <v>0</v>
      </c>
      <c r="Q14" s="116">
        <v>0</v>
      </c>
      <c r="R14" s="116">
        <v>0</v>
      </c>
      <c r="S14" s="116">
        <v>0</v>
      </c>
      <c r="T14" s="116">
        <v>0</v>
      </c>
      <c r="U14" s="116">
        <v>0</v>
      </c>
      <c r="V14" s="116">
        <v>0</v>
      </c>
      <c r="W14" s="116">
        <v>0</v>
      </c>
      <c r="X14" s="116">
        <v>803.629587991785</v>
      </c>
      <c r="Y14" s="116">
        <v>0</v>
      </c>
      <c r="Z14" s="116">
        <v>0</v>
      </c>
      <c r="AA14" s="116">
        <v>515.96009696613703</v>
      </c>
      <c r="AB14" s="116">
        <v>-367.24133941854598</v>
      </c>
      <c r="AC14" s="116">
        <v>0</v>
      </c>
      <c r="AD14" s="116">
        <v>2.8367396766568702</v>
      </c>
      <c r="AE14" s="116">
        <v>9.7323960655877007E-2</v>
      </c>
      <c r="AF14" s="116">
        <v>1.9350165550345999</v>
      </c>
      <c r="AG14" s="116">
        <v>0.10725548002138</v>
      </c>
      <c r="AH14" s="116">
        <v>0</v>
      </c>
      <c r="AI14" s="116">
        <v>0</v>
      </c>
      <c r="AJ14" s="116">
        <v>0</v>
      </c>
      <c r="AK14" s="116">
        <v>0</v>
      </c>
      <c r="AL14" s="116">
        <v>0</v>
      </c>
      <c r="AM14" s="116">
        <v>0</v>
      </c>
      <c r="AN14" s="116">
        <v>0</v>
      </c>
      <c r="AO14" s="116">
        <v>0</v>
      </c>
      <c r="AP14" s="116">
        <v>0</v>
      </c>
      <c r="AQ14" s="116">
        <v>0</v>
      </c>
      <c r="AR14" s="117">
        <v>0</v>
      </c>
    </row>
    <row r="15" spans="2:44" ht="12" customHeight="1" x14ac:dyDescent="0.25">
      <c r="B15" s="115" t="s">
        <v>38</v>
      </c>
      <c r="C15" s="116" t="s">
        <v>39</v>
      </c>
      <c r="D15" s="116" t="s">
        <v>25</v>
      </c>
      <c r="E15" s="116" t="s">
        <v>25</v>
      </c>
      <c r="F15" s="116" t="s">
        <v>83</v>
      </c>
      <c r="G15" s="116" t="s">
        <v>25</v>
      </c>
      <c r="H15" s="116" t="s">
        <v>80</v>
      </c>
      <c r="I15" s="116" t="s">
        <v>25</v>
      </c>
      <c r="J15" s="116">
        <v>13.66</v>
      </c>
      <c r="K15" s="116">
        <v>0</v>
      </c>
      <c r="L15" s="116">
        <v>0</v>
      </c>
      <c r="M15" s="116">
        <v>0</v>
      </c>
      <c r="N15" s="116">
        <v>0</v>
      </c>
      <c r="O15" s="116">
        <v>0</v>
      </c>
      <c r="P15" s="116">
        <v>0</v>
      </c>
      <c r="Q15" s="116">
        <v>0</v>
      </c>
      <c r="R15" s="116">
        <v>0</v>
      </c>
      <c r="S15" s="116">
        <v>0</v>
      </c>
      <c r="T15" s="116">
        <v>0</v>
      </c>
      <c r="U15" s="116">
        <v>0</v>
      </c>
      <c r="V15" s="116">
        <v>0</v>
      </c>
      <c r="W15" s="116">
        <v>0</v>
      </c>
      <c r="X15" s="116">
        <v>13.130787787147099</v>
      </c>
      <c r="Y15" s="116">
        <v>0</v>
      </c>
      <c r="Z15" s="116">
        <v>0</v>
      </c>
      <c r="AA15" s="116">
        <v>5.7040642569725302</v>
      </c>
      <c r="AB15" s="116">
        <v>-5.1743872308518997</v>
      </c>
      <c r="AC15" s="116">
        <v>0</v>
      </c>
      <c r="AD15" s="116">
        <v>0</v>
      </c>
      <c r="AE15" s="116">
        <v>0</v>
      </c>
      <c r="AF15" s="116">
        <v>0</v>
      </c>
      <c r="AG15" s="116">
        <v>0</v>
      </c>
      <c r="AH15" s="116">
        <v>0</v>
      </c>
      <c r="AI15" s="116">
        <v>0</v>
      </c>
      <c r="AJ15" s="116">
        <v>0</v>
      </c>
      <c r="AK15" s="116">
        <v>0</v>
      </c>
      <c r="AL15" s="116">
        <v>0</v>
      </c>
      <c r="AM15" s="116">
        <v>0</v>
      </c>
      <c r="AN15" s="116">
        <v>0</v>
      </c>
      <c r="AO15" s="116">
        <v>0</v>
      </c>
      <c r="AP15" s="116">
        <v>0</v>
      </c>
      <c r="AQ15" s="116">
        <v>0</v>
      </c>
      <c r="AR15" s="117">
        <v>0</v>
      </c>
    </row>
    <row r="16" spans="2:44" ht="12" customHeight="1" x14ac:dyDescent="0.25">
      <c r="B16" s="115" t="s">
        <v>38</v>
      </c>
      <c r="C16" s="116" t="s">
        <v>39</v>
      </c>
      <c r="D16" s="116" t="s">
        <v>25</v>
      </c>
      <c r="E16" s="116" t="s">
        <v>25</v>
      </c>
      <c r="F16" s="116" t="s">
        <v>83</v>
      </c>
      <c r="G16" s="116" t="s">
        <v>34</v>
      </c>
      <c r="H16" s="116" t="s">
        <v>75</v>
      </c>
      <c r="I16" s="116" t="s">
        <v>25</v>
      </c>
      <c r="J16" s="116">
        <v>3.96</v>
      </c>
      <c r="K16" s="116">
        <v>0</v>
      </c>
      <c r="L16" s="116">
        <v>0</v>
      </c>
      <c r="M16" s="116">
        <v>0.15765867997420599</v>
      </c>
      <c r="N16" s="116">
        <v>9.0257269257270706E-2</v>
      </c>
      <c r="O16" s="116">
        <v>0</v>
      </c>
      <c r="P16" s="116">
        <v>0</v>
      </c>
      <c r="Q16" s="116">
        <v>0</v>
      </c>
      <c r="R16" s="116">
        <v>0</v>
      </c>
      <c r="S16" s="116">
        <v>0</v>
      </c>
      <c r="T16" s="116">
        <v>0</v>
      </c>
      <c r="U16" s="116">
        <v>0</v>
      </c>
      <c r="V16" s="116">
        <v>0</v>
      </c>
      <c r="W16" s="116">
        <v>0</v>
      </c>
      <c r="X16" s="116">
        <v>0</v>
      </c>
      <c r="Y16" s="116">
        <v>0</v>
      </c>
      <c r="Z16" s="116">
        <v>0</v>
      </c>
      <c r="AA16" s="116">
        <v>0</v>
      </c>
      <c r="AB16" s="116">
        <v>-1.2645756724936801</v>
      </c>
      <c r="AC16" s="116">
        <v>0</v>
      </c>
      <c r="AD16" s="116">
        <v>2.8367396766568702</v>
      </c>
      <c r="AE16" s="116">
        <v>9.7323960655877007E-2</v>
      </c>
      <c r="AF16" s="116">
        <v>1.9350165550345999</v>
      </c>
      <c r="AG16" s="116">
        <v>0.10725548002138</v>
      </c>
      <c r="AH16" s="116">
        <v>0</v>
      </c>
      <c r="AI16" s="116">
        <v>0</v>
      </c>
      <c r="AJ16" s="116">
        <v>0</v>
      </c>
      <c r="AK16" s="116">
        <v>0</v>
      </c>
      <c r="AL16" s="116">
        <v>0</v>
      </c>
      <c r="AM16" s="116">
        <v>0</v>
      </c>
      <c r="AN16" s="116">
        <v>0</v>
      </c>
      <c r="AO16" s="116">
        <v>0</v>
      </c>
      <c r="AP16" s="116">
        <v>0</v>
      </c>
      <c r="AQ16" s="116">
        <v>0</v>
      </c>
      <c r="AR16" s="117">
        <v>0</v>
      </c>
    </row>
    <row r="17" spans="2:44" ht="12" customHeight="1" x14ac:dyDescent="0.25">
      <c r="B17" s="115" t="s">
        <v>38</v>
      </c>
      <c r="C17" s="116" t="s">
        <v>39</v>
      </c>
      <c r="D17" s="116" t="s">
        <v>25</v>
      </c>
      <c r="E17" s="116" t="s">
        <v>25</v>
      </c>
      <c r="F17" s="116" t="s">
        <v>25</v>
      </c>
      <c r="G17" s="116" t="s">
        <v>33</v>
      </c>
      <c r="H17" s="116" t="s">
        <v>75</v>
      </c>
      <c r="I17" s="116" t="s">
        <v>25</v>
      </c>
      <c r="J17" s="116">
        <v>1048.58</v>
      </c>
      <c r="K17" s="116">
        <v>316.98</v>
      </c>
      <c r="L17" s="116">
        <v>0</v>
      </c>
      <c r="M17" s="116">
        <v>0.15765867997420599</v>
      </c>
      <c r="N17" s="116">
        <v>11.7923437653346</v>
      </c>
      <c r="O17" s="116">
        <v>0</v>
      </c>
      <c r="P17" s="116">
        <v>0</v>
      </c>
      <c r="Q17" s="116">
        <v>85.826188605446305</v>
      </c>
      <c r="R17" s="116">
        <v>18.0548366013739</v>
      </c>
      <c r="S17" s="116">
        <v>0</v>
      </c>
      <c r="T17" s="116">
        <v>0</v>
      </c>
      <c r="U17" s="116">
        <v>0</v>
      </c>
      <c r="V17" s="116">
        <v>0</v>
      </c>
      <c r="W17" s="116">
        <v>0</v>
      </c>
      <c r="X17" s="116">
        <v>803.629587991785</v>
      </c>
      <c r="Y17" s="116">
        <v>0</v>
      </c>
      <c r="Z17" s="116">
        <v>0</v>
      </c>
      <c r="AA17" s="116">
        <v>515.96009696613703</v>
      </c>
      <c r="AB17" s="116">
        <v>-391.816892548993</v>
      </c>
      <c r="AC17" s="116">
        <v>0</v>
      </c>
      <c r="AD17" s="116">
        <v>2.8367396766568702</v>
      </c>
      <c r="AE17" s="116">
        <v>9.7323960655877007E-2</v>
      </c>
      <c r="AF17" s="116">
        <v>1.9350165550345999</v>
      </c>
      <c r="AG17" s="116">
        <v>0.10725548002138</v>
      </c>
      <c r="AH17" s="116">
        <v>0</v>
      </c>
      <c r="AI17" s="116">
        <v>-23.339897791030999</v>
      </c>
      <c r="AJ17" s="116">
        <v>2.4354735912537802</v>
      </c>
      <c r="AK17" s="116">
        <v>31.886548035212599</v>
      </c>
      <c r="AL17" s="116">
        <v>0</v>
      </c>
      <c r="AM17" s="116">
        <v>374.78276969355602</v>
      </c>
      <c r="AN17" s="116">
        <v>12.999711155801499</v>
      </c>
      <c r="AO17" s="116">
        <v>8.1146164679834101</v>
      </c>
      <c r="AP17" s="116">
        <v>0</v>
      </c>
      <c r="AQ17" s="116">
        <v>-95.946345103613297</v>
      </c>
      <c r="AR17" s="117">
        <v>6.0469553570820898</v>
      </c>
    </row>
    <row r="18" spans="2:44" ht="12" customHeight="1" x14ac:dyDescent="0.25">
      <c r="B18" s="115" t="s">
        <v>38</v>
      </c>
      <c r="C18" s="116" t="s">
        <v>39</v>
      </c>
      <c r="D18" s="116" t="s">
        <v>25</v>
      </c>
      <c r="E18" s="116" t="s">
        <v>25</v>
      </c>
      <c r="F18" s="116" t="s">
        <v>25</v>
      </c>
      <c r="G18" s="116" t="s">
        <v>25</v>
      </c>
      <c r="H18" s="116" t="s">
        <v>80</v>
      </c>
      <c r="I18" s="116" t="s">
        <v>25</v>
      </c>
      <c r="J18" s="116">
        <v>13.66</v>
      </c>
      <c r="K18" s="116">
        <v>0</v>
      </c>
      <c r="L18" s="116">
        <v>0</v>
      </c>
      <c r="M18" s="116">
        <v>0</v>
      </c>
      <c r="N18" s="116">
        <v>0</v>
      </c>
      <c r="O18" s="116">
        <v>0</v>
      </c>
      <c r="P18" s="116">
        <v>0</v>
      </c>
      <c r="Q18" s="116">
        <v>0</v>
      </c>
      <c r="R18" s="116">
        <v>0</v>
      </c>
      <c r="S18" s="116">
        <v>0</v>
      </c>
      <c r="T18" s="116">
        <v>0</v>
      </c>
      <c r="U18" s="116">
        <v>0</v>
      </c>
      <c r="V18" s="116">
        <v>0</v>
      </c>
      <c r="W18" s="116">
        <v>0</v>
      </c>
      <c r="X18" s="116">
        <v>13.130787787147099</v>
      </c>
      <c r="Y18" s="116">
        <v>0</v>
      </c>
      <c r="Z18" s="116">
        <v>0</v>
      </c>
      <c r="AA18" s="116">
        <v>5.7040642569725302</v>
      </c>
      <c r="AB18" s="116">
        <v>-5.1743872308518997</v>
      </c>
      <c r="AC18" s="116">
        <v>0</v>
      </c>
      <c r="AD18" s="116">
        <v>0</v>
      </c>
      <c r="AE18" s="116">
        <v>0</v>
      </c>
      <c r="AF18" s="116">
        <v>0</v>
      </c>
      <c r="AG18" s="116">
        <v>0</v>
      </c>
      <c r="AH18" s="116">
        <v>0</v>
      </c>
      <c r="AI18" s="116">
        <v>0</v>
      </c>
      <c r="AJ18" s="116">
        <v>0</v>
      </c>
      <c r="AK18" s="116">
        <v>0</v>
      </c>
      <c r="AL18" s="116">
        <v>0</v>
      </c>
      <c r="AM18" s="116">
        <v>0</v>
      </c>
      <c r="AN18" s="116">
        <v>0</v>
      </c>
      <c r="AO18" s="116">
        <v>0</v>
      </c>
      <c r="AP18" s="116">
        <v>0</v>
      </c>
      <c r="AQ18" s="116">
        <v>0</v>
      </c>
      <c r="AR18" s="117">
        <v>0</v>
      </c>
    </row>
    <row r="19" spans="2:44" ht="12" customHeight="1" x14ac:dyDescent="0.25">
      <c r="B19" s="115" t="s">
        <v>38</v>
      </c>
      <c r="C19" s="116" t="s">
        <v>39</v>
      </c>
      <c r="D19" s="116" t="s">
        <v>25</v>
      </c>
      <c r="E19" s="116" t="s">
        <v>25</v>
      </c>
      <c r="F19" s="116" t="s">
        <v>25</v>
      </c>
      <c r="G19" s="116" t="s">
        <v>34</v>
      </c>
      <c r="H19" s="116" t="s">
        <v>75</v>
      </c>
      <c r="I19" s="116" t="s">
        <v>25</v>
      </c>
      <c r="J19" s="116">
        <v>83.28</v>
      </c>
      <c r="K19" s="116">
        <v>197.69</v>
      </c>
      <c r="L19" s="116">
        <v>0</v>
      </c>
      <c r="M19" s="116">
        <v>0.15765867997420599</v>
      </c>
      <c r="N19" s="116">
        <v>0.100627051336677</v>
      </c>
      <c r="O19" s="116">
        <v>0</v>
      </c>
      <c r="P19" s="116">
        <v>0</v>
      </c>
      <c r="Q19" s="116">
        <v>85.826188605446305</v>
      </c>
      <c r="R19" s="116">
        <v>18.0548366013739</v>
      </c>
      <c r="S19" s="116">
        <v>0</v>
      </c>
      <c r="T19" s="116">
        <v>0</v>
      </c>
      <c r="U19" s="116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6">
        <v>0</v>
      </c>
      <c r="AB19" s="116">
        <v>-25.8401288029408</v>
      </c>
      <c r="AC19" s="116">
        <v>0</v>
      </c>
      <c r="AD19" s="116">
        <v>2.8367396766568702</v>
      </c>
      <c r="AE19" s="116">
        <v>9.7323960655877007E-2</v>
      </c>
      <c r="AF19" s="116">
        <v>1.9350165550345999</v>
      </c>
      <c r="AG19" s="116">
        <v>0.10725548002138</v>
      </c>
      <c r="AH19" s="116">
        <v>0</v>
      </c>
      <c r="AI19" s="116">
        <v>-23.339897791030999</v>
      </c>
      <c r="AJ19" s="116">
        <v>2.4354735912537802</v>
      </c>
      <c r="AK19" s="116">
        <v>31.886548035212599</v>
      </c>
      <c r="AL19" s="116">
        <v>0</v>
      </c>
      <c r="AM19" s="116">
        <v>217.89695912416099</v>
      </c>
      <c r="AN19" s="116">
        <v>12.999711155801499</v>
      </c>
      <c r="AO19" s="116">
        <v>8.1146164679834101</v>
      </c>
      <c r="AP19" s="116">
        <v>0</v>
      </c>
      <c r="AQ19" s="116">
        <v>-58.350793426164401</v>
      </c>
      <c r="AR19" s="117">
        <v>6.0469553570820898</v>
      </c>
    </row>
    <row r="20" spans="2:44" ht="12" customHeight="1" x14ac:dyDescent="0.25">
      <c r="B20" s="115" t="s">
        <v>85</v>
      </c>
      <c r="C20" s="116" t="s">
        <v>84</v>
      </c>
      <c r="D20" s="116" t="s">
        <v>25</v>
      </c>
      <c r="E20" s="116" t="s">
        <v>25</v>
      </c>
      <c r="F20" s="116" t="s">
        <v>86</v>
      </c>
      <c r="G20" s="116" t="s">
        <v>25</v>
      </c>
      <c r="H20" s="116" t="s">
        <v>80</v>
      </c>
      <c r="I20" s="116" t="s">
        <v>25</v>
      </c>
      <c r="J20" s="116">
        <v>4.3600000000000003</v>
      </c>
      <c r="K20" s="116">
        <v>0</v>
      </c>
      <c r="L20" s="116">
        <v>0</v>
      </c>
      <c r="M20" s="116">
        <v>2.2194518914431301E-2</v>
      </c>
      <c r="N20" s="116">
        <v>5.7344894899116601E-2</v>
      </c>
      <c r="O20" s="116">
        <v>0</v>
      </c>
      <c r="P20" s="116">
        <v>0</v>
      </c>
      <c r="Q20" s="116">
        <v>0</v>
      </c>
      <c r="R20" s="116">
        <v>0</v>
      </c>
      <c r="S20" s="116">
        <v>0</v>
      </c>
      <c r="T20" s="116">
        <v>0</v>
      </c>
      <c r="U20" s="116">
        <v>0</v>
      </c>
      <c r="V20" s="116">
        <v>0</v>
      </c>
      <c r="W20" s="116">
        <v>0</v>
      </c>
      <c r="X20" s="116">
        <v>0</v>
      </c>
      <c r="Y20" s="116">
        <v>0</v>
      </c>
      <c r="Z20" s="116">
        <v>0</v>
      </c>
      <c r="AA20" s="116">
        <v>5.9395877442934104</v>
      </c>
      <c r="AB20" s="116">
        <v>-1.6618519195985599</v>
      </c>
      <c r="AC20" s="116">
        <v>0</v>
      </c>
      <c r="AD20" s="116">
        <v>0</v>
      </c>
      <c r="AE20" s="116">
        <v>0</v>
      </c>
      <c r="AF20" s="116">
        <v>0</v>
      </c>
      <c r="AG20" s="116">
        <v>0</v>
      </c>
      <c r="AH20" s="116">
        <v>0</v>
      </c>
      <c r="AI20" s="116">
        <v>0</v>
      </c>
      <c r="AJ20" s="116">
        <v>0</v>
      </c>
      <c r="AK20" s="116">
        <v>0</v>
      </c>
      <c r="AL20" s="116">
        <v>0</v>
      </c>
      <c r="AM20" s="116">
        <v>0</v>
      </c>
      <c r="AN20" s="116">
        <v>0</v>
      </c>
      <c r="AO20" s="116">
        <v>0</v>
      </c>
      <c r="AP20" s="116">
        <v>0</v>
      </c>
      <c r="AQ20" s="116">
        <v>0</v>
      </c>
      <c r="AR20" s="117">
        <v>0</v>
      </c>
    </row>
    <row r="21" spans="2:44" ht="12" customHeight="1" x14ac:dyDescent="0.25">
      <c r="B21" s="115" t="s">
        <v>85</v>
      </c>
      <c r="C21" s="116" t="s">
        <v>84</v>
      </c>
      <c r="D21" s="116" t="s">
        <v>25</v>
      </c>
      <c r="E21" s="116" t="s">
        <v>25</v>
      </c>
      <c r="F21" s="116" t="s">
        <v>87</v>
      </c>
      <c r="G21" s="116" t="s">
        <v>25</v>
      </c>
      <c r="H21" s="116" t="s">
        <v>80</v>
      </c>
      <c r="I21" s="116" t="s">
        <v>25</v>
      </c>
      <c r="J21" s="116">
        <v>10.42</v>
      </c>
      <c r="K21" s="116">
        <v>0</v>
      </c>
      <c r="L21" s="116">
        <v>0</v>
      </c>
      <c r="M21" s="116">
        <v>2.2194518914431301E-2</v>
      </c>
      <c r="N21" s="116">
        <v>5.7344894899116601E-2</v>
      </c>
      <c r="O21" s="116">
        <v>0</v>
      </c>
      <c r="P21" s="116">
        <v>0</v>
      </c>
      <c r="Q21" s="116">
        <v>0</v>
      </c>
      <c r="R21" s="116">
        <v>0</v>
      </c>
      <c r="S21" s="116">
        <v>0</v>
      </c>
      <c r="T21" s="116">
        <v>0</v>
      </c>
      <c r="U21" s="116">
        <v>0</v>
      </c>
      <c r="V21" s="116">
        <v>0</v>
      </c>
      <c r="W21" s="116">
        <v>0</v>
      </c>
      <c r="X21" s="116">
        <v>0</v>
      </c>
      <c r="Y21" s="116">
        <v>0</v>
      </c>
      <c r="Z21" s="116">
        <v>0</v>
      </c>
      <c r="AA21" s="116">
        <v>14.3187721598616</v>
      </c>
      <c r="AB21" s="116">
        <v>-3.9751591692998698</v>
      </c>
      <c r="AC21" s="116">
        <v>0</v>
      </c>
      <c r="AD21" s="116">
        <v>0</v>
      </c>
      <c r="AE21" s="116">
        <v>0</v>
      </c>
      <c r="AF21" s="116">
        <v>0</v>
      </c>
      <c r="AG21" s="116">
        <v>0</v>
      </c>
      <c r="AH21" s="116">
        <v>0</v>
      </c>
      <c r="AI21" s="116">
        <v>0</v>
      </c>
      <c r="AJ21" s="116">
        <v>0</v>
      </c>
      <c r="AK21" s="116">
        <v>0</v>
      </c>
      <c r="AL21" s="116">
        <v>0</v>
      </c>
      <c r="AM21" s="116">
        <v>0</v>
      </c>
      <c r="AN21" s="116">
        <v>0</v>
      </c>
      <c r="AO21" s="116">
        <v>0</v>
      </c>
      <c r="AP21" s="116">
        <v>0</v>
      </c>
      <c r="AQ21" s="116">
        <v>0</v>
      </c>
      <c r="AR21" s="117">
        <v>0</v>
      </c>
    </row>
    <row r="22" spans="2:44" ht="12" customHeight="1" x14ac:dyDescent="0.25">
      <c r="B22" s="115" t="s">
        <v>22</v>
      </c>
      <c r="C22" s="116" t="s">
        <v>32</v>
      </c>
      <c r="D22" s="116" t="s">
        <v>24</v>
      </c>
      <c r="E22" s="116" t="s">
        <v>24</v>
      </c>
      <c r="F22" s="116" t="s">
        <v>25</v>
      </c>
      <c r="G22" s="116" t="s">
        <v>33</v>
      </c>
      <c r="H22" s="116" t="s">
        <v>75</v>
      </c>
      <c r="I22" s="116" t="s">
        <v>25</v>
      </c>
      <c r="J22" s="116">
        <v>776.28</v>
      </c>
      <c r="K22" s="116">
        <v>316.98</v>
      </c>
      <c r="L22" s="116">
        <v>0</v>
      </c>
      <c r="M22" s="116">
        <v>0.86775775818246903</v>
      </c>
      <c r="N22" s="116">
        <v>8.7206979849149597</v>
      </c>
      <c r="O22" s="116">
        <v>0</v>
      </c>
      <c r="P22" s="116">
        <v>0</v>
      </c>
      <c r="Q22" s="116">
        <v>102.174034054103</v>
      </c>
      <c r="R22" s="116">
        <v>18.0548366013739</v>
      </c>
      <c r="S22" s="116">
        <v>0</v>
      </c>
      <c r="T22" s="116">
        <v>0</v>
      </c>
      <c r="U22" s="116">
        <v>0</v>
      </c>
      <c r="V22" s="116">
        <v>0</v>
      </c>
      <c r="W22" s="116">
        <v>0</v>
      </c>
      <c r="X22" s="116">
        <v>360.33639282226397</v>
      </c>
      <c r="Y22" s="116">
        <v>0</v>
      </c>
      <c r="Z22" s="116">
        <v>0</v>
      </c>
      <c r="AA22" s="116">
        <v>545.52799138330499</v>
      </c>
      <c r="AB22" s="116">
        <v>-287.20219612447801</v>
      </c>
      <c r="AC22" s="116">
        <v>0</v>
      </c>
      <c r="AD22" s="116">
        <v>22.435532988508701</v>
      </c>
      <c r="AE22" s="116">
        <v>0.76972693258922897</v>
      </c>
      <c r="AF22" s="116">
        <v>4.3518279770431603</v>
      </c>
      <c r="AG22" s="116">
        <v>0.24121623013188501</v>
      </c>
      <c r="AH22" s="116">
        <v>0</v>
      </c>
      <c r="AI22" s="116">
        <v>-23.339897791030999</v>
      </c>
      <c r="AJ22" s="116">
        <v>2.4354735912537802</v>
      </c>
      <c r="AK22" s="116">
        <v>31.886548035212599</v>
      </c>
      <c r="AL22" s="116">
        <v>0</v>
      </c>
      <c r="AM22" s="116">
        <v>374.78276969355602</v>
      </c>
      <c r="AN22" s="116">
        <v>12.999711155801499</v>
      </c>
      <c r="AO22" s="116">
        <v>8.1146164679834101</v>
      </c>
      <c r="AP22" s="116">
        <v>0</v>
      </c>
      <c r="AQ22" s="116">
        <v>-95.946345103613297</v>
      </c>
      <c r="AR22" s="117">
        <v>6.0469553570820898</v>
      </c>
    </row>
    <row r="23" spans="2:44" ht="12" customHeight="1" x14ac:dyDescent="0.25">
      <c r="B23" s="115" t="s">
        <v>22</v>
      </c>
      <c r="C23" s="116" t="s">
        <v>32</v>
      </c>
      <c r="D23" s="116" t="s">
        <v>24</v>
      </c>
      <c r="E23" s="116" t="s">
        <v>24</v>
      </c>
      <c r="F23" s="116" t="s">
        <v>25</v>
      </c>
      <c r="G23" s="116" t="s">
        <v>35</v>
      </c>
      <c r="H23" s="116" t="s">
        <v>75</v>
      </c>
      <c r="I23" s="116" t="s">
        <v>25</v>
      </c>
      <c r="J23" s="116">
        <v>511.29</v>
      </c>
      <c r="K23" s="116">
        <v>197.69</v>
      </c>
      <c r="L23" s="116">
        <v>0</v>
      </c>
      <c r="M23" s="116">
        <v>0.86775775818246903</v>
      </c>
      <c r="N23" s="116">
        <v>5.4141903080536897</v>
      </c>
      <c r="O23" s="116">
        <v>0</v>
      </c>
      <c r="P23" s="116">
        <v>0</v>
      </c>
      <c r="Q23" s="116">
        <v>102.174034054103</v>
      </c>
      <c r="R23" s="116">
        <v>18.0548366013739</v>
      </c>
      <c r="S23" s="116">
        <v>0</v>
      </c>
      <c r="T23" s="116">
        <v>0</v>
      </c>
      <c r="U23" s="116">
        <v>0</v>
      </c>
      <c r="V23" s="116">
        <v>0</v>
      </c>
      <c r="W23" s="116">
        <v>0</v>
      </c>
      <c r="X23" s="116">
        <v>216.201786131994</v>
      </c>
      <c r="Y23" s="116">
        <v>0</v>
      </c>
      <c r="Z23" s="116">
        <v>0</v>
      </c>
      <c r="AA23" s="116">
        <v>327.31677328163101</v>
      </c>
      <c r="AB23" s="116">
        <v>-186.53357671616399</v>
      </c>
      <c r="AC23" s="116">
        <v>0</v>
      </c>
      <c r="AD23" s="116">
        <v>22.435532988508701</v>
      </c>
      <c r="AE23" s="116">
        <v>0.76972693258922897</v>
      </c>
      <c r="AF23" s="116">
        <v>4.3518279770431603</v>
      </c>
      <c r="AG23" s="116">
        <v>0.24121623013188501</v>
      </c>
      <c r="AH23" s="116">
        <v>0</v>
      </c>
      <c r="AI23" s="116">
        <v>-23.339897791030999</v>
      </c>
      <c r="AJ23" s="116">
        <v>2.4354735912537802</v>
      </c>
      <c r="AK23" s="116">
        <v>31.886548035212599</v>
      </c>
      <c r="AL23" s="116">
        <v>0</v>
      </c>
      <c r="AM23" s="116">
        <v>217.89695912416099</v>
      </c>
      <c r="AN23" s="116">
        <v>12.999711155801499</v>
      </c>
      <c r="AO23" s="116">
        <v>8.1146164679834101</v>
      </c>
      <c r="AP23" s="116">
        <v>0</v>
      </c>
      <c r="AQ23" s="116">
        <v>-58.350793426164401</v>
      </c>
      <c r="AR23" s="117">
        <v>6.0469553570820898</v>
      </c>
    </row>
    <row r="24" spans="2:44" ht="12" customHeight="1" x14ac:dyDescent="0.25">
      <c r="B24" s="115" t="s">
        <v>22</v>
      </c>
      <c r="C24" s="116" t="s">
        <v>32</v>
      </c>
      <c r="D24" s="116" t="s">
        <v>24</v>
      </c>
      <c r="E24" s="116" t="s">
        <v>24</v>
      </c>
      <c r="F24" s="116" t="s">
        <v>25</v>
      </c>
      <c r="G24" s="116" t="s">
        <v>34</v>
      </c>
      <c r="H24" s="116" t="s">
        <v>75</v>
      </c>
      <c r="I24" s="116" t="s">
        <v>25</v>
      </c>
      <c r="J24" s="116">
        <v>246.31</v>
      </c>
      <c r="K24" s="116">
        <v>197.69</v>
      </c>
      <c r="L24" s="116">
        <v>0</v>
      </c>
      <c r="M24" s="116">
        <v>0.86775775818246903</v>
      </c>
      <c r="N24" s="116">
        <v>2.1076836681706199</v>
      </c>
      <c r="O24" s="116">
        <v>0</v>
      </c>
      <c r="P24" s="116">
        <v>0</v>
      </c>
      <c r="Q24" s="116">
        <v>102.174034054103</v>
      </c>
      <c r="R24" s="116">
        <v>18.0548366013739</v>
      </c>
      <c r="S24" s="116">
        <v>0</v>
      </c>
      <c r="T24" s="116">
        <v>0</v>
      </c>
      <c r="U24" s="116">
        <v>0</v>
      </c>
      <c r="V24" s="116">
        <v>0</v>
      </c>
      <c r="W24" s="116">
        <v>0</v>
      </c>
      <c r="X24" s="116">
        <v>72.067303345134704</v>
      </c>
      <c r="Y24" s="116">
        <v>0</v>
      </c>
      <c r="Z24" s="116">
        <v>0</v>
      </c>
      <c r="AA24" s="116">
        <v>109.10555517995699</v>
      </c>
      <c r="AB24" s="116">
        <v>-85.864991560518504</v>
      </c>
      <c r="AC24" s="116">
        <v>0</v>
      </c>
      <c r="AD24" s="116">
        <v>22.435532988508701</v>
      </c>
      <c r="AE24" s="116">
        <v>0.76972693258922897</v>
      </c>
      <c r="AF24" s="116">
        <v>4.3518279770431603</v>
      </c>
      <c r="AG24" s="116">
        <v>0.24121623013188501</v>
      </c>
      <c r="AH24" s="116">
        <v>0</v>
      </c>
      <c r="AI24" s="116">
        <v>-23.339897791030999</v>
      </c>
      <c r="AJ24" s="116">
        <v>2.4354735912537802</v>
      </c>
      <c r="AK24" s="116">
        <v>31.886548035212599</v>
      </c>
      <c r="AL24" s="116">
        <v>0</v>
      </c>
      <c r="AM24" s="116">
        <v>217.89695912416099</v>
      </c>
      <c r="AN24" s="116">
        <v>12.999711155801499</v>
      </c>
      <c r="AO24" s="116">
        <v>8.1146164679834101</v>
      </c>
      <c r="AP24" s="116">
        <v>0</v>
      </c>
      <c r="AQ24" s="116">
        <v>-58.350793426164401</v>
      </c>
      <c r="AR24" s="117">
        <v>6.0469553570820898</v>
      </c>
    </row>
    <row r="25" spans="2:44" ht="12" customHeight="1" x14ac:dyDescent="0.25">
      <c r="B25" s="115" t="s">
        <v>22</v>
      </c>
      <c r="C25" s="116" t="s">
        <v>23</v>
      </c>
      <c r="D25" s="116" t="s">
        <v>24</v>
      </c>
      <c r="E25" s="116" t="s">
        <v>1333</v>
      </c>
      <c r="F25" s="116" t="s">
        <v>25</v>
      </c>
      <c r="G25" s="116" t="s">
        <v>25</v>
      </c>
      <c r="H25" s="116" t="s">
        <v>75</v>
      </c>
      <c r="I25" s="116" t="s">
        <v>25</v>
      </c>
      <c r="J25" s="116">
        <v>258.67</v>
      </c>
      <c r="K25" s="116">
        <v>207.63</v>
      </c>
      <c r="L25" s="116">
        <v>0</v>
      </c>
      <c r="M25" s="116">
        <v>0.86775775818246903</v>
      </c>
      <c r="N25" s="116">
        <v>3.3962991559629501</v>
      </c>
      <c r="O25" s="116">
        <v>0</v>
      </c>
      <c r="P25" s="116">
        <v>0</v>
      </c>
      <c r="Q25" s="116">
        <v>0</v>
      </c>
      <c r="R25" s="116">
        <v>0</v>
      </c>
      <c r="S25" s="116">
        <v>0</v>
      </c>
      <c r="T25" s="116">
        <v>0</v>
      </c>
      <c r="U25" s="116">
        <v>0</v>
      </c>
      <c r="V25" s="116">
        <v>0</v>
      </c>
      <c r="W25" s="116">
        <v>0</v>
      </c>
      <c r="X25" s="116">
        <v>128.69153346412</v>
      </c>
      <c r="Y25" s="116">
        <v>0</v>
      </c>
      <c r="Z25" s="116">
        <v>0</v>
      </c>
      <c r="AA25" s="116">
        <v>194.83147166907801</v>
      </c>
      <c r="AB25" s="116">
        <v>-96.916883153025296</v>
      </c>
      <c r="AC25" s="116">
        <v>0</v>
      </c>
      <c r="AD25" s="116">
        <v>22.435532988508701</v>
      </c>
      <c r="AE25" s="116">
        <v>0.76972693258922897</v>
      </c>
      <c r="AF25" s="116">
        <v>4.3518279770431603</v>
      </c>
      <c r="AG25" s="116">
        <v>0.24121623013188501</v>
      </c>
      <c r="AH25" s="116">
        <v>0</v>
      </c>
      <c r="AI25" s="116">
        <v>-23.339897791030999</v>
      </c>
      <c r="AJ25" s="116">
        <v>2.4354735912537802</v>
      </c>
      <c r="AK25" s="116">
        <v>31.886548035212599</v>
      </c>
      <c r="AL25" s="116">
        <v>0</v>
      </c>
      <c r="AM25" s="116">
        <v>230.97077667161</v>
      </c>
      <c r="AN25" s="116">
        <v>12.999711155801499</v>
      </c>
      <c r="AO25" s="116">
        <v>8.1146164679834101</v>
      </c>
      <c r="AP25" s="116">
        <v>0</v>
      </c>
      <c r="AQ25" s="116">
        <v>-61.483756065951802</v>
      </c>
      <c r="AR25" s="117">
        <v>6.0469553570820898</v>
      </c>
    </row>
    <row r="26" spans="2:44" ht="12" customHeight="1" x14ac:dyDescent="0.25">
      <c r="B26" s="115" t="s">
        <v>22</v>
      </c>
      <c r="C26" s="116" t="s">
        <v>23</v>
      </c>
      <c r="D26" s="116" t="s">
        <v>24</v>
      </c>
      <c r="E26" s="116" t="s">
        <v>24</v>
      </c>
      <c r="F26" s="116" t="s">
        <v>25</v>
      </c>
      <c r="G26" s="116" t="s">
        <v>25</v>
      </c>
      <c r="H26" s="116" t="s">
        <v>75</v>
      </c>
      <c r="I26" s="116" t="s">
        <v>25</v>
      </c>
      <c r="J26" s="116">
        <v>350.41</v>
      </c>
      <c r="K26" s="116">
        <v>207.63</v>
      </c>
      <c r="L26" s="116">
        <v>0</v>
      </c>
      <c r="M26" s="116">
        <v>0.86775775818246903</v>
      </c>
      <c r="N26" s="116">
        <v>3.40666893804236</v>
      </c>
      <c r="O26" s="116">
        <v>0</v>
      </c>
      <c r="P26" s="116">
        <v>0</v>
      </c>
      <c r="Q26" s="116">
        <v>102.174034054103</v>
      </c>
      <c r="R26" s="116">
        <v>18.0548366013739</v>
      </c>
      <c r="S26" s="116">
        <v>0</v>
      </c>
      <c r="T26" s="116">
        <v>0</v>
      </c>
      <c r="U26" s="116">
        <v>0</v>
      </c>
      <c r="V26" s="116">
        <v>0</v>
      </c>
      <c r="W26" s="116">
        <v>0</v>
      </c>
      <c r="X26" s="116">
        <v>128.69153346412</v>
      </c>
      <c r="Y26" s="116">
        <v>0</v>
      </c>
      <c r="Z26" s="116">
        <v>0</v>
      </c>
      <c r="AA26" s="116">
        <v>194.83147166907801</v>
      </c>
      <c r="AB26" s="116">
        <v>-125.413378260619</v>
      </c>
      <c r="AC26" s="116">
        <v>0</v>
      </c>
      <c r="AD26" s="116">
        <v>22.435532988508701</v>
      </c>
      <c r="AE26" s="116">
        <v>0.76972693258922897</v>
      </c>
      <c r="AF26" s="116">
        <v>4.3518279770431603</v>
      </c>
      <c r="AG26" s="116">
        <v>0.24121623013188501</v>
      </c>
      <c r="AH26" s="116">
        <v>0</v>
      </c>
      <c r="AI26" s="116">
        <v>-23.339897791030999</v>
      </c>
      <c r="AJ26" s="116">
        <v>2.4354735912537802</v>
      </c>
      <c r="AK26" s="116">
        <v>31.886548035212599</v>
      </c>
      <c r="AL26" s="116">
        <v>0</v>
      </c>
      <c r="AM26" s="116">
        <v>230.97077667161</v>
      </c>
      <c r="AN26" s="116">
        <v>12.999711155801499</v>
      </c>
      <c r="AO26" s="116">
        <v>8.1146164679834101</v>
      </c>
      <c r="AP26" s="116">
        <v>0</v>
      </c>
      <c r="AQ26" s="116">
        <v>-61.483756065951802</v>
      </c>
      <c r="AR26" s="117">
        <v>6.0469553570820898</v>
      </c>
    </row>
    <row r="27" spans="2:44" ht="12" customHeight="1" x14ac:dyDescent="0.25">
      <c r="B27" s="115" t="s">
        <v>22</v>
      </c>
      <c r="C27" s="116" t="s">
        <v>90</v>
      </c>
      <c r="D27" s="116" t="s">
        <v>24</v>
      </c>
      <c r="E27" s="116" t="s">
        <v>1333</v>
      </c>
      <c r="F27" s="116" t="s">
        <v>25</v>
      </c>
      <c r="G27" s="116" t="s">
        <v>25</v>
      </c>
      <c r="H27" s="116" t="s">
        <v>75</v>
      </c>
      <c r="I27" s="116" t="s">
        <v>25</v>
      </c>
      <c r="J27" s="116">
        <v>258.67</v>
      </c>
      <c r="K27" s="116">
        <v>207.63</v>
      </c>
      <c r="L27" s="116">
        <v>0</v>
      </c>
      <c r="M27" s="116">
        <v>0.86775775818246903</v>
      </c>
      <c r="N27" s="116">
        <v>3.3962991559629501</v>
      </c>
      <c r="O27" s="116">
        <v>0</v>
      </c>
      <c r="P27" s="116">
        <v>0</v>
      </c>
      <c r="Q27" s="116">
        <v>0</v>
      </c>
      <c r="R27" s="116">
        <v>0</v>
      </c>
      <c r="S27" s="116">
        <v>0</v>
      </c>
      <c r="T27" s="116">
        <v>0</v>
      </c>
      <c r="U27" s="116">
        <v>0</v>
      </c>
      <c r="V27" s="116">
        <v>0</v>
      </c>
      <c r="W27" s="116">
        <v>0</v>
      </c>
      <c r="X27" s="116">
        <v>128.69153346412</v>
      </c>
      <c r="Y27" s="116">
        <v>0</v>
      </c>
      <c r="Z27" s="116">
        <v>0</v>
      </c>
      <c r="AA27" s="116">
        <v>194.83147166907801</v>
      </c>
      <c r="AB27" s="116">
        <v>-96.916883153025296</v>
      </c>
      <c r="AC27" s="116">
        <v>0</v>
      </c>
      <c r="AD27" s="116">
        <v>22.435532988508701</v>
      </c>
      <c r="AE27" s="116">
        <v>0.76972693258922897</v>
      </c>
      <c r="AF27" s="116">
        <v>4.3518279770431603</v>
      </c>
      <c r="AG27" s="116">
        <v>0.24121623013188501</v>
      </c>
      <c r="AH27" s="116">
        <v>0</v>
      </c>
      <c r="AI27" s="116">
        <v>-23.339897791030999</v>
      </c>
      <c r="AJ27" s="116">
        <v>2.4354735912537802</v>
      </c>
      <c r="AK27" s="116">
        <v>31.886548035212599</v>
      </c>
      <c r="AL27" s="116">
        <v>0</v>
      </c>
      <c r="AM27" s="116">
        <v>230.97077667161</v>
      </c>
      <c r="AN27" s="116">
        <v>12.999711155801499</v>
      </c>
      <c r="AO27" s="116">
        <v>8.1146164679834101</v>
      </c>
      <c r="AP27" s="116">
        <v>0</v>
      </c>
      <c r="AQ27" s="116">
        <v>-61.483756065951802</v>
      </c>
      <c r="AR27" s="117">
        <v>6.0469553570820898</v>
      </c>
    </row>
    <row r="28" spans="2:44" ht="12" customHeight="1" x14ac:dyDescent="0.25">
      <c r="B28" s="115" t="s">
        <v>22</v>
      </c>
      <c r="C28" s="116" t="s">
        <v>90</v>
      </c>
      <c r="D28" s="116" t="s">
        <v>24</v>
      </c>
      <c r="E28" s="116" t="s">
        <v>24</v>
      </c>
      <c r="F28" s="116" t="s">
        <v>25</v>
      </c>
      <c r="G28" s="116" t="s">
        <v>25</v>
      </c>
      <c r="H28" s="116" t="s">
        <v>75</v>
      </c>
      <c r="I28" s="116" t="s">
        <v>25</v>
      </c>
      <c r="J28" s="116">
        <v>350.41</v>
      </c>
      <c r="K28" s="116">
        <v>207.63</v>
      </c>
      <c r="L28" s="116">
        <v>0</v>
      </c>
      <c r="M28" s="116">
        <v>0.86775775818246903</v>
      </c>
      <c r="N28" s="116">
        <v>3.40666893804236</v>
      </c>
      <c r="O28" s="116">
        <v>0</v>
      </c>
      <c r="P28" s="116">
        <v>0</v>
      </c>
      <c r="Q28" s="116">
        <v>102.174034054103</v>
      </c>
      <c r="R28" s="116">
        <v>18.0548366013739</v>
      </c>
      <c r="S28" s="116">
        <v>0</v>
      </c>
      <c r="T28" s="116">
        <v>0</v>
      </c>
      <c r="U28" s="116">
        <v>0</v>
      </c>
      <c r="V28" s="116">
        <v>0</v>
      </c>
      <c r="W28" s="116">
        <v>0</v>
      </c>
      <c r="X28" s="116">
        <v>128.69153346412</v>
      </c>
      <c r="Y28" s="116">
        <v>0</v>
      </c>
      <c r="Z28" s="116">
        <v>0</v>
      </c>
      <c r="AA28" s="116">
        <v>194.83147166907801</v>
      </c>
      <c r="AB28" s="116">
        <v>-125.413378260619</v>
      </c>
      <c r="AC28" s="116">
        <v>0</v>
      </c>
      <c r="AD28" s="116">
        <v>22.435532988508701</v>
      </c>
      <c r="AE28" s="116">
        <v>0.76972693258922897</v>
      </c>
      <c r="AF28" s="116">
        <v>4.3518279770431603</v>
      </c>
      <c r="AG28" s="116">
        <v>0.24121623013188501</v>
      </c>
      <c r="AH28" s="116">
        <v>0</v>
      </c>
      <c r="AI28" s="116">
        <v>-23.339897791030999</v>
      </c>
      <c r="AJ28" s="116">
        <v>2.4354735912537802</v>
      </c>
      <c r="AK28" s="116">
        <v>31.886548035212599</v>
      </c>
      <c r="AL28" s="116">
        <v>0</v>
      </c>
      <c r="AM28" s="116">
        <v>230.97077667161</v>
      </c>
      <c r="AN28" s="116">
        <v>12.999711155801499</v>
      </c>
      <c r="AO28" s="116">
        <v>8.1146164679834101</v>
      </c>
      <c r="AP28" s="116">
        <v>0</v>
      </c>
      <c r="AQ28" s="116">
        <v>-61.483756065951802</v>
      </c>
      <c r="AR28" s="117">
        <v>6.0469553570820898</v>
      </c>
    </row>
    <row r="29" spans="2:44" ht="12" customHeight="1" x14ac:dyDescent="0.25">
      <c r="B29" s="115" t="s">
        <v>41</v>
      </c>
      <c r="C29" s="116" t="s">
        <v>32</v>
      </c>
      <c r="D29" s="116" t="s">
        <v>42</v>
      </c>
      <c r="E29" s="116" t="s">
        <v>91</v>
      </c>
      <c r="F29" s="116" t="s">
        <v>25</v>
      </c>
      <c r="G29" s="116" t="s">
        <v>33</v>
      </c>
      <c r="H29" s="116" t="s">
        <v>75</v>
      </c>
      <c r="I29" s="116" t="s">
        <v>25</v>
      </c>
      <c r="J29" s="116">
        <v>740.82</v>
      </c>
      <c r="K29" s="116">
        <v>297.95999999999998</v>
      </c>
      <c r="L29" s="116">
        <v>0</v>
      </c>
      <c r="M29" s="116">
        <v>0.81569229269152099</v>
      </c>
      <c r="N29" s="116">
        <v>8.3362111733273494</v>
      </c>
      <c r="O29" s="116">
        <v>0</v>
      </c>
      <c r="P29" s="116">
        <v>0</v>
      </c>
      <c r="Q29" s="116">
        <v>96.043592010856599</v>
      </c>
      <c r="R29" s="116">
        <v>16.971546405291502</v>
      </c>
      <c r="S29" s="116">
        <v>0</v>
      </c>
      <c r="T29" s="116">
        <v>0</v>
      </c>
      <c r="U29" s="116">
        <v>0</v>
      </c>
      <c r="V29" s="116">
        <v>0</v>
      </c>
      <c r="W29" s="116">
        <v>0</v>
      </c>
      <c r="X29" s="116">
        <v>344.76468803189999</v>
      </c>
      <c r="Y29" s="116">
        <v>0</v>
      </c>
      <c r="Z29" s="116">
        <v>0</v>
      </c>
      <c r="AA29" s="116">
        <v>521.95339613261604</v>
      </c>
      <c r="AB29" s="116">
        <v>-274.19454535424501</v>
      </c>
      <c r="AC29" s="116">
        <v>0</v>
      </c>
      <c r="AD29" s="116">
        <v>21.089401009198198</v>
      </c>
      <c r="AE29" s="116">
        <v>0.72354331663387506</v>
      </c>
      <c r="AF29" s="116">
        <v>4.0907182984205699</v>
      </c>
      <c r="AG29" s="116">
        <v>0.22674325632397199</v>
      </c>
      <c r="AH29" s="116">
        <v>0</v>
      </c>
      <c r="AI29" s="116">
        <v>-21.939503923569099</v>
      </c>
      <c r="AJ29" s="116">
        <v>2.2893451757785499</v>
      </c>
      <c r="AK29" s="116">
        <v>29.973355153099799</v>
      </c>
      <c r="AL29" s="116">
        <v>0</v>
      </c>
      <c r="AM29" s="116">
        <v>352.29580351194301</v>
      </c>
      <c r="AN29" s="116">
        <v>12.2197284864534</v>
      </c>
      <c r="AO29" s="116">
        <v>7.6277394799044096</v>
      </c>
      <c r="AP29" s="116">
        <v>0</v>
      </c>
      <c r="AQ29" s="116">
        <v>-90.189564397396495</v>
      </c>
      <c r="AR29" s="117">
        <v>5.6841380356571598</v>
      </c>
    </row>
    <row r="30" spans="2:44" ht="12" customHeight="1" x14ac:dyDescent="0.25">
      <c r="B30" s="115" t="s">
        <v>41</v>
      </c>
      <c r="C30" s="116" t="s">
        <v>32</v>
      </c>
      <c r="D30" s="116" t="s">
        <v>42</v>
      </c>
      <c r="E30" s="116" t="s">
        <v>91</v>
      </c>
      <c r="F30" s="116" t="s">
        <v>25</v>
      </c>
      <c r="G30" s="116" t="s">
        <v>35</v>
      </c>
      <c r="H30" s="116" t="s">
        <v>75</v>
      </c>
      <c r="I30" s="116" t="s">
        <v>25</v>
      </c>
      <c r="J30" s="116">
        <v>487.29</v>
      </c>
      <c r="K30" s="116">
        <v>185.83</v>
      </c>
      <c r="L30" s="116">
        <v>0</v>
      </c>
      <c r="M30" s="116">
        <v>0.81569229269152099</v>
      </c>
      <c r="N30" s="116">
        <v>5.1725921250267497</v>
      </c>
      <c r="O30" s="116">
        <v>0</v>
      </c>
      <c r="P30" s="116">
        <v>0</v>
      </c>
      <c r="Q30" s="116">
        <v>96.043592010856599</v>
      </c>
      <c r="R30" s="116">
        <v>16.971546405291502</v>
      </c>
      <c r="S30" s="116">
        <v>0</v>
      </c>
      <c r="T30" s="116">
        <v>0</v>
      </c>
      <c r="U30" s="116">
        <v>0</v>
      </c>
      <c r="V30" s="116">
        <v>0</v>
      </c>
      <c r="W30" s="116">
        <v>0</v>
      </c>
      <c r="X30" s="116">
        <v>206.858742937617</v>
      </c>
      <c r="Y30" s="116">
        <v>0</v>
      </c>
      <c r="Z30" s="116">
        <v>0</v>
      </c>
      <c r="AA30" s="116">
        <v>313.17205793502097</v>
      </c>
      <c r="AB30" s="116">
        <v>-177.87625556384</v>
      </c>
      <c r="AC30" s="116">
        <v>0</v>
      </c>
      <c r="AD30" s="116">
        <v>21.089401009198198</v>
      </c>
      <c r="AE30" s="116">
        <v>0.72354331663387506</v>
      </c>
      <c r="AF30" s="116">
        <v>4.0907182984205699</v>
      </c>
      <c r="AG30" s="116">
        <v>0.22674325632397199</v>
      </c>
      <c r="AH30" s="116">
        <v>0</v>
      </c>
      <c r="AI30" s="116">
        <v>-21.939503923569099</v>
      </c>
      <c r="AJ30" s="116">
        <v>2.2893451757785499</v>
      </c>
      <c r="AK30" s="116">
        <v>29.973355153099799</v>
      </c>
      <c r="AL30" s="116">
        <v>0</v>
      </c>
      <c r="AM30" s="116">
        <v>204.82314157671101</v>
      </c>
      <c r="AN30" s="116">
        <v>12.2197284864534</v>
      </c>
      <c r="AO30" s="116">
        <v>7.6277394799044096</v>
      </c>
      <c r="AP30" s="116">
        <v>0</v>
      </c>
      <c r="AQ30" s="116">
        <v>-54.849745820594599</v>
      </c>
      <c r="AR30" s="117">
        <v>5.6841380356571598</v>
      </c>
    </row>
    <row r="31" spans="2:44" ht="12" customHeight="1" x14ac:dyDescent="0.25">
      <c r="B31" s="115" t="s">
        <v>41</v>
      </c>
      <c r="C31" s="116" t="s">
        <v>32</v>
      </c>
      <c r="D31" s="116" t="s">
        <v>42</v>
      </c>
      <c r="E31" s="116" t="s">
        <v>91</v>
      </c>
      <c r="F31" s="116" t="s">
        <v>25</v>
      </c>
      <c r="G31" s="116" t="s">
        <v>34</v>
      </c>
      <c r="H31" s="116" t="s">
        <v>75</v>
      </c>
      <c r="I31" s="116" t="s">
        <v>25</v>
      </c>
      <c r="J31" s="116">
        <v>233.76</v>
      </c>
      <c r="K31" s="116">
        <v>185.83</v>
      </c>
      <c r="L31" s="116">
        <v>0</v>
      </c>
      <c r="M31" s="116">
        <v>0.81569229269152099</v>
      </c>
      <c r="N31" s="116">
        <v>2.0089740514856498</v>
      </c>
      <c r="O31" s="116">
        <v>0</v>
      </c>
      <c r="P31" s="116">
        <v>0</v>
      </c>
      <c r="Q31" s="116">
        <v>96.043592010856599</v>
      </c>
      <c r="R31" s="116">
        <v>16.971546405291502</v>
      </c>
      <c r="S31" s="116">
        <v>0</v>
      </c>
      <c r="T31" s="116">
        <v>0</v>
      </c>
      <c r="U31" s="116">
        <v>0</v>
      </c>
      <c r="V31" s="116">
        <v>0</v>
      </c>
      <c r="W31" s="116">
        <v>0</v>
      </c>
      <c r="X31" s="116">
        <v>68.952914312538994</v>
      </c>
      <c r="Y31" s="116">
        <v>0</v>
      </c>
      <c r="Z31" s="116">
        <v>0</v>
      </c>
      <c r="AA31" s="116">
        <v>104.390719737425</v>
      </c>
      <c r="AB31" s="116">
        <v>-81.557997970943902</v>
      </c>
      <c r="AC31" s="116">
        <v>0</v>
      </c>
      <c r="AD31" s="116">
        <v>21.089401009198198</v>
      </c>
      <c r="AE31" s="116">
        <v>0.72354331663387506</v>
      </c>
      <c r="AF31" s="116">
        <v>4.0907182984205699</v>
      </c>
      <c r="AG31" s="116">
        <v>0.22674325632397199</v>
      </c>
      <c r="AH31" s="116">
        <v>0</v>
      </c>
      <c r="AI31" s="116">
        <v>-21.939503923569099</v>
      </c>
      <c r="AJ31" s="116">
        <v>2.2893451757785499</v>
      </c>
      <c r="AK31" s="116">
        <v>29.973355153099799</v>
      </c>
      <c r="AL31" s="116">
        <v>0</v>
      </c>
      <c r="AM31" s="116">
        <v>204.82314157671101</v>
      </c>
      <c r="AN31" s="116">
        <v>12.2197284864534</v>
      </c>
      <c r="AO31" s="116">
        <v>7.6277394799044096</v>
      </c>
      <c r="AP31" s="116">
        <v>0</v>
      </c>
      <c r="AQ31" s="116">
        <v>-54.849745820594599</v>
      </c>
      <c r="AR31" s="117">
        <v>5.6841380356571598</v>
      </c>
    </row>
    <row r="32" spans="2:44" ht="12" customHeight="1" x14ac:dyDescent="0.25">
      <c r="B32" s="115" t="s">
        <v>41</v>
      </c>
      <c r="C32" s="116" t="s">
        <v>32</v>
      </c>
      <c r="D32" s="116" t="s">
        <v>42</v>
      </c>
      <c r="E32" s="116" t="s">
        <v>25</v>
      </c>
      <c r="F32" s="116" t="s">
        <v>25</v>
      </c>
      <c r="G32" s="116" t="s">
        <v>33</v>
      </c>
      <c r="H32" s="116" t="s">
        <v>75</v>
      </c>
      <c r="I32" s="116" t="s">
        <v>25</v>
      </c>
      <c r="J32" s="116">
        <v>740.82</v>
      </c>
      <c r="K32" s="116">
        <v>297.95999999999998</v>
      </c>
      <c r="L32" s="116">
        <v>0</v>
      </c>
      <c r="M32" s="116">
        <v>0.81569229269152099</v>
      </c>
      <c r="N32" s="116">
        <v>8.3362111733273494</v>
      </c>
      <c r="O32" s="116">
        <v>0</v>
      </c>
      <c r="P32" s="116">
        <v>0</v>
      </c>
      <c r="Q32" s="116">
        <v>96.043592010856599</v>
      </c>
      <c r="R32" s="116">
        <v>16.971546405291502</v>
      </c>
      <c r="S32" s="116">
        <v>0</v>
      </c>
      <c r="T32" s="116">
        <v>0</v>
      </c>
      <c r="U32" s="116">
        <v>0</v>
      </c>
      <c r="V32" s="116">
        <v>0</v>
      </c>
      <c r="W32" s="116">
        <v>0</v>
      </c>
      <c r="X32" s="116">
        <v>344.76468803189999</v>
      </c>
      <c r="Y32" s="116">
        <v>0</v>
      </c>
      <c r="Z32" s="116">
        <v>0</v>
      </c>
      <c r="AA32" s="116">
        <v>521.95339613261604</v>
      </c>
      <c r="AB32" s="116">
        <v>-274.19454535424501</v>
      </c>
      <c r="AC32" s="116">
        <v>0</v>
      </c>
      <c r="AD32" s="116">
        <v>21.089401009198198</v>
      </c>
      <c r="AE32" s="116">
        <v>0.72354331663387506</v>
      </c>
      <c r="AF32" s="116">
        <v>4.0907182984205699</v>
      </c>
      <c r="AG32" s="116">
        <v>0.22674325632397199</v>
      </c>
      <c r="AH32" s="116">
        <v>0</v>
      </c>
      <c r="AI32" s="116">
        <v>-21.939503923569099</v>
      </c>
      <c r="AJ32" s="116">
        <v>2.2893451757785499</v>
      </c>
      <c r="AK32" s="116">
        <v>29.973355153099799</v>
      </c>
      <c r="AL32" s="116">
        <v>0</v>
      </c>
      <c r="AM32" s="116">
        <v>352.29580351194301</v>
      </c>
      <c r="AN32" s="116">
        <v>12.2197284864534</v>
      </c>
      <c r="AO32" s="116">
        <v>7.6277394799044096</v>
      </c>
      <c r="AP32" s="116">
        <v>0</v>
      </c>
      <c r="AQ32" s="116">
        <v>-90.189564397396495</v>
      </c>
      <c r="AR32" s="117">
        <v>5.6841380356571598</v>
      </c>
    </row>
    <row r="33" spans="2:44" ht="12" customHeight="1" x14ac:dyDescent="0.25">
      <c r="B33" s="115" t="s">
        <v>41</v>
      </c>
      <c r="C33" s="116" t="s">
        <v>32</v>
      </c>
      <c r="D33" s="116" t="s">
        <v>42</v>
      </c>
      <c r="E33" s="116" t="s">
        <v>25</v>
      </c>
      <c r="F33" s="116" t="s">
        <v>25</v>
      </c>
      <c r="G33" s="116" t="s">
        <v>35</v>
      </c>
      <c r="H33" s="116" t="s">
        <v>75</v>
      </c>
      <c r="I33" s="116" t="s">
        <v>25</v>
      </c>
      <c r="J33" s="116">
        <v>487.29</v>
      </c>
      <c r="K33" s="116">
        <v>185.83</v>
      </c>
      <c r="L33" s="116">
        <v>0</v>
      </c>
      <c r="M33" s="116">
        <v>0.81569229269152099</v>
      </c>
      <c r="N33" s="116">
        <v>5.1725921250267497</v>
      </c>
      <c r="O33" s="116">
        <v>0</v>
      </c>
      <c r="P33" s="116">
        <v>0</v>
      </c>
      <c r="Q33" s="116">
        <v>96.043592010856599</v>
      </c>
      <c r="R33" s="116">
        <v>16.971546405291502</v>
      </c>
      <c r="S33" s="116">
        <v>0</v>
      </c>
      <c r="T33" s="116">
        <v>0</v>
      </c>
      <c r="U33" s="116">
        <v>0</v>
      </c>
      <c r="V33" s="116">
        <v>0</v>
      </c>
      <c r="W33" s="116">
        <v>0</v>
      </c>
      <c r="X33" s="116">
        <v>206.858742937617</v>
      </c>
      <c r="Y33" s="116">
        <v>0</v>
      </c>
      <c r="Z33" s="116">
        <v>0</v>
      </c>
      <c r="AA33" s="116">
        <v>313.17205793502097</v>
      </c>
      <c r="AB33" s="116">
        <v>-177.87625556384</v>
      </c>
      <c r="AC33" s="116">
        <v>0</v>
      </c>
      <c r="AD33" s="116">
        <v>21.089401009198198</v>
      </c>
      <c r="AE33" s="116">
        <v>0.72354331663387506</v>
      </c>
      <c r="AF33" s="116">
        <v>4.0907182984205699</v>
      </c>
      <c r="AG33" s="116">
        <v>0.22674325632397199</v>
      </c>
      <c r="AH33" s="116">
        <v>0</v>
      </c>
      <c r="AI33" s="116">
        <v>-21.939503923569099</v>
      </c>
      <c r="AJ33" s="116">
        <v>2.2893451757785499</v>
      </c>
      <c r="AK33" s="116">
        <v>29.973355153099799</v>
      </c>
      <c r="AL33" s="116">
        <v>0</v>
      </c>
      <c r="AM33" s="116">
        <v>204.82314157671101</v>
      </c>
      <c r="AN33" s="116">
        <v>12.2197284864534</v>
      </c>
      <c r="AO33" s="116">
        <v>7.6277394799044096</v>
      </c>
      <c r="AP33" s="116">
        <v>0</v>
      </c>
      <c r="AQ33" s="116">
        <v>-54.849745820594599</v>
      </c>
      <c r="AR33" s="117">
        <v>5.6841380356571598</v>
      </c>
    </row>
    <row r="34" spans="2:44" ht="12" customHeight="1" x14ac:dyDescent="0.25">
      <c r="B34" s="115" t="s">
        <v>41</v>
      </c>
      <c r="C34" s="116" t="s">
        <v>32</v>
      </c>
      <c r="D34" s="116" t="s">
        <v>42</v>
      </c>
      <c r="E34" s="116" t="s">
        <v>25</v>
      </c>
      <c r="F34" s="116" t="s">
        <v>25</v>
      </c>
      <c r="G34" s="116" t="s">
        <v>34</v>
      </c>
      <c r="H34" s="116" t="s">
        <v>75</v>
      </c>
      <c r="I34" s="116" t="s">
        <v>25</v>
      </c>
      <c r="J34" s="116">
        <v>233.76</v>
      </c>
      <c r="K34" s="116">
        <v>185.83</v>
      </c>
      <c r="L34" s="116">
        <v>0</v>
      </c>
      <c r="M34" s="116">
        <v>0.81569229269152099</v>
      </c>
      <c r="N34" s="116">
        <v>2.0089740514856498</v>
      </c>
      <c r="O34" s="116">
        <v>0</v>
      </c>
      <c r="P34" s="116">
        <v>0</v>
      </c>
      <c r="Q34" s="116">
        <v>96.043592010856599</v>
      </c>
      <c r="R34" s="116">
        <v>16.971546405291502</v>
      </c>
      <c r="S34" s="116">
        <v>0</v>
      </c>
      <c r="T34" s="116">
        <v>0</v>
      </c>
      <c r="U34" s="116">
        <v>0</v>
      </c>
      <c r="V34" s="116">
        <v>0</v>
      </c>
      <c r="W34" s="116">
        <v>0</v>
      </c>
      <c r="X34" s="116">
        <v>68.952914312538994</v>
      </c>
      <c r="Y34" s="116">
        <v>0</v>
      </c>
      <c r="Z34" s="116">
        <v>0</v>
      </c>
      <c r="AA34" s="116">
        <v>104.390719737425</v>
      </c>
      <c r="AB34" s="116">
        <v>-81.557997970943902</v>
      </c>
      <c r="AC34" s="116">
        <v>0</v>
      </c>
      <c r="AD34" s="116">
        <v>21.089401009198198</v>
      </c>
      <c r="AE34" s="116">
        <v>0.72354331663387506</v>
      </c>
      <c r="AF34" s="116">
        <v>4.0907182984205699</v>
      </c>
      <c r="AG34" s="116">
        <v>0.22674325632397199</v>
      </c>
      <c r="AH34" s="116">
        <v>0</v>
      </c>
      <c r="AI34" s="116">
        <v>-21.939503923569099</v>
      </c>
      <c r="AJ34" s="116">
        <v>2.2893451757785499</v>
      </c>
      <c r="AK34" s="116">
        <v>29.973355153099799</v>
      </c>
      <c r="AL34" s="116">
        <v>0</v>
      </c>
      <c r="AM34" s="116">
        <v>204.82314157671101</v>
      </c>
      <c r="AN34" s="116">
        <v>12.2197284864534</v>
      </c>
      <c r="AO34" s="116">
        <v>7.6277394799044096</v>
      </c>
      <c r="AP34" s="116">
        <v>0</v>
      </c>
      <c r="AQ34" s="116">
        <v>-54.849745820594599</v>
      </c>
      <c r="AR34" s="117">
        <v>5.6841380356571598</v>
      </c>
    </row>
    <row r="35" spans="2:44" ht="12" customHeight="1" x14ac:dyDescent="0.25">
      <c r="B35" s="115" t="s">
        <v>41</v>
      </c>
      <c r="C35" s="116" t="s">
        <v>32</v>
      </c>
      <c r="D35" s="116" t="s">
        <v>42</v>
      </c>
      <c r="E35" s="116" t="s">
        <v>92</v>
      </c>
      <c r="F35" s="116" t="s">
        <v>25</v>
      </c>
      <c r="G35" s="116" t="s">
        <v>33</v>
      </c>
      <c r="H35" s="116" t="s">
        <v>75</v>
      </c>
      <c r="I35" s="116" t="s">
        <v>25</v>
      </c>
      <c r="J35" s="116">
        <v>725.06</v>
      </c>
      <c r="K35" s="116">
        <v>291.62</v>
      </c>
      <c r="L35" s="116">
        <v>0</v>
      </c>
      <c r="M35" s="116">
        <v>0.79833713752787105</v>
      </c>
      <c r="N35" s="116">
        <v>8.1588449781501797</v>
      </c>
      <c r="O35" s="116">
        <v>0</v>
      </c>
      <c r="P35" s="116">
        <v>0</v>
      </c>
      <c r="Q35" s="116">
        <v>94.000111329774597</v>
      </c>
      <c r="R35" s="116">
        <v>16.610449673264</v>
      </c>
      <c r="S35" s="116">
        <v>0</v>
      </c>
      <c r="T35" s="116">
        <v>0</v>
      </c>
      <c r="U35" s="116">
        <v>0</v>
      </c>
      <c r="V35" s="116">
        <v>0</v>
      </c>
      <c r="W35" s="116">
        <v>0</v>
      </c>
      <c r="X35" s="116">
        <v>337.42926913760499</v>
      </c>
      <c r="Y35" s="116">
        <v>0</v>
      </c>
      <c r="Z35" s="116">
        <v>0</v>
      </c>
      <c r="AA35" s="116">
        <v>510.84800472554002</v>
      </c>
      <c r="AB35" s="116">
        <v>-268.36061885734699</v>
      </c>
      <c r="AC35" s="116">
        <v>0</v>
      </c>
      <c r="AD35" s="116">
        <v>20.640690349427999</v>
      </c>
      <c r="AE35" s="116">
        <v>0.70814877798209097</v>
      </c>
      <c r="AF35" s="116">
        <v>4.0036817388797097</v>
      </c>
      <c r="AG35" s="116">
        <v>0.22191893172133401</v>
      </c>
      <c r="AH35" s="116">
        <v>0</v>
      </c>
      <c r="AI35" s="116">
        <v>-21.472705967748499</v>
      </c>
      <c r="AJ35" s="116">
        <v>2.2406357039534699</v>
      </c>
      <c r="AK35" s="116">
        <v>29.335624192395599</v>
      </c>
      <c r="AL35" s="116">
        <v>0</v>
      </c>
      <c r="AM35" s="116">
        <v>344.800148118072</v>
      </c>
      <c r="AN35" s="116">
        <v>11.959734263337401</v>
      </c>
      <c r="AO35" s="116">
        <v>7.4654471505447404</v>
      </c>
      <c r="AP35" s="116">
        <v>0</v>
      </c>
      <c r="AQ35" s="116">
        <v>-88.270637495324294</v>
      </c>
      <c r="AR35" s="117">
        <v>5.5631989285155203</v>
      </c>
    </row>
    <row r="36" spans="2:44" ht="12" customHeight="1" x14ac:dyDescent="0.25">
      <c r="B36" s="115" t="s">
        <v>41</v>
      </c>
      <c r="C36" s="116" t="s">
        <v>32</v>
      </c>
      <c r="D36" s="116" t="s">
        <v>42</v>
      </c>
      <c r="E36" s="116" t="s">
        <v>92</v>
      </c>
      <c r="F36" s="116" t="s">
        <v>25</v>
      </c>
      <c r="G36" s="116" t="s">
        <v>35</v>
      </c>
      <c r="H36" s="116" t="s">
        <v>75</v>
      </c>
      <c r="I36" s="116" t="s">
        <v>25</v>
      </c>
      <c r="J36" s="116">
        <v>476.92</v>
      </c>
      <c r="K36" s="116">
        <v>181.87</v>
      </c>
      <c r="L36" s="116">
        <v>0</v>
      </c>
      <c r="M36" s="116">
        <v>0.79833713752787105</v>
      </c>
      <c r="N36" s="116">
        <v>5.0625369734304302</v>
      </c>
      <c r="O36" s="116">
        <v>0</v>
      </c>
      <c r="P36" s="116">
        <v>0</v>
      </c>
      <c r="Q36" s="116">
        <v>94.000111329774597</v>
      </c>
      <c r="R36" s="116">
        <v>16.610449673264</v>
      </c>
      <c r="S36" s="116">
        <v>0</v>
      </c>
      <c r="T36" s="116">
        <v>0</v>
      </c>
      <c r="U36" s="116">
        <v>0</v>
      </c>
      <c r="V36" s="116">
        <v>0</v>
      </c>
      <c r="W36" s="116">
        <v>0</v>
      </c>
      <c r="X36" s="116">
        <v>202.45749308788001</v>
      </c>
      <c r="Y36" s="116">
        <v>0</v>
      </c>
      <c r="Z36" s="116">
        <v>0</v>
      </c>
      <c r="AA36" s="116">
        <v>306.508822659808</v>
      </c>
      <c r="AB36" s="116">
        <v>-174.091654381631</v>
      </c>
      <c r="AC36" s="116">
        <v>0</v>
      </c>
      <c r="AD36" s="116">
        <v>20.640690349427999</v>
      </c>
      <c r="AE36" s="116">
        <v>0.70814877798209097</v>
      </c>
      <c r="AF36" s="116">
        <v>4.0036817388797097</v>
      </c>
      <c r="AG36" s="116">
        <v>0.22191893172133401</v>
      </c>
      <c r="AH36" s="116">
        <v>0</v>
      </c>
      <c r="AI36" s="116">
        <v>-21.472705967748499</v>
      </c>
      <c r="AJ36" s="116">
        <v>2.2406357039534699</v>
      </c>
      <c r="AK36" s="116">
        <v>29.335624192395599</v>
      </c>
      <c r="AL36" s="116">
        <v>0</v>
      </c>
      <c r="AM36" s="116">
        <v>200.46520239422799</v>
      </c>
      <c r="AN36" s="116">
        <v>11.959734263337401</v>
      </c>
      <c r="AO36" s="116">
        <v>7.4654471505447404</v>
      </c>
      <c r="AP36" s="116">
        <v>0</v>
      </c>
      <c r="AQ36" s="116">
        <v>-53.682729952071298</v>
      </c>
      <c r="AR36" s="117">
        <v>5.5631989285155203</v>
      </c>
    </row>
    <row r="37" spans="2:44" ht="12" customHeight="1" x14ac:dyDescent="0.25">
      <c r="B37" s="115" t="s">
        <v>41</v>
      </c>
      <c r="C37" s="116" t="s">
        <v>32</v>
      </c>
      <c r="D37" s="116" t="s">
        <v>42</v>
      </c>
      <c r="E37" s="116" t="s">
        <v>92</v>
      </c>
      <c r="F37" s="116" t="s">
        <v>25</v>
      </c>
      <c r="G37" s="116" t="s">
        <v>34</v>
      </c>
      <c r="H37" s="116" t="s">
        <v>75</v>
      </c>
      <c r="I37" s="116" t="s">
        <v>25</v>
      </c>
      <c r="J37" s="116">
        <v>228.78</v>
      </c>
      <c r="K37" s="116">
        <v>181.87</v>
      </c>
      <c r="L37" s="116">
        <v>0</v>
      </c>
      <c r="M37" s="116">
        <v>0.79833713752787105</v>
      </c>
      <c r="N37" s="116">
        <v>1.9662299227306399</v>
      </c>
      <c r="O37" s="116">
        <v>0</v>
      </c>
      <c r="P37" s="116">
        <v>0</v>
      </c>
      <c r="Q37" s="116">
        <v>94.000111329774597</v>
      </c>
      <c r="R37" s="116">
        <v>16.610449673264</v>
      </c>
      <c r="S37" s="116">
        <v>0</v>
      </c>
      <c r="T37" s="116">
        <v>0</v>
      </c>
      <c r="U37" s="116">
        <v>0</v>
      </c>
      <c r="V37" s="116">
        <v>0</v>
      </c>
      <c r="W37" s="116">
        <v>0</v>
      </c>
      <c r="X37" s="116">
        <v>67.485831029293493</v>
      </c>
      <c r="Y37" s="116">
        <v>0</v>
      </c>
      <c r="Z37" s="116">
        <v>0</v>
      </c>
      <c r="AA37" s="116">
        <v>102.169640594076</v>
      </c>
      <c r="AB37" s="116">
        <v>-79.822721418370605</v>
      </c>
      <c r="AC37" s="116">
        <v>0</v>
      </c>
      <c r="AD37" s="116">
        <v>20.640690349427999</v>
      </c>
      <c r="AE37" s="116">
        <v>0.70814877798209097</v>
      </c>
      <c r="AF37" s="116">
        <v>4.0036817388797097</v>
      </c>
      <c r="AG37" s="116">
        <v>0.22191893172133401</v>
      </c>
      <c r="AH37" s="116">
        <v>0</v>
      </c>
      <c r="AI37" s="116">
        <v>-21.472705967748499</v>
      </c>
      <c r="AJ37" s="116">
        <v>2.2406357039534699</v>
      </c>
      <c r="AK37" s="116">
        <v>29.335624192395599</v>
      </c>
      <c r="AL37" s="116">
        <v>0</v>
      </c>
      <c r="AM37" s="116">
        <v>200.46520239422799</v>
      </c>
      <c r="AN37" s="116">
        <v>11.959734263337401</v>
      </c>
      <c r="AO37" s="116">
        <v>7.4654471505447404</v>
      </c>
      <c r="AP37" s="116">
        <v>0</v>
      </c>
      <c r="AQ37" s="116">
        <v>-53.682729952071298</v>
      </c>
      <c r="AR37" s="117">
        <v>5.5631989285155203</v>
      </c>
    </row>
    <row r="38" spans="2:44" ht="12" customHeight="1" x14ac:dyDescent="0.25">
      <c r="B38" s="115" t="s">
        <v>41</v>
      </c>
      <c r="C38" s="116" t="s">
        <v>23</v>
      </c>
      <c r="D38" s="116" t="s">
        <v>42</v>
      </c>
      <c r="E38" s="116" t="s">
        <v>91</v>
      </c>
      <c r="F38" s="116" t="s">
        <v>25</v>
      </c>
      <c r="G38" s="116" t="s">
        <v>25</v>
      </c>
      <c r="H38" s="116" t="s">
        <v>75</v>
      </c>
      <c r="I38" s="116" t="s">
        <v>25</v>
      </c>
      <c r="J38" s="116">
        <v>329.39</v>
      </c>
      <c r="K38" s="116">
        <v>195.17</v>
      </c>
      <c r="L38" s="116">
        <v>0</v>
      </c>
      <c r="M38" s="116">
        <v>0.81569229269152099</v>
      </c>
      <c r="N38" s="116">
        <v>3.20226880175982</v>
      </c>
      <c r="O38" s="116">
        <v>0</v>
      </c>
      <c r="P38" s="116">
        <v>0</v>
      </c>
      <c r="Q38" s="116">
        <v>96.043592010856599</v>
      </c>
      <c r="R38" s="116">
        <v>16.971546405291502</v>
      </c>
      <c r="S38" s="116">
        <v>0</v>
      </c>
      <c r="T38" s="116">
        <v>0</v>
      </c>
      <c r="U38" s="116">
        <v>0</v>
      </c>
      <c r="V38" s="116">
        <v>0</v>
      </c>
      <c r="W38" s="116">
        <v>0</v>
      </c>
      <c r="X38" s="116">
        <v>120.97004145627299</v>
      </c>
      <c r="Y38" s="116">
        <v>0</v>
      </c>
      <c r="Z38" s="116">
        <v>0</v>
      </c>
      <c r="AA38" s="116">
        <v>183.141583368933</v>
      </c>
      <c r="AB38" s="116">
        <v>-117.88857556498201</v>
      </c>
      <c r="AC38" s="116">
        <v>0</v>
      </c>
      <c r="AD38" s="116">
        <v>21.089401009198198</v>
      </c>
      <c r="AE38" s="116">
        <v>0.72354331663387506</v>
      </c>
      <c r="AF38" s="116">
        <v>4.0907182984205699</v>
      </c>
      <c r="AG38" s="116">
        <v>0.22674325632397199</v>
      </c>
      <c r="AH38" s="116">
        <v>0</v>
      </c>
      <c r="AI38" s="116">
        <v>-21.939503923569099</v>
      </c>
      <c r="AJ38" s="116">
        <v>2.2893451757785499</v>
      </c>
      <c r="AK38" s="116">
        <v>29.973355153099799</v>
      </c>
      <c r="AL38" s="116">
        <v>0</v>
      </c>
      <c r="AM38" s="116">
        <v>217.11253007131401</v>
      </c>
      <c r="AN38" s="116">
        <v>12.2197284864534</v>
      </c>
      <c r="AO38" s="116">
        <v>7.6277394799044096</v>
      </c>
      <c r="AP38" s="116">
        <v>0</v>
      </c>
      <c r="AQ38" s="116">
        <v>-57.794730701994702</v>
      </c>
      <c r="AR38" s="117">
        <v>5.6841380356571598</v>
      </c>
    </row>
    <row r="39" spans="2:44" ht="12" customHeight="1" x14ac:dyDescent="0.25">
      <c r="B39" s="115" t="s">
        <v>41</v>
      </c>
      <c r="C39" s="116" t="s">
        <v>23</v>
      </c>
      <c r="D39" s="116" t="s">
        <v>42</v>
      </c>
      <c r="E39" s="116" t="s">
        <v>25</v>
      </c>
      <c r="F39" s="116" t="s">
        <v>25</v>
      </c>
      <c r="G39" s="116" t="s">
        <v>25</v>
      </c>
      <c r="H39" s="116" t="s">
        <v>75</v>
      </c>
      <c r="I39" s="116" t="s">
        <v>25</v>
      </c>
      <c r="J39" s="116">
        <v>329.39</v>
      </c>
      <c r="K39" s="116">
        <v>195.17</v>
      </c>
      <c r="L39" s="116">
        <v>0</v>
      </c>
      <c r="M39" s="116">
        <v>0.81569229269152099</v>
      </c>
      <c r="N39" s="116">
        <v>3.20226880175982</v>
      </c>
      <c r="O39" s="116">
        <v>0</v>
      </c>
      <c r="P39" s="116">
        <v>0</v>
      </c>
      <c r="Q39" s="116">
        <v>96.043592010856599</v>
      </c>
      <c r="R39" s="116">
        <v>16.971546405291502</v>
      </c>
      <c r="S39" s="116">
        <v>0</v>
      </c>
      <c r="T39" s="116">
        <v>0</v>
      </c>
      <c r="U39" s="116">
        <v>0</v>
      </c>
      <c r="V39" s="116">
        <v>0</v>
      </c>
      <c r="W39" s="116">
        <v>0</v>
      </c>
      <c r="X39" s="116">
        <v>120.97004145627299</v>
      </c>
      <c r="Y39" s="116">
        <v>0</v>
      </c>
      <c r="Z39" s="116">
        <v>0</v>
      </c>
      <c r="AA39" s="116">
        <v>183.141583368933</v>
      </c>
      <c r="AB39" s="116">
        <v>-117.88857556498201</v>
      </c>
      <c r="AC39" s="116">
        <v>0</v>
      </c>
      <c r="AD39" s="116">
        <v>21.089401009198198</v>
      </c>
      <c r="AE39" s="116">
        <v>0.72354331663387506</v>
      </c>
      <c r="AF39" s="116">
        <v>4.0907182984205699</v>
      </c>
      <c r="AG39" s="116">
        <v>0.22674325632397199</v>
      </c>
      <c r="AH39" s="116">
        <v>0</v>
      </c>
      <c r="AI39" s="116">
        <v>-21.939503923569099</v>
      </c>
      <c r="AJ39" s="116">
        <v>2.2893451757785499</v>
      </c>
      <c r="AK39" s="116">
        <v>29.973355153099799</v>
      </c>
      <c r="AL39" s="116">
        <v>0</v>
      </c>
      <c r="AM39" s="116">
        <v>217.11253007131401</v>
      </c>
      <c r="AN39" s="116">
        <v>12.2197284864534</v>
      </c>
      <c r="AO39" s="116">
        <v>7.6277394799044096</v>
      </c>
      <c r="AP39" s="116">
        <v>0</v>
      </c>
      <c r="AQ39" s="116">
        <v>-57.794730701994702</v>
      </c>
      <c r="AR39" s="117">
        <v>5.6841380356571598</v>
      </c>
    </row>
    <row r="40" spans="2:44" ht="12" customHeight="1" x14ac:dyDescent="0.25">
      <c r="B40" s="115" t="s">
        <v>41</v>
      </c>
      <c r="C40" s="116" t="s">
        <v>23</v>
      </c>
      <c r="D40" s="116" t="s">
        <v>42</v>
      </c>
      <c r="E40" s="116" t="s">
        <v>92</v>
      </c>
      <c r="F40" s="116" t="s">
        <v>25</v>
      </c>
      <c r="G40" s="116" t="s">
        <v>25</v>
      </c>
      <c r="H40" s="116" t="s">
        <v>75</v>
      </c>
      <c r="I40" s="116" t="s">
        <v>25</v>
      </c>
      <c r="J40" s="116">
        <v>322.38</v>
      </c>
      <c r="K40" s="116">
        <v>191.02</v>
      </c>
      <c r="L40" s="116">
        <v>0</v>
      </c>
      <c r="M40" s="116">
        <v>0.79833713752787105</v>
      </c>
      <c r="N40" s="116">
        <v>3.1341354229989702</v>
      </c>
      <c r="O40" s="116">
        <v>0</v>
      </c>
      <c r="P40" s="116">
        <v>0</v>
      </c>
      <c r="Q40" s="116">
        <v>94.000111329774597</v>
      </c>
      <c r="R40" s="116">
        <v>16.610449673264</v>
      </c>
      <c r="S40" s="116">
        <v>0</v>
      </c>
      <c r="T40" s="116">
        <v>0</v>
      </c>
      <c r="U40" s="116">
        <v>0</v>
      </c>
      <c r="V40" s="116">
        <v>0</v>
      </c>
      <c r="W40" s="116">
        <v>0</v>
      </c>
      <c r="X40" s="116">
        <v>118.39621078699</v>
      </c>
      <c r="Y40" s="116">
        <v>0</v>
      </c>
      <c r="Z40" s="116">
        <v>0</v>
      </c>
      <c r="AA40" s="116">
        <v>179.244953935551</v>
      </c>
      <c r="AB40" s="116">
        <v>-115.38030799977</v>
      </c>
      <c r="AC40" s="116">
        <v>0</v>
      </c>
      <c r="AD40" s="116">
        <v>20.640690349427999</v>
      </c>
      <c r="AE40" s="116">
        <v>0.70814877798209097</v>
      </c>
      <c r="AF40" s="116">
        <v>4.0036817388797097</v>
      </c>
      <c r="AG40" s="116">
        <v>0.22191893172133401</v>
      </c>
      <c r="AH40" s="116">
        <v>0</v>
      </c>
      <c r="AI40" s="116">
        <v>-21.472705967748499</v>
      </c>
      <c r="AJ40" s="116">
        <v>2.2406357039534699</v>
      </c>
      <c r="AK40" s="116">
        <v>29.335624192395599</v>
      </c>
      <c r="AL40" s="116">
        <v>0</v>
      </c>
      <c r="AM40" s="116">
        <v>212.49311453788201</v>
      </c>
      <c r="AN40" s="116">
        <v>11.959734263337401</v>
      </c>
      <c r="AO40" s="116">
        <v>7.4654471505447404</v>
      </c>
      <c r="AP40" s="116">
        <v>0</v>
      </c>
      <c r="AQ40" s="116">
        <v>-56.565055580675697</v>
      </c>
      <c r="AR40" s="117">
        <v>5.5631989285155203</v>
      </c>
    </row>
    <row r="41" spans="2:44" ht="12" customHeight="1" x14ac:dyDescent="0.25">
      <c r="B41" s="115" t="s">
        <v>41</v>
      </c>
      <c r="C41" s="116" t="s">
        <v>90</v>
      </c>
      <c r="D41" s="116" t="s">
        <v>42</v>
      </c>
      <c r="E41" s="116" t="s">
        <v>91</v>
      </c>
      <c r="F41" s="116" t="s">
        <v>25</v>
      </c>
      <c r="G41" s="116" t="s">
        <v>25</v>
      </c>
      <c r="H41" s="116" t="s">
        <v>75</v>
      </c>
      <c r="I41" s="116" t="s">
        <v>25</v>
      </c>
      <c r="J41" s="116">
        <v>329.39</v>
      </c>
      <c r="K41" s="116">
        <v>195.17</v>
      </c>
      <c r="L41" s="116">
        <v>0</v>
      </c>
      <c r="M41" s="116">
        <v>0.81569229269152099</v>
      </c>
      <c r="N41" s="116">
        <v>3.20226880175982</v>
      </c>
      <c r="O41" s="116">
        <v>0</v>
      </c>
      <c r="P41" s="116">
        <v>0</v>
      </c>
      <c r="Q41" s="116">
        <v>96.043592010856599</v>
      </c>
      <c r="R41" s="116">
        <v>16.971546405291502</v>
      </c>
      <c r="S41" s="116">
        <v>0</v>
      </c>
      <c r="T41" s="116">
        <v>0</v>
      </c>
      <c r="U41" s="116">
        <v>0</v>
      </c>
      <c r="V41" s="116">
        <v>0</v>
      </c>
      <c r="W41" s="116">
        <v>0</v>
      </c>
      <c r="X41" s="116">
        <v>120.97004145627299</v>
      </c>
      <c r="Y41" s="116">
        <v>0</v>
      </c>
      <c r="Z41" s="116">
        <v>0</v>
      </c>
      <c r="AA41" s="116">
        <v>183.141583368933</v>
      </c>
      <c r="AB41" s="116">
        <v>-117.88857556498201</v>
      </c>
      <c r="AC41" s="116">
        <v>0</v>
      </c>
      <c r="AD41" s="116">
        <v>21.089401009198198</v>
      </c>
      <c r="AE41" s="116">
        <v>0.72354331663387506</v>
      </c>
      <c r="AF41" s="116">
        <v>4.0907182984205699</v>
      </c>
      <c r="AG41" s="116">
        <v>0.22674325632397199</v>
      </c>
      <c r="AH41" s="116">
        <v>0</v>
      </c>
      <c r="AI41" s="116">
        <v>-21.939503923569099</v>
      </c>
      <c r="AJ41" s="116">
        <v>2.2893451757785499</v>
      </c>
      <c r="AK41" s="116">
        <v>29.973355153099799</v>
      </c>
      <c r="AL41" s="116">
        <v>0</v>
      </c>
      <c r="AM41" s="116">
        <v>217.11253007131401</v>
      </c>
      <c r="AN41" s="116">
        <v>12.2197284864534</v>
      </c>
      <c r="AO41" s="116">
        <v>7.6277394799044096</v>
      </c>
      <c r="AP41" s="116">
        <v>0</v>
      </c>
      <c r="AQ41" s="116">
        <v>-57.794730701994702</v>
      </c>
      <c r="AR41" s="117">
        <v>5.6841380356571598</v>
      </c>
    </row>
    <row r="42" spans="2:44" ht="12" customHeight="1" x14ac:dyDescent="0.25">
      <c r="B42" s="115" t="s">
        <v>41</v>
      </c>
      <c r="C42" s="116" t="s">
        <v>90</v>
      </c>
      <c r="D42" s="116" t="s">
        <v>42</v>
      </c>
      <c r="E42" s="116" t="s">
        <v>25</v>
      </c>
      <c r="F42" s="116" t="s">
        <v>25</v>
      </c>
      <c r="G42" s="116" t="s">
        <v>25</v>
      </c>
      <c r="H42" s="116" t="s">
        <v>75</v>
      </c>
      <c r="I42" s="116" t="s">
        <v>25</v>
      </c>
      <c r="J42" s="116">
        <v>329.39</v>
      </c>
      <c r="K42" s="116">
        <v>195.17</v>
      </c>
      <c r="L42" s="116">
        <v>0</v>
      </c>
      <c r="M42" s="116">
        <v>0.81569229269152099</v>
      </c>
      <c r="N42" s="116">
        <v>3.20226880175982</v>
      </c>
      <c r="O42" s="116">
        <v>0</v>
      </c>
      <c r="P42" s="116">
        <v>0</v>
      </c>
      <c r="Q42" s="116">
        <v>96.043592010856599</v>
      </c>
      <c r="R42" s="116">
        <v>16.971546405291502</v>
      </c>
      <c r="S42" s="116">
        <v>0</v>
      </c>
      <c r="T42" s="116">
        <v>0</v>
      </c>
      <c r="U42" s="116">
        <v>0</v>
      </c>
      <c r="V42" s="116">
        <v>0</v>
      </c>
      <c r="W42" s="116">
        <v>0</v>
      </c>
      <c r="X42" s="116">
        <v>120.97004145627299</v>
      </c>
      <c r="Y42" s="116">
        <v>0</v>
      </c>
      <c r="Z42" s="116">
        <v>0</v>
      </c>
      <c r="AA42" s="116">
        <v>183.141583368933</v>
      </c>
      <c r="AB42" s="116">
        <v>-117.88857556498201</v>
      </c>
      <c r="AC42" s="116">
        <v>0</v>
      </c>
      <c r="AD42" s="116">
        <v>21.089401009198198</v>
      </c>
      <c r="AE42" s="116">
        <v>0.72354331663387506</v>
      </c>
      <c r="AF42" s="116">
        <v>4.0907182984205699</v>
      </c>
      <c r="AG42" s="116">
        <v>0.22674325632397199</v>
      </c>
      <c r="AH42" s="116">
        <v>0</v>
      </c>
      <c r="AI42" s="116">
        <v>-21.939503923569099</v>
      </c>
      <c r="AJ42" s="116">
        <v>2.2893451757785499</v>
      </c>
      <c r="AK42" s="116">
        <v>29.973355153099799</v>
      </c>
      <c r="AL42" s="116">
        <v>0</v>
      </c>
      <c r="AM42" s="116">
        <v>217.11253007131401</v>
      </c>
      <c r="AN42" s="116">
        <v>12.2197284864534</v>
      </c>
      <c r="AO42" s="116">
        <v>7.6277394799044096</v>
      </c>
      <c r="AP42" s="116">
        <v>0</v>
      </c>
      <c r="AQ42" s="116">
        <v>-57.794730701994702</v>
      </c>
      <c r="AR42" s="117">
        <v>5.6841380356571598</v>
      </c>
    </row>
    <row r="43" spans="2:44" ht="12" customHeight="1" x14ac:dyDescent="0.25">
      <c r="B43" s="115" t="s">
        <v>41</v>
      </c>
      <c r="C43" s="116" t="s">
        <v>90</v>
      </c>
      <c r="D43" s="116" t="s">
        <v>42</v>
      </c>
      <c r="E43" s="116" t="s">
        <v>92</v>
      </c>
      <c r="F43" s="116" t="s">
        <v>25</v>
      </c>
      <c r="G43" s="116" t="s">
        <v>25</v>
      </c>
      <c r="H43" s="116" t="s">
        <v>75</v>
      </c>
      <c r="I43" s="116" t="s">
        <v>25</v>
      </c>
      <c r="J43" s="116">
        <v>322.38</v>
      </c>
      <c r="K43" s="116">
        <v>191.02</v>
      </c>
      <c r="L43" s="116">
        <v>0</v>
      </c>
      <c r="M43" s="116">
        <v>0.79833713752787105</v>
      </c>
      <c r="N43" s="116">
        <v>3.1341354229989702</v>
      </c>
      <c r="O43" s="116">
        <v>0</v>
      </c>
      <c r="P43" s="116">
        <v>0</v>
      </c>
      <c r="Q43" s="116">
        <v>94.000111329774597</v>
      </c>
      <c r="R43" s="116">
        <v>16.610449673264</v>
      </c>
      <c r="S43" s="116">
        <v>0</v>
      </c>
      <c r="T43" s="116">
        <v>0</v>
      </c>
      <c r="U43" s="116">
        <v>0</v>
      </c>
      <c r="V43" s="116">
        <v>0</v>
      </c>
      <c r="W43" s="116">
        <v>0</v>
      </c>
      <c r="X43" s="116">
        <v>118.39621078699</v>
      </c>
      <c r="Y43" s="116">
        <v>0</v>
      </c>
      <c r="Z43" s="116">
        <v>0</v>
      </c>
      <c r="AA43" s="116">
        <v>179.244953935551</v>
      </c>
      <c r="AB43" s="116">
        <v>-115.38030799977</v>
      </c>
      <c r="AC43" s="116">
        <v>0</v>
      </c>
      <c r="AD43" s="116">
        <v>20.640690349427999</v>
      </c>
      <c r="AE43" s="116">
        <v>0.70814877798209097</v>
      </c>
      <c r="AF43" s="116">
        <v>4.0036817388797097</v>
      </c>
      <c r="AG43" s="116">
        <v>0.22191893172133401</v>
      </c>
      <c r="AH43" s="116">
        <v>0</v>
      </c>
      <c r="AI43" s="116">
        <v>-21.472705967748499</v>
      </c>
      <c r="AJ43" s="116">
        <v>2.2406357039534699</v>
      </c>
      <c r="AK43" s="116">
        <v>29.335624192395599</v>
      </c>
      <c r="AL43" s="116">
        <v>0</v>
      </c>
      <c r="AM43" s="116">
        <v>212.49311453788201</v>
      </c>
      <c r="AN43" s="116">
        <v>11.959734263337401</v>
      </c>
      <c r="AO43" s="116">
        <v>7.4654471505447404</v>
      </c>
      <c r="AP43" s="116">
        <v>0</v>
      </c>
      <c r="AQ43" s="116">
        <v>-56.565055580675697</v>
      </c>
      <c r="AR43" s="117">
        <v>5.5631989285155203</v>
      </c>
    </row>
    <row r="44" spans="2:44" ht="12" customHeight="1" x14ac:dyDescent="0.25">
      <c r="B44" s="115" t="s">
        <v>36</v>
      </c>
      <c r="C44" s="116" t="s">
        <v>32</v>
      </c>
      <c r="D44" s="116" t="s">
        <v>25</v>
      </c>
      <c r="E44" s="116" t="s">
        <v>25</v>
      </c>
      <c r="F44" s="116" t="s">
        <v>25</v>
      </c>
      <c r="G44" s="116" t="s">
        <v>33</v>
      </c>
      <c r="H44" s="116" t="s">
        <v>75</v>
      </c>
      <c r="I44" s="116" t="s">
        <v>25</v>
      </c>
      <c r="J44" s="116">
        <v>894.57</v>
      </c>
      <c r="K44" s="116">
        <v>316.98</v>
      </c>
      <c r="L44" s="116">
        <v>0</v>
      </c>
      <c r="M44" s="116">
        <v>0.86775775818246903</v>
      </c>
      <c r="N44" s="116">
        <v>10.1968177983107</v>
      </c>
      <c r="O44" s="116">
        <v>0</v>
      </c>
      <c r="P44" s="116">
        <v>0</v>
      </c>
      <c r="Q44" s="116">
        <v>102.174034054103</v>
      </c>
      <c r="R44" s="116">
        <v>18.0548366013739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424.68215955432299</v>
      </c>
      <c r="Y44" s="116">
        <v>0</v>
      </c>
      <c r="Z44" s="116">
        <v>0</v>
      </c>
      <c r="AA44" s="116">
        <v>642.94378108872399</v>
      </c>
      <c r="AB44" s="116">
        <v>-332.14355183445701</v>
      </c>
      <c r="AC44" s="116">
        <v>0</v>
      </c>
      <c r="AD44" s="116">
        <v>22.435532988508701</v>
      </c>
      <c r="AE44" s="116">
        <v>0.76972693258922897</v>
      </c>
      <c r="AF44" s="116">
        <v>4.3518279770431603</v>
      </c>
      <c r="AG44" s="116">
        <v>0.24121623013188501</v>
      </c>
      <c r="AH44" s="116">
        <v>0</v>
      </c>
      <c r="AI44" s="116">
        <v>-23.339897791030999</v>
      </c>
      <c r="AJ44" s="116">
        <v>2.4354735912537802</v>
      </c>
      <c r="AK44" s="116">
        <v>31.886548035212599</v>
      </c>
      <c r="AL44" s="116">
        <v>0</v>
      </c>
      <c r="AM44" s="116">
        <v>374.78276969355602</v>
      </c>
      <c r="AN44" s="116">
        <v>12.999711155801499</v>
      </c>
      <c r="AO44" s="116">
        <v>8.1146164679834101</v>
      </c>
      <c r="AP44" s="116">
        <v>0</v>
      </c>
      <c r="AQ44" s="116">
        <v>-95.946345103613297</v>
      </c>
      <c r="AR44" s="117">
        <v>6.0469553570820898</v>
      </c>
    </row>
    <row r="45" spans="2:44" ht="12" customHeight="1" x14ac:dyDescent="0.25">
      <c r="B45" s="115" t="s">
        <v>36</v>
      </c>
      <c r="C45" s="116" t="s">
        <v>32</v>
      </c>
      <c r="D45" s="116" t="s">
        <v>25</v>
      </c>
      <c r="E45" s="116" t="s">
        <v>25</v>
      </c>
      <c r="F45" s="116" t="s">
        <v>25</v>
      </c>
      <c r="G45" s="116" t="s">
        <v>35</v>
      </c>
      <c r="H45" s="116" t="s">
        <v>75</v>
      </c>
      <c r="I45" s="116" t="s">
        <v>25</v>
      </c>
      <c r="J45" s="116">
        <v>582.27</v>
      </c>
      <c r="K45" s="116">
        <v>197.69</v>
      </c>
      <c r="L45" s="116">
        <v>0</v>
      </c>
      <c r="M45" s="116">
        <v>0.86775775818246903</v>
      </c>
      <c r="N45" s="116">
        <v>6.2998619886954899</v>
      </c>
      <c r="O45" s="116">
        <v>0</v>
      </c>
      <c r="P45" s="116">
        <v>0</v>
      </c>
      <c r="Q45" s="116">
        <v>102.174034054103</v>
      </c>
      <c r="R45" s="116">
        <v>18.0548366013739</v>
      </c>
      <c r="S45" s="116">
        <v>0</v>
      </c>
      <c r="T45" s="116">
        <v>0</v>
      </c>
      <c r="U45" s="116">
        <v>0</v>
      </c>
      <c r="V45" s="116">
        <v>0</v>
      </c>
      <c r="W45" s="116">
        <v>0</v>
      </c>
      <c r="X45" s="116">
        <v>254.809221390548</v>
      </c>
      <c r="Y45" s="116">
        <v>0</v>
      </c>
      <c r="Z45" s="116">
        <v>0</v>
      </c>
      <c r="AA45" s="116">
        <v>385.76624710488198</v>
      </c>
      <c r="AB45" s="116">
        <v>-213.49838329161699</v>
      </c>
      <c r="AC45" s="116">
        <v>0</v>
      </c>
      <c r="AD45" s="116">
        <v>22.435532988508701</v>
      </c>
      <c r="AE45" s="116">
        <v>0.76972693258922897</v>
      </c>
      <c r="AF45" s="116">
        <v>4.3518279770431603</v>
      </c>
      <c r="AG45" s="116">
        <v>0.24121623013188501</v>
      </c>
      <c r="AH45" s="116">
        <v>0</v>
      </c>
      <c r="AI45" s="116">
        <v>-23.339897791030999</v>
      </c>
      <c r="AJ45" s="116">
        <v>2.4354735912537802</v>
      </c>
      <c r="AK45" s="116">
        <v>31.886548035212599</v>
      </c>
      <c r="AL45" s="116">
        <v>0</v>
      </c>
      <c r="AM45" s="116">
        <v>217.89695912416099</v>
      </c>
      <c r="AN45" s="116">
        <v>12.999711155801499</v>
      </c>
      <c r="AO45" s="116">
        <v>8.1146164679834101</v>
      </c>
      <c r="AP45" s="116">
        <v>0</v>
      </c>
      <c r="AQ45" s="116">
        <v>-58.350793426164401</v>
      </c>
      <c r="AR45" s="117">
        <v>6.0469553570820898</v>
      </c>
    </row>
    <row r="46" spans="2:44" ht="12" customHeight="1" x14ac:dyDescent="0.25">
      <c r="B46" s="115" t="s">
        <v>36</v>
      </c>
      <c r="C46" s="116" t="s">
        <v>32</v>
      </c>
      <c r="D46" s="116" t="s">
        <v>25</v>
      </c>
      <c r="E46" s="116" t="s">
        <v>25</v>
      </c>
      <c r="F46" s="116" t="s">
        <v>25</v>
      </c>
      <c r="G46" s="116" t="s">
        <v>34</v>
      </c>
      <c r="H46" s="116" t="s">
        <v>75</v>
      </c>
      <c r="I46" s="116" t="s">
        <v>25</v>
      </c>
      <c r="J46" s="116">
        <v>269.97000000000003</v>
      </c>
      <c r="K46" s="116">
        <v>197.69</v>
      </c>
      <c r="L46" s="116">
        <v>0</v>
      </c>
      <c r="M46" s="116">
        <v>0.86775775818246903</v>
      </c>
      <c r="N46" s="116">
        <v>2.4029072160584901</v>
      </c>
      <c r="O46" s="116">
        <v>0</v>
      </c>
      <c r="P46" s="116">
        <v>0</v>
      </c>
      <c r="Q46" s="116">
        <v>102.174034054103</v>
      </c>
      <c r="R46" s="116">
        <v>18.0548366013739</v>
      </c>
      <c r="S46" s="116">
        <v>0</v>
      </c>
      <c r="T46" s="116">
        <v>0</v>
      </c>
      <c r="U46" s="116">
        <v>0</v>
      </c>
      <c r="V46" s="116">
        <v>0</v>
      </c>
      <c r="W46" s="116">
        <v>0</v>
      </c>
      <c r="X46" s="116">
        <v>84.936407130182701</v>
      </c>
      <c r="Y46" s="116">
        <v>0</v>
      </c>
      <c r="Z46" s="116">
        <v>0</v>
      </c>
      <c r="AA46" s="116">
        <v>128.588713121041</v>
      </c>
      <c r="AB46" s="116">
        <v>-94.8532490014465</v>
      </c>
      <c r="AC46" s="116">
        <v>0</v>
      </c>
      <c r="AD46" s="116">
        <v>22.435532988508701</v>
      </c>
      <c r="AE46" s="116">
        <v>0.76972693258922897</v>
      </c>
      <c r="AF46" s="116">
        <v>4.3518279770431603</v>
      </c>
      <c r="AG46" s="116">
        <v>0.24121623013188501</v>
      </c>
      <c r="AH46" s="116">
        <v>0</v>
      </c>
      <c r="AI46" s="116">
        <v>-23.339897791030999</v>
      </c>
      <c r="AJ46" s="116">
        <v>2.4354735912537802</v>
      </c>
      <c r="AK46" s="116">
        <v>31.886548035212599</v>
      </c>
      <c r="AL46" s="116">
        <v>0</v>
      </c>
      <c r="AM46" s="116">
        <v>217.89695912416099</v>
      </c>
      <c r="AN46" s="116">
        <v>12.999711155801499</v>
      </c>
      <c r="AO46" s="116">
        <v>8.1146164679834101</v>
      </c>
      <c r="AP46" s="116">
        <v>0</v>
      </c>
      <c r="AQ46" s="116">
        <v>-58.350793426164401</v>
      </c>
      <c r="AR46" s="117">
        <v>6.0469553570820898</v>
      </c>
    </row>
    <row r="47" spans="2:44" ht="12" customHeight="1" x14ac:dyDescent="0.25">
      <c r="B47" s="115" t="s">
        <v>36</v>
      </c>
      <c r="C47" s="116" t="s">
        <v>23</v>
      </c>
      <c r="D47" s="116" t="s">
        <v>25</v>
      </c>
      <c r="E47" s="116" t="s">
        <v>25</v>
      </c>
      <c r="F47" s="116" t="s">
        <v>25</v>
      </c>
      <c r="G47" s="116" t="s">
        <v>25</v>
      </c>
      <c r="H47" s="116" t="s">
        <v>75</v>
      </c>
      <c r="I47" s="116" t="s">
        <v>25</v>
      </c>
      <c r="J47" s="116">
        <v>350.41</v>
      </c>
      <c r="K47" s="116">
        <v>207.63</v>
      </c>
      <c r="L47" s="116">
        <v>0</v>
      </c>
      <c r="M47" s="116">
        <v>0.86775775818246903</v>
      </c>
      <c r="N47" s="116">
        <v>3.40666893804236</v>
      </c>
      <c r="O47" s="116">
        <v>0</v>
      </c>
      <c r="P47" s="116">
        <v>0</v>
      </c>
      <c r="Q47" s="116">
        <v>102.174034054103</v>
      </c>
      <c r="R47" s="116">
        <v>18.0548366013739</v>
      </c>
      <c r="S47" s="116">
        <v>0</v>
      </c>
      <c r="T47" s="116">
        <v>0</v>
      </c>
      <c r="U47" s="116">
        <v>0</v>
      </c>
      <c r="V47" s="116">
        <v>0</v>
      </c>
      <c r="W47" s="116">
        <v>0</v>
      </c>
      <c r="X47" s="116">
        <v>128.69153346412</v>
      </c>
      <c r="Y47" s="116">
        <v>0</v>
      </c>
      <c r="Z47" s="116">
        <v>0</v>
      </c>
      <c r="AA47" s="116">
        <v>194.83147166907801</v>
      </c>
      <c r="AB47" s="116">
        <v>-125.413378260619</v>
      </c>
      <c r="AC47" s="116">
        <v>0</v>
      </c>
      <c r="AD47" s="116">
        <v>22.435532988508701</v>
      </c>
      <c r="AE47" s="116">
        <v>0.76972693258922897</v>
      </c>
      <c r="AF47" s="116">
        <v>4.3518279770431603</v>
      </c>
      <c r="AG47" s="116">
        <v>0.24121623013188501</v>
      </c>
      <c r="AH47" s="116">
        <v>0</v>
      </c>
      <c r="AI47" s="116">
        <v>-23.339897791030999</v>
      </c>
      <c r="AJ47" s="116">
        <v>2.4354735912537802</v>
      </c>
      <c r="AK47" s="116">
        <v>31.886548035212599</v>
      </c>
      <c r="AL47" s="116">
        <v>0</v>
      </c>
      <c r="AM47" s="116">
        <v>230.97077667161</v>
      </c>
      <c r="AN47" s="116">
        <v>12.999711155801499</v>
      </c>
      <c r="AO47" s="116">
        <v>8.1146164679834101</v>
      </c>
      <c r="AP47" s="116">
        <v>0</v>
      </c>
      <c r="AQ47" s="116">
        <v>-61.483756065951802</v>
      </c>
      <c r="AR47" s="117">
        <v>6.0469553570820898</v>
      </c>
    </row>
    <row r="48" spans="2:44" ht="12" customHeight="1" x14ac:dyDescent="0.25">
      <c r="B48" s="115" t="s">
        <v>36</v>
      </c>
      <c r="C48" s="116" t="s">
        <v>90</v>
      </c>
      <c r="D48" s="116" t="s">
        <v>25</v>
      </c>
      <c r="E48" s="116" t="s">
        <v>25</v>
      </c>
      <c r="F48" s="116" t="s">
        <v>25</v>
      </c>
      <c r="G48" s="116" t="s">
        <v>25</v>
      </c>
      <c r="H48" s="116" t="s">
        <v>75</v>
      </c>
      <c r="I48" s="116" t="s">
        <v>25</v>
      </c>
      <c r="J48" s="116">
        <v>350.41</v>
      </c>
      <c r="K48" s="116">
        <v>207.63</v>
      </c>
      <c r="L48" s="116">
        <v>0</v>
      </c>
      <c r="M48" s="116">
        <v>0.86775775818246903</v>
      </c>
      <c r="N48" s="116">
        <v>3.40666893804236</v>
      </c>
      <c r="O48" s="116">
        <v>0</v>
      </c>
      <c r="P48" s="116">
        <v>0</v>
      </c>
      <c r="Q48" s="116">
        <v>102.174034054103</v>
      </c>
      <c r="R48" s="116">
        <v>18.0548366013739</v>
      </c>
      <c r="S48" s="116">
        <v>0</v>
      </c>
      <c r="T48" s="116">
        <v>0</v>
      </c>
      <c r="U48" s="116">
        <v>0</v>
      </c>
      <c r="V48" s="116">
        <v>0</v>
      </c>
      <c r="W48" s="116">
        <v>0</v>
      </c>
      <c r="X48" s="116">
        <v>128.69153346412</v>
      </c>
      <c r="Y48" s="116">
        <v>0</v>
      </c>
      <c r="Z48" s="116">
        <v>0</v>
      </c>
      <c r="AA48" s="116">
        <v>194.83147166907801</v>
      </c>
      <c r="AB48" s="116">
        <v>-125.413378260619</v>
      </c>
      <c r="AC48" s="116">
        <v>0</v>
      </c>
      <c r="AD48" s="116">
        <v>22.435532988508701</v>
      </c>
      <c r="AE48" s="116">
        <v>0.76972693258922897</v>
      </c>
      <c r="AF48" s="116">
        <v>4.3518279770431603</v>
      </c>
      <c r="AG48" s="116">
        <v>0.24121623013188501</v>
      </c>
      <c r="AH48" s="116">
        <v>0</v>
      </c>
      <c r="AI48" s="116">
        <v>-23.339897791030999</v>
      </c>
      <c r="AJ48" s="116">
        <v>2.4354735912537802</v>
      </c>
      <c r="AK48" s="116">
        <v>31.886548035212599</v>
      </c>
      <c r="AL48" s="116">
        <v>0</v>
      </c>
      <c r="AM48" s="116">
        <v>230.97077667161</v>
      </c>
      <c r="AN48" s="116">
        <v>12.999711155801499</v>
      </c>
      <c r="AO48" s="116">
        <v>8.1146164679834101</v>
      </c>
      <c r="AP48" s="116">
        <v>0</v>
      </c>
      <c r="AQ48" s="116">
        <v>-61.483756065951802</v>
      </c>
      <c r="AR48" s="117">
        <v>6.0469553570820898</v>
      </c>
    </row>
    <row r="49" spans="2:44" ht="12" customHeight="1" x14ac:dyDescent="0.25">
      <c r="B49" s="115" t="s">
        <v>44</v>
      </c>
      <c r="C49" s="116" t="s">
        <v>23</v>
      </c>
      <c r="D49" s="116" t="s">
        <v>45</v>
      </c>
      <c r="E49" s="116" t="s">
        <v>93</v>
      </c>
      <c r="F49" s="116" t="s">
        <v>25</v>
      </c>
      <c r="G49" s="116" t="s">
        <v>25</v>
      </c>
      <c r="H49" s="116" t="s">
        <v>75</v>
      </c>
      <c r="I49" s="116" t="s">
        <v>25</v>
      </c>
      <c r="J49" s="116">
        <v>192.73</v>
      </c>
      <c r="K49" s="116">
        <v>114.2</v>
      </c>
      <c r="L49" s="116">
        <v>0</v>
      </c>
      <c r="M49" s="116">
        <v>0.47726676700035803</v>
      </c>
      <c r="N49" s="116">
        <v>1.8736679159233001</v>
      </c>
      <c r="O49" s="116">
        <v>0</v>
      </c>
      <c r="P49" s="116">
        <v>0</v>
      </c>
      <c r="Q49" s="116">
        <v>56.1957187297565</v>
      </c>
      <c r="R49" s="116">
        <v>9.9301601307556506</v>
      </c>
      <c r="S49" s="116">
        <v>0</v>
      </c>
      <c r="T49" s="116">
        <v>0</v>
      </c>
      <c r="U49" s="116">
        <v>0</v>
      </c>
      <c r="V49" s="116">
        <v>0</v>
      </c>
      <c r="W49" s="116">
        <v>0</v>
      </c>
      <c r="X49" s="116">
        <v>70.780343405265896</v>
      </c>
      <c r="Y49" s="116">
        <v>0</v>
      </c>
      <c r="Z49" s="116">
        <v>0</v>
      </c>
      <c r="AA49" s="116">
        <v>107.15730941799301</v>
      </c>
      <c r="AB49" s="116">
        <v>-68.977358043340502</v>
      </c>
      <c r="AC49" s="116">
        <v>0</v>
      </c>
      <c r="AD49" s="116">
        <v>12.3395431436798</v>
      </c>
      <c r="AE49" s="116">
        <v>0.42334981292407597</v>
      </c>
      <c r="AF49" s="116">
        <v>2.39350538737374</v>
      </c>
      <c r="AG49" s="116">
        <v>0.13266892657253701</v>
      </c>
      <c r="AH49" s="116">
        <v>0</v>
      </c>
      <c r="AI49" s="116">
        <v>-12.836943785067</v>
      </c>
      <c r="AJ49" s="116">
        <v>1.3395104751895801</v>
      </c>
      <c r="AK49" s="116">
        <v>17.537601419366901</v>
      </c>
      <c r="AL49" s="116">
        <v>0</v>
      </c>
      <c r="AM49" s="116">
        <v>127.033927169386</v>
      </c>
      <c r="AN49" s="116">
        <v>7.1498411356908402</v>
      </c>
      <c r="AO49" s="116">
        <v>4.4630390573908798</v>
      </c>
      <c r="AP49" s="116">
        <v>0</v>
      </c>
      <c r="AQ49" s="116">
        <v>-33.816065836273502</v>
      </c>
      <c r="AR49" s="117">
        <v>3.3258254463951502</v>
      </c>
    </row>
    <row r="50" spans="2:44" ht="12" customHeight="1" x14ac:dyDescent="0.25">
      <c r="B50" s="118" t="s">
        <v>44</v>
      </c>
      <c r="C50" s="119" t="s">
        <v>23</v>
      </c>
      <c r="D50" s="119" t="s">
        <v>45</v>
      </c>
      <c r="E50" s="119" t="s">
        <v>46</v>
      </c>
      <c r="F50" s="119" t="s">
        <v>25</v>
      </c>
      <c r="G50" s="119" t="s">
        <v>25</v>
      </c>
      <c r="H50" s="119" t="s">
        <v>75</v>
      </c>
      <c r="I50" s="119" t="s">
        <v>25</v>
      </c>
      <c r="J50" s="119">
        <v>210.25</v>
      </c>
      <c r="K50" s="119">
        <v>124.58</v>
      </c>
      <c r="L50" s="119">
        <v>0</v>
      </c>
      <c r="M50" s="119">
        <v>0.52065465490948104</v>
      </c>
      <c r="N50" s="119">
        <v>2.0440013628254201</v>
      </c>
      <c r="O50" s="119">
        <v>0</v>
      </c>
      <c r="P50" s="119">
        <v>0</v>
      </c>
      <c r="Q50" s="119">
        <v>61.304420432461697</v>
      </c>
      <c r="R50" s="119">
        <v>10.8329019608243</v>
      </c>
      <c r="S50" s="119">
        <v>0</v>
      </c>
      <c r="T50" s="119">
        <v>0</v>
      </c>
      <c r="U50" s="119">
        <v>0</v>
      </c>
      <c r="V50" s="119">
        <v>0</v>
      </c>
      <c r="W50" s="119">
        <v>0</v>
      </c>
      <c r="X50" s="119">
        <v>77.214920078471906</v>
      </c>
      <c r="Y50" s="119">
        <v>0</v>
      </c>
      <c r="Z50" s="119">
        <v>0</v>
      </c>
      <c r="AA50" s="119">
        <v>116.898883001447</v>
      </c>
      <c r="AB50" s="119">
        <v>-75.248026956371405</v>
      </c>
      <c r="AC50" s="119">
        <v>0</v>
      </c>
      <c r="AD50" s="119">
        <v>13.461319793105201</v>
      </c>
      <c r="AE50" s="119">
        <v>0.46183615955353802</v>
      </c>
      <c r="AF50" s="119">
        <v>2.6110967862258998</v>
      </c>
      <c r="AG50" s="119">
        <v>0.144729738079131</v>
      </c>
      <c r="AH50" s="119">
        <v>0</v>
      </c>
      <c r="AI50" s="119">
        <v>-14.003938674618601</v>
      </c>
      <c r="AJ50" s="119">
        <v>1.4612841547522699</v>
      </c>
      <c r="AK50" s="119">
        <v>19.131928821127499</v>
      </c>
      <c r="AL50" s="119">
        <v>0</v>
      </c>
      <c r="AM50" s="119">
        <v>138.58246600296599</v>
      </c>
      <c r="AN50" s="119">
        <v>7.7998266934809202</v>
      </c>
      <c r="AO50" s="119">
        <v>4.8687698807900501</v>
      </c>
      <c r="AP50" s="119">
        <v>0</v>
      </c>
      <c r="AQ50" s="119">
        <v>-36.8902536395711</v>
      </c>
      <c r="AR50" s="120">
        <v>3.6281732142492502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737E-03F6-4375-AEF2-40B73045491E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61" t="s">
        <v>1335</v>
      </c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  <c r="AD1" s="161"/>
      <c r="AE1" s="161"/>
      <c r="AF1" s="161"/>
      <c r="AG1" s="162"/>
      <c r="AH1" s="161" t="s">
        <v>1336</v>
      </c>
      <c r="AI1" s="161"/>
      <c r="AJ1" s="161"/>
      <c r="AK1" s="161"/>
      <c r="AL1" s="161"/>
      <c r="AM1" s="161"/>
      <c r="AN1" s="161"/>
      <c r="AO1" s="161"/>
      <c r="AP1" s="161"/>
      <c r="AQ1" s="161"/>
      <c r="AR1" s="161"/>
    </row>
    <row r="2" spans="2:44" ht="12" customHeight="1" x14ac:dyDescent="0.25">
      <c r="L2" s="163" t="s">
        <v>534</v>
      </c>
      <c r="M2" s="163"/>
      <c r="N2" s="163"/>
      <c r="O2" s="163"/>
      <c r="P2" s="163"/>
      <c r="Q2" s="163"/>
      <c r="R2" s="163"/>
      <c r="S2" s="164"/>
      <c r="T2" s="163" t="s">
        <v>543</v>
      </c>
      <c r="U2" s="163"/>
      <c r="V2" s="163"/>
      <c r="W2" s="163"/>
      <c r="X2" s="163"/>
      <c r="Y2" s="163"/>
      <c r="Z2" s="164"/>
      <c r="AA2" s="122" t="s">
        <v>551</v>
      </c>
      <c r="AB2" s="163" t="s">
        <v>25</v>
      </c>
      <c r="AC2" s="164"/>
      <c r="AD2" s="163" t="s">
        <v>1334</v>
      </c>
      <c r="AE2" s="163"/>
      <c r="AF2" s="163"/>
      <c r="AG2" s="164"/>
      <c r="AH2" s="163" t="s">
        <v>534</v>
      </c>
      <c r="AI2" s="163"/>
      <c r="AJ2" s="163"/>
      <c r="AK2" s="163"/>
      <c r="AL2" s="164"/>
      <c r="AM2" s="122" t="s">
        <v>565</v>
      </c>
      <c r="AN2" s="163" t="s">
        <v>543</v>
      </c>
      <c r="AO2" s="163"/>
      <c r="AP2" s="163"/>
      <c r="AQ2" s="164"/>
      <c r="AR2" s="121" t="s">
        <v>1334</v>
      </c>
    </row>
    <row r="3" spans="2:44" ht="12" customHeight="1" x14ac:dyDescent="0.25">
      <c r="B3" s="112" t="s">
        <v>65</v>
      </c>
      <c r="C3" s="113" t="s">
        <v>66</v>
      </c>
      <c r="D3" s="113" t="s">
        <v>67</v>
      </c>
      <c r="E3" s="113" t="s">
        <v>68</v>
      </c>
      <c r="F3" s="113" t="s">
        <v>69</v>
      </c>
      <c r="G3" s="113" t="s">
        <v>71</v>
      </c>
      <c r="H3" s="113" t="s">
        <v>72</v>
      </c>
      <c r="I3" s="113" t="s">
        <v>811</v>
      </c>
      <c r="J3" s="113" t="s">
        <v>1298</v>
      </c>
      <c r="K3" s="113" t="s">
        <v>1299</v>
      </c>
      <c r="L3" s="113" t="s">
        <v>1300</v>
      </c>
      <c r="M3" s="113" t="s">
        <v>1301</v>
      </c>
      <c r="N3" s="113" t="s">
        <v>1302</v>
      </c>
      <c r="O3" s="113" t="s">
        <v>1303</v>
      </c>
      <c r="P3" s="113" t="s">
        <v>1304</v>
      </c>
      <c r="Q3" s="113" t="s">
        <v>1305</v>
      </c>
      <c r="R3" s="113" t="s">
        <v>1306</v>
      </c>
      <c r="S3" s="113" t="s">
        <v>1307</v>
      </c>
      <c r="T3" s="113" t="s">
        <v>1308</v>
      </c>
      <c r="U3" s="113" t="s">
        <v>1309</v>
      </c>
      <c r="V3" s="113" t="s">
        <v>1310</v>
      </c>
      <c r="W3" s="113" t="s">
        <v>1311</v>
      </c>
      <c r="X3" s="113" t="s">
        <v>1312</v>
      </c>
      <c r="Y3" s="113" t="s">
        <v>1313</v>
      </c>
      <c r="Z3" s="113" t="s">
        <v>1314</v>
      </c>
      <c r="AA3" s="113" t="s">
        <v>1315</v>
      </c>
      <c r="AB3" s="113" t="s">
        <v>1316</v>
      </c>
      <c r="AC3" s="113" t="s">
        <v>1317</v>
      </c>
      <c r="AD3" s="113" t="s">
        <v>1318</v>
      </c>
      <c r="AE3" s="113" t="s">
        <v>1319</v>
      </c>
      <c r="AF3" s="113" t="s">
        <v>1320</v>
      </c>
      <c r="AG3" s="113" t="s">
        <v>1321</v>
      </c>
      <c r="AH3" s="113" t="s">
        <v>1322</v>
      </c>
      <c r="AI3" s="113" t="s">
        <v>1323</v>
      </c>
      <c r="AJ3" s="113" t="s">
        <v>1324</v>
      </c>
      <c r="AK3" s="113" t="s">
        <v>1325</v>
      </c>
      <c r="AL3" s="113" t="s">
        <v>1326</v>
      </c>
      <c r="AM3" s="113" t="s">
        <v>1327</v>
      </c>
      <c r="AN3" s="113" t="s">
        <v>1328</v>
      </c>
      <c r="AO3" s="113" t="s">
        <v>1329</v>
      </c>
      <c r="AP3" s="113" t="s">
        <v>1330</v>
      </c>
      <c r="AQ3" s="113" t="s">
        <v>1331</v>
      </c>
      <c r="AR3" s="114" t="s">
        <v>1332</v>
      </c>
    </row>
    <row r="4" spans="2:44" ht="12" customHeight="1" x14ac:dyDescent="0.25">
      <c r="B4" s="115" t="s">
        <v>38</v>
      </c>
      <c r="C4" s="116" t="s">
        <v>56</v>
      </c>
      <c r="D4" s="116" t="s">
        <v>25</v>
      </c>
      <c r="E4" s="116" t="s">
        <v>25</v>
      </c>
      <c r="F4" s="116" t="s">
        <v>83</v>
      </c>
      <c r="G4" s="116" t="s">
        <v>33</v>
      </c>
      <c r="H4" s="116" t="s">
        <v>75</v>
      </c>
      <c r="I4" s="116" t="s">
        <v>25</v>
      </c>
      <c r="J4" s="116">
        <v>4.58</v>
      </c>
      <c r="K4" s="116">
        <v>0</v>
      </c>
      <c r="L4" s="116">
        <v>0</v>
      </c>
      <c r="M4" s="116">
        <v>0.160340483793283</v>
      </c>
      <c r="N4" s="116">
        <v>9.0257176904188496E-2</v>
      </c>
      <c r="O4" s="116">
        <v>0</v>
      </c>
      <c r="P4" s="116">
        <v>0</v>
      </c>
      <c r="Q4" s="116">
        <v>0</v>
      </c>
      <c r="R4" s="116">
        <v>0</v>
      </c>
      <c r="S4" s="116">
        <v>0</v>
      </c>
      <c r="T4" s="116">
        <v>0</v>
      </c>
      <c r="U4" s="116">
        <v>0</v>
      </c>
      <c r="V4" s="116">
        <v>0</v>
      </c>
      <c r="W4" s="116">
        <v>0</v>
      </c>
      <c r="X4" s="116">
        <v>0</v>
      </c>
      <c r="Y4" s="116">
        <v>0</v>
      </c>
      <c r="Z4" s="116">
        <v>0</v>
      </c>
      <c r="AA4" s="116">
        <v>0</v>
      </c>
      <c r="AB4" s="116">
        <v>0</v>
      </c>
      <c r="AC4" s="116">
        <v>0</v>
      </c>
      <c r="AD4" s="116">
        <v>2.4622985489405602</v>
      </c>
      <c r="AE4" s="116">
        <v>8.4477489800027505E-2</v>
      </c>
      <c r="AF4" s="116">
        <v>1.6796001743990701</v>
      </c>
      <c r="AG4" s="116">
        <v>0.10352997779513699</v>
      </c>
      <c r="AH4" s="116">
        <v>0</v>
      </c>
      <c r="AI4" s="116">
        <v>0</v>
      </c>
      <c r="AJ4" s="116">
        <v>0</v>
      </c>
      <c r="AK4" s="116">
        <v>0</v>
      </c>
      <c r="AL4" s="116">
        <v>0</v>
      </c>
      <c r="AM4" s="116">
        <v>0</v>
      </c>
      <c r="AN4" s="116">
        <v>0</v>
      </c>
      <c r="AO4" s="116">
        <v>0</v>
      </c>
      <c r="AP4" s="116">
        <v>0</v>
      </c>
      <c r="AQ4" s="116">
        <v>0</v>
      </c>
      <c r="AR4" s="117">
        <v>0</v>
      </c>
    </row>
    <row r="5" spans="2:44" ht="12" customHeight="1" x14ac:dyDescent="0.25">
      <c r="B5" s="115" t="s">
        <v>38</v>
      </c>
      <c r="C5" s="116" t="s">
        <v>56</v>
      </c>
      <c r="D5" s="116" t="s">
        <v>25</v>
      </c>
      <c r="E5" s="116" t="s">
        <v>25</v>
      </c>
      <c r="F5" s="116" t="s">
        <v>83</v>
      </c>
      <c r="G5" s="116" t="s">
        <v>33</v>
      </c>
      <c r="H5" s="116" t="s">
        <v>80</v>
      </c>
      <c r="I5" s="116" t="s">
        <v>25</v>
      </c>
      <c r="J5" s="116">
        <v>54.63</v>
      </c>
      <c r="K5" s="116">
        <v>0</v>
      </c>
      <c r="L5" s="116">
        <v>0</v>
      </c>
      <c r="M5" s="116">
        <v>0</v>
      </c>
      <c r="N5" s="116">
        <v>0</v>
      </c>
      <c r="O5" s="116">
        <v>0</v>
      </c>
      <c r="P5" s="116">
        <v>0</v>
      </c>
      <c r="Q5" s="116">
        <v>0</v>
      </c>
      <c r="R5" s="116">
        <v>0</v>
      </c>
      <c r="S5" s="116">
        <v>0</v>
      </c>
      <c r="T5" s="116">
        <v>0</v>
      </c>
      <c r="U5" s="116">
        <v>0</v>
      </c>
      <c r="V5" s="116">
        <v>0</v>
      </c>
      <c r="W5" s="116">
        <v>0</v>
      </c>
      <c r="X5" s="116">
        <v>33.1798581294697</v>
      </c>
      <c r="Y5" s="116">
        <v>0</v>
      </c>
      <c r="Z5" s="116">
        <v>0</v>
      </c>
      <c r="AA5" s="116">
        <v>21.4536469893965</v>
      </c>
      <c r="AB5" s="116">
        <v>0</v>
      </c>
      <c r="AC5" s="116">
        <v>0</v>
      </c>
      <c r="AD5" s="116">
        <v>0</v>
      </c>
      <c r="AE5" s="116">
        <v>0</v>
      </c>
      <c r="AF5" s="116">
        <v>0</v>
      </c>
      <c r="AG5" s="116">
        <v>0</v>
      </c>
      <c r="AH5" s="116">
        <v>0</v>
      </c>
      <c r="AI5" s="116">
        <v>0</v>
      </c>
      <c r="AJ5" s="116">
        <v>0</v>
      </c>
      <c r="AK5" s="116">
        <v>0</v>
      </c>
      <c r="AL5" s="116">
        <v>0</v>
      </c>
      <c r="AM5" s="116">
        <v>0</v>
      </c>
      <c r="AN5" s="116">
        <v>0</v>
      </c>
      <c r="AO5" s="116">
        <v>0</v>
      </c>
      <c r="AP5" s="116">
        <v>0</v>
      </c>
      <c r="AQ5" s="116">
        <v>0</v>
      </c>
      <c r="AR5" s="117">
        <v>0</v>
      </c>
    </row>
    <row r="6" spans="2:44" ht="12" customHeight="1" x14ac:dyDescent="0.25">
      <c r="B6" s="115" t="s">
        <v>38</v>
      </c>
      <c r="C6" s="116" t="s">
        <v>56</v>
      </c>
      <c r="D6" s="116" t="s">
        <v>25</v>
      </c>
      <c r="E6" s="116" t="s">
        <v>25</v>
      </c>
      <c r="F6" s="116" t="s">
        <v>83</v>
      </c>
      <c r="G6" s="116" t="s">
        <v>34</v>
      </c>
      <c r="H6" s="116" t="s">
        <v>75</v>
      </c>
      <c r="I6" s="116" t="s">
        <v>25</v>
      </c>
      <c r="J6" s="116">
        <v>4.58</v>
      </c>
      <c r="K6" s="116">
        <v>0</v>
      </c>
      <c r="L6" s="116">
        <v>0</v>
      </c>
      <c r="M6" s="116">
        <v>0.160340483793283</v>
      </c>
      <c r="N6" s="116">
        <v>9.0257176904188496E-2</v>
      </c>
      <c r="O6" s="116">
        <v>0</v>
      </c>
      <c r="P6" s="116">
        <v>0</v>
      </c>
      <c r="Q6" s="116">
        <v>0</v>
      </c>
      <c r="R6" s="116">
        <v>0</v>
      </c>
      <c r="S6" s="116">
        <v>0</v>
      </c>
      <c r="T6" s="116">
        <v>0</v>
      </c>
      <c r="U6" s="116">
        <v>0</v>
      </c>
      <c r="V6" s="116">
        <v>0</v>
      </c>
      <c r="W6" s="116">
        <v>0</v>
      </c>
      <c r="X6" s="116">
        <v>0</v>
      </c>
      <c r="Y6" s="116">
        <v>0</v>
      </c>
      <c r="Z6" s="116">
        <v>0</v>
      </c>
      <c r="AA6" s="116">
        <v>0</v>
      </c>
      <c r="AB6" s="116">
        <v>0</v>
      </c>
      <c r="AC6" s="116">
        <v>0</v>
      </c>
      <c r="AD6" s="116">
        <v>2.4622985489405602</v>
      </c>
      <c r="AE6" s="116">
        <v>8.4477489800027505E-2</v>
      </c>
      <c r="AF6" s="116">
        <v>1.6796001743990701</v>
      </c>
      <c r="AG6" s="116">
        <v>0.10352997779513699</v>
      </c>
      <c r="AH6" s="116">
        <v>0</v>
      </c>
      <c r="AI6" s="116">
        <v>0</v>
      </c>
      <c r="AJ6" s="116">
        <v>0</v>
      </c>
      <c r="AK6" s="116">
        <v>0</v>
      </c>
      <c r="AL6" s="116">
        <v>0</v>
      </c>
      <c r="AM6" s="116">
        <v>0</v>
      </c>
      <c r="AN6" s="116">
        <v>0</v>
      </c>
      <c r="AO6" s="116">
        <v>0</v>
      </c>
      <c r="AP6" s="116">
        <v>0</v>
      </c>
      <c r="AQ6" s="116">
        <v>0</v>
      </c>
      <c r="AR6" s="117">
        <v>0</v>
      </c>
    </row>
    <row r="7" spans="2:44" ht="12" customHeight="1" x14ac:dyDescent="0.25">
      <c r="B7" s="115" t="s">
        <v>38</v>
      </c>
      <c r="C7" s="116" t="s">
        <v>56</v>
      </c>
      <c r="D7" s="116" t="s">
        <v>25</v>
      </c>
      <c r="E7" s="116" t="s">
        <v>25</v>
      </c>
      <c r="F7" s="116" t="s">
        <v>83</v>
      </c>
      <c r="G7" s="116" t="s">
        <v>34</v>
      </c>
      <c r="H7" s="116" t="s">
        <v>80</v>
      </c>
      <c r="I7" s="116" t="s">
        <v>25</v>
      </c>
      <c r="J7" s="116">
        <v>18.739999999999998</v>
      </c>
      <c r="K7" s="116">
        <v>0</v>
      </c>
      <c r="L7" s="116">
        <v>0</v>
      </c>
      <c r="M7" s="116">
        <v>0</v>
      </c>
      <c r="N7" s="116">
        <v>0</v>
      </c>
      <c r="O7" s="116">
        <v>0</v>
      </c>
      <c r="P7" s="116">
        <v>0</v>
      </c>
      <c r="Q7" s="116">
        <v>0</v>
      </c>
      <c r="R7" s="116">
        <v>0</v>
      </c>
      <c r="S7" s="116">
        <v>0</v>
      </c>
      <c r="T7" s="116">
        <v>0</v>
      </c>
      <c r="U7" s="116">
        <v>0</v>
      </c>
      <c r="V7" s="116">
        <v>0</v>
      </c>
      <c r="W7" s="116">
        <v>0</v>
      </c>
      <c r="X7" s="116">
        <v>13.038428704335301</v>
      </c>
      <c r="Y7" s="116">
        <v>0</v>
      </c>
      <c r="Z7" s="116">
        <v>0</v>
      </c>
      <c r="AA7" s="116">
        <v>5.7040642569725302</v>
      </c>
      <c r="AB7" s="116">
        <v>0</v>
      </c>
      <c r="AC7" s="116">
        <v>0</v>
      </c>
      <c r="AD7" s="116">
        <v>0</v>
      </c>
      <c r="AE7" s="116">
        <v>0</v>
      </c>
      <c r="AF7" s="116">
        <v>0</v>
      </c>
      <c r="AG7" s="116">
        <v>0</v>
      </c>
      <c r="AH7" s="116">
        <v>0</v>
      </c>
      <c r="AI7" s="116">
        <v>0</v>
      </c>
      <c r="AJ7" s="116">
        <v>0</v>
      </c>
      <c r="AK7" s="116">
        <v>0</v>
      </c>
      <c r="AL7" s="116">
        <v>0</v>
      </c>
      <c r="AM7" s="116">
        <v>0</v>
      </c>
      <c r="AN7" s="116">
        <v>0</v>
      </c>
      <c r="AO7" s="116">
        <v>0</v>
      </c>
      <c r="AP7" s="116">
        <v>0</v>
      </c>
      <c r="AQ7" s="116">
        <v>0</v>
      </c>
      <c r="AR7" s="117">
        <v>0</v>
      </c>
    </row>
    <row r="8" spans="2:44" ht="12" customHeight="1" x14ac:dyDescent="0.25">
      <c r="B8" s="115" t="s">
        <v>38</v>
      </c>
      <c r="C8" s="116" t="s">
        <v>56</v>
      </c>
      <c r="D8" s="116" t="s">
        <v>25</v>
      </c>
      <c r="E8" s="116" t="s">
        <v>25</v>
      </c>
      <c r="F8" s="116" t="s">
        <v>25</v>
      </c>
      <c r="G8" s="116" t="s">
        <v>33</v>
      </c>
      <c r="H8" s="116" t="s">
        <v>75</v>
      </c>
      <c r="I8" s="116" t="s">
        <v>25</v>
      </c>
      <c r="J8" s="116">
        <v>93.6</v>
      </c>
      <c r="K8" s="116">
        <v>347.53</v>
      </c>
      <c r="L8" s="116">
        <v>0</v>
      </c>
      <c r="M8" s="116">
        <v>0.160340483793283</v>
      </c>
      <c r="N8" s="116">
        <v>0.100626948373022</v>
      </c>
      <c r="O8" s="116">
        <v>0</v>
      </c>
      <c r="P8" s="116">
        <v>0</v>
      </c>
      <c r="Q8" s="116">
        <v>74.562103043533298</v>
      </c>
      <c r="R8" s="116">
        <v>14.444276612121699</v>
      </c>
      <c r="S8" s="116">
        <v>0</v>
      </c>
      <c r="T8" s="116">
        <v>0</v>
      </c>
      <c r="U8" s="116">
        <v>0</v>
      </c>
      <c r="V8" s="116">
        <v>0</v>
      </c>
      <c r="W8" s="116">
        <v>0</v>
      </c>
      <c r="X8" s="116">
        <v>0</v>
      </c>
      <c r="Y8" s="116">
        <v>0</v>
      </c>
      <c r="Z8" s="116">
        <v>0</v>
      </c>
      <c r="AA8" s="116">
        <v>0</v>
      </c>
      <c r="AB8" s="116">
        <v>0</v>
      </c>
      <c r="AC8" s="116">
        <v>0</v>
      </c>
      <c r="AD8" s="116">
        <v>2.4622985489405602</v>
      </c>
      <c r="AE8" s="116">
        <v>8.4477489800027505E-2</v>
      </c>
      <c r="AF8" s="116">
        <v>1.6796001743990701</v>
      </c>
      <c r="AG8" s="116">
        <v>0.10352997779513699</v>
      </c>
      <c r="AH8" s="116">
        <v>0</v>
      </c>
      <c r="AI8" s="116">
        <v>-23.339897791030999</v>
      </c>
      <c r="AJ8" s="116">
        <v>2.43547109922743</v>
      </c>
      <c r="AK8" s="116">
        <v>20.997516599996601</v>
      </c>
      <c r="AL8" s="116">
        <v>0</v>
      </c>
      <c r="AM8" s="116">
        <v>325.31256836084799</v>
      </c>
      <c r="AN8" s="116">
        <v>9.9962037891222799</v>
      </c>
      <c r="AO8" s="116">
        <v>6.8830158215822399</v>
      </c>
      <c r="AP8" s="116">
        <v>0</v>
      </c>
      <c r="AQ8" s="116">
        <v>0</v>
      </c>
      <c r="AR8" s="117">
        <v>5.2487753894988698</v>
      </c>
    </row>
    <row r="9" spans="2:44" ht="12" customHeight="1" x14ac:dyDescent="0.25">
      <c r="B9" s="115" t="s">
        <v>38</v>
      </c>
      <c r="C9" s="116" t="s">
        <v>56</v>
      </c>
      <c r="D9" s="116" t="s">
        <v>25</v>
      </c>
      <c r="E9" s="116" t="s">
        <v>25</v>
      </c>
      <c r="F9" s="116" t="s">
        <v>25</v>
      </c>
      <c r="G9" s="116" t="s">
        <v>33</v>
      </c>
      <c r="H9" s="116" t="s">
        <v>80</v>
      </c>
      <c r="I9" s="116" t="s">
        <v>25</v>
      </c>
      <c r="J9" s="116">
        <v>54.63</v>
      </c>
      <c r="K9" s="116">
        <v>0</v>
      </c>
      <c r="L9" s="116">
        <v>0</v>
      </c>
      <c r="M9" s="116">
        <v>0</v>
      </c>
      <c r="N9" s="116">
        <v>0</v>
      </c>
      <c r="O9" s="116">
        <v>0</v>
      </c>
      <c r="P9" s="116">
        <v>0</v>
      </c>
      <c r="Q9" s="116">
        <v>0</v>
      </c>
      <c r="R9" s="116">
        <v>0</v>
      </c>
      <c r="S9" s="116">
        <v>0</v>
      </c>
      <c r="T9" s="116">
        <v>0</v>
      </c>
      <c r="U9" s="116">
        <v>0</v>
      </c>
      <c r="V9" s="116">
        <v>0</v>
      </c>
      <c r="W9" s="116">
        <v>0</v>
      </c>
      <c r="X9" s="116">
        <v>33.1798581294697</v>
      </c>
      <c r="Y9" s="116">
        <v>0</v>
      </c>
      <c r="Z9" s="116">
        <v>0</v>
      </c>
      <c r="AA9" s="116">
        <v>21.4536469893965</v>
      </c>
      <c r="AB9" s="116">
        <v>0</v>
      </c>
      <c r="AC9" s="116">
        <v>0</v>
      </c>
      <c r="AD9" s="116">
        <v>0</v>
      </c>
      <c r="AE9" s="116">
        <v>0</v>
      </c>
      <c r="AF9" s="116">
        <v>0</v>
      </c>
      <c r="AG9" s="116">
        <v>0</v>
      </c>
      <c r="AH9" s="116">
        <v>0</v>
      </c>
      <c r="AI9" s="116">
        <v>0</v>
      </c>
      <c r="AJ9" s="116">
        <v>0</v>
      </c>
      <c r="AK9" s="116">
        <v>0</v>
      </c>
      <c r="AL9" s="116">
        <v>0</v>
      </c>
      <c r="AM9" s="116">
        <v>0</v>
      </c>
      <c r="AN9" s="116">
        <v>0</v>
      </c>
      <c r="AO9" s="116">
        <v>0</v>
      </c>
      <c r="AP9" s="116">
        <v>0</v>
      </c>
      <c r="AQ9" s="116">
        <v>0</v>
      </c>
      <c r="AR9" s="117">
        <v>0</v>
      </c>
    </row>
    <row r="10" spans="2:44" ht="12" customHeight="1" x14ac:dyDescent="0.25">
      <c r="B10" s="115" t="s">
        <v>38</v>
      </c>
      <c r="C10" s="116" t="s">
        <v>56</v>
      </c>
      <c r="D10" s="116" t="s">
        <v>25</v>
      </c>
      <c r="E10" s="116" t="s">
        <v>25</v>
      </c>
      <c r="F10" s="116" t="s">
        <v>25</v>
      </c>
      <c r="G10" s="116" t="s">
        <v>34</v>
      </c>
      <c r="H10" s="116" t="s">
        <v>75</v>
      </c>
      <c r="I10" s="116" t="s">
        <v>25</v>
      </c>
      <c r="J10" s="116">
        <v>93.6</v>
      </c>
      <c r="K10" s="116">
        <v>211.36</v>
      </c>
      <c r="L10" s="116">
        <v>0</v>
      </c>
      <c r="M10" s="116">
        <v>0.160340483793283</v>
      </c>
      <c r="N10" s="116">
        <v>0.100626948373022</v>
      </c>
      <c r="O10" s="116">
        <v>0</v>
      </c>
      <c r="P10" s="116">
        <v>0</v>
      </c>
      <c r="Q10" s="116">
        <v>74.562103043533298</v>
      </c>
      <c r="R10" s="116">
        <v>14.444276612121699</v>
      </c>
      <c r="S10" s="116">
        <v>0</v>
      </c>
      <c r="T10" s="116">
        <v>0</v>
      </c>
      <c r="U10" s="116">
        <v>0</v>
      </c>
      <c r="V10" s="116">
        <v>0</v>
      </c>
      <c r="W10" s="116">
        <v>0</v>
      </c>
      <c r="X10" s="116">
        <v>0</v>
      </c>
      <c r="Y10" s="116">
        <v>0</v>
      </c>
      <c r="Z10" s="116">
        <v>0</v>
      </c>
      <c r="AA10" s="116">
        <v>0</v>
      </c>
      <c r="AB10" s="116">
        <v>0</v>
      </c>
      <c r="AC10" s="116">
        <v>0</v>
      </c>
      <c r="AD10" s="116">
        <v>2.4622985489405602</v>
      </c>
      <c r="AE10" s="116">
        <v>8.4477489800027505E-2</v>
      </c>
      <c r="AF10" s="116">
        <v>1.6796001743990701</v>
      </c>
      <c r="AG10" s="116">
        <v>0.10352997779513699</v>
      </c>
      <c r="AH10" s="116">
        <v>0</v>
      </c>
      <c r="AI10" s="116">
        <v>-23.339897791030999</v>
      </c>
      <c r="AJ10" s="116">
        <v>2.43547109922743</v>
      </c>
      <c r="AK10" s="116">
        <v>20.997516599996601</v>
      </c>
      <c r="AL10" s="116">
        <v>0</v>
      </c>
      <c r="AM10" s="116">
        <v>189.13521416328399</v>
      </c>
      <c r="AN10" s="116">
        <v>9.9962037891222799</v>
      </c>
      <c r="AO10" s="116">
        <v>6.8830158215822399</v>
      </c>
      <c r="AP10" s="116">
        <v>0</v>
      </c>
      <c r="AQ10" s="116">
        <v>0</v>
      </c>
      <c r="AR10" s="117">
        <v>5.2487753894988698</v>
      </c>
    </row>
    <row r="11" spans="2:44" ht="12" customHeight="1" x14ac:dyDescent="0.25">
      <c r="B11" s="115" t="s">
        <v>38</v>
      </c>
      <c r="C11" s="116" t="s">
        <v>56</v>
      </c>
      <c r="D11" s="116" t="s">
        <v>25</v>
      </c>
      <c r="E11" s="116" t="s">
        <v>25</v>
      </c>
      <c r="F11" s="116" t="s">
        <v>25</v>
      </c>
      <c r="G11" s="116" t="s">
        <v>34</v>
      </c>
      <c r="H11" s="116" t="s">
        <v>80</v>
      </c>
      <c r="I11" s="116" t="s">
        <v>25</v>
      </c>
      <c r="J11" s="116">
        <v>18.739999999999998</v>
      </c>
      <c r="K11" s="116">
        <v>0</v>
      </c>
      <c r="L11" s="116">
        <v>0</v>
      </c>
      <c r="M11" s="116">
        <v>0</v>
      </c>
      <c r="N11" s="116">
        <v>0</v>
      </c>
      <c r="O11" s="116">
        <v>0</v>
      </c>
      <c r="P11" s="116">
        <v>0</v>
      </c>
      <c r="Q11" s="116">
        <v>0</v>
      </c>
      <c r="R11" s="116">
        <v>0</v>
      </c>
      <c r="S11" s="116">
        <v>0</v>
      </c>
      <c r="T11" s="116">
        <v>0</v>
      </c>
      <c r="U11" s="116">
        <v>0</v>
      </c>
      <c r="V11" s="116">
        <v>0</v>
      </c>
      <c r="W11" s="116">
        <v>0</v>
      </c>
      <c r="X11" s="116">
        <v>13.038428704335301</v>
      </c>
      <c r="Y11" s="116">
        <v>0</v>
      </c>
      <c r="Z11" s="116">
        <v>0</v>
      </c>
      <c r="AA11" s="116">
        <v>5.7040642569725302</v>
      </c>
      <c r="AB11" s="116">
        <v>0</v>
      </c>
      <c r="AC11" s="116">
        <v>0</v>
      </c>
      <c r="AD11" s="116">
        <v>0</v>
      </c>
      <c r="AE11" s="116">
        <v>0</v>
      </c>
      <c r="AF11" s="116">
        <v>0</v>
      </c>
      <c r="AG11" s="116">
        <v>0</v>
      </c>
      <c r="AH11" s="116">
        <v>0</v>
      </c>
      <c r="AI11" s="116">
        <v>0</v>
      </c>
      <c r="AJ11" s="116">
        <v>0</v>
      </c>
      <c r="AK11" s="116">
        <v>0</v>
      </c>
      <c r="AL11" s="116">
        <v>0</v>
      </c>
      <c r="AM11" s="116">
        <v>0</v>
      </c>
      <c r="AN11" s="116">
        <v>0</v>
      </c>
      <c r="AO11" s="116">
        <v>0</v>
      </c>
      <c r="AP11" s="116">
        <v>0</v>
      </c>
      <c r="AQ11" s="116">
        <v>0</v>
      </c>
      <c r="AR11" s="117">
        <v>0</v>
      </c>
    </row>
    <row r="12" spans="2:44" ht="12" customHeight="1" x14ac:dyDescent="0.25">
      <c r="B12" s="115" t="s">
        <v>38</v>
      </c>
      <c r="C12" s="116" t="s">
        <v>23</v>
      </c>
      <c r="D12" s="116" t="s">
        <v>25</v>
      </c>
      <c r="E12" s="116" t="s">
        <v>25</v>
      </c>
      <c r="F12" s="116" t="s">
        <v>25</v>
      </c>
      <c r="G12" s="116" t="s">
        <v>25</v>
      </c>
      <c r="H12" s="116" t="s">
        <v>75</v>
      </c>
      <c r="I12" s="116" t="s">
        <v>25</v>
      </c>
      <c r="J12" s="116">
        <v>0</v>
      </c>
      <c r="K12" s="116">
        <v>222.7</v>
      </c>
      <c r="L12" s="116">
        <v>0</v>
      </c>
      <c r="M12" s="116">
        <v>0</v>
      </c>
      <c r="N12" s="116">
        <v>0</v>
      </c>
      <c r="O12" s="116">
        <v>0</v>
      </c>
      <c r="P12" s="116">
        <v>0</v>
      </c>
      <c r="Q12" s="116">
        <v>0</v>
      </c>
      <c r="R12" s="116">
        <v>0</v>
      </c>
      <c r="S12" s="116">
        <v>0</v>
      </c>
      <c r="T12" s="116">
        <v>0</v>
      </c>
      <c r="U12" s="116">
        <v>0</v>
      </c>
      <c r="V12" s="116">
        <v>0</v>
      </c>
      <c r="W12" s="116">
        <v>0</v>
      </c>
      <c r="X12" s="116">
        <v>0</v>
      </c>
      <c r="Y12" s="116">
        <v>0</v>
      </c>
      <c r="Z12" s="116">
        <v>0</v>
      </c>
      <c r="AA12" s="116">
        <v>0</v>
      </c>
      <c r="AB12" s="116">
        <v>0</v>
      </c>
      <c r="AC12" s="116">
        <v>0</v>
      </c>
      <c r="AD12" s="116">
        <v>0</v>
      </c>
      <c r="AE12" s="116">
        <v>0</v>
      </c>
      <c r="AF12" s="116">
        <v>0</v>
      </c>
      <c r="AG12" s="116">
        <v>0</v>
      </c>
      <c r="AH12" s="116">
        <v>0</v>
      </c>
      <c r="AI12" s="116">
        <v>-23.339897791030999</v>
      </c>
      <c r="AJ12" s="116">
        <v>2.43547109922743</v>
      </c>
      <c r="AK12" s="116">
        <v>20.997516599996601</v>
      </c>
      <c r="AL12" s="116">
        <v>0</v>
      </c>
      <c r="AM12" s="116">
        <v>200.48332701308101</v>
      </c>
      <c r="AN12" s="116">
        <v>9.9962037891222799</v>
      </c>
      <c r="AO12" s="116">
        <v>6.8830158215822399</v>
      </c>
      <c r="AP12" s="116">
        <v>0</v>
      </c>
      <c r="AQ12" s="116">
        <v>0</v>
      </c>
      <c r="AR12" s="117">
        <v>5.2487753894988698</v>
      </c>
    </row>
    <row r="13" spans="2:44" ht="12" customHeight="1" x14ac:dyDescent="0.25">
      <c r="B13" s="115" t="s">
        <v>38</v>
      </c>
      <c r="C13" s="116" t="s">
        <v>84</v>
      </c>
      <c r="D13" s="116" t="s">
        <v>25</v>
      </c>
      <c r="E13" s="116" t="s">
        <v>25</v>
      </c>
      <c r="F13" s="116" t="s">
        <v>25</v>
      </c>
      <c r="G13" s="116" t="s">
        <v>25</v>
      </c>
      <c r="H13" s="116" t="s">
        <v>80</v>
      </c>
      <c r="I13" s="116" t="s">
        <v>25</v>
      </c>
      <c r="J13" s="116">
        <v>7.38</v>
      </c>
      <c r="K13" s="116">
        <v>0</v>
      </c>
      <c r="L13" s="116">
        <v>0</v>
      </c>
      <c r="M13" s="116">
        <v>2.7576714940083302E-2</v>
      </c>
      <c r="N13" s="116">
        <v>7.0307050558690104E-2</v>
      </c>
      <c r="O13" s="116">
        <v>0</v>
      </c>
      <c r="P13" s="116">
        <v>0</v>
      </c>
      <c r="Q13" s="116">
        <v>0</v>
      </c>
      <c r="R13" s="116">
        <v>0</v>
      </c>
      <c r="S13" s="116">
        <v>0</v>
      </c>
      <c r="T13" s="116">
        <v>0</v>
      </c>
      <c r="U13" s="116">
        <v>0</v>
      </c>
      <c r="V13" s="116">
        <v>0</v>
      </c>
      <c r="W13" s="116">
        <v>0</v>
      </c>
      <c r="X13" s="116">
        <v>0</v>
      </c>
      <c r="Y13" s="116">
        <v>0</v>
      </c>
      <c r="Z13" s="116">
        <v>0</v>
      </c>
      <c r="AA13" s="116">
        <v>7.2791410461509001</v>
      </c>
      <c r="AB13" s="116">
        <v>0</v>
      </c>
      <c r="AC13" s="116">
        <v>0</v>
      </c>
      <c r="AD13" s="116">
        <v>0</v>
      </c>
      <c r="AE13" s="116">
        <v>0</v>
      </c>
      <c r="AF13" s="116">
        <v>0</v>
      </c>
      <c r="AG13" s="116">
        <v>0</v>
      </c>
      <c r="AH13" s="116">
        <v>0</v>
      </c>
      <c r="AI13" s="116">
        <v>0</v>
      </c>
      <c r="AJ13" s="116">
        <v>0</v>
      </c>
      <c r="AK13" s="116">
        <v>0</v>
      </c>
      <c r="AL13" s="116">
        <v>0</v>
      </c>
      <c r="AM13" s="116">
        <v>0</v>
      </c>
      <c r="AN13" s="116">
        <v>0</v>
      </c>
      <c r="AO13" s="116">
        <v>0</v>
      </c>
      <c r="AP13" s="116">
        <v>0</v>
      </c>
      <c r="AQ13" s="116">
        <v>0</v>
      </c>
      <c r="AR13" s="117">
        <v>0</v>
      </c>
    </row>
    <row r="14" spans="2:44" ht="12" customHeight="1" x14ac:dyDescent="0.25">
      <c r="B14" s="115" t="s">
        <v>38</v>
      </c>
      <c r="C14" s="116" t="s">
        <v>39</v>
      </c>
      <c r="D14" s="116" t="s">
        <v>25</v>
      </c>
      <c r="E14" s="116" t="s">
        <v>25</v>
      </c>
      <c r="F14" s="116" t="s">
        <v>83</v>
      </c>
      <c r="G14" s="116" t="s">
        <v>33</v>
      </c>
      <c r="H14" s="116" t="s">
        <v>75</v>
      </c>
      <c r="I14" s="116" t="s">
        <v>25</v>
      </c>
      <c r="J14" s="116">
        <v>1330.21</v>
      </c>
      <c r="K14" s="116">
        <v>0</v>
      </c>
      <c r="L14" s="116">
        <v>0</v>
      </c>
      <c r="M14" s="116">
        <v>0.160340483793283</v>
      </c>
      <c r="N14" s="116">
        <v>11.781961927698701</v>
      </c>
      <c r="O14" s="116">
        <v>0</v>
      </c>
      <c r="P14" s="116">
        <v>0</v>
      </c>
      <c r="Q14" s="116">
        <v>0</v>
      </c>
      <c r="R14" s="116">
        <v>0</v>
      </c>
      <c r="S14" s="116">
        <v>0</v>
      </c>
      <c r="T14" s="116">
        <v>0</v>
      </c>
      <c r="U14" s="116">
        <v>0</v>
      </c>
      <c r="V14" s="116">
        <v>0</v>
      </c>
      <c r="W14" s="116">
        <v>0</v>
      </c>
      <c r="X14" s="116">
        <v>797.97703363857795</v>
      </c>
      <c r="Y14" s="116">
        <v>0</v>
      </c>
      <c r="Z14" s="116">
        <v>0</v>
      </c>
      <c r="AA14" s="116">
        <v>515.96009696613703</v>
      </c>
      <c r="AB14" s="116">
        <v>0</v>
      </c>
      <c r="AC14" s="116">
        <v>0</v>
      </c>
      <c r="AD14" s="116">
        <v>2.4622985489405602</v>
      </c>
      <c r="AE14" s="116">
        <v>8.4477489800027505E-2</v>
      </c>
      <c r="AF14" s="116">
        <v>1.6796001743990701</v>
      </c>
      <c r="AG14" s="116">
        <v>0.10352997779513699</v>
      </c>
      <c r="AH14" s="116">
        <v>0</v>
      </c>
      <c r="AI14" s="116">
        <v>0</v>
      </c>
      <c r="AJ14" s="116">
        <v>0</v>
      </c>
      <c r="AK14" s="116">
        <v>0</v>
      </c>
      <c r="AL14" s="116">
        <v>0</v>
      </c>
      <c r="AM14" s="116">
        <v>0</v>
      </c>
      <c r="AN14" s="116">
        <v>0</v>
      </c>
      <c r="AO14" s="116">
        <v>0</v>
      </c>
      <c r="AP14" s="116">
        <v>0</v>
      </c>
      <c r="AQ14" s="116">
        <v>0</v>
      </c>
      <c r="AR14" s="117">
        <v>0</v>
      </c>
    </row>
    <row r="15" spans="2:44" ht="12" customHeight="1" x14ac:dyDescent="0.25">
      <c r="B15" s="115" t="s">
        <v>38</v>
      </c>
      <c r="C15" s="116" t="s">
        <v>39</v>
      </c>
      <c r="D15" s="116" t="s">
        <v>25</v>
      </c>
      <c r="E15" s="116" t="s">
        <v>25</v>
      </c>
      <c r="F15" s="116" t="s">
        <v>83</v>
      </c>
      <c r="G15" s="116" t="s">
        <v>25</v>
      </c>
      <c r="H15" s="116" t="s">
        <v>80</v>
      </c>
      <c r="I15" s="116" t="s">
        <v>25</v>
      </c>
      <c r="J15" s="116">
        <v>18.739999999999998</v>
      </c>
      <c r="K15" s="116">
        <v>0</v>
      </c>
      <c r="L15" s="116">
        <v>0</v>
      </c>
      <c r="M15" s="116">
        <v>0</v>
      </c>
      <c r="N15" s="116">
        <v>0</v>
      </c>
      <c r="O15" s="116">
        <v>0</v>
      </c>
      <c r="P15" s="116">
        <v>0</v>
      </c>
      <c r="Q15" s="116">
        <v>0</v>
      </c>
      <c r="R15" s="116">
        <v>0</v>
      </c>
      <c r="S15" s="116">
        <v>0</v>
      </c>
      <c r="T15" s="116">
        <v>0</v>
      </c>
      <c r="U15" s="116">
        <v>0</v>
      </c>
      <c r="V15" s="116">
        <v>0</v>
      </c>
      <c r="W15" s="116">
        <v>0</v>
      </c>
      <c r="X15" s="116">
        <v>13.038428704335301</v>
      </c>
      <c r="Y15" s="116">
        <v>0</v>
      </c>
      <c r="Z15" s="116">
        <v>0</v>
      </c>
      <c r="AA15" s="116">
        <v>5.7040642569725302</v>
      </c>
      <c r="AB15" s="116">
        <v>0</v>
      </c>
      <c r="AC15" s="116">
        <v>0</v>
      </c>
      <c r="AD15" s="116">
        <v>0</v>
      </c>
      <c r="AE15" s="116">
        <v>0</v>
      </c>
      <c r="AF15" s="116">
        <v>0</v>
      </c>
      <c r="AG15" s="116">
        <v>0</v>
      </c>
      <c r="AH15" s="116">
        <v>0</v>
      </c>
      <c r="AI15" s="116">
        <v>0</v>
      </c>
      <c r="AJ15" s="116">
        <v>0</v>
      </c>
      <c r="AK15" s="116">
        <v>0</v>
      </c>
      <c r="AL15" s="116">
        <v>0</v>
      </c>
      <c r="AM15" s="116">
        <v>0</v>
      </c>
      <c r="AN15" s="116">
        <v>0</v>
      </c>
      <c r="AO15" s="116">
        <v>0</v>
      </c>
      <c r="AP15" s="116">
        <v>0</v>
      </c>
      <c r="AQ15" s="116">
        <v>0</v>
      </c>
      <c r="AR15" s="117">
        <v>0</v>
      </c>
    </row>
    <row r="16" spans="2:44" ht="12" customHeight="1" x14ac:dyDescent="0.25">
      <c r="B16" s="115" t="s">
        <v>38</v>
      </c>
      <c r="C16" s="116" t="s">
        <v>39</v>
      </c>
      <c r="D16" s="116" t="s">
        <v>25</v>
      </c>
      <c r="E16" s="116" t="s">
        <v>25</v>
      </c>
      <c r="F16" s="116" t="s">
        <v>83</v>
      </c>
      <c r="G16" s="116" t="s">
        <v>34</v>
      </c>
      <c r="H16" s="116" t="s">
        <v>75</v>
      </c>
      <c r="I16" s="116" t="s">
        <v>25</v>
      </c>
      <c r="J16" s="116">
        <v>4.58</v>
      </c>
      <c r="K16" s="116">
        <v>0</v>
      </c>
      <c r="L16" s="116">
        <v>0</v>
      </c>
      <c r="M16" s="116">
        <v>0.160340483793283</v>
      </c>
      <c r="N16" s="116">
        <v>9.0257176904188496E-2</v>
      </c>
      <c r="O16" s="116">
        <v>0</v>
      </c>
      <c r="P16" s="116">
        <v>0</v>
      </c>
      <c r="Q16" s="116">
        <v>0</v>
      </c>
      <c r="R16" s="116">
        <v>0</v>
      </c>
      <c r="S16" s="116">
        <v>0</v>
      </c>
      <c r="T16" s="116">
        <v>0</v>
      </c>
      <c r="U16" s="116">
        <v>0</v>
      </c>
      <c r="V16" s="116">
        <v>0</v>
      </c>
      <c r="W16" s="116">
        <v>0</v>
      </c>
      <c r="X16" s="116">
        <v>0</v>
      </c>
      <c r="Y16" s="116">
        <v>0</v>
      </c>
      <c r="Z16" s="116">
        <v>0</v>
      </c>
      <c r="AA16" s="116">
        <v>0</v>
      </c>
      <c r="AB16" s="116">
        <v>0</v>
      </c>
      <c r="AC16" s="116">
        <v>0</v>
      </c>
      <c r="AD16" s="116">
        <v>2.4622985489405602</v>
      </c>
      <c r="AE16" s="116">
        <v>8.4477489800027505E-2</v>
      </c>
      <c r="AF16" s="116">
        <v>1.6796001743990701</v>
      </c>
      <c r="AG16" s="116">
        <v>0.10352997779513699</v>
      </c>
      <c r="AH16" s="116">
        <v>0</v>
      </c>
      <c r="AI16" s="116">
        <v>0</v>
      </c>
      <c r="AJ16" s="116">
        <v>0</v>
      </c>
      <c r="AK16" s="116">
        <v>0</v>
      </c>
      <c r="AL16" s="116">
        <v>0</v>
      </c>
      <c r="AM16" s="116">
        <v>0</v>
      </c>
      <c r="AN16" s="116">
        <v>0</v>
      </c>
      <c r="AO16" s="116">
        <v>0</v>
      </c>
      <c r="AP16" s="116">
        <v>0</v>
      </c>
      <c r="AQ16" s="116">
        <v>0</v>
      </c>
      <c r="AR16" s="117">
        <v>0</v>
      </c>
    </row>
    <row r="17" spans="2:44" ht="12" customHeight="1" x14ac:dyDescent="0.25">
      <c r="B17" s="115" t="s">
        <v>38</v>
      </c>
      <c r="C17" s="116" t="s">
        <v>39</v>
      </c>
      <c r="D17" s="116" t="s">
        <v>25</v>
      </c>
      <c r="E17" s="116" t="s">
        <v>25</v>
      </c>
      <c r="F17" s="116" t="s">
        <v>25</v>
      </c>
      <c r="G17" s="116" t="s">
        <v>33</v>
      </c>
      <c r="H17" s="116" t="s">
        <v>75</v>
      </c>
      <c r="I17" s="116" t="s">
        <v>25</v>
      </c>
      <c r="J17" s="116">
        <v>1419.23</v>
      </c>
      <c r="K17" s="116">
        <v>347.53</v>
      </c>
      <c r="L17" s="116">
        <v>0</v>
      </c>
      <c r="M17" s="116">
        <v>0.160340483793283</v>
      </c>
      <c r="N17" s="116">
        <v>11.7923316991675</v>
      </c>
      <c r="O17" s="116">
        <v>0</v>
      </c>
      <c r="P17" s="116">
        <v>0</v>
      </c>
      <c r="Q17" s="116">
        <v>74.562103043533298</v>
      </c>
      <c r="R17" s="116">
        <v>14.444276612121699</v>
      </c>
      <c r="S17" s="116">
        <v>0</v>
      </c>
      <c r="T17" s="116">
        <v>0</v>
      </c>
      <c r="U17" s="116">
        <v>0</v>
      </c>
      <c r="V17" s="116">
        <v>0</v>
      </c>
      <c r="W17" s="116">
        <v>0</v>
      </c>
      <c r="X17" s="116">
        <v>797.97703363857795</v>
      </c>
      <c r="Y17" s="116">
        <v>0</v>
      </c>
      <c r="Z17" s="116">
        <v>0</v>
      </c>
      <c r="AA17" s="116">
        <v>515.96009696613703</v>
      </c>
      <c r="AB17" s="116">
        <v>0</v>
      </c>
      <c r="AC17" s="116">
        <v>0</v>
      </c>
      <c r="AD17" s="116">
        <v>2.4622985489405602</v>
      </c>
      <c r="AE17" s="116">
        <v>8.4477489800027505E-2</v>
      </c>
      <c r="AF17" s="116">
        <v>1.6796001743990701</v>
      </c>
      <c r="AG17" s="116">
        <v>0.10352997779513699</v>
      </c>
      <c r="AH17" s="116">
        <v>0</v>
      </c>
      <c r="AI17" s="116">
        <v>-23.339897791030999</v>
      </c>
      <c r="AJ17" s="116">
        <v>2.43547109922743</v>
      </c>
      <c r="AK17" s="116">
        <v>20.997516599996601</v>
      </c>
      <c r="AL17" s="116">
        <v>0</v>
      </c>
      <c r="AM17" s="116">
        <v>325.31256836084799</v>
      </c>
      <c r="AN17" s="116">
        <v>9.9962037891222799</v>
      </c>
      <c r="AO17" s="116">
        <v>6.8830158215822399</v>
      </c>
      <c r="AP17" s="116">
        <v>0</v>
      </c>
      <c r="AQ17" s="116">
        <v>0</v>
      </c>
      <c r="AR17" s="117">
        <v>5.2487753894988698</v>
      </c>
    </row>
    <row r="18" spans="2:44" ht="12" customHeight="1" x14ac:dyDescent="0.25">
      <c r="B18" s="115" t="s">
        <v>38</v>
      </c>
      <c r="C18" s="116" t="s">
        <v>39</v>
      </c>
      <c r="D18" s="116" t="s">
        <v>25</v>
      </c>
      <c r="E18" s="116" t="s">
        <v>25</v>
      </c>
      <c r="F18" s="116" t="s">
        <v>25</v>
      </c>
      <c r="G18" s="116" t="s">
        <v>25</v>
      </c>
      <c r="H18" s="116" t="s">
        <v>80</v>
      </c>
      <c r="I18" s="116" t="s">
        <v>25</v>
      </c>
      <c r="J18" s="116">
        <v>18.739999999999998</v>
      </c>
      <c r="K18" s="116">
        <v>0</v>
      </c>
      <c r="L18" s="116">
        <v>0</v>
      </c>
      <c r="M18" s="116">
        <v>0</v>
      </c>
      <c r="N18" s="116">
        <v>0</v>
      </c>
      <c r="O18" s="116">
        <v>0</v>
      </c>
      <c r="P18" s="116">
        <v>0</v>
      </c>
      <c r="Q18" s="116">
        <v>0</v>
      </c>
      <c r="R18" s="116">
        <v>0</v>
      </c>
      <c r="S18" s="116">
        <v>0</v>
      </c>
      <c r="T18" s="116">
        <v>0</v>
      </c>
      <c r="U18" s="116">
        <v>0</v>
      </c>
      <c r="V18" s="116">
        <v>0</v>
      </c>
      <c r="W18" s="116">
        <v>0</v>
      </c>
      <c r="X18" s="116">
        <v>13.038428704335301</v>
      </c>
      <c r="Y18" s="116">
        <v>0</v>
      </c>
      <c r="Z18" s="116">
        <v>0</v>
      </c>
      <c r="AA18" s="116">
        <v>5.7040642569725302</v>
      </c>
      <c r="AB18" s="116">
        <v>0</v>
      </c>
      <c r="AC18" s="116">
        <v>0</v>
      </c>
      <c r="AD18" s="116">
        <v>0</v>
      </c>
      <c r="AE18" s="116">
        <v>0</v>
      </c>
      <c r="AF18" s="116">
        <v>0</v>
      </c>
      <c r="AG18" s="116">
        <v>0</v>
      </c>
      <c r="AH18" s="116">
        <v>0</v>
      </c>
      <c r="AI18" s="116">
        <v>0</v>
      </c>
      <c r="AJ18" s="116">
        <v>0</v>
      </c>
      <c r="AK18" s="116">
        <v>0</v>
      </c>
      <c r="AL18" s="116">
        <v>0</v>
      </c>
      <c r="AM18" s="116">
        <v>0</v>
      </c>
      <c r="AN18" s="116">
        <v>0</v>
      </c>
      <c r="AO18" s="116">
        <v>0</v>
      </c>
      <c r="AP18" s="116">
        <v>0</v>
      </c>
      <c r="AQ18" s="116">
        <v>0</v>
      </c>
      <c r="AR18" s="117">
        <v>0</v>
      </c>
    </row>
    <row r="19" spans="2:44" ht="12" customHeight="1" x14ac:dyDescent="0.25">
      <c r="B19" s="115" t="s">
        <v>38</v>
      </c>
      <c r="C19" s="116" t="s">
        <v>39</v>
      </c>
      <c r="D19" s="116" t="s">
        <v>25</v>
      </c>
      <c r="E19" s="116" t="s">
        <v>25</v>
      </c>
      <c r="F19" s="116" t="s">
        <v>25</v>
      </c>
      <c r="G19" s="116" t="s">
        <v>34</v>
      </c>
      <c r="H19" s="116" t="s">
        <v>75</v>
      </c>
      <c r="I19" s="116" t="s">
        <v>25</v>
      </c>
      <c r="J19" s="116">
        <v>93.6</v>
      </c>
      <c r="K19" s="116">
        <v>211.36</v>
      </c>
      <c r="L19" s="116">
        <v>0</v>
      </c>
      <c r="M19" s="116">
        <v>0.160340483793283</v>
      </c>
      <c r="N19" s="116">
        <v>0.100626948373022</v>
      </c>
      <c r="O19" s="116">
        <v>0</v>
      </c>
      <c r="P19" s="116">
        <v>0</v>
      </c>
      <c r="Q19" s="116">
        <v>74.562103043533298</v>
      </c>
      <c r="R19" s="116">
        <v>14.444276612121699</v>
      </c>
      <c r="S19" s="116">
        <v>0</v>
      </c>
      <c r="T19" s="116">
        <v>0</v>
      </c>
      <c r="U19" s="116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6">
        <v>0</v>
      </c>
      <c r="AB19" s="116">
        <v>0</v>
      </c>
      <c r="AC19" s="116">
        <v>0</v>
      </c>
      <c r="AD19" s="116">
        <v>2.4622985489405602</v>
      </c>
      <c r="AE19" s="116">
        <v>8.4477489800027505E-2</v>
      </c>
      <c r="AF19" s="116">
        <v>1.6796001743990701</v>
      </c>
      <c r="AG19" s="116">
        <v>0.10352997779513699</v>
      </c>
      <c r="AH19" s="116">
        <v>0</v>
      </c>
      <c r="AI19" s="116">
        <v>-23.339897791030999</v>
      </c>
      <c r="AJ19" s="116">
        <v>2.43547109922743</v>
      </c>
      <c r="AK19" s="116">
        <v>20.997516599996601</v>
      </c>
      <c r="AL19" s="116">
        <v>0</v>
      </c>
      <c r="AM19" s="116">
        <v>189.13521416328399</v>
      </c>
      <c r="AN19" s="116">
        <v>9.9962037891222799</v>
      </c>
      <c r="AO19" s="116">
        <v>6.8830158215822399</v>
      </c>
      <c r="AP19" s="116">
        <v>0</v>
      </c>
      <c r="AQ19" s="116">
        <v>0</v>
      </c>
      <c r="AR19" s="117">
        <v>5.2487753894988698</v>
      </c>
    </row>
    <row r="20" spans="2:44" ht="12" customHeight="1" x14ac:dyDescent="0.25">
      <c r="B20" s="115" t="s">
        <v>85</v>
      </c>
      <c r="C20" s="116" t="s">
        <v>84</v>
      </c>
      <c r="D20" s="116" t="s">
        <v>25</v>
      </c>
      <c r="E20" s="116" t="s">
        <v>25</v>
      </c>
      <c r="F20" s="116" t="s">
        <v>86</v>
      </c>
      <c r="G20" s="116" t="s">
        <v>25</v>
      </c>
      <c r="H20" s="116" t="s">
        <v>80</v>
      </c>
      <c r="I20" s="116" t="s">
        <v>25</v>
      </c>
      <c r="J20" s="116">
        <v>6.02</v>
      </c>
      <c r="K20" s="116">
        <v>0</v>
      </c>
      <c r="L20" s="116">
        <v>0</v>
      </c>
      <c r="M20" s="116">
        <v>2.25720518583645E-2</v>
      </c>
      <c r="N20" s="116">
        <v>5.7344836222648403E-2</v>
      </c>
      <c r="O20" s="116">
        <v>0</v>
      </c>
      <c r="P20" s="116">
        <v>0</v>
      </c>
      <c r="Q20" s="116">
        <v>0</v>
      </c>
      <c r="R20" s="116">
        <v>0</v>
      </c>
      <c r="S20" s="116">
        <v>0</v>
      </c>
      <c r="T20" s="116">
        <v>0</v>
      </c>
      <c r="U20" s="116">
        <v>0</v>
      </c>
      <c r="V20" s="116">
        <v>0</v>
      </c>
      <c r="W20" s="116">
        <v>0</v>
      </c>
      <c r="X20" s="116">
        <v>0</v>
      </c>
      <c r="Y20" s="116">
        <v>0</v>
      </c>
      <c r="Z20" s="116">
        <v>0</v>
      </c>
      <c r="AA20" s="116">
        <v>5.9395877442934104</v>
      </c>
      <c r="AB20" s="116">
        <v>0</v>
      </c>
      <c r="AC20" s="116">
        <v>0</v>
      </c>
      <c r="AD20" s="116">
        <v>0</v>
      </c>
      <c r="AE20" s="116">
        <v>0</v>
      </c>
      <c r="AF20" s="116">
        <v>0</v>
      </c>
      <c r="AG20" s="116">
        <v>0</v>
      </c>
      <c r="AH20" s="116">
        <v>0</v>
      </c>
      <c r="AI20" s="116">
        <v>0</v>
      </c>
      <c r="AJ20" s="116">
        <v>0</v>
      </c>
      <c r="AK20" s="116">
        <v>0</v>
      </c>
      <c r="AL20" s="116">
        <v>0</v>
      </c>
      <c r="AM20" s="116">
        <v>0</v>
      </c>
      <c r="AN20" s="116">
        <v>0</v>
      </c>
      <c r="AO20" s="116">
        <v>0</v>
      </c>
      <c r="AP20" s="116">
        <v>0</v>
      </c>
      <c r="AQ20" s="116">
        <v>0</v>
      </c>
      <c r="AR20" s="117">
        <v>0</v>
      </c>
    </row>
    <row r="21" spans="2:44" ht="12" customHeight="1" x14ac:dyDescent="0.25">
      <c r="B21" s="115" t="s">
        <v>85</v>
      </c>
      <c r="C21" s="116" t="s">
        <v>84</v>
      </c>
      <c r="D21" s="116" t="s">
        <v>25</v>
      </c>
      <c r="E21" s="116" t="s">
        <v>25</v>
      </c>
      <c r="F21" s="116" t="s">
        <v>87</v>
      </c>
      <c r="G21" s="116" t="s">
        <v>25</v>
      </c>
      <c r="H21" s="116" t="s">
        <v>80</v>
      </c>
      <c r="I21" s="116" t="s">
        <v>25</v>
      </c>
      <c r="J21" s="116">
        <v>14.4</v>
      </c>
      <c r="K21" s="116">
        <v>0</v>
      </c>
      <c r="L21" s="116">
        <v>0</v>
      </c>
      <c r="M21" s="116">
        <v>2.25720518583645E-2</v>
      </c>
      <c r="N21" s="116">
        <v>5.7344836222648403E-2</v>
      </c>
      <c r="O21" s="116">
        <v>0</v>
      </c>
      <c r="P21" s="116">
        <v>0</v>
      </c>
      <c r="Q21" s="116">
        <v>0</v>
      </c>
      <c r="R21" s="116">
        <v>0</v>
      </c>
      <c r="S21" s="116">
        <v>0</v>
      </c>
      <c r="T21" s="116">
        <v>0</v>
      </c>
      <c r="U21" s="116">
        <v>0</v>
      </c>
      <c r="V21" s="116">
        <v>0</v>
      </c>
      <c r="W21" s="116">
        <v>0</v>
      </c>
      <c r="X21" s="116">
        <v>0</v>
      </c>
      <c r="Y21" s="116">
        <v>0</v>
      </c>
      <c r="Z21" s="116">
        <v>0</v>
      </c>
      <c r="AA21" s="116">
        <v>14.3187721598616</v>
      </c>
      <c r="AB21" s="116">
        <v>0</v>
      </c>
      <c r="AC21" s="116">
        <v>0</v>
      </c>
      <c r="AD21" s="116">
        <v>0</v>
      </c>
      <c r="AE21" s="116">
        <v>0</v>
      </c>
      <c r="AF21" s="116">
        <v>0</v>
      </c>
      <c r="AG21" s="116">
        <v>0</v>
      </c>
      <c r="AH21" s="116">
        <v>0</v>
      </c>
      <c r="AI21" s="116">
        <v>0</v>
      </c>
      <c r="AJ21" s="116">
        <v>0</v>
      </c>
      <c r="AK21" s="116">
        <v>0</v>
      </c>
      <c r="AL21" s="116">
        <v>0</v>
      </c>
      <c r="AM21" s="116">
        <v>0</v>
      </c>
      <c r="AN21" s="116">
        <v>0</v>
      </c>
      <c r="AO21" s="116">
        <v>0</v>
      </c>
      <c r="AP21" s="116">
        <v>0</v>
      </c>
      <c r="AQ21" s="116">
        <v>0</v>
      </c>
      <c r="AR21" s="117">
        <v>0</v>
      </c>
    </row>
    <row r="22" spans="2:44" ht="12" customHeight="1" x14ac:dyDescent="0.25">
      <c r="B22" s="115" t="s">
        <v>22</v>
      </c>
      <c r="C22" s="116" t="s">
        <v>32</v>
      </c>
      <c r="D22" s="116" t="s">
        <v>24</v>
      </c>
      <c r="E22" s="116" t="s">
        <v>24</v>
      </c>
      <c r="F22" s="116" t="s">
        <v>25</v>
      </c>
      <c r="G22" s="116" t="s">
        <v>33</v>
      </c>
      <c r="H22" s="116" t="s">
        <v>75</v>
      </c>
      <c r="I22" s="116" t="s">
        <v>25</v>
      </c>
      <c r="J22" s="116">
        <v>1040.29</v>
      </c>
      <c r="K22" s="116">
        <v>347.53</v>
      </c>
      <c r="L22" s="116">
        <v>0</v>
      </c>
      <c r="M22" s="116">
        <v>0.88251848096860297</v>
      </c>
      <c r="N22" s="116">
        <v>8.7206890617185895</v>
      </c>
      <c r="O22" s="116">
        <v>0</v>
      </c>
      <c r="P22" s="116">
        <v>0</v>
      </c>
      <c r="Q22" s="116">
        <v>88.764408385158703</v>
      </c>
      <c r="R22" s="116">
        <v>14.444276612121699</v>
      </c>
      <c r="S22" s="116">
        <v>0</v>
      </c>
      <c r="T22" s="116">
        <v>0</v>
      </c>
      <c r="U22" s="116">
        <v>0</v>
      </c>
      <c r="V22" s="116">
        <v>0</v>
      </c>
      <c r="W22" s="116">
        <v>0</v>
      </c>
      <c r="X22" s="116">
        <v>357.80186562677301</v>
      </c>
      <c r="Y22" s="116">
        <v>0</v>
      </c>
      <c r="Z22" s="116">
        <v>0</v>
      </c>
      <c r="AA22" s="116">
        <v>545.52799138330499</v>
      </c>
      <c r="AB22" s="116">
        <v>0</v>
      </c>
      <c r="AC22" s="116">
        <v>0</v>
      </c>
      <c r="AD22" s="116">
        <v>19.474109935747599</v>
      </c>
      <c r="AE22" s="116">
        <v>0.66812528650092995</v>
      </c>
      <c r="AF22" s="116">
        <v>3.77739973861142</v>
      </c>
      <c r="AG22" s="116">
        <v>0.232837622323846</v>
      </c>
      <c r="AH22" s="116">
        <v>0</v>
      </c>
      <c r="AI22" s="116">
        <v>-23.339897791030999</v>
      </c>
      <c r="AJ22" s="116">
        <v>2.43547109922743</v>
      </c>
      <c r="AK22" s="116">
        <v>20.997516599996601</v>
      </c>
      <c r="AL22" s="116">
        <v>0</v>
      </c>
      <c r="AM22" s="116">
        <v>325.31256836084799</v>
      </c>
      <c r="AN22" s="116">
        <v>9.9962037891222799</v>
      </c>
      <c r="AO22" s="116">
        <v>6.8830158215822399</v>
      </c>
      <c r="AP22" s="116">
        <v>0</v>
      </c>
      <c r="AQ22" s="116">
        <v>0</v>
      </c>
      <c r="AR22" s="117">
        <v>5.2487753894988698</v>
      </c>
    </row>
    <row r="23" spans="2:44" ht="12" customHeight="1" x14ac:dyDescent="0.25">
      <c r="B23" s="115" t="s">
        <v>22</v>
      </c>
      <c r="C23" s="116" t="s">
        <v>32</v>
      </c>
      <c r="D23" s="116" t="s">
        <v>24</v>
      </c>
      <c r="E23" s="116" t="s">
        <v>24</v>
      </c>
      <c r="F23" s="116" t="s">
        <v>25</v>
      </c>
      <c r="G23" s="116" t="s">
        <v>35</v>
      </c>
      <c r="H23" s="116" t="s">
        <v>75</v>
      </c>
      <c r="I23" s="116" t="s">
        <v>25</v>
      </c>
      <c r="J23" s="116">
        <v>675.66</v>
      </c>
      <c r="K23" s="116">
        <v>211.36</v>
      </c>
      <c r="L23" s="116">
        <v>0</v>
      </c>
      <c r="M23" s="116">
        <v>0.88251848096860297</v>
      </c>
      <c r="N23" s="116">
        <v>5.4141847681435404</v>
      </c>
      <c r="O23" s="116">
        <v>0</v>
      </c>
      <c r="P23" s="116">
        <v>0</v>
      </c>
      <c r="Q23" s="116">
        <v>88.764408385158703</v>
      </c>
      <c r="R23" s="116">
        <v>14.444276612121699</v>
      </c>
      <c r="S23" s="116">
        <v>0</v>
      </c>
      <c r="T23" s="116">
        <v>0</v>
      </c>
      <c r="U23" s="116">
        <v>0</v>
      </c>
      <c r="V23" s="116">
        <v>0</v>
      </c>
      <c r="W23" s="116">
        <v>0</v>
      </c>
      <c r="X23" s="116">
        <v>214.68107016330299</v>
      </c>
      <c r="Y23" s="116">
        <v>0</v>
      </c>
      <c r="Z23" s="116">
        <v>0</v>
      </c>
      <c r="AA23" s="116">
        <v>327.31677328163101</v>
      </c>
      <c r="AB23" s="116">
        <v>0</v>
      </c>
      <c r="AC23" s="116">
        <v>0</v>
      </c>
      <c r="AD23" s="116">
        <v>19.474109935747599</v>
      </c>
      <c r="AE23" s="116">
        <v>0.66812528650092995</v>
      </c>
      <c r="AF23" s="116">
        <v>3.77739973861142</v>
      </c>
      <c r="AG23" s="116">
        <v>0.232837622323846</v>
      </c>
      <c r="AH23" s="116">
        <v>0</v>
      </c>
      <c r="AI23" s="116">
        <v>-23.339897791030999</v>
      </c>
      <c r="AJ23" s="116">
        <v>2.43547109922743</v>
      </c>
      <c r="AK23" s="116">
        <v>20.997516599996601</v>
      </c>
      <c r="AL23" s="116">
        <v>0</v>
      </c>
      <c r="AM23" s="116">
        <v>189.13521416328399</v>
      </c>
      <c r="AN23" s="116">
        <v>9.9962037891222799</v>
      </c>
      <c r="AO23" s="116">
        <v>6.8830158215822399</v>
      </c>
      <c r="AP23" s="116">
        <v>0</v>
      </c>
      <c r="AQ23" s="116">
        <v>0</v>
      </c>
      <c r="AR23" s="117">
        <v>5.2487753894988698</v>
      </c>
    </row>
    <row r="24" spans="2:44" ht="12" customHeight="1" x14ac:dyDescent="0.25">
      <c r="B24" s="115" t="s">
        <v>22</v>
      </c>
      <c r="C24" s="116" t="s">
        <v>32</v>
      </c>
      <c r="D24" s="116" t="s">
        <v>24</v>
      </c>
      <c r="E24" s="116" t="s">
        <v>24</v>
      </c>
      <c r="F24" s="116" t="s">
        <v>25</v>
      </c>
      <c r="G24" s="116" t="s">
        <v>34</v>
      </c>
      <c r="H24" s="116" t="s">
        <v>75</v>
      </c>
      <c r="I24" s="116" t="s">
        <v>25</v>
      </c>
      <c r="J24" s="116">
        <v>311.02</v>
      </c>
      <c r="K24" s="116">
        <v>211.36</v>
      </c>
      <c r="L24" s="116">
        <v>0</v>
      </c>
      <c r="M24" s="116">
        <v>0.88251848096860297</v>
      </c>
      <c r="N24" s="116">
        <v>2.1076815115456302</v>
      </c>
      <c r="O24" s="116">
        <v>0</v>
      </c>
      <c r="P24" s="116">
        <v>0</v>
      </c>
      <c r="Q24" s="116">
        <v>88.764408385158703</v>
      </c>
      <c r="R24" s="116">
        <v>14.444276612121699</v>
      </c>
      <c r="S24" s="116">
        <v>0</v>
      </c>
      <c r="T24" s="116">
        <v>0</v>
      </c>
      <c r="U24" s="116">
        <v>0</v>
      </c>
      <c r="V24" s="116">
        <v>0</v>
      </c>
      <c r="W24" s="116">
        <v>0</v>
      </c>
      <c r="X24" s="116">
        <v>71.560397731734597</v>
      </c>
      <c r="Y24" s="116">
        <v>0</v>
      </c>
      <c r="Z24" s="116">
        <v>0</v>
      </c>
      <c r="AA24" s="116">
        <v>109.10555517995699</v>
      </c>
      <c r="AB24" s="116">
        <v>0</v>
      </c>
      <c r="AC24" s="116">
        <v>0</v>
      </c>
      <c r="AD24" s="116">
        <v>19.474109935747599</v>
      </c>
      <c r="AE24" s="116">
        <v>0.66812528650092995</v>
      </c>
      <c r="AF24" s="116">
        <v>3.77739973861142</v>
      </c>
      <c r="AG24" s="116">
        <v>0.232837622323846</v>
      </c>
      <c r="AH24" s="116">
        <v>0</v>
      </c>
      <c r="AI24" s="116">
        <v>-23.339897791030999</v>
      </c>
      <c r="AJ24" s="116">
        <v>2.43547109922743</v>
      </c>
      <c r="AK24" s="116">
        <v>20.997516599996601</v>
      </c>
      <c r="AL24" s="116">
        <v>0</v>
      </c>
      <c r="AM24" s="116">
        <v>189.13521416328399</v>
      </c>
      <c r="AN24" s="116">
        <v>9.9962037891222799</v>
      </c>
      <c r="AO24" s="116">
        <v>6.8830158215822399</v>
      </c>
      <c r="AP24" s="116">
        <v>0</v>
      </c>
      <c r="AQ24" s="116">
        <v>0</v>
      </c>
      <c r="AR24" s="117">
        <v>5.2487753894988698</v>
      </c>
    </row>
    <row r="25" spans="2:44" ht="12" customHeight="1" x14ac:dyDescent="0.25">
      <c r="B25" s="115" t="s">
        <v>22</v>
      </c>
      <c r="C25" s="116" t="s">
        <v>23</v>
      </c>
      <c r="D25" s="116" t="s">
        <v>24</v>
      </c>
      <c r="E25" s="116" t="s">
        <v>1333</v>
      </c>
      <c r="F25" s="116" t="s">
        <v>25</v>
      </c>
      <c r="G25" s="116" t="s">
        <v>25</v>
      </c>
      <c r="H25" s="116" t="s">
        <v>75</v>
      </c>
      <c r="I25" s="116" t="s">
        <v>25</v>
      </c>
      <c r="J25" s="116">
        <v>351.05</v>
      </c>
      <c r="K25" s="116">
        <v>222.7</v>
      </c>
      <c r="L25" s="116">
        <v>0</v>
      </c>
      <c r="M25" s="116">
        <v>0.88251848096860297</v>
      </c>
      <c r="N25" s="116">
        <v>3.39629568080026</v>
      </c>
      <c r="O25" s="116">
        <v>0</v>
      </c>
      <c r="P25" s="116">
        <v>0</v>
      </c>
      <c r="Q25" s="116">
        <v>0</v>
      </c>
      <c r="R25" s="116">
        <v>0</v>
      </c>
      <c r="S25" s="116">
        <v>0</v>
      </c>
      <c r="T25" s="116">
        <v>0</v>
      </c>
      <c r="U25" s="116">
        <v>0</v>
      </c>
      <c r="V25" s="116">
        <v>0</v>
      </c>
      <c r="W25" s="116">
        <v>0</v>
      </c>
      <c r="X25" s="116">
        <v>127.78634542901899</v>
      </c>
      <c r="Y25" s="116">
        <v>0</v>
      </c>
      <c r="Z25" s="116">
        <v>0</v>
      </c>
      <c r="AA25" s="116">
        <v>194.83147166907801</v>
      </c>
      <c r="AB25" s="116">
        <v>0</v>
      </c>
      <c r="AC25" s="116">
        <v>0</v>
      </c>
      <c r="AD25" s="116">
        <v>19.474109935747599</v>
      </c>
      <c r="AE25" s="116">
        <v>0.66812528650092995</v>
      </c>
      <c r="AF25" s="116">
        <v>3.77739973861142</v>
      </c>
      <c r="AG25" s="116">
        <v>0.232837622323846</v>
      </c>
      <c r="AH25" s="116">
        <v>0</v>
      </c>
      <c r="AI25" s="116">
        <v>-23.339897791030999</v>
      </c>
      <c r="AJ25" s="116">
        <v>2.43547109922743</v>
      </c>
      <c r="AK25" s="116">
        <v>20.997516599996601</v>
      </c>
      <c r="AL25" s="116">
        <v>0</v>
      </c>
      <c r="AM25" s="116">
        <v>200.48332701308101</v>
      </c>
      <c r="AN25" s="116">
        <v>9.9962037891222799</v>
      </c>
      <c r="AO25" s="116">
        <v>6.8830158215822399</v>
      </c>
      <c r="AP25" s="116">
        <v>0</v>
      </c>
      <c r="AQ25" s="116">
        <v>0</v>
      </c>
      <c r="AR25" s="117">
        <v>5.2487753894988698</v>
      </c>
    </row>
    <row r="26" spans="2:44" ht="12" customHeight="1" x14ac:dyDescent="0.25">
      <c r="B26" s="115" t="s">
        <v>22</v>
      </c>
      <c r="C26" s="116" t="s">
        <v>23</v>
      </c>
      <c r="D26" s="116" t="s">
        <v>24</v>
      </c>
      <c r="E26" s="116" t="s">
        <v>24</v>
      </c>
      <c r="F26" s="116" t="s">
        <v>25</v>
      </c>
      <c r="G26" s="116" t="s">
        <v>25</v>
      </c>
      <c r="H26" s="116" t="s">
        <v>75</v>
      </c>
      <c r="I26" s="116" t="s">
        <v>25</v>
      </c>
      <c r="J26" s="116">
        <v>454.27</v>
      </c>
      <c r="K26" s="116">
        <v>222.7</v>
      </c>
      <c r="L26" s="116">
        <v>0</v>
      </c>
      <c r="M26" s="116">
        <v>0.88251848096860297</v>
      </c>
      <c r="N26" s="116">
        <v>3.40666545226909</v>
      </c>
      <c r="O26" s="116">
        <v>0</v>
      </c>
      <c r="P26" s="116">
        <v>0</v>
      </c>
      <c r="Q26" s="116">
        <v>88.764408385158703</v>
      </c>
      <c r="R26" s="116">
        <v>14.444276612121699</v>
      </c>
      <c r="S26" s="116">
        <v>0</v>
      </c>
      <c r="T26" s="116">
        <v>0</v>
      </c>
      <c r="U26" s="116">
        <v>0</v>
      </c>
      <c r="V26" s="116">
        <v>0</v>
      </c>
      <c r="W26" s="116">
        <v>0</v>
      </c>
      <c r="X26" s="116">
        <v>127.78634542901899</v>
      </c>
      <c r="Y26" s="116">
        <v>0</v>
      </c>
      <c r="Z26" s="116">
        <v>0</v>
      </c>
      <c r="AA26" s="116">
        <v>194.83147166907801</v>
      </c>
      <c r="AB26" s="116">
        <v>0</v>
      </c>
      <c r="AC26" s="116">
        <v>0</v>
      </c>
      <c r="AD26" s="116">
        <v>19.474109935747599</v>
      </c>
      <c r="AE26" s="116">
        <v>0.66812528650092995</v>
      </c>
      <c r="AF26" s="116">
        <v>3.77739973861142</v>
      </c>
      <c r="AG26" s="116">
        <v>0.232837622323846</v>
      </c>
      <c r="AH26" s="116">
        <v>0</v>
      </c>
      <c r="AI26" s="116">
        <v>-23.339897791030999</v>
      </c>
      <c r="AJ26" s="116">
        <v>2.43547109922743</v>
      </c>
      <c r="AK26" s="116">
        <v>20.997516599996601</v>
      </c>
      <c r="AL26" s="116">
        <v>0</v>
      </c>
      <c r="AM26" s="116">
        <v>200.48332701308101</v>
      </c>
      <c r="AN26" s="116">
        <v>9.9962037891222799</v>
      </c>
      <c r="AO26" s="116">
        <v>6.8830158215822399</v>
      </c>
      <c r="AP26" s="116">
        <v>0</v>
      </c>
      <c r="AQ26" s="116">
        <v>0</v>
      </c>
      <c r="AR26" s="117">
        <v>5.2487753894988698</v>
      </c>
    </row>
    <row r="27" spans="2:44" ht="12" customHeight="1" x14ac:dyDescent="0.25">
      <c r="B27" s="115" t="s">
        <v>22</v>
      </c>
      <c r="C27" s="116" t="s">
        <v>90</v>
      </c>
      <c r="D27" s="116" t="s">
        <v>24</v>
      </c>
      <c r="E27" s="116" t="s">
        <v>1333</v>
      </c>
      <c r="F27" s="116" t="s">
        <v>25</v>
      </c>
      <c r="G27" s="116" t="s">
        <v>25</v>
      </c>
      <c r="H27" s="116" t="s">
        <v>75</v>
      </c>
      <c r="I27" s="116" t="s">
        <v>25</v>
      </c>
      <c r="J27" s="116">
        <v>351.05</v>
      </c>
      <c r="K27" s="116">
        <v>222.7</v>
      </c>
      <c r="L27" s="116">
        <v>0</v>
      </c>
      <c r="M27" s="116">
        <v>0.88251848096860297</v>
      </c>
      <c r="N27" s="116">
        <v>3.39629568080026</v>
      </c>
      <c r="O27" s="116">
        <v>0</v>
      </c>
      <c r="P27" s="116">
        <v>0</v>
      </c>
      <c r="Q27" s="116">
        <v>0</v>
      </c>
      <c r="R27" s="116">
        <v>0</v>
      </c>
      <c r="S27" s="116">
        <v>0</v>
      </c>
      <c r="T27" s="116">
        <v>0</v>
      </c>
      <c r="U27" s="116">
        <v>0</v>
      </c>
      <c r="V27" s="116">
        <v>0</v>
      </c>
      <c r="W27" s="116">
        <v>0</v>
      </c>
      <c r="X27" s="116">
        <v>127.78634542901899</v>
      </c>
      <c r="Y27" s="116">
        <v>0</v>
      </c>
      <c r="Z27" s="116">
        <v>0</v>
      </c>
      <c r="AA27" s="116">
        <v>194.83147166907801</v>
      </c>
      <c r="AB27" s="116">
        <v>0</v>
      </c>
      <c r="AC27" s="116">
        <v>0</v>
      </c>
      <c r="AD27" s="116">
        <v>19.474109935747599</v>
      </c>
      <c r="AE27" s="116">
        <v>0.66812528650092995</v>
      </c>
      <c r="AF27" s="116">
        <v>3.77739973861142</v>
      </c>
      <c r="AG27" s="116">
        <v>0.232837622323846</v>
      </c>
      <c r="AH27" s="116">
        <v>0</v>
      </c>
      <c r="AI27" s="116">
        <v>-23.339897791030999</v>
      </c>
      <c r="AJ27" s="116">
        <v>2.43547109922743</v>
      </c>
      <c r="AK27" s="116">
        <v>20.997516599996601</v>
      </c>
      <c r="AL27" s="116">
        <v>0</v>
      </c>
      <c r="AM27" s="116">
        <v>200.48332701308101</v>
      </c>
      <c r="AN27" s="116">
        <v>9.9962037891222799</v>
      </c>
      <c r="AO27" s="116">
        <v>6.8830158215822399</v>
      </c>
      <c r="AP27" s="116">
        <v>0</v>
      </c>
      <c r="AQ27" s="116">
        <v>0</v>
      </c>
      <c r="AR27" s="117">
        <v>5.2487753894988698</v>
      </c>
    </row>
    <row r="28" spans="2:44" ht="12" customHeight="1" x14ac:dyDescent="0.25">
      <c r="B28" s="115" t="s">
        <v>22</v>
      </c>
      <c r="C28" s="116" t="s">
        <v>90</v>
      </c>
      <c r="D28" s="116" t="s">
        <v>24</v>
      </c>
      <c r="E28" s="116" t="s">
        <v>24</v>
      </c>
      <c r="F28" s="116" t="s">
        <v>25</v>
      </c>
      <c r="G28" s="116" t="s">
        <v>25</v>
      </c>
      <c r="H28" s="116" t="s">
        <v>75</v>
      </c>
      <c r="I28" s="116" t="s">
        <v>25</v>
      </c>
      <c r="J28" s="116">
        <v>454.27</v>
      </c>
      <c r="K28" s="116">
        <v>222.7</v>
      </c>
      <c r="L28" s="116">
        <v>0</v>
      </c>
      <c r="M28" s="116">
        <v>0.88251848096860297</v>
      </c>
      <c r="N28" s="116">
        <v>3.40666545226909</v>
      </c>
      <c r="O28" s="116">
        <v>0</v>
      </c>
      <c r="P28" s="116">
        <v>0</v>
      </c>
      <c r="Q28" s="116">
        <v>88.764408385158703</v>
      </c>
      <c r="R28" s="116">
        <v>14.444276612121699</v>
      </c>
      <c r="S28" s="116">
        <v>0</v>
      </c>
      <c r="T28" s="116">
        <v>0</v>
      </c>
      <c r="U28" s="116">
        <v>0</v>
      </c>
      <c r="V28" s="116">
        <v>0</v>
      </c>
      <c r="W28" s="116">
        <v>0</v>
      </c>
      <c r="X28" s="116">
        <v>127.78634542901899</v>
      </c>
      <c r="Y28" s="116">
        <v>0</v>
      </c>
      <c r="Z28" s="116">
        <v>0</v>
      </c>
      <c r="AA28" s="116">
        <v>194.83147166907801</v>
      </c>
      <c r="AB28" s="116">
        <v>0</v>
      </c>
      <c r="AC28" s="116">
        <v>0</v>
      </c>
      <c r="AD28" s="116">
        <v>19.474109935747599</v>
      </c>
      <c r="AE28" s="116">
        <v>0.66812528650092995</v>
      </c>
      <c r="AF28" s="116">
        <v>3.77739973861142</v>
      </c>
      <c r="AG28" s="116">
        <v>0.232837622323846</v>
      </c>
      <c r="AH28" s="116">
        <v>0</v>
      </c>
      <c r="AI28" s="116">
        <v>-23.339897791030999</v>
      </c>
      <c r="AJ28" s="116">
        <v>2.43547109922743</v>
      </c>
      <c r="AK28" s="116">
        <v>20.997516599996601</v>
      </c>
      <c r="AL28" s="116">
        <v>0</v>
      </c>
      <c r="AM28" s="116">
        <v>200.48332701308101</v>
      </c>
      <c r="AN28" s="116">
        <v>9.9962037891222799</v>
      </c>
      <c r="AO28" s="116">
        <v>6.8830158215822399</v>
      </c>
      <c r="AP28" s="116">
        <v>0</v>
      </c>
      <c r="AQ28" s="116">
        <v>0</v>
      </c>
      <c r="AR28" s="117">
        <v>5.2487753894988698</v>
      </c>
    </row>
    <row r="29" spans="2:44" ht="12" customHeight="1" x14ac:dyDescent="0.25">
      <c r="B29" s="115" t="s">
        <v>41</v>
      </c>
      <c r="C29" s="116" t="s">
        <v>32</v>
      </c>
      <c r="D29" s="116" t="s">
        <v>42</v>
      </c>
      <c r="E29" s="116" t="s">
        <v>91</v>
      </c>
      <c r="F29" s="116" t="s">
        <v>25</v>
      </c>
      <c r="G29" s="116" t="s">
        <v>33</v>
      </c>
      <c r="H29" s="116" t="s">
        <v>75</v>
      </c>
      <c r="I29" s="116" t="s">
        <v>25</v>
      </c>
      <c r="J29" s="116">
        <v>993.18</v>
      </c>
      <c r="K29" s="116">
        <v>326.68</v>
      </c>
      <c r="L29" s="116">
        <v>0</v>
      </c>
      <c r="M29" s="116">
        <v>0.82956737211048703</v>
      </c>
      <c r="N29" s="116">
        <v>8.3362026435457501</v>
      </c>
      <c r="O29" s="116">
        <v>0</v>
      </c>
      <c r="P29" s="116">
        <v>0</v>
      </c>
      <c r="Q29" s="116">
        <v>83.438543882049203</v>
      </c>
      <c r="R29" s="116">
        <v>13.5776200153944</v>
      </c>
      <c r="S29" s="116">
        <v>0</v>
      </c>
      <c r="T29" s="116">
        <v>0</v>
      </c>
      <c r="U29" s="116">
        <v>0</v>
      </c>
      <c r="V29" s="116">
        <v>0</v>
      </c>
      <c r="W29" s="116">
        <v>0</v>
      </c>
      <c r="X29" s="116">
        <v>342.33968879433297</v>
      </c>
      <c r="Y29" s="116">
        <v>0</v>
      </c>
      <c r="Z29" s="116">
        <v>0</v>
      </c>
      <c r="AA29" s="116">
        <v>521.95339613261604</v>
      </c>
      <c r="AB29" s="116">
        <v>0</v>
      </c>
      <c r="AC29" s="116">
        <v>0</v>
      </c>
      <c r="AD29" s="116">
        <v>18.305663339602798</v>
      </c>
      <c r="AE29" s="116">
        <v>0.62803776931087396</v>
      </c>
      <c r="AF29" s="116">
        <v>3.5507557542947401</v>
      </c>
      <c r="AG29" s="116">
        <v>0.218867364984415</v>
      </c>
      <c r="AH29" s="116">
        <v>0</v>
      </c>
      <c r="AI29" s="116">
        <v>-21.939503923569099</v>
      </c>
      <c r="AJ29" s="116">
        <v>2.28934283327379</v>
      </c>
      <c r="AK29" s="116">
        <v>19.737665603996799</v>
      </c>
      <c r="AL29" s="116">
        <v>0</v>
      </c>
      <c r="AM29" s="116">
        <v>305.79381425919701</v>
      </c>
      <c r="AN29" s="116">
        <v>9.3964315617749392</v>
      </c>
      <c r="AO29" s="116">
        <v>6.4700348722873002</v>
      </c>
      <c r="AP29" s="116">
        <v>0</v>
      </c>
      <c r="AQ29" s="116">
        <v>0</v>
      </c>
      <c r="AR29" s="117">
        <v>4.9338488661289404</v>
      </c>
    </row>
    <row r="30" spans="2:44" ht="12" customHeight="1" x14ac:dyDescent="0.25">
      <c r="B30" s="115" t="s">
        <v>41</v>
      </c>
      <c r="C30" s="116" t="s">
        <v>32</v>
      </c>
      <c r="D30" s="116" t="s">
        <v>42</v>
      </c>
      <c r="E30" s="116" t="s">
        <v>91</v>
      </c>
      <c r="F30" s="116" t="s">
        <v>25</v>
      </c>
      <c r="G30" s="116" t="s">
        <v>35</v>
      </c>
      <c r="H30" s="116" t="s">
        <v>75</v>
      </c>
      <c r="I30" s="116" t="s">
        <v>25</v>
      </c>
      <c r="J30" s="116">
        <v>644.29999999999995</v>
      </c>
      <c r="K30" s="116">
        <v>198.67</v>
      </c>
      <c r="L30" s="116">
        <v>0</v>
      </c>
      <c r="M30" s="116">
        <v>0.82956737211048703</v>
      </c>
      <c r="N30" s="116">
        <v>5.1725868323247903</v>
      </c>
      <c r="O30" s="116">
        <v>0</v>
      </c>
      <c r="P30" s="116">
        <v>0</v>
      </c>
      <c r="Q30" s="116">
        <v>83.438543882049203</v>
      </c>
      <c r="R30" s="116">
        <v>13.5776200153944</v>
      </c>
      <c r="S30" s="116">
        <v>0</v>
      </c>
      <c r="T30" s="116">
        <v>0</v>
      </c>
      <c r="U30" s="116">
        <v>0</v>
      </c>
      <c r="V30" s="116">
        <v>0</v>
      </c>
      <c r="W30" s="116">
        <v>0</v>
      </c>
      <c r="X30" s="116">
        <v>205.403743886608</v>
      </c>
      <c r="Y30" s="116">
        <v>0</v>
      </c>
      <c r="Z30" s="116">
        <v>0</v>
      </c>
      <c r="AA30" s="116">
        <v>313.17205793502097</v>
      </c>
      <c r="AB30" s="116">
        <v>0</v>
      </c>
      <c r="AC30" s="116">
        <v>0</v>
      </c>
      <c r="AD30" s="116">
        <v>18.305663339602798</v>
      </c>
      <c r="AE30" s="116">
        <v>0.62803776931087396</v>
      </c>
      <c r="AF30" s="116">
        <v>3.5507557542947401</v>
      </c>
      <c r="AG30" s="116">
        <v>0.218867364984415</v>
      </c>
      <c r="AH30" s="116">
        <v>0</v>
      </c>
      <c r="AI30" s="116">
        <v>-21.939503923569099</v>
      </c>
      <c r="AJ30" s="116">
        <v>2.28934283327379</v>
      </c>
      <c r="AK30" s="116">
        <v>19.737665603996799</v>
      </c>
      <c r="AL30" s="116">
        <v>0</v>
      </c>
      <c r="AM30" s="116">
        <v>177.787101313487</v>
      </c>
      <c r="AN30" s="116">
        <v>9.3964315617749392</v>
      </c>
      <c r="AO30" s="116">
        <v>6.4700348722873002</v>
      </c>
      <c r="AP30" s="116">
        <v>0</v>
      </c>
      <c r="AQ30" s="116">
        <v>0</v>
      </c>
      <c r="AR30" s="117">
        <v>4.9338488661289404</v>
      </c>
    </row>
    <row r="31" spans="2:44" ht="12" customHeight="1" x14ac:dyDescent="0.25">
      <c r="B31" s="115" t="s">
        <v>41</v>
      </c>
      <c r="C31" s="116" t="s">
        <v>32</v>
      </c>
      <c r="D31" s="116" t="s">
        <v>42</v>
      </c>
      <c r="E31" s="116" t="s">
        <v>91</v>
      </c>
      <c r="F31" s="116" t="s">
        <v>25</v>
      </c>
      <c r="G31" s="116" t="s">
        <v>34</v>
      </c>
      <c r="H31" s="116" t="s">
        <v>75</v>
      </c>
      <c r="I31" s="116" t="s">
        <v>25</v>
      </c>
      <c r="J31" s="116">
        <v>295.42</v>
      </c>
      <c r="K31" s="116">
        <v>198.67</v>
      </c>
      <c r="L31" s="116">
        <v>0</v>
      </c>
      <c r="M31" s="116">
        <v>0.82956737211048703</v>
      </c>
      <c r="N31" s="116">
        <v>2.0089719958623502</v>
      </c>
      <c r="O31" s="116">
        <v>0</v>
      </c>
      <c r="P31" s="116">
        <v>0</v>
      </c>
      <c r="Q31" s="116">
        <v>83.438543882049203</v>
      </c>
      <c r="R31" s="116">
        <v>13.5776200153944</v>
      </c>
      <c r="S31" s="116">
        <v>0</v>
      </c>
      <c r="T31" s="116">
        <v>0</v>
      </c>
      <c r="U31" s="116">
        <v>0</v>
      </c>
      <c r="V31" s="116">
        <v>0</v>
      </c>
      <c r="W31" s="116">
        <v>0</v>
      </c>
      <c r="X31" s="116">
        <v>68.467914628869195</v>
      </c>
      <c r="Y31" s="116">
        <v>0</v>
      </c>
      <c r="Z31" s="116">
        <v>0</v>
      </c>
      <c r="AA31" s="116">
        <v>104.390719737425</v>
      </c>
      <c r="AB31" s="116">
        <v>0</v>
      </c>
      <c r="AC31" s="116">
        <v>0</v>
      </c>
      <c r="AD31" s="116">
        <v>18.305663339602798</v>
      </c>
      <c r="AE31" s="116">
        <v>0.62803776931087396</v>
      </c>
      <c r="AF31" s="116">
        <v>3.5507557542947401</v>
      </c>
      <c r="AG31" s="116">
        <v>0.218867364984415</v>
      </c>
      <c r="AH31" s="116">
        <v>0</v>
      </c>
      <c r="AI31" s="116">
        <v>-21.939503923569099</v>
      </c>
      <c r="AJ31" s="116">
        <v>2.28934283327379</v>
      </c>
      <c r="AK31" s="116">
        <v>19.737665603996799</v>
      </c>
      <c r="AL31" s="116">
        <v>0</v>
      </c>
      <c r="AM31" s="116">
        <v>177.787101313487</v>
      </c>
      <c r="AN31" s="116">
        <v>9.3964315617749392</v>
      </c>
      <c r="AO31" s="116">
        <v>6.4700348722873002</v>
      </c>
      <c r="AP31" s="116">
        <v>0</v>
      </c>
      <c r="AQ31" s="116">
        <v>0</v>
      </c>
      <c r="AR31" s="117">
        <v>4.9338488661289404</v>
      </c>
    </row>
    <row r="32" spans="2:44" ht="12" customHeight="1" x14ac:dyDescent="0.25">
      <c r="B32" s="115" t="s">
        <v>41</v>
      </c>
      <c r="C32" s="116" t="s">
        <v>32</v>
      </c>
      <c r="D32" s="116" t="s">
        <v>42</v>
      </c>
      <c r="E32" s="116" t="s">
        <v>25</v>
      </c>
      <c r="F32" s="116" t="s">
        <v>25</v>
      </c>
      <c r="G32" s="116" t="s">
        <v>33</v>
      </c>
      <c r="H32" s="116" t="s">
        <v>75</v>
      </c>
      <c r="I32" s="116" t="s">
        <v>25</v>
      </c>
      <c r="J32" s="116">
        <v>993.18</v>
      </c>
      <c r="K32" s="116">
        <v>326.68</v>
      </c>
      <c r="L32" s="116">
        <v>0</v>
      </c>
      <c r="M32" s="116">
        <v>0.82956737211048703</v>
      </c>
      <c r="N32" s="116">
        <v>8.3362026435457501</v>
      </c>
      <c r="O32" s="116">
        <v>0</v>
      </c>
      <c r="P32" s="116">
        <v>0</v>
      </c>
      <c r="Q32" s="116">
        <v>83.438543882049203</v>
      </c>
      <c r="R32" s="116">
        <v>13.5776200153944</v>
      </c>
      <c r="S32" s="116">
        <v>0</v>
      </c>
      <c r="T32" s="116">
        <v>0</v>
      </c>
      <c r="U32" s="116">
        <v>0</v>
      </c>
      <c r="V32" s="116">
        <v>0</v>
      </c>
      <c r="W32" s="116">
        <v>0</v>
      </c>
      <c r="X32" s="116">
        <v>342.33968879433297</v>
      </c>
      <c r="Y32" s="116">
        <v>0</v>
      </c>
      <c r="Z32" s="116">
        <v>0</v>
      </c>
      <c r="AA32" s="116">
        <v>521.95339613261604</v>
      </c>
      <c r="AB32" s="116">
        <v>0</v>
      </c>
      <c r="AC32" s="116">
        <v>0</v>
      </c>
      <c r="AD32" s="116">
        <v>18.305663339602798</v>
      </c>
      <c r="AE32" s="116">
        <v>0.62803776931087396</v>
      </c>
      <c r="AF32" s="116">
        <v>3.5507557542947401</v>
      </c>
      <c r="AG32" s="116">
        <v>0.218867364984415</v>
      </c>
      <c r="AH32" s="116">
        <v>0</v>
      </c>
      <c r="AI32" s="116">
        <v>-21.939503923569099</v>
      </c>
      <c r="AJ32" s="116">
        <v>2.28934283327379</v>
      </c>
      <c r="AK32" s="116">
        <v>19.737665603996799</v>
      </c>
      <c r="AL32" s="116">
        <v>0</v>
      </c>
      <c r="AM32" s="116">
        <v>305.79381425919701</v>
      </c>
      <c r="AN32" s="116">
        <v>9.3964315617749392</v>
      </c>
      <c r="AO32" s="116">
        <v>6.4700348722873002</v>
      </c>
      <c r="AP32" s="116">
        <v>0</v>
      </c>
      <c r="AQ32" s="116">
        <v>0</v>
      </c>
      <c r="AR32" s="117">
        <v>4.9338488661289404</v>
      </c>
    </row>
    <row r="33" spans="2:44" ht="12" customHeight="1" x14ac:dyDescent="0.25">
      <c r="B33" s="115" t="s">
        <v>41</v>
      </c>
      <c r="C33" s="116" t="s">
        <v>32</v>
      </c>
      <c r="D33" s="116" t="s">
        <v>42</v>
      </c>
      <c r="E33" s="116" t="s">
        <v>25</v>
      </c>
      <c r="F33" s="116" t="s">
        <v>25</v>
      </c>
      <c r="G33" s="116" t="s">
        <v>35</v>
      </c>
      <c r="H33" s="116" t="s">
        <v>75</v>
      </c>
      <c r="I33" s="116" t="s">
        <v>25</v>
      </c>
      <c r="J33" s="116">
        <v>644.29999999999995</v>
      </c>
      <c r="K33" s="116">
        <v>198.67</v>
      </c>
      <c r="L33" s="116">
        <v>0</v>
      </c>
      <c r="M33" s="116">
        <v>0.82956737211048703</v>
      </c>
      <c r="N33" s="116">
        <v>5.1725868323247903</v>
      </c>
      <c r="O33" s="116">
        <v>0</v>
      </c>
      <c r="P33" s="116">
        <v>0</v>
      </c>
      <c r="Q33" s="116">
        <v>83.438543882049203</v>
      </c>
      <c r="R33" s="116">
        <v>13.5776200153944</v>
      </c>
      <c r="S33" s="116">
        <v>0</v>
      </c>
      <c r="T33" s="116">
        <v>0</v>
      </c>
      <c r="U33" s="116">
        <v>0</v>
      </c>
      <c r="V33" s="116">
        <v>0</v>
      </c>
      <c r="W33" s="116">
        <v>0</v>
      </c>
      <c r="X33" s="116">
        <v>205.403743886608</v>
      </c>
      <c r="Y33" s="116">
        <v>0</v>
      </c>
      <c r="Z33" s="116">
        <v>0</v>
      </c>
      <c r="AA33" s="116">
        <v>313.17205793502097</v>
      </c>
      <c r="AB33" s="116">
        <v>0</v>
      </c>
      <c r="AC33" s="116">
        <v>0</v>
      </c>
      <c r="AD33" s="116">
        <v>18.305663339602798</v>
      </c>
      <c r="AE33" s="116">
        <v>0.62803776931087396</v>
      </c>
      <c r="AF33" s="116">
        <v>3.5507557542947401</v>
      </c>
      <c r="AG33" s="116">
        <v>0.218867364984415</v>
      </c>
      <c r="AH33" s="116">
        <v>0</v>
      </c>
      <c r="AI33" s="116">
        <v>-21.939503923569099</v>
      </c>
      <c r="AJ33" s="116">
        <v>2.28934283327379</v>
      </c>
      <c r="AK33" s="116">
        <v>19.737665603996799</v>
      </c>
      <c r="AL33" s="116">
        <v>0</v>
      </c>
      <c r="AM33" s="116">
        <v>177.787101313487</v>
      </c>
      <c r="AN33" s="116">
        <v>9.3964315617749392</v>
      </c>
      <c r="AO33" s="116">
        <v>6.4700348722873002</v>
      </c>
      <c r="AP33" s="116">
        <v>0</v>
      </c>
      <c r="AQ33" s="116">
        <v>0</v>
      </c>
      <c r="AR33" s="117">
        <v>4.9338488661289404</v>
      </c>
    </row>
    <row r="34" spans="2:44" ht="12" customHeight="1" x14ac:dyDescent="0.25">
      <c r="B34" s="115" t="s">
        <v>41</v>
      </c>
      <c r="C34" s="116" t="s">
        <v>32</v>
      </c>
      <c r="D34" s="116" t="s">
        <v>42</v>
      </c>
      <c r="E34" s="116" t="s">
        <v>25</v>
      </c>
      <c r="F34" s="116" t="s">
        <v>25</v>
      </c>
      <c r="G34" s="116" t="s">
        <v>34</v>
      </c>
      <c r="H34" s="116" t="s">
        <v>75</v>
      </c>
      <c r="I34" s="116" t="s">
        <v>25</v>
      </c>
      <c r="J34" s="116">
        <v>295.42</v>
      </c>
      <c r="K34" s="116">
        <v>198.67</v>
      </c>
      <c r="L34" s="116">
        <v>0</v>
      </c>
      <c r="M34" s="116">
        <v>0.82956737211048703</v>
      </c>
      <c r="N34" s="116">
        <v>2.0089719958623502</v>
      </c>
      <c r="O34" s="116">
        <v>0</v>
      </c>
      <c r="P34" s="116">
        <v>0</v>
      </c>
      <c r="Q34" s="116">
        <v>83.438543882049203</v>
      </c>
      <c r="R34" s="116">
        <v>13.5776200153944</v>
      </c>
      <c r="S34" s="116">
        <v>0</v>
      </c>
      <c r="T34" s="116">
        <v>0</v>
      </c>
      <c r="U34" s="116">
        <v>0</v>
      </c>
      <c r="V34" s="116">
        <v>0</v>
      </c>
      <c r="W34" s="116">
        <v>0</v>
      </c>
      <c r="X34" s="116">
        <v>68.467914628869195</v>
      </c>
      <c r="Y34" s="116">
        <v>0</v>
      </c>
      <c r="Z34" s="116">
        <v>0</v>
      </c>
      <c r="AA34" s="116">
        <v>104.390719737425</v>
      </c>
      <c r="AB34" s="116">
        <v>0</v>
      </c>
      <c r="AC34" s="116">
        <v>0</v>
      </c>
      <c r="AD34" s="116">
        <v>18.305663339602798</v>
      </c>
      <c r="AE34" s="116">
        <v>0.62803776931087396</v>
      </c>
      <c r="AF34" s="116">
        <v>3.5507557542947401</v>
      </c>
      <c r="AG34" s="116">
        <v>0.218867364984415</v>
      </c>
      <c r="AH34" s="116">
        <v>0</v>
      </c>
      <c r="AI34" s="116">
        <v>-21.939503923569099</v>
      </c>
      <c r="AJ34" s="116">
        <v>2.28934283327379</v>
      </c>
      <c r="AK34" s="116">
        <v>19.737665603996799</v>
      </c>
      <c r="AL34" s="116">
        <v>0</v>
      </c>
      <c r="AM34" s="116">
        <v>177.787101313487</v>
      </c>
      <c r="AN34" s="116">
        <v>9.3964315617749392</v>
      </c>
      <c r="AO34" s="116">
        <v>6.4700348722873002</v>
      </c>
      <c r="AP34" s="116">
        <v>0</v>
      </c>
      <c r="AQ34" s="116">
        <v>0</v>
      </c>
      <c r="AR34" s="117">
        <v>4.9338488661289404</v>
      </c>
    </row>
    <row r="35" spans="2:44" ht="12" customHeight="1" x14ac:dyDescent="0.25">
      <c r="B35" s="115" t="s">
        <v>41</v>
      </c>
      <c r="C35" s="116" t="s">
        <v>32</v>
      </c>
      <c r="D35" s="116" t="s">
        <v>42</v>
      </c>
      <c r="E35" s="116" t="s">
        <v>92</v>
      </c>
      <c r="F35" s="116" t="s">
        <v>25</v>
      </c>
      <c r="G35" s="116" t="s">
        <v>33</v>
      </c>
      <c r="H35" s="116" t="s">
        <v>75</v>
      </c>
      <c r="I35" s="116" t="s">
        <v>25</v>
      </c>
      <c r="J35" s="116">
        <v>972.05</v>
      </c>
      <c r="K35" s="116">
        <v>319.73</v>
      </c>
      <c r="L35" s="116">
        <v>0</v>
      </c>
      <c r="M35" s="116">
        <v>0.81191700249111498</v>
      </c>
      <c r="N35" s="116">
        <v>8.1588366298532904</v>
      </c>
      <c r="O35" s="116">
        <v>0</v>
      </c>
      <c r="P35" s="116">
        <v>0</v>
      </c>
      <c r="Q35" s="116">
        <v>81.663255714346107</v>
      </c>
      <c r="R35" s="116">
        <v>13.288734483151901</v>
      </c>
      <c r="S35" s="116">
        <v>0</v>
      </c>
      <c r="T35" s="116">
        <v>0</v>
      </c>
      <c r="U35" s="116">
        <v>0</v>
      </c>
      <c r="V35" s="116">
        <v>0</v>
      </c>
      <c r="W35" s="116">
        <v>0</v>
      </c>
      <c r="X35" s="116">
        <v>335.05586562849601</v>
      </c>
      <c r="Y35" s="116">
        <v>0</v>
      </c>
      <c r="Z35" s="116">
        <v>0</v>
      </c>
      <c r="AA35" s="116">
        <v>510.84800472554002</v>
      </c>
      <c r="AB35" s="116">
        <v>0</v>
      </c>
      <c r="AC35" s="116">
        <v>0</v>
      </c>
      <c r="AD35" s="116">
        <v>17.916181140887801</v>
      </c>
      <c r="AE35" s="116">
        <v>0.614675263580855</v>
      </c>
      <c r="AF35" s="116">
        <v>3.4752077595225099</v>
      </c>
      <c r="AG35" s="116">
        <v>0.21421061253793799</v>
      </c>
      <c r="AH35" s="116">
        <v>0</v>
      </c>
      <c r="AI35" s="116">
        <v>-21.472705967748499</v>
      </c>
      <c r="AJ35" s="116">
        <v>2.2406334112892399</v>
      </c>
      <c r="AK35" s="116">
        <v>19.317715271996899</v>
      </c>
      <c r="AL35" s="116">
        <v>0</v>
      </c>
      <c r="AM35" s="116">
        <v>299.28756289197997</v>
      </c>
      <c r="AN35" s="116">
        <v>9.1965074859925</v>
      </c>
      <c r="AO35" s="116">
        <v>6.3323745558556599</v>
      </c>
      <c r="AP35" s="116">
        <v>0</v>
      </c>
      <c r="AQ35" s="116">
        <v>0</v>
      </c>
      <c r="AR35" s="117">
        <v>4.82887335833896</v>
      </c>
    </row>
    <row r="36" spans="2:44" ht="12" customHeight="1" x14ac:dyDescent="0.25">
      <c r="B36" s="115" t="s">
        <v>41</v>
      </c>
      <c r="C36" s="116" t="s">
        <v>32</v>
      </c>
      <c r="D36" s="116" t="s">
        <v>42</v>
      </c>
      <c r="E36" s="116" t="s">
        <v>92</v>
      </c>
      <c r="F36" s="116" t="s">
        <v>25</v>
      </c>
      <c r="G36" s="116" t="s">
        <v>35</v>
      </c>
      <c r="H36" s="116" t="s">
        <v>75</v>
      </c>
      <c r="I36" s="116" t="s">
        <v>25</v>
      </c>
      <c r="J36" s="116">
        <v>630.59</v>
      </c>
      <c r="K36" s="116">
        <v>194.45</v>
      </c>
      <c r="L36" s="116">
        <v>0</v>
      </c>
      <c r="M36" s="116">
        <v>0.81191700249111498</v>
      </c>
      <c r="N36" s="116">
        <v>5.0625317933391596</v>
      </c>
      <c r="O36" s="116">
        <v>0</v>
      </c>
      <c r="P36" s="116">
        <v>0</v>
      </c>
      <c r="Q36" s="116">
        <v>81.663255714346107</v>
      </c>
      <c r="R36" s="116">
        <v>13.288734483151901</v>
      </c>
      <c r="S36" s="116">
        <v>0</v>
      </c>
      <c r="T36" s="116">
        <v>0</v>
      </c>
      <c r="U36" s="116">
        <v>0</v>
      </c>
      <c r="V36" s="116">
        <v>0</v>
      </c>
      <c r="W36" s="116">
        <v>0</v>
      </c>
      <c r="X36" s="116">
        <v>201.03345146348801</v>
      </c>
      <c r="Y36" s="116">
        <v>0</v>
      </c>
      <c r="Z36" s="116">
        <v>0</v>
      </c>
      <c r="AA36" s="116">
        <v>306.508822659808</v>
      </c>
      <c r="AB36" s="116">
        <v>0</v>
      </c>
      <c r="AC36" s="116">
        <v>0</v>
      </c>
      <c r="AD36" s="116">
        <v>17.916181140887801</v>
      </c>
      <c r="AE36" s="116">
        <v>0.614675263580855</v>
      </c>
      <c r="AF36" s="116">
        <v>3.4752077595225099</v>
      </c>
      <c r="AG36" s="116">
        <v>0.21421061253793799</v>
      </c>
      <c r="AH36" s="116">
        <v>0</v>
      </c>
      <c r="AI36" s="116">
        <v>-21.472705967748499</v>
      </c>
      <c r="AJ36" s="116">
        <v>2.2406334112892399</v>
      </c>
      <c r="AK36" s="116">
        <v>19.317715271996899</v>
      </c>
      <c r="AL36" s="116">
        <v>0</v>
      </c>
      <c r="AM36" s="116">
        <v>174.00439703022101</v>
      </c>
      <c r="AN36" s="116">
        <v>9.1965074859925</v>
      </c>
      <c r="AO36" s="116">
        <v>6.3323745558556599</v>
      </c>
      <c r="AP36" s="116">
        <v>0</v>
      </c>
      <c r="AQ36" s="116">
        <v>0</v>
      </c>
      <c r="AR36" s="117">
        <v>4.82887335833896</v>
      </c>
    </row>
    <row r="37" spans="2:44" ht="12" customHeight="1" x14ac:dyDescent="0.25">
      <c r="B37" s="115" t="s">
        <v>41</v>
      </c>
      <c r="C37" s="116" t="s">
        <v>32</v>
      </c>
      <c r="D37" s="116" t="s">
        <v>42</v>
      </c>
      <c r="E37" s="116" t="s">
        <v>92</v>
      </c>
      <c r="F37" s="116" t="s">
        <v>25</v>
      </c>
      <c r="G37" s="116" t="s">
        <v>34</v>
      </c>
      <c r="H37" s="116" t="s">
        <v>75</v>
      </c>
      <c r="I37" s="116" t="s">
        <v>25</v>
      </c>
      <c r="J37" s="116">
        <v>289.13</v>
      </c>
      <c r="K37" s="116">
        <v>194.45</v>
      </c>
      <c r="L37" s="116">
        <v>0</v>
      </c>
      <c r="M37" s="116">
        <v>0.81191700249111498</v>
      </c>
      <c r="N37" s="116">
        <v>1.9662279108440099</v>
      </c>
      <c r="O37" s="116">
        <v>0</v>
      </c>
      <c r="P37" s="116">
        <v>0</v>
      </c>
      <c r="Q37" s="116">
        <v>81.663255714346107</v>
      </c>
      <c r="R37" s="116">
        <v>13.288734483151901</v>
      </c>
      <c r="S37" s="116">
        <v>0</v>
      </c>
      <c r="T37" s="116">
        <v>0</v>
      </c>
      <c r="U37" s="116">
        <v>0</v>
      </c>
      <c r="V37" s="116">
        <v>0</v>
      </c>
      <c r="W37" s="116">
        <v>0</v>
      </c>
      <c r="X37" s="116">
        <v>67.011150487829497</v>
      </c>
      <c r="Y37" s="116">
        <v>0</v>
      </c>
      <c r="Z37" s="116">
        <v>0</v>
      </c>
      <c r="AA37" s="116">
        <v>102.169640594076</v>
      </c>
      <c r="AB37" s="116">
        <v>0</v>
      </c>
      <c r="AC37" s="116">
        <v>0</v>
      </c>
      <c r="AD37" s="116">
        <v>17.916181140887801</v>
      </c>
      <c r="AE37" s="116">
        <v>0.614675263580855</v>
      </c>
      <c r="AF37" s="116">
        <v>3.4752077595225099</v>
      </c>
      <c r="AG37" s="116">
        <v>0.21421061253793799</v>
      </c>
      <c r="AH37" s="116">
        <v>0</v>
      </c>
      <c r="AI37" s="116">
        <v>-21.472705967748499</v>
      </c>
      <c r="AJ37" s="116">
        <v>2.2406334112892399</v>
      </c>
      <c r="AK37" s="116">
        <v>19.317715271996899</v>
      </c>
      <c r="AL37" s="116">
        <v>0</v>
      </c>
      <c r="AM37" s="116">
        <v>174.00439703022101</v>
      </c>
      <c r="AN37" s="116">
        <v>9.1965074859925</v>
      </c>
      <c r="AO37" s="116">
        <v>6.3323745558556599</v>
      </c>
      <c r="AP37" s="116">
        <v>0</v>
      </c>
      <c r="AQ37" s="116">
        <v>0</v>
      </c>
      <c r="AR37" s="117">
        <v>4.82887335833896</v>
      </c>
    </row>
    <row r="38" spans="2:44" ht="12" customHeight="1" x14ac:dyDescent="0.25">
      <c r="B38" s="115" t="s">
        <v>41</v>
      </c>
      <c r="C38" s="116" t="s">
        <v>23</v>
      </c>
      <c r="D38" s="116" t="s">
        <v>42</v>
      </c>
      <c r="E38" s="116" t="s">
        <v>91</v>
      </c>
      <c r="F38" s="116" t="s">
        <v>25</v>
      </c>
      <c r="G38" s="116" t="s">
        <v>25</v>
      </c>
      <c r="H38" s="116" t="s">
        <v>75</v>
      </c>
      <c r="I38" s="116" t="s">
        <v>25</v>
      </c>
      <c r="J38" s="116">
        <v>427.01</v>
      </c>
      <c r="K38" s="116">
        <v>209.34</v>
      </c>
      <c r="L38" s="116">
        <v>0</v>
      </c>
      <c r="M38" s="116">
        <v>0.82956737211048703</v>
      </c>
      <c r="N38" s="116">
        <v>3.2022655251329502</v>
      </c>
      <c r="O38" s="116">
        <v>0</v>
      </c>
      <c r="P38" s="116">
        <v>0</v>
      </c>
      <c r="Q38" s="116">
        <v>83.438543882049203</v>
      </c>
      <c r="R38" s="116">
        <v>13.5776200153944</v>
      </c>
      <c r="S38" s="116">
        <v>0</v>
      </c>
      <c r="T38" s="116">
        <v>0</v>
      </c>
      <c r="U38" s="116">
        <v>0</v>
      </c>
      <c r="V38" s="116">
        <v>0</v>
      </c>
      <c r="W38" s="116">
        <v>0</v>
      </c>
      <c r="X38" s="116">
        <v>120.11916470327699</v>
      </c>
      <c r="Y38" s="116">
        <v>0</v>
      </c>
      <c r="Z38" s="116">
        <v>0</v>
      </c>
      <c r="AA38" s="116">
        <v>183.141583368933</v>
      </c>
      <c r="AB38" s="116">
        <v>0</v>
      </c>
      <c r="AC38" s="116">
        <v>0</v>
      </c>
      <c r="AD38" s="116">
        <v>18.305663339602798</v>
      </c>
      <c r="AE38" s="116">
        <v>0.62803776931087396</v>
      </c>
      <c r="AF38" s="116">
        <v>3.5507557542947401</v>
      </c>
      <c r="AG38" s="116">
        <v>0.218867364984415</v>
      </c>
      <c r="AH38" s="116">
        <v>0</v>
      </c>
      <c r="AI38" s="116">
        <v>-21.939503923569099</v>
      </c>
      <c r="AJ38" s="116">
        <v>2.28934283327379</v>
      </c>
      <c r="AK38" s="116">
        <v>19.737665603996799</v>
      </c>
      <c r="AL38" s="116">
        <v>0</v>
      </c>
      <c r="AM38" s="116">
        <v>188.45432739229599</v>
      </c>
      <c r="AN38" s="116">
        <v>9.3964315617749392</v>
      </c>
      <c r="AO38" s="116">
        <v>6.4700348722873002</v>
      </c>
      <c r="AP38" s="116">
        <v>0</v>
      </c>
      <c r="AQ38" s="116">
        <v>0</v>
      </c>
      <c r="AR38" s="117">
        <v>4.9338488661289404</v>
      </c>
    </row>
    <row r="39" spans="2:44" ht="12" customHeight="1" x14ac:dyDescent="0.25">
      <c r="B39" s="115" t="s">
        <v>41</v>
      </c>
      <c r="C39" s="116" t="s">
        <v>23</v>
      </c>
      <c r="D39" s="116" t="s">
        <v>42</v>
      </c>
      <c r="E39" s="116" t="s">
        <v>25</v>
      </c>
      <c r="F39" s="116" t="s">
        <v>25</v>
      </c>
      <c r="G39" s="116" t="s">
        <v>25</v>
      </c>
      <c r="H39" s="116" t="s">
        <v>75</v>
      </c>
      <c r="I39" s="116" t="s">
        <v>25</v>
      </c>
      <c r="J39" s="116">
        <v>427.01</v>
      </c>
      <c r="K39" s="116">
        <v>209.34</v>
      </c>
      <c r="L39" s="116">
        <v>0</v>
      </c>
      <c r="M39" s="116">
        <v>0.82956737211048703</v>
      </c>
      <c r="N39" s="116">
        <v>3.2022655251329502</v>
      </c>
      <c r="O39" s="116">
        <v>0</v>
      </c>
      <c r="P39" s="116">
        <v>0</v>
      </c>
      <c r="Q39" s="116">
        <v>83.438543882049203</v>
      </c>
      <c r="R39" s="116">
        <v>13.5776200153944</v>
      </c>
      <c r="S39" s="116">
        <v>0</v>
      </c>
      <c r="T39" s="116">
        <v>0</v>
      </c>
      <c r="U39" s="116">
        <v>0</v>
      </c>
      <c r="V39" s="116">
        <v>0</v>
      </c>
      <c r="W39" s="116">
        <v>0</v>
      </c>
      <c r="X39" s="116">
        <v>120.11916470327699</v>
      </c>
      <c r="Y39" s="116">
        <v>0</v>
      </c>
      <c r="Z39" s="116">
        <v>0</v>
      </c>
      <c r="AA39" s="116">
        <v>183.141583368933</v>
      </c>
      <c r="AB39" s="116">
        <v>0</v>
      </c>
      <c r="AC39" s="116">
        <v>0</v>
      </c>
      <c r="AD39" s="116">
        <v>18.305663339602798</v>
      </c>
      <c r="AE39" s="116">
        <v>0.62803776931087396</v>
      </c>
      <c r="AF39" s="116">
        <v>3.5507557542947401</v>
      </c>
      <c r="AG39" s="116">
        <v>0.218867364984415</v>
      </c>
      <c r="AH39" s="116">
        <v>0</v>
      </c>
      <c r="AI39" s="116">
        <v>-21.939503923569099</v>
      </c>
      <c r="AJ39" s="116">
        <v>2.28934283327379</v>
      </c>
      <c r="AK39" s="116">
        <v>19.737665603996799</v>
      </c>
      <c r="AL39" s="116">
        <v>0</v>
      </c>
      <c r="AM39" s="116">
        <v>188.45432739229599</v>
      </c>
      <c r="AN39" s="116">
        <v>9.3964315617749392</v>
      </c>
      <c r="AO39" s="116">
        <v>6.4700348722873002</v>
      </c>
      <c r="AP39" s="116">
        <v>0</v>
      </c>
      <c r="AQ39" s="116">
        <v>0</v>
      </c>
      <c r="AR39" s="117">
        <v>4.9338488661289404</v>
      </c>
    </row>
    <row r="40" spans="2:44" ht="12" customHeight="1" x14ac:dyDescent="0.25">
      <c r="B40" s="115" t="s">
        <v>41</v>
      </c>
      <c r="C40" s="116" t="s">
        <v>23</v>
      </c>
      <c r="D40" s="116" t="s">
        <v>42</v>
      </c>
      <c r="E40" s="116" t="s">
        <v>92</v>
      </c>
      <c r="F40" s="116" t="s">
        <v>25</v>
      </c>
      <c r="G40" s="116" t="s">
        <v>25</v>
      </c>
      <c r="H40" s="116" t="s">
        <v>75</v>
      </c>
      <c r="I40" s="116" t="s">
        <v>25</v>
      </c>
      <c r="J40" s="116">
        <v>417.93</v>
      </c>
      <c r="K40" s="116">
        <v>204.89</v>
      </c>
      <c r="L40" s="116">
        <v>0</v>
      </c>
      <c r="M40" s="116">
        <v>0.81191700249111498</v>
      </c>
      <c r="N40" s="116">
        <v>3.1341322160875702</v>
      </c>
      <c r="O40" s="116">
        <v>0</v>
      </c>
      <c r="P40" s="116">
        <v>0</v>
      </c>
      <c r="Q40" s="116">
        <v>81.663255714346107</v>
      </c>
      <c r="R40" s="116">
        <v>13.288734483151901</v>
      </c>
      <c r="S40" s="116">
        <v>0</v>
      </c>
      <c r="T40" s="116">
        <v>0</v>
      </c>
      <c r="U40" s="116">
        <v>0</v>
      </c>
      <c r="V40" s="116">
        <v>0</v>
      </c>
      <c r="W40" s="116">
        <v>0</v>
      </c>
      <c r="X40" s="116">
        <v>117.56343779469699</v>
      </c>
      <c r="Y40" s="116">
        <v>0</v>
      </c>
      <c r="Z40" s="116">
        <v>0</v>
      </c>
      <c r="AA40" s="116">
        <v>179.244953935551</v>
      </c>
      <c r="AB40" s="116">
        <v>0</v>
      </c>
      <c r="AC40" s="116">
        <v>0</v>
      </c>
      <c r="AD40" s="116">
        <v>17.916181140887801</v>
      </c>
      <c r="AE40" s="116">
        <v>0.614675263580855</v>
      </c>
      <c r="AF40" s="116">
        <v>3.4752077595225099</v>
      </c>
      <c r="AG40" s="116">
        <v>0.21421061253793799</v>
      </c>
      <c r="AH40" s="116">
        <v>0</v>
      </c>
      <c r="AI40" s="116">
        <v>-21.472705967748499</v>
      </c>
      <c r="AJ40" s="116">
        <v>2.2406334112892399</v>
      </c>
      <c r="AK40" s="116">
        <v>19.317715271996899</v>
      </c>
      <c r="AL40" s="116">
        <v>0</v>
      </c>
      <c r="AM40" s="116">
        <v>184.44466085203399</v>
      </c>
      <c r="AN40" s="116">
        <v>9.1965074859925</v>
      </c>
      <c r="AO40" s="116">
        <v>6.3323745558556599</v>
      </c>
      <c r="AP40" s="116">
        <v>0</v>
      </c>
      <c r="AQ40" s="116">
        <v>0</v>
      </c>
      <c r="AR40" s="117">
        <v>4.82887335833896</v>
      </c>
    </row>
    <row r="41" spans="2:44" ht="12" customHeight="1" x14ac:dyDescent="0.25">
      <c r="B41" s="115" t="s">
        <v>41</v>
      </c>
      <c r="C41" s="116" t="s">
        <v>90</v>
      </c>
      <c r="D41" s="116" t="s">
        <v>42</v>
      </c>
      <c r="E41" s="116" t="s">
        <v>91</v>
      </c>
      <c r="F41" s="116" t="s">
        <v>25</v>
      </c>
      <c r="G41" s="116" t="s">
        <v>25</v>
      </c>
      <c r="H41" s="116" t="s">
        <v>75</v>
      </c>
      <c r="I41" s="116" t="s">
        <v>25</v>
      </c>
      <c r="J41" s="116">
        <v>427.01</v>
      </c>
      <c r="K41" s="116">
        <v>209.34</v>
      </c>
      <c r="L41" s="116">
        <v>0</v>
      </c>
      <c r="M41" s="116">
        <v>0.82956737211048703</v>
      </c>
      <c r="N41" s="116">
        <v>3.2022655251329502</v>
      </c>
      <c r="O41" s="116">
        <v>0</v>
      </c>
      <c r="P41" s="116">
        <v>0</v>
      </c>
      <c r="Q41" s="116">
        <v>83.438543882049203</v>
      </c>
      <c r="R41" s="116">
        <v>13.5776200153944</v>
      </c>
      <c r="S41" s="116">
        <v>0</v>
      </c>
      <c r="T41" s="116">
        <v>0</v>
      </c>
      <c r="U41" s="116">
        <v>0</v>
      </c>
      <c r="V41" s="116">
        <v>0</v>
      </c>
      <c r="W41" s="116">
        <v>0</v>
      </c>
      <c r="X41" s="116">
        <v>120.11916470327699</v>
      </c>
      <c r="Y41" s="116">
        <v>0</v>
      </c>
      <c r="Z41" s="116">
        <v>0</v>
      </c>
      <c r="AA41" s="116">
        <v>183.141583368933</v>
      </c>
      <c r="AB41" s="116">
        <v>0</v>
      </c>
      <c r="AC41" s="116">
        <v>0</v>
      </c>
      <c r="AD41" s="116">
        <v>18.305663339602798</v>
      </c>
      <c r="AE41" s="116">
        <v>0.62803776931087396</v>
      </c>
      <c r="AF41" s="116">
        <v>3.5507557542947401</v>
      </c>
      <c r="AG41" s="116">
        <v>0.218867364984415</v>
      </c>
      <c r="AH41" s="116">
        <v>0</v>
      </c>
      <c r="AI41" s="116">
        <v>-21.939503923569099</v>
      </c>
      <c r="AJ41" s="116">
        <v>2.28934283327379</v>
      </c>
      <c r="AK41" s="116">
        <v>19.737665603996799</v>
      </c>
      <c r="AL41" s="116">
        <v>0</v>
      </c>
      <c r="AM41" s="116">
        <v>188.45432739229599</v>
      </c>
      <c r="AN41" s="116">
        <v>9.3964315617749392</v>
      </c>
      <c r="AO41" s="116">
        <v>6.4700348722873002</v>
      </c>
      <c r="AP41" s="116">
        <v>0</v>
      </c>
      <c r="AQ41" s="116">
        <v>0</v>
      </c>
      <c r="AR41" s="117">
        <v>4.9338488661289404</v>
      </c>
    </row>
    <row r="42" spans="2:44" ht="12" customHeight="1" x14ac:dyDescent="0.25">
      <c r="B42" s="115" t="s">
        <v>41</v>
      </c>
      <c r="C42" s="116" t="s">
        <v>90</v>
      </c>
      <c r="D42" s="116" t="s">
        <v>42</v>
      </c>
      <c r="E42" s="116" t="s">
        <v>25</v>
      </c>
      <c r="F42" s="116" t="s">
        <v>25</v>
      </c>
      <c r="G42" s="116" t="s">
        <v>25</v>
      </c>
      <c r="H42" s="116" t="s">
        <v>75</v>
      </c>
      <c r="I42" s="116" t="s">
        <v>25</v>
      </c>
      <c r="J42" s="116">
        <v>427.01</v>
      </c>
      <c r="K42" s="116">
        <v>209.34</v>
      </c>
      <c r="L42" s="116">
        <v>0</v>
      </c>
      <c r="M42" s="116">
        <v>0.82956737211048703</v>
      </c>
      <c r="N42" s="116">
        <v>3.2022655251329502</v>
      </c>
      <c r="O42" s="116">
        <v>0</v>
      </c>
      <c r="P42" s="116">
        <v>0</v>
      </c>
      <c r="Q42" s="116">
        <v>83.438543882049203</v>
      </c>
      <c r="R42" s="116">
        <v>13.5776200153944</v>
      </c>
      <c r="S42" s="116">
        <v>0</v>
      </c>
      <c r="T42" s="116">
        <v>0</v>
      </c>
      <c r="U42" s="116">
        <v>0</v>
      </c>
      <c r="V42" s="116">
        <v>0</v>
      </c>
      <c r="W42" s="116">
        <v>0</v>
      </c>
      <c r="X42" s="116">
        <v>120.11916470327699</v>
      </c>
      <c r="Y42" s="116">
        <v>0</v>
      </c>
      <c r="Z42" s="116">
        <v>0</v>
      </c>
      <c r="AA42" s="116">
        <v>183.141583368933</v>
      </c>
      <c r="AB42" s="116">
        <v>0</v>
      </c>
      <c r="AC42" s="116">
        <v>0</v>
      </c>
      <c r="AD42" s="116">
        <v>18.305663339602798</v>
      </c>
      <c r="AE42" s="116">
        <v>0.62803776931087396</v>
      </c>
      <c r="AF42" s="116">
        <v>3.5507557542947401</v>
      </c>
      <c r="AG42" s="116">
        <v>0.218867364984415</v>
      </c>
      <c r="AH42" s="116">
        <v>0</v>
      </c>
      <c r="AI42" s="116">
        <v>-21.939503923569099</v>
      </c>
      <c r="AJ42" s="116">
        <v>2.28934283327379</v>
      </c>
      <c r="AK42" s="116">
        <v>19.737665603996799</v>
      </c>
      <c r="AL42" s="116">
        <v>0</v>
      </c>
      <c r="AM42" s="116">
        <v>188.45432739229599</v>
      </c>
      <c r="AN42" s="116">
        <v>9.3964315617749392</v>
      </c>
      <c r="AO42" s="116">
        <v>6.4700348722873002</v>
      </c>
      <c r="AP42" s="116">
        <v>0</v>
      </c>
      <c r="AQ42" s="116">
        <v>0</v>
      </c>
      <c r="AR42" s="117">
        <v>4.9338488661289404</v>
      </c>
    </row>
    <row r="43" spans="2:44" ht="12" customHeight="1" x14ac:dyDescent="0.25">
      <c r="B43" s="115" t="s">
        <v>41</v>
      </c>
      <c r="C43" s="116" t="s">
        <v>90</v>
      </c>
      <c r="D43" s="116" t="s">
        <v>42</v>
      </c>
      <c r="E43" s="116" t="s">
        <v>92</v>
      </c>
      <c r="F43" s="116" t="s">
        <v>25</v>
      </c>
      <c r="G43" s="116" t="s">
        <v>25</v>
      </c>
      <c r="H43" s="116" t="s">
        <v>75</v>
      </c>
      <c r="I43" s="116" t="s">
        <v>25</v>
      </c>
      <c r="J43" s="116">
        <v>417.93</v>
      </c>
      <c r="K43" s="116">
        <v>204.89</v>
      </c>
      <c r="L43" s="116">
        <v>0</v>
      </c>
      <c r="M43" s="116">
        <v>0.81191700249111498</v>
      </c>
      <c r="N43" s="116">
        <v>3.1341322160875702</v>
      </c>
      <c r="O43" s="116">
        <v>0</v>
      </c>
      <c r="P43" s="116">
        <v>0</v>
      </c>
      <c r="Q43" s="116">
        <v>81.663255714346107</v>
      </c>
      <c r="R43" s="116">
        <v>13.288734483151901</v>
      </c>
      <c r="S43" s="116">
        <v>0</v>
      </c>
      <c r="T43" s="116">
        <v>0</v>
      </c>
      <c r="U43" s="116">
        <v>0</v>
      </c>
      <c r="V43" s="116">
        <v>0</v>
      </c>
      <c r="W43" s="116">
        <v>0</v>
      </c>
      <c r="X43" s="116">
        <v>117.56343779469699</v>
      </c>
      <c r="Y43" s="116">
        <v>0</v>
      </c>
      <c r="Z43" s="116">
        <v>0</v>
      </c>
      <c r="AA43" s="116">
        <v>179.244953935551</v>
      </c>
      <c r="AB43" s="116">
        <v>0</v>
      </c>
      <c r="AC43" s="116">
        <v>0</v>
      </c>
      <c r="AD43" s="116">
        <v>17.916181140887801</v>
      </c>
      <c r="AE43" s="116">
        <v>0.614675263580855</v>
      </c>
      <c r="AF43" s="116">
        <v>3.4752077595225099</v>
      </c>
      <c r="AG43" s="116">
        <v>0.21421061253793799</v>
      </c>
      <c r="AH43" s="116">
        <v>0</v>
      </c>
      <c r="AI43" s="116">
        <v>-21.472705967748499</v>
      </c>
      <c r="AJ43" s="116">
        <v>2.2406334112892399</v>
      </c>
      <c r="AK43" s="116">
        <v>19.317715271996899</v>
      </c>
      <c r="AL43" s="116">
        <v>0</v>
      </c>
      <c r="AM43" s="116">
        <v>184.44466085203399</v>
      </c>
      <c r="AN43" s="116">
        <v>9.1965074859925</v>
      </c>
      <c r="AO43" s="116">
        <v>6.3323745558556599</v>
      </c>
      <c r="AP43" s="116">
        <v>0</v>
      </c>
      <c r="AQ43" s="116">
        <v>0</v>
      </c>
      <c r="AR43" s="117">
        <v>4.82887335833896</v>
      </c>
    </row>
    <row r="44" spans="2:44" ht="12" customHeight="1" x14ac:dyDescent="0.25">
      <c r="B44" s="115" t="s">
        <v>36</v>
      </c>
      <c r="C44" s="116" t="s">
        <v>32</v>
      </c>
      <c r="D44" s="116" t="s">
        <v>25</v>
      </c>
      <c r="E44" s="116" t="s">
        <v>25</v>
      </c>
      <c r="F44" s="116" t="s">
        <v>25</v>
      </c>
      <c r="G44" s="116" t="s">
        <v>33</v>
      </c>
      <c r="H44" s="116" t="s">
        <v>75</v>
      </c>
      <c r="I44" s="116" t="s">
        <v>25</v>
      </c>
      <c r="J44" s="116">
        <v>1203.08</v>
      </c>
      <c r="K44" s="116">
        <v>347.53</v>
      </c>
      <c r="L44" s="116">
        <v>0</v>
      </c>
      <c r="M44" s="116">
        <v>0.88251848096860297</v>
      </c>
      <c r="N44" s="116">
        <v>10.196807364718399</v>
      </c>
      <c r="O44" s="116">
        <v>0</v>
      </c>
      <c r="P44" s="116">
        <v>0</v>
      </c>
      <c r="Q44" s="116">
        <v>88.764408385158703</v>
      </c>
      <c r="R44" s="116">
        <v>14.444276612121699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421.69503834128199</v>
      </c>
      <c r="Y44" s="116">
        <v>0</v>
      </c>
      <c r="Z44" s="116">
        <v>0</v>
      </c>
      <c r="AA44" s="116">
        <v>642.94378108872399</v>
      </c>
      <c r="AB44" s="116">
        <v>0</v>
      </c>
      <c r="AC44" s="116">
        <v>0</v>
      </c>
      <c r="AD44" s="116">
        <v>19.474109935747599</v>
      </c>
      <c r="AE44" s="116">
        <v>0.66812528650092995</v>
      </c>
      <c r="AF44" s="116">
        <v>3.77739973861142</v>
      </c>
      <c r="AG44" s="116">
        <v>0.232837622323846</v>
      </c>
      <c r="AH44" s="116">
        <v>0</v>
      </c>
      <c r="AI44" s="116">
        <v>-23.339897791030999</v>
      </c>
      <c r="AJ44" s="116">
        <v>2.43547109922743</v>
      </c>
      <c r="AK44" s="116">
        <v>20.997516599996601</v>
      </c>
      <c r="AL44" s="116">
        <v>0</v>
      </c>
      <c r="AM44" s="116">
        <v>325.31256836084799</v>
      </c>
      <c r="AN44" s="116">
        <v>9.9962037891222799</v>
      </c>
      <c r="AO44" s="116">
        <v>6.8830158215822399</v>
      </c>
      <c r="AP44" s="116">
        <v>0</v>
      </c>
      <c r="AQ44" s="116">
        <v>0</v>
      </c>
      <c r="AR44" s="117">
        <v>5.2487753894988698</v>
      </c>
    </row>
    <row r="45" spans="2:44" ht="12" customHeight="1" x14ac:dyDescent="0.25">
      <c r="B45" s="115" t="s">
        <v>36</v>
      </c>
      <c r="C45" s="116" t="s">
        <v>32</v>
      </c>
      <c r="D45" s="116" t="s">
        <v>25</v>
      </c>
      <c r="E45" s="116" t="s">
        <v>25</v>
      </c>
      <c r="F45" s="116" t="s">
        <v>25</v>
      </c>
      <c r="G45" s="116" t="s">
        <v>35</v>
      </c>
      <c r="H45" s="116" t="s">
        <v>75</v>
      </c>
      <c r="I45" s="116" t="s">
        <v>25</v>
      </c>
      <c r="J45" s="116">
        <v>773.33</v>
      </c>
      <c r="K45" s="116">
        <v>211.36</v>
      </c>
      <c r="L45" s="116">
        <v>0</v>
      </c>
      <c r="M45" s="116">
        <v>0.88251848096860297</v>
      </c>
      <c r="N45" s="116">
        <v>6.2998555425479799</v>
      </c>
      <c r="O45" s="116">
        <v>0</v>
      </c>
      <c r="P45" s="116">
        <v>0</v>
      </c>
      <c r="Q45" s="116">
        <v>88.764408385158703</v>
      </c>
      <c r="R45" s="116">
        <v>14.444276612121699</v>
      </c>
      <c r="S45" s="116">
        <v>0</v>
      </c>
      <c r="T45" s="116">
        <v>0</v>
      </c>
      <c r="U45" s="116">
        <v>0</v>
      </c>
      <c r="V45" s="116">
        <v>0</v>
      </c>
      <c r="W45" s="116">
        <v>0</v>
      </c>
      <c r="X45" s="116">
        <v>253.01694918562899</v>
      </c>
      <c r="Y45" s="116">
        <v>0</v>
      </c>
      <c r="Z45" s="116">
        <v>0</v>
      </c>
      <c r="AA45" s="116">
        <v>385.76624710488198</v>
      </c>
      <c r="AB45" s="116">
        <v>0</v>
      </c>
      <c r="AC45" s="116">
        <v>0</v>
      </c>
      <c r="AD45" s="116">
        <v>19.474109935747599</v>
      </c>
      <c r="AE45" s="116">
        <v>0.66812528650092995</v>
      </c>
      <c r="AF45" s="116">
        <v>3.77739973861142</v>
      </c>
      <c r="AG45" s="116">
        <v>0.232837622323846</v>
      </c>
      <c r="AH45" s="116">
        <v>0</v>
      </c>
      <c r="AI45" s="116">
        <v>-23.339897791030999</v>
      </c>
      <c r="AJ45" s="116">
        <v>2.43547109922743</v>
      </c>
      <c r="AK45" s="116">
        <v>20.997516599996601</v>
      </c>
      <c r="AL45" s="116">
        <v>0</v>
      </c>
      <c r="AM45" s="116">
        <v>189.13521416328399</v>
      </c>
      <c r="AN45" s="116">
        <v>9.9962037891222799</v>
      </c>
      <c r="AO45" s="116">
        <v>6.8830158215822399</v>
      </c>
      <c r="AP45" s="116">
        <v>0</v>
      </c>
      <c r="AQ45" s="116">
        <v>0</v>
      </c>
      <c r="AR45" s="117">
        <v>5.2487753894988698</v>
      </c>
    </row>
    <row r="46" spans="2:44" ht="12" customHeight="1" x14ac:dyDescent="0.25">
      <c r="B46" s="115" t="s">
        <v>36</v>
      </c>
      <c r="C46" s="116" t="s">
        <v>32</v>
      </c>
      <c r="D46" s="116" t="s">
        <v>25</v>
      </c>
      <c r="E46" s="116" t="s">
        <v>25</v>
      </c>
      <c r="F46" s="116" t="s">
        <v>25</v>
      </c>
      <c r="G46" s="116" t="s">
        <v>34</v>
      </c>
      <c r="H46" s="116" t="s">
        <v>75</v>
      </c>
      <c r="I46" s="116" t="s">
        <v>25</v>
      </c>
      <c r="J46" s="116">
        <v>343.57</v>
      </c>
      <c r="K46" s="116">
        <v>211.36</v>
      </c>
      <c r="L46" s="116">
        <v>0</v>
      </c>
      <c r="M46" s="116">
        <v>0.88251848096860297</v>
      </c>
      <c r="N46" s="116">
        <v>2.40290475735473</v>
      </c>
      <c r="O46" s="116">
        <v>0</v>
      </c>
      <c r="P46" s="116">
        <v>0</v>
      </c>
      <c r="Q46" s="116">
        <v>88.764408385158703</v>
      </c>
      <c r="R46" s="116">
        <v>14.444276612121699</v>
      </c>
      <c r="S46" s="116">
        <v>0</v>
      </c>
      <c r="T46" s="116">
        <v>0</v>
      </c>
      <c r="U46" s="116">
        <v>0</v>
      </c>
      <c r="V46" s="116">
        <v>0</v>
      </c>
      <c r="W46" s="116">
        <v>0</v>
      </c>
      <c r="X46" s="116">
        <v>84.338983061876206</v>
      </c>
      <c r="Y46" s="116">
        <v>0</v>
      </c>
      <c r="Z46" s="116">
        <v>0</v>
      </c>
      <c r="AA46" s="116">
        <v>128.588713121041</v>
      </c>
      <c r="AB46" s="116">
        <v>0</v>
      </c>
      <c r="AC46" s="116">
        <v>0</v>
      </c>
      <c r="AD46" s="116">
        <v>19.474109935747599</v>
      </c>
      <c r="AE46" s="116">
        <v>0.66812528650092995</v>
      </c>
      <c r="AF46" s="116">
        <v>3.77739973861142</v>
      </c>
      <c r="AG46" s="116">
        <v>0.232837622323846</v>
      </c>
      <c r="AH46" s="116">
        <v>0</v>
      </c>
      <c r="AI46" s="116">
        <v>-23.339897791030999</v>
      </c>
      <c r="AJ46" s="116">
        <v>2.43547109922743</v>
      </c>
      <c r="AK46" s="116">
        <v>20.997516599996601</v>
      </c>
      <c r="AL46" s="116">
        <v>0</v>
      </c>
      <c r="AM46" s="116">
        <v>189.13521416328399</v>
      </c>
      <c r="AN46" s="116">
        <v>9.9962037891222799</v>
      </c>
      <c r="AO46" s="116">
        <v>6.8830158215822399</v>
      </c>
      <c r="AP46" s="116">
        <v>0</v>
      </c>
      <c r="AQ46" s="116">
        <v>0</v>
      </c>
      <c r="AR46" s="117">
        <v>5.2487753894988698</v>
      </c>
    </row>
    <row r="47" spans="2:44" ht="12" customHeight="1" x14ac:dyDescent="0.25">
      <c r="B47" s="115" t="s">
        <v>36</v>
      </c>
      <c r="C47" s="116" t="s">
        <v>23</v>
      </c>
      <c r="D47" s="116" t="s">
        <v>25</v>
      </c>
      <c r="E47" s="116" t="s">
        <v>25</v>
      </c>
      <c r="F47" s="116" t="s">
        <v>25</v>
      </c>
      <c r="G47" s="116" t="s">
        <v>25</v>
      </c>
      <c r="H47" s="116" t="s">
        <v>75</v>
      </c>
      <c r="I47" s="116" t="s">
        <v>25</v>
      </c>
      <c r="J47" s="116">
        <v>454.27</v>
      </c>
      <c r="K47" s="116">
        <v>222.7</v>
      </c>
      <c r="L47" s="116">
        <v>0</v>
      </c>
      <c r="M47" s="116">
        <v>0.88251848096860297</v>
      </c>
      <c r="N47" s="116">
        <v>3.40666545226909</v>
      </c>
      <c r="O47" s="116">
        <v>0</v>
      </c>
      <c r="P47" s="116">
        <v>0</v>
      </c>
      <c r="Q47" s="116">
        <v>88.764408385158703</v>
      </c>
      <c r="R47" s="116">
        <v>14.444276612121699</v>
      </c>
      <c r="S47" s="116">
        <v>0</v>
      </c>
      <c r="T47" s="116">
        <v>0</v>
      </c>
      <c r="U47" s="116">
        <v>0</v>
      </c>
      <c r="V47" s="116">
        <v>0</v>
      </c>
      <c r="W47" s="116">
        <v>0</v>
      </c>
      <c r="X47" s="116">
        <v>127.78634542901899</v>
      </c>
      <c r="Y47" s="116">
        <v>0</v>
      </c>
      <c r="Z47" s="116">
        <v>0</v>
      </c>
      <c r="AA47" s="116">
        <v>194.83147166907801</v>
      </c>
      <c r="AB47" s="116">
        <v>0</v>
      </c>
      <c r="AC47" s="116">
        <v>0</v>
      </c>
      <c r="AD47" s="116">
        <v>19.474109935747599</v>
      </c>
      <c r="AE47" s="116">
        <v>0.66812528650092995</v>
      </c>
      <c r="AF47" s="116">
        <v>3.77739973861142</v>
      </c>
      <c r="AG47" s="116">
        <v>0.232837622323846</v>
      </c>
      <c r="AH47" s="116">
        <v>0</v>
      </c>
      <c r="AI47" s="116">
        <v>-23.339897791030999</v>
      </c>
      <c r="AJ47" s="116">
        <v>2.43547109922743</v>
      </c>
      <c r="AK47" s="116">
        <v>20.997516599996601</v>
      </c>
      <c r="AL47" s="116">
        <v>0</v>
      </c>
      <c r="AM47" s="116">
        <v>200.48332701308101</v>
      </c>
      <c r="AN47" s="116">
        <v>9.9962037891222799</v>
      </c>
      <c r="AO47" s="116">
        <v>6.8830158215822399</v>
      </c>
      <c r="AP47" s="116">
        <v>0</v>
      </c>
      <c r="AQ47" s="116">
        <v>0</v>
      </c>
      <c r="AR47" s="117">
        <v>5.2487753894988698</v>
      </c>
    </row>
    <row r="48" spans="2:44" ht="12" customHeight="1" x14ac:dyDescent="0.25">
      <c r="B48" s="115" t="s">
        <v>36</v>
      </c>
      <c r="C48" s="116" t="s">
        <v>90</v>
      </c>
      <c r="D48" s="116" t="s">
        <v>25</v>
      </c>
      <c r="E48" s="116" t="s">
        <v>25</v>
      </c>
      <c r="F48" s="116" t="s">
        <v>25</v>
      </c>
      <c r="G48" s="116" t="s">
        <v>25</v>
      </c>
      <c r="H48" s="116" t="s">
        <v>75</v>
      </c>
      <c r="I48" s="116" t="s">
        <v>25</v>
      </c>
      <c r="J48" s="116">
        <v>454.27</v>
      </c>
      <c r="K48" s="116">
        <v>222.7</v>
      </c>
      <c r="L48" s="116">
        <v>0</v>
      </c>
      <c r="M48" s="116">
        <v>0.88251848096860297</v>
      </c>
      <c r="N48" s="116">
        <v>3.40666545226909</v>
      </c>
      <c r="O48" s="116">
        <v>0</v>
      </c>
      <c r="P48" s="116">
        <v>0</v>
      </c>
      <c r="Q48" s="116">
        <v>88.764408385158703</v>
      </c>
      <c r="R48" s="116">
        <v>14.444276612121699</v>
      </c>
      <c r="S48" s="116">
        <v>0</v>
      </c>
      <c r="T48" s="116">
        <v>0</v>
      </c>
      <c r="U48" s="116">
        <v>0</v>
      </c>
      <c r="V48" s="116">
        <v>0</v>
      </c>
      <c r="W48" s="116">
        <v>0</v>
      </c>
      <c r="X48" s="116">
        <v>127.78634542901899</v>
      </c>
      <c r="Y48" s="116">
        <v>0</v>
      </c>
      <c r="Z48" s="116">
        <v>0</v>
      </c>
      <c r="AA48" s="116">
        <v>194.83147166907801</v>
      </c>
      <c r="AB48" s="116">
        <v>0</v>
      </c>
      <c r="AC48" s="116">
        <v>0</v>
      </c>
      <c r="AD48" s="116">
        <v>19.474109935747599</v>
      </c>
      <c r="AE48" s="116">
        <v>0.66812528650092995</v>
      </c>
      <c r="AF48" s="116">
        <v>3.77739973861142</v>
      </c>
      <c r="AG48" s="116">
        <v>0.232837622323846</v>
      </c>
      <c r="AH48" s="116">
        <v>0</v>
      </c>
      <c r="AI48" s="116">
        <v>-23.339897791030999</v>
      </c>
      <c r="AJ48" s="116">
        <v>2.43547109922743</v>
      </c>
      <c r="AK48" s="116">
        <v>20.997516599996601</v>
      </c>
      <c r="AL48" s="116">
        <v>0</v>
      </c>
      <c r="AM48" s="116">
        <v>200.48332701308101</v>
      </c>
      <c r="AN48" s="116">
        <v>9.9962037891222799</v>
      </c>
      <c r="AO48" s="116">
        <v>6.8830158215822399</v>
      </c>
      <c r="AP48" s="116">
        <v>0</v>
      </c>
      <c r="AQ48" s="116">
        <v>0</v>
      </c>
      <c r="AR48" s="117">
        <v>5.2487753894988698</v>
      </c>
    </row>
    <row r="49" spans="2:44" ht="12" customHeight="1" x14ac:dyDescent="0.25">
      <c r="B49" s="115" t="s">
        <v>44</v>
      </c>
      <c r="C49" s="116" t="s">
        <v>23</v>
      </c>
      <c r="D49" s="116" t="s">
        <v>45</v>
      </c>
      <c r="E49" s="116" t="s">
        <v>93</v>
      </c>
      <c r="F49" s="116" t="s">
        <v>25</v>
      </c>
      <c r="G49" s="116" t="s">
        <v>25</v>
      </c>
      <c r="H49" s="116" t="s">
        <v>75</v>
      </c>
      <c r="I49" s="116" t="s">
        <v>25</v>
      </c>
      <c r="J49" s="116">
        <v>249.85</v>
      </c>
      <c r="K49" s="116">
        <v>122.49</v>
      </c>
      <c r="L49" s="116">
        <v>0</v>
      </c>
      <c r="M49" s="116">
        <v>0.48538516453273201</v>
      </c>
      <c r="N49" s="116">
        <v>1.873665998748</v>
      </c>
      <c r="O49" s="116">
        <v>0</v>
      </c>
      <c r="P49" s="116">
        <v>0</v>
      </c>
      <c r="Q49" s="116">
        <v>48.820424611837304</v>
      </c>
      <c r="R49" s="116">
        <v>7.9443521366669101</v>
      </c>
      <c r="S49" s="116">
        <v>0</v>
      </c>
      <c r="T49" s="116">
        <v>0</v>
      </c>
      <c r="U49" s="116">
        <v>0</v>
      </c>
      <c r="V49" s="116">
        <v>0</v>
      </c>
      <c r="W49" s="116">
        <v>0</v>
      </c>
      <c r="X49" s="116">
        <v>70.282489985960197</v>
      </c>
      <c r="Y49" s="116">
        <v>0</v>
      </c>
      <c r="Z49" s="116">
        <v>0</v>
      </c>
      <c r="AA49" s="116">
        <v>107.15730941799301</v>
      </c>
      <c r="AB49" s="116">
        <v>0</v>
      </c>
      <c r="AC49" s="116">
        <v>0</v>
      </c>
      <c r="AD49" s="116">
        <v>10.710760464661201</v>
      </c>
      <c r="AE49" s="116">
        <v>0.36746890757551098</v>
      </c>
      <c r="AF49" s="116">
        <v>2.0775698562362801</v>
      </c>
      <c r="AG49" s="116">
        <v>0.12806069227811501</v>
      </c>
      <c r="AH49" s="116">
        <v>0</v>
      </c>
      <c r="AI49" s="116">
        <v>-12.836943785067</v>
      </c>
      <c r="AJ49" s="116">
        <v>1.33950910457509</v>
      </c>
      <c r="AK49" s="116">
        <v>11.5486341299982</v>
      </c>
      <c r="AL49" s="116">
        <v>0</v>
      </c>
      <c r="AM49" s="116">
        <v>110.26582985719401</v>
      </c>
      <c r="AN49" s="116">
        <v>5.4979120840172504</v>
      </c>
      <c r="AO49" s="116">
        <v>3.7856587018702301</v>
      </c>
      <c r="AP49" s="116">
        <v>0</v>
      </c>
      <c r="AQ49" s="116">
        <v>0</v>
      </c>
      <c r="AR49" s="117">
        <v>2.8868264642243799</v>
      </c>
    </row>
    <row r="50" spans="2:44" ht="12" customHeight="1" x14ac:dyDescent="0.25">
      <c r="B50" s="118" t="s">
        <v>44</v>
      </c>
      <c r="C50" s="119" t="s">
        <v>23</v>
      </c>
      <c r="D50" s="119" t="s">
        <v>45</v>
      </c>
      <c r="E50" s="119" t="s">
        <v>46</v>
      </c>
      <c r="F50" s="119" t="s">
        <v>25</v>
      </c>
      <c r="G50" s="119" t="s">
        <v>25</v>
      </c>
      <c r="H50" s="119" t="s">
        <v>75</v>
      </c>
      <c r="I50" s="119" t="s">
        <v>25</v>
      </c>
      <c r="J50" s="119">
        <v>272.56</v>
      </c>
      <c r="K50" s="119">
        <v>133.62</v>
      </c>
      <c r="L50" s="119">
        <v>0</v>
      </c>
      <c r="M50" s="119">
        <v>0.52951108858116203</v>
      </c>
      <c r="N50" s="119">
        <v>2.0439992713614599</v>
      </c>
      <c r="O50" s="119">
        <v>0</v>
      </c>
      <c r="P50" s="119">
        <v>0</v>
      </c>
      <c r="Q50" s="119">
        <v>53.258645031095199</v>
      </c>
      <c r="R50" s="119">
        <v>8.6665659672729998</v>
      </c>
      <c r="S50" s="119">
        <v>0</v>
      </c>
      <c r="T50" s="119">
        <v>0</v>
      </c>
      <c r="U50" s="119">
        <v>0</v>
      </c>
      <c r="V50" s="119">
        <v>0</v>
      </c>
      <c r="W50" s="119">
        <v>0</v>
      </c>
      <c r="X50" s="119">
        <v>76.671807257411103</v>
      </c>
      <c r="Y50" s="119">
        <v>0</v>
      </c>
      <c r="Z50" s="119">
        <v>0</v>
      </c>
      <c r="AA50" s="119">
        <v>116.898883001447</v>
      </c>
      <c r="AB50" s="119">
        <v>0</v>
      </c>
      <c r="AC50" s="119">
        <v>0</v>
      </c>
      <c r="AD50" s="119">
        <v>11.6844659614486</v>
      </c>
      <c r="AE50" s="119">
        <v>0.40087517190055799</v>
      </c>
      <c r="AF50" s="119">
        <v>2.2664398431668502</v>
      </c>
      <c r="AG50" s="119">
        <v>0.139702573394307</v>
      </c>
      <c r="AH50" s="119">
        <v>0</v>
      </c>
      <c r="AI50" s="119">
        <v>-14.003938674618601</v>
      </c>
      <c r="AJ50" s="119">
        <v>1.4612826595364601</v>
      </c>
      <c r="AK50" s="119">
        <v>12.598509959997999</v>
      </c>
      <c r="AL50" s="119">
        <v>0</v>
      </c>
      <c r="AM50" s="119">
        <v>120.28999620784801</v>
      </c>
      <c r="AN50" s="119">
        <v>5.9977222734733697</v>
      </c>
      <c r="AO50" s="119">
        <v>4.1298094929493399</v>
      </c>
      <c r="AP50" s="119">
        <v>0</v>
      </c>
      <c r="AQ50" s="119">
        <v>0</v>
      </c>
      <c r="AR50" s="120">
        <v>3.1492652336993201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8854A-48D5-4BBB-9EFE-F15F1178F615}">
  <dimension ref="B1:AR50"/>
  <sheetViews>
    <sheetView showGridLines="0" workbookViewId="0">
      <selection activeCell="D9" sqref="D9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61" t="s">
        <v>1335</v>
      </c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  <c r="AD1" s="161"/>
      <c r="AE1" s="161"/>
      <c r="AF1" s="161"/>
      <c r="AG1" s="162"/>
      <c r="AH1" s="161" t="s">
        <v>1336</v>
      </c>
      <c r="AI1" s="161"/>
      <c r="AJ1" s="161"/>
      <c r="AK1" s="161"/>
      <c r="AL1" s="161"/>
      <c r="AM1" s="161"/>
      <c r="AN1" s="161"/>
      <c r="AO1" s="161"/>
      <c r="AP1" s="161"/>
      <c r="AQ1" s="161"/>
      <c r="AR1" s="161"/>
    </row>
    <row r="2" spans="2:44" ht="12" customHeight="1" x14ac:dyDescent="0.25">
      <c r="L2" s="163" t="s">
        <v>534</v>
      </c>
      <c r="M2" s="163"/>
      <c r="N2" s="163"/>
      <c r="O2" s="163"/>
      <c r="P2" s="163"/>
      <c r="Q2" s="163"/>
      <c r="R2" s="163"/>
      <c r="S2" s="164"/>
      <c r="T2" s="163" t="s">
        <v>543</v>
      </c>
      <c r="U2" s="163"/>
      <c r="V2" s="163"/>
      <c r="W2" s="163"/>
      <c r="X2" s="163"/>
      <c r="Y2" s="163"/>
      <c r="Z2" s="164"/>
      <c r="AA2" s="122" t="s">
        <v>551</v>
      </c>
      <c r="AB2" s="163" t="s">
        <v>25</v>
      </c>
      <c r="AC2" s="164"/>
      <c r="AD2" s="163" t="s">
        <v>1334</v>
      </c>
      <c r="AE2" s="163"/>
      <c r="AF2" s="163"/>
      <c r="AG2" s="164"/>
      <c r="AH2" s="163" t="s">
        <v>534</v>
      </c>
      <c r="AI2" s="163"/>
      <c r="AJ2" s="163"/>
      <c r="AK2" s="163"/>
      <c r="AL2" s="164"/>
      <c r="AM2" s="122" t="s">
        <v>565</v>
      </c>
      <c r="AN2" s="163" t="s">
        <v>543</v>
      </c>
      <c r="AO2" s="163"/>
      <c r="AP2" s="163"/>
      <c r="AQ2" s="164"/>
      <c r="AR2" s="121" t="s">
        <v>1334</v>
      </c>
    </row>
    <row r="3" spans="2:44" ht="12" customHeight="1" x14ac:dyDescent="0.25">
      <c r="B3" s="112" t="s">
        <v>65</v>
      </c>
      <c r="C3" s="113" t="s">
        <v>66</v>
      </c>
      <c r="D3" s="113" t="s">
        <v>67</v>
      </c>
      <c r="E3" s="113" t="s">
        <v>68</v>
      </c>
      <c r="F3" s="113" t="s">
        <v>69</v>
      </c>
      <c r="G3" s="113" t="s">
        <v>71</v>
      </c>
      <c r="H3" s="113" t="s">
        <v>72</v>
      </c>
      <c r="I3" s="113" t="s">
        <v>811</v>
      </c>
      <c r="J3" s="113" t="s">
        <v>1298</v>
      </c>
      <c r="K3" s="113" t="s">
        <v>1299</v>
      </c>
      <c r="L3" s="113" t="s">
        <v>1300</v>
      </c>
      <c r="M3" s="113" t="s">
        <v>1301</v>
      </c>
      <c r="N3" s="113" t="s">
        <v>1302</v>
      </c>
      <c r="O3" s="113" t="s">
        <v>1303</v>
      </c>
      <c r="P3" s="113" t="s">
        <v>1304</v>
      </c>
      <c r="Q3" s="113" t="s">
        <v>1305</v>
      </c>
      <c r="R3" s="113" t="s">
        <v>1306</v>
      </c>
      <c r="S3" s="113" t="s">
        <v>1307</v>
      </c>
      <c r="T3" s="113" t="s">
        <v>1308</v>
      </c>
      <c r="U3" s="113" t="s">
        <v>1309</v>
      </c>
      <c r="V3" s="113" t="s">
        <v>1310</v>
      </c>
      <c r="W3" s="113" t="s">
        <v>1311</v>
      </c>
      <c r="X3" s="113" t="s">
        <v>1312</v>
      </c>
      <c r="Y3" s="113" t="s">
        <v>1313</v>
      </c>
      <c r="Z3" s="113" t="s">
        <v>1314</v>
      </c>
      <c r="AA3" s="113" t="s">
        <v>1315</v>
      </c>
      <c r="AB3" s="113" t="s">
        <v>1316</v>
      </c>
      <c r="AC3" s="113" t="s">
        <v>1317</v>
      </c>
      <c r="AD3" s="113" t="s">
        <v>1318</v>
      </c>
      <c r="AE3" s="113" t="s">
        <v>1319</v>
      </c>
      <c r="AF3" s="113" t="s">
        <v>1320</v>
      </c>
      <c r="AG3" s="113" t="s">
        <v>1321</v>
      </c>
      <c r="AH3" s="113" t="s">
        <v>1322</v>
      </c>
      <c r="AI3" s="113" t="s">
        <v>1323</v>
      </c>
      <c r="AJ3" s="113" t="s">
        <v>1324</v>
      </c>
      <c r="AK3" s="113" t="s">
        <v>1325</v>
      </c>
      <c r="AL3" s="113" t="s">
        <v>1326</v>
      </c>
      <c r="AM3" s="113" t="s">
        <v>1327</v>
      </c>
      <c r="AN3" s="113" t="s">
        <v>1328</v>
      </c>
      <c r="AO3" s="113" t="s">
        <v>1329</v>
      </c>
      <c r="AP3" s="113" t="s">
        <v>1330</v>
      </c>
      <c r="AQ3" s="113" t="s">
        <v>1331</v>
      </c>
      <c r="AR3" s="114" t="s">
        <v>1332</v>
      </c>
    </row>
    <row r="4" spans="2:44" ht="12" customHeight="1" x14ac:dyDescent="0.25">
      <c r="B4" s="115" t="s">
        <v>38</v>
      </c>
      <c r="C4" s="116" t="s">
        <v>56</v>
      </c>
      <c r="D4" s="116" t="s">
        <v>25</v>
      </c>
      <c r="E4" s="116" t="s">
        <v>25</v>
      </c>
      <c r="F4" s="116" t="s">
        <v>83</v>
      </c>
      <c r="G4" s="116" t="s">
        <v>33</v>
      </c>
      <c r="H4" s="116" t="s">
        <v>75</v>
      </c>
      <c r="I4" s="116" t="s">
        <v>25</v>
      </c>
      <c r="J4" s="116">
        <v>0.7</v>
      </c>
      <c r="K4" s="116">
        <v>0</v>
      </c>
      <c r="L4" s="116">
        <v>0</v>
      </c>
      <c r="M4" s="116">
        <v>0</v>
      </c>
      <c r="N4" s="116">
        <v>0</v>
      </c>
      <c r="O4" s="116">
        <v>0</v>
      </c>
      <c r="P4" s="116">
        <v>0</v>
      </c>
      <c r="Q4" s="116">
        <v>0</v>
      </c>
      <c r="R4" s="116">
        <v>0</v>
      </c>
      <c r="S4" s="116">
        <v>0</v>
      </c>
      <c r="T4" s="116">
        <v>0</v>
      </c>
      <c r="U4" s="116">
        <v>0</v>
      </c>
      <c r="V4" s="116">
        <v>0</v>
      </c>
      <c r="W4" s="116">
        <v>0</v>
      </c>
      <c r="X4" s="116">
        <v>0</v>
      </c>
      <c r="Y4" s="116">
        <v>0</v>
      </c>
      <c r="Z4" s="116">
        <v>0</v>
      </c>
      <c r="AA4" s="116">
        <v>0</v>
      </c>
      <c r="AB4" s="116">
        <v>0</v>
      </c>
      <c r="AC4" s="116">
        <v>0</v>
      </c>
      <c r="AD4" s="116">
        <v>0.41034314841640102</v>
      </c>
      <c r="AE4" s="116">
        <v>1.40782112509357E-2</v>
      </c>
      <c r="AF4" s="116">
        <v>0.27990611615321698</v>
      </c>
      <c r="AG4" s="116">
        <v>0</v>
      </c>
      <c r="AH4" s="116">
        <v>0</v>
      </c>
      <c r="AI4" s="116">
        <v>0</v>
      </c>
      <c r="AJ4" s="116">
        <v>0</v>
      </c>
      <c r="AK4" s="116">
        <v>0</v>
      </c>
      <c r="AL4" s="116">
        <v>0</v>
      </c>
      <c r="AM4" s="116">
        <v>0</v>
      </c>
      <c r="AN4" s="116">
        <v>0</v>
      </c>
      <c r="AO4" s="116">
        <v>0</v>
      </c>
      <c r="AP4" s="116">
        <v>0</v>
      </c>
      <c r="AQ4" s="116">
        <v>0</v>
      </c>
      <c r="AR4" s="117">
        <v>0</v>
      </c>
    </row>
    <row r="5" spans="2:44" ht="12" customHeight="1" x14ac:dyDescent="0.25">
      <c r="B5" s="115" t="s">
        <v>38</v>
      </c>
      <c r="C5" s="116" t="s">
        <v>56</v>
      </c>
      <c r="D5" s="116" t="s">
        <v>25</v>
      </c>
      <c r="E5" s="116" t="s">
        <v>25</v>
      </c>
      <c r="F5" s="116" t="s">
        <v>83</v>
      </c>
      <c r="G5" s="116" t="s">
        <v>33</v>
      </c>
      <c r="H5" s="116" t="s">
        <v>80</v>
      </c>
      <c r="I5" s="116" t="s">
        <v>25</v>
      </c>
      <c r="J5" s="116">
        <v>0</v>
      </c>
      <c r="K5" s="116">
        <v>0</v>
      </c>
      <c r="L5" s="116">
        <v>0</v>
      </c>
      <c r="M5" s="116">
        <v>0</v>
      </c>
      <c r="N5" s="116">
        <v>0</v>
      </c>
      <c r="O5" s="116">
        <v>0</v>
      </c>
      <c r="P5" s="116">
        <v>0</v>
      </c>
      <c r="Q5" s="116">
        <v>0</v>
      </c>
      <c r="R5" s="116">
        <v>0</v>
      </c>
      <c r="S5" s="116">
        <v>0</v>
      </c>
      <c r="T5" s="116">
        <v>0</v>
      </c>
      <c r="U5" s="116">
        <v>0</v>
      </c>
      <c r="V5" s="116">
        <v>0</v>
      </c>
      <c r="W5" s="116">
        <v>0</v>
      </c>
      <c r="X5" s="116">
        <v>0</v>
      </c>
      <c r="Y5" s="116">
        <v>0</v>
      </c>
      <c r="Z5" s="116">
        <v>0</v>
      </c>
      <c r="AA5" s="116">
        <v>0</v>
      </c>
      <c r="AB5" s="116">
        <v>0</v>
      </c>
      <c r="AC5" s="116">
        <v>0</v>
      </c>
      <c r="AD5" s="116">
        <v>0</v>
      </c>
      <c r="AE5" s="116">
        <v>0</v>
      </c>
      <c r="AF5" s="116">
        <v>0</v>
      </c>
      <c r="AG5" s="116">
        <v>0</v>
      </c>
      <c r="AH5" s="116">
        <v>0</v>
      </c>
      <c r="AI5" s="116">
        <v>0</v>
      </c>
      <c r="AJ5" s="116">
        <v>0</v>
      </c>
      <c r="AK5" s="116">
        <v>0</v>
      </c>
      <c r="AL5" s="116">
        <v>0</v>
      </c>
      <c r="AM5" s="116">
        <v>0</v>
      </c>
      <c r="AN5" s="116">
        <v>0</v>
      </c>
      <c r="AO5" s="116">
        <v>0</v>
      </c>
      <c r="AP5" s="116">
        <v>0</v>
      </c>
      <c r="AQ5" s="116">
        <v>0</v>
      </c>
      <c r="AR5" s="117">
        <v>0</v>
      </c>
    </row>
    <row r="6" spans="2:44" ht="12" customHeight="1" x14ac:dyDescent="0.25">
      <c r="B6" s="115" t="s">
        <v>38</v>
      </c>
      <c r="C6" s="116" t="s">
        <v>56</v>
      </c>
      <c r="D6" s="116" t="s">
        <v>25</v>
      </c>
      <c r="E6" s="116" t="s">
        <v>25</v>
      </c>
      <c r="F6" s="116" t="s">
        <v>83</v>
      </c>
      <c r="G6" s="116" t="s">
        <v>34</v>
      </c>
      <c r="H6" s="116" t="s">
        <v>75</v>
      </c>
      <c r="I6" s="116" t="s">
        <v>25</v>
      </c>
      <c r="J6" s="116">
        <v>0.7</v>
      </c>
      <c r="K6" s="116">
        <v>0</v>
      </c>
      <c r="L6" s="116">
        <v>0</v>
      </c>
      <c r="M6" s="116">
        <v>0</v>
      </c>
      <c r="N6" s="116">
        <v>0</v>
      </c>
      <c r="O6" s="116">
        <v>0</v>
      </c>
      <c r="P6" s="116">
        <v>0</v>
      </c>
      <c r="Q6" s="116">
        <v>0</v>
      </c>
      <c r="R6" s="116">
        <v>0</v>
      </c>
      <c r="S6" s="116">
        <v>0</v>
      </c>
      <c r="T6" s="116">
        <v>0</v>
      </c>
      <c r="U6" s="116">
        <v>0</v>
      </c>
      <c r="V6" s="116">
        <v>0</v>
      </c>
      <c r="W6" s="116">
        <v>0</v>
      </c>
      <c r="X6" s="116">
        <v>0</v>
      </c>
      <c r="Y6" s="116">
        <v>0</v>
      </c>
      <c r="Z6" s="116">
        <v>0</v>
      </c>
      <c r="AA6" s="116">
        <v>0</v>
      </c>
      <c r="AB6" s="116">
        <v>0</v>
      </c>
      <c r="AC6" s="116">
        <v>0</v>
      </c>
      <c r="AD6" s="116">
        <v>0.41034314841640102</v>
      </c>
      <c r="AE6" s="116">
        <v>1.40782112509357E-2</v>
      </c>
      <c r="AF6" s="116">
        <v>0.27990611615321698</v>
      </c>
      <c r="AG6" s="116">
        <v>0</v>
      </c>
      <c r="AH6" s="116">
        <v>0</v>
      </c>
      <c r="AI6" s="116">
        <v>0</v>
      </c>
      <c r="AJ6" s="116">
        <v>0</v>
      </c>
      <c r="AK6" s="116">
        <v>0</v>
      </c>
      <c r="AL6" s="116">
        <v>0</v>
      </c>
      <c r="AM6" s="116">
        <v>0</v>
      </c>
      <c r="AN6" s="116">
        <v>0</v>
      </c>
      <c r="AO6" s="116">
        <v>0</v>
      </c>
      <c r="AP6" s="116">
        <v>0</v>
      </c>
      <c r="AQ6" s="116">
        <v>0</v>
      </c>
      <c r="AR6" s="117">
        <v>0</v>
      </c>
    </row>
    <row r="7" spans="2:44" ht="12" customHeight="1" x14ac:dyDescent="0.25">
      <c r="B7" s="115" t="s">
        <v>38</v>
      </c>
      <c r="C7" s="116" t="s">
        <v>56</v>
      </c>
      <c r="D7" s="116" t="s">
        <v>25</v>
      </c>
      <c r="E7" s="116" t="s">
        <v>25</v>
      </c>
      <c r="F7" s="116" t="s">
        <v>83</v>
      </c>
      <c r="G7" s="116" t="s">
        <v>34</v>
      </c>
      <c r="H7" s="116" t="s">
        <v>80</v>
      </c>
      <c r="I7" s="116" t="s">
        <v>25</v>
      </c>
      <c r="J7" s="116">
        <v>0</v>
      </c>
      <c r="K7" s="116">
        <v>0</v>
      </c>
      <c r="L7" s="116">
        <v>0</v>
      </c>
      <c r="M7" s="116">
        <v>0</v>
      </c>
      <c r="N7" s="116">
        <v>0</v>
      </c>
      <c r="O7" s="116">
        <v>0</v>
      </c>
      <c r="P7" s="116">
        <v>0</v>
      </c>
      <c r="Q7" s="116">
        <v>0</v>
      </c>
      <c r="R7" s="116">
        <v>0</v>
      </c>
      <c r="S7" s="116">
        <v>0</v>
      </c>
      <c r="T7" s="116">
        <v>0</v>
      </c>
      <c r="U7" s="116">
        <v>0</v>
      </c>
      <c r="V7" s="116">
        <v>0</v>
      </c>
      <c r="W7" s="116">
        <v>0</v>
      </c>
      <c r="X7" s="116">
        <v>0</v>
      </c>
      <c r="Y7" s="116">
        <v>0</v>
      </c>
      <c r="Z7" s="116">
        <v>0</v>
      </c>
      <c r="AA7" s="116">
        <v>0</v>
      </c>
      <c r="AB7" s="116">
        <v>0</v>
      </c>
      <c r="AC7" s="116">
        <v>0</v>
      </c>
      <c r="AD7" s="116">
        <v>0</v>
      </c>
      <c r="AE7" s="116">
        <v>0</v>
      </c>
      <c r="AF7" s="116">
        <v>0</v>
      </c>
      <c r="AG7" s="116">
        <v>0</v>
      </c>
      <c r="AH7" s="116">
        <v>0</v>
      </c>
      <c r="AI7" s="116">
        <v>0</v>
      </c>
      <c r="AJ7" s="116">
        <v>0</v>
      </c>
      <c r="AK7" s="116">
        <v>0</v>
      </c>
      <c r="AL7" s="116">
        <v>0</v>
      </c>
      <c r="AM7" s="116">
        <v>0</v>
      </c>
      <c r="AN7" s="116">
        <v>0</v>
      </c>
      <c r="AO7" s="116">
        <v>0</v>
      </c>
      <c r="AP7" s="116">
        <v>0</v>
      </c>
      <c r="AQ7" s="116">
        <v>0</v>
      </c>
      <c r="AR7" s="117">
        <v>0</v>
      </c>
    </row>
    <row r="8" spans="2:44" ht="12" customHeight="1" x14ac:dyDescent="0.25">
      <c r="B8" s="115" t="s">
        <v>38</v>
      </c>
      <c r="C8" s="116" t="s">
        <v>56</v>
      </c>
      <c r="D8" s="116" t="s">
        <v>25</v>
      </c>
      <c r="E8" s="116" t="s">
        <v>25</v>
      </c>
      <c r="F8" s="116" t="s">
        <v>25</v>
      </c>
      <c r="G8" s="116" t="s">
        <v>33</v>
      </c>
      <c r="H8" s="116" t="s">
        <v>75</v>
      </c>
      <c r="I8" s="116" t="s">
        <v>25</v>
      </c>
      <c r="J8" s="116">
        <v>17.27</v>
      </c>
      <c r="K8" s="116">
        <v>67.150000000000006</v>
      </c>
      <c r="L8" s="116">
        <v>0</v>
      </c>
      <c r="M8" s="116">
        <v>0</v>
      </c>
      <c r="N8" s="116">
        <v>0</v>
      </c>
      <c r="O8" s="116">
        <v>0</v>
      </c>
      <c r="P8" s="116">
        <v>0</v>
      </c>
      <c r="Q8" s="116">
        <v>12.6972572118932</v>
      </c>
      <c r="R8" s="116">
        <v>3.8674263187489499</v>
      </c>
      <c r="S8" s="116">
        <v>0</v>
      </c>
      <c r="T8" s="116">
        <v>0</v>
      </c>
      <c r="U8" s="116">
        <v>0</v>
      </c>
      <c r="V8" s="116">
        <v>0</v>
      </c>
      <c r="W8" s="116">
        <v>0</v>
      </c>
      <c r="X8" s="116">
        <v>0</v>
      </c>
      <c r="Y8" s="116">
        <v>0</v>
      </c>
      <c r="Z8" s="116">
        <v>0</v>
      </c>
      <c r="AA8" s="116">
        <v>0</v>
      </c>
      <c r="AB8" s="116">
        <v>0</v>
      </c>
      <c r="AC8" s="116">
        <v>0</v>
      </c>
      <c r="AD8" s="116">
        <v>0.41034314841640102</v>
      </c>
      <c r="AE8" s="116">
        <v>1.40782112509357E-2</v>
      </c>
      <c r="AF8" s="116">
        <v>0.27990611615321698</v>
      </c>
      <c r="AG8" s="116">
        <v>0</v>
      </c>
      <c r="AH8" s="116">
        <v>0</v>
      </c>
      <c r="AI8" s="116">
        <v>0</v>
      </c>
      <c r="AJ8" s="116">
        <v>0</v>
      </c>
      <c r="AK8" s="116">
        <v>9.6761868327463691</v>
      </c>
      <c r="AL8" s="116">
        <v>0</v>
      </c>
      <c r="AM8" s="116">
        <v>54.213484217034598</v>
      </c>
      <c r="AN8" s="116">
        <v>2.1168172668982601</v>
      </c>
      <c r="AO8" s="116">
        <v>0.269013016943973</v>
      </c>
      <c r="AP8" s="116">
        <v>0</v>
      </c>
      <c r="AQ8" s="116">
        <v>0</v>
      </c>
      <c r="AR8" s="117">
        <v>0.87471075332607195</v>
      </c>
    </row>
    <row r="9" spans="2:44" ht="12" customHeight="1" x14ac:dyDescent="0.25">
      <c r="B9" s="115" t="s">
        <v>38</v>
      </c>
      <c r="C9" s="116" t="s">
        <v>56</v>
      </c>
      <c r="D9" s="116" t="s">
        <v>25</v>
      </c>
      <c r="E9" s="116" t="s">
        <v>25</v>
      </c>
      <c r="F9" s="116" t="s">
        <v>25</v>
      </c>
      <c r="G9" s="116" t="s">
        <v>33</v>
      </c>
      <c r="H9" s="116" t="s">
        <v>80</v>
      </c>
      <c r="I9" s="116" t="s">
        <v>25</v>
      </c>
      <c r="J9" s="116">
        <v>0</v>
      </c>
      <c r="K9" s="116">
        <v>0</v>
      </c>
      <c r="L9" s="116">
        <v>0</v>
      </c>
      <c r="M9" s="116">
        <v>0</v>
      </c>
      <c r="N9" s="116">
        <v>0</v>
      </c>
      <c r="O9" s="116">
        <v>0</v>
      </c>
      <c r="P9" s="116">
        <v>0</v>
      </c>
      <c r="Q9" s="116">
        <v>0</v>
      </c>
      <c r="R9" s="116">
        <v>0</v>
      </c>
      <c r="S9" s="116">
        <v>0</v>
      </c>
      <c r="T9" s="116">
        <v>0</v>
      </c>
      <c r="U9" s="116">
        <v>0</v>
      </c>
      <c r="V9" s="116">
        <v>0</v>
      </c>
      <c r="W9" s="116">
        <v>0</v>
      </c>
      <c r="X9" s="116">
        <v>0</v>
      </c>
      <c r="Y9" s="116">
        <v>0</v>
      </c>
      <c r="Z9" s="116">
        <v>0</v>
      </c>
      <c r="AA9" s="116">
        <v>0</v>
      </c>
      <c r="AB9" s="116">
        <v>0</v>
      </c>
      <c r="AC9" s="116">
        <v>0</v>
      </c>
      <c r="AD9" s="116">
        <v>0</v>
      </c>
      <c r="AE9" s="116">
        <v>0</v>
      </c>
      <c r="AF9" s="116">
        <v>0</v>
      </c>
      <c r="AG9" s="116">
        <v>0</v>
      </c>
      <c r="AH9" s="116">
        <v>0</v>
      </c>
      <c r="AI9" s="116">
        <v>0</v>
      </c>
      <c r="AJ9" s="116">
        <v>0</v>
      </c>
      <c r="AK9" s="116">
        <v>0</v>
      </c>
      <c r="AL9" s="116">
        <v>0</v>
      </c>
      <c r="AM9" s="116">
        <v>0</v>
      </c>
      <c r="AN9" s="116">
        <v>0</v>
      </c>
      <c r="AO9" s="116">
        <v>0</v>
      </c>
      <c r="AP9" s="116">
        <v>0</v>
      </c>
      <c r="AQ9" s="116">
        <v>0</v>
      </c>
      <c r="AR9" s="117">
        <v>0</v>
      </c>
    </row>
    <row r="10" spans="2:44" ht="12" customHeight="1" x14ac:dyDescent="0.25">
      <c r="B10" s="115" t="s">
        <v>38</v>
      </c>
      <c r="C10" s="116" t="s">
        <v>56</v>
      </c>
      <c r="D10" s="116" t="s">
        <v>25</v>
      </c>
      <c r="E10" s="116" t="s">
        <v>25</v>
      </c>
      <c r="F10" s="116" t="s">
        <v>25</v>
      </c>
      <c r="G10" s="116" t="s">
        <v>34</v>
      </c>
      <c r="H10" s="116" t="s">
        <v>75</v>
      </c>
      <c r="I10" s="116" t="s">
        <v>25</v>
      </c>
      <c r="J10" s="116">
        <v>17.27</v>
      </c>
      <c r="K10" s="116">
        <v>44.46</v>
      </c>
      <c r="L10" s="116">
        <v>0</v>
      </c>
      <c r="M10" s="116">
        <v>0</v>
      </c>
      <c r="N10" s="116">
        <v>0</v>
      </c>
      <c r="O10" s="116">
        <v>0</v>
      </c>
      <c r="P10" s="116">
        <v>0</v>
      </c>
      <c r="Q10" s="116">
        <v>12.6972572118932</v>
      </c>
      <c r="R10" s="116">
        <v>3.8674263187489499</v>
      </c>
      <c r="S10" s="116">
        <v>0</v>
      </c>
      <c r="T10" s="116">
        <v>0</v>
      </c>
      <c r="U10" s="116">
        <v>0</v>
      </c>
      <c r="V10" s="116">
        <v>0</v>
      </c>
      <c r="W10" s="116">
        <v>0</v>
      </c>
      <c r="X10" s="116">
        <v>0</v>
      </c>
      <c r="Y10" s="116">
        <v>0</v>
      </c>
      <c r="Z10" s="116">
        <v>0</v>
      </c>
      <c r="AA10" s="116">
        <v>0</v>
      </c>
      <c r="AB10" s="116">
        <v>0</v>
      </c>
      <c r="AC10" s="116">
        <v>0</v>
      </c>
      <c r="AD10" s="116">
        <v>0.41034314841640102</v>
      </c>
      <c r="AE10" s="116">
        <v>1.40782112509357E-2</v>
      </c>
      <c r="AF10" s="116">
        <v>0.27990611615321698</v>
      </c>
      <c r="AG10" s="116">
        <v>0</v>
      </c>
      <c r="AH10" s="116">
        <v>0</v>
      </c>
      <c r="AI10" s="116">
        <v>0</v>
      </c>
      <c r="AJ10" s="116">
        <v>0</v>
      </c>
      <c r="AK10" s="116">
        <v>9.6761868327463691</v>
      </c>
      <c r="AL10" s="116">
        <v>0</v>
      </c>
      <c r="AM10" s="116">
        <v>31.5194675680434</v>
      </c>
      <c r="AN10" s="116">
        <v>2.1168172668982601</v>
      </c>
      <c r="AO10" s="116">
        <v>0.269013016943973</v>
      </c>
      <c r="AP10" s="116">
        <v>0</v>
      </c>
      <c r="AQ10" s="116">
        <v>0</v>
      </c>
      <c r="AR10" s="117">
        <v>0.87471075332607195</v>
      </c>
    </row>
    <row r="11" spans="2:44" ht="12" customHeight="1" x14ac:dyDescent="0.25">
      <c r="B11" s="115" t="s">
        <v>38</v>
      </c>
      <c r="C11" s="116" t="s">
        <v>56</v>
      </c>
      <c r="D11" s="116" t="s">
        <v>25</v>
      </c>
      <c r="E11" s="116" t="s">
        <v>25</v>
      </c>
      <c r="F11" s="116" t="s">
        <v>25</v>
      </c>
      <c r="G11" s="116" t="s">
        <v>34</v>
      </c>
      <c r="H11" s="116" t="s">
        <v>80</v>
      </c>
      <c r="I11" s="116" t="s">
        <v>25</v>
      </c>
      <c r="J11" s="116">
        <v>0</v>
      </c>
      <c r="K11" s="116">
        <v>0</v>
      </c>
      <c r="L11" s="116">
        <v>0</v>
      </c>
      <c r="M11" s="116">
        <v>0</v>
      </c>
      <c r="N11" s="116">
        <v>0</v>
      </c>
      <c r="O11" s="116">
        <v>0</v>
      </c>
      <c r="P11" s="116">
        <v>0</v>
      </c>
      <c r="Q11" s="116">
        <v>0</v>
      </c>
      <c r="R11" s="116">
        <v>0</v>
      </c>
      <c r="S11" s="116">
        <v>0</v>
      </c>
      <c r="T11" s="116">
        <v>0</v>
      </c>
      <c r="U11" s="116">
        <v>0</v>
      </c>
      <c r="V11" s="116">
        <v>0</v>
      </c>
      <c r="W11" s="116">
        <v>0</v>
      </c>
      <c r="X11" s="116">
        <v>0</v>
      </c>
      <c r="Y11" s="116">
        <v>0</v>
      </c>
      <c r="Z11" s="116">
        <v>0</v>
      </c>
      <c r="AA11" s="116">
        <v>0</v>
      </c>
      <c r="AB11" s="116">
        <v>0</v>
      </c>
      <c r="AC11" s="116">
        <v>0</v>
      </c>
      <c r="AD11" s="116">
        <v>0</v>
      </c>
      <c r="AE11" s="116">
        <v>0</v>
      </c>
      <c r="AF11" s="116">
        <v>0</v>
      </c>
      <c r="AG11" s="116">
        <v>0</v>
      </c>
      <c r="AH11" s="116">
        <v>0</v>
      </c>
      <c r="AI11" s="116">
        <v>0</v>
      </c>
      <c r="AJ11" s="116">
        <v>0</v>
      </c>
      <c r="AK11" s="116">
        <v>0</v>
      </c>
      <c r="AL11" s="116">
        <v>0</v>
      </c>
      <c r="AM11" s="116">
        <v>0</v>
      </c>
      <c r="AN11" s="116">
        <v>0</v>
      </c>
      <c r="AO11" s="116">
        <v>0</v>
      </c>
      <c r="AP11" s="116">
        <v>0</v>
      </c>
      <c r="AQ11" s="116">
        <v>0</v>
      </c>
      <c r="AR11" s="117">
        <v>0</v>
      </c>
    </row>
    <row r="12" spans="2:44" ht="12" customHeight="1" x14ac:dyDescent="0.25">
      <c r="B12" s="115" t="s">
        <v>38</v>
      </c>
      <c r="C12" s="116" t="s">
        <v>23</v>
      </c>
      <c r="D12" s="116" t="s">
        <v>25</v>
      </c>
      <c r="E12" s="116" t="s">
        <v>25</v>
      </c>
      <c r="F12" s="116" t="s">
        <v>25</v>
      </c>
      <c r="G12" s="116" t="s">
        <v>25</v>
      </c>
      <c r="H12" s="116" t="s">
        <v>75</v>
      </c>
      <c r="I12" s="116" t="s">
        <v>25</v>
      </c>
      <c r="J12" s="116">
        <v>0</v>
      </c>
      <c r="K12" s="116">
        <v>46.35</v>
      </c>
      <c r="L12" s="116">
        <v>0</v>
      </c>
      <c r="M12" s="116">
        <v>0</v>
      </c>
      <c r="N12" s="116">
        <v>0</v>
      </c>
      <c r="O12" s="116">
        <v>0</v>
      </c>
      <c r="P12" s="116">
        <v>0</v>
      </c>
      <c r="Q12" s="116">
        <v>0</v>
      </c>
      <c r="R12" s="116">
        <v>0</v>
      </c>
      <c r="S12" s="116">
        <v>0</v>
      </c>
      <c r="T12" s="116">
        <v>0</v>
      </c>
      <c r="U12" s="116">
        <v>0</v>
      </c>
      <c r="V12" s="116">
        <v>0</v>
      </c>
      <c r="W12" s="116">
        <v>0</v>
      </c>
      <c r="X12" s="116">
        <v>0</v>
      </c>
      <c r="Y12" s="116">
        <v>0</v>
      </c>
      <c r="Z12" s="116">
        <v>0</v>
      </c>
      <c r="AA12" s="116">
        <v>0</v>
      </c>
      <c r="AB12" s="116">
        <v>0</v>
      </c>
      <c r="AC12" s="116">
        <v>0</v>
      </c>
      <c r="AD12" s="116">
        <v>0</v>
      </c>
      <c r="AE12" s="116">
        <v>0</v>
      </c>
      <c r="AF12" s="116">
        <v>0</v>
      </c>
      <c r="AG12" s="116">
        <v>0</v>
      </c>
      <c r="AH12" s="116">
        <v>0</v>
      </c>
      <c r="AI12" s="116">
        <v>0</v>
      </c>
      <c r="AJ12" s="116">
        <v>0</v>
      </c>
      <c r="AK12" s="116">
        <v>9.6761868327463691</v>
      </c>
      <c r="AL12" s="116">
        <v>0</v>
      </c>
      <c r="AM12" s="116">
        <v>33.410635622126001</v>
      </c>
      <c r="AN12" s="116">
        <v>2.1168172668982601</v>
      </c>
      <c r="AO12" s="116">
        <v>0.269013016943973</v>
      </c>
      <c r="AP12" s="116">
        <v>0</v>
      </c>
      <c r="AQ12" s="116">
        <v>0</v>
      </c>
      <c r="AR12" s="117">
        <v>0.87471075332607195</v>
      </c>
    </row>
    <row r="13" spans="2:44" ht="12" customHeight="1" x14ac:dyDescent="0.25">
      <c r="B13" s="115" t="s">
        <v>38</v>
      </c>
      <c r="C13" s="116" t="s">
        <v>84</v>
      </c>
      <c r="D13" s="116" t="s">
        <v>25</v>
      </c>
      <c r="E13" s="116" t="s">
        <v>25</v>
      </c>
      <c r="F13" s="116" t="s">
        <v>25</v>
      </c>
      <c r="G13" s="116" t="s">
        <v>25</v>
      </c>
      <c r="H13" s="116" t="s">
        <v>80</v>
      </c>
      <c r="I13" s="116" t="s">
        <v>25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116">
        <v>0</v>
      </c>
      <c r="Q13" s="116">
        <v>0</v>
      </c>
      <c r="R13" s="116">
        <v>0</v>
      </c>
      <c r="S13" s="116">
        <v>0</v>
      </c>
      <c r="T13" s="116">
        <v>0</v>
      </c>
      <c r="U13" s="116">
        <v>0</v>
      </c>
      <c r="V13" s="116">
        <v>0</v>
      </c>
      <c r="W13" s="116">
        <v>0</v>
      </c>
      <c r="X13" s="116">
        <v>0</v>
      </c>
      <c r="Y13" s="116">
        <v>0</v>
      </c>
      <c r="Z13" s="116">
        <v>0</v>
      </c>
      <c r="AA13" s="116">
        <v>0</v>
      </c>
      <c r="AB13" s="116">
        <v>0</v>
      </c>
      <c r="AC13" s="116">
        <v>0</v>
      </c>
      <c r="AD13" s="116">
        <v>0</v>
      </c>
      <c r="AE13" s="116">
        <v>0</v>
      </c>
      <c r="AF13" s="116">
        <v>0</v>
      </c>
      <c r="AG13" s="116">
        <v>0</v>
      </c>
      <c r="AH13" s="116">
        <v>0</v>
      </c>
      <c r="AI13" s="116">
        <v>0</v>
      </c>
      <c r="AJ13" s="116">
        <v>0</v>
      </c>
      <c r="AK13" s="116">
        <v>0</v>
      </c>
      <c r="AL13" s="116">
        <v>0</v>
      </c>
      <c r="AM13" s="116">
        <v>0</v>
      </c>
      <c r="AN13" s="116">
        <v>0</v>
      </c>
      <c r="AO13" s="116">
        <v>0</v>
      </c>
      <c r="AP13" s="116">
        <v>0</v>
      </c>
      <c r="AQ13" s="116">
        <v>0</v>
      </c>
      <c r="AR13" s="117">
        <v>0</v>
      </c>
    </row>
    <row r="14" spans="2:44" ht="12" customHeight="1" x14ac:dyDescent="0.25">
      <c r="B14" s="115" t="s">
        <v>38</v>
      </c>
      <c r="C14" s="116" t="s">
        <v>39</v>
      </c>
      <c r="D14" s="116" t="s">
        <v>25</v>
      </c>
      <c r="E14" s="116" t="s">
        <v>25</v>
      </c>
      <c r="F14" s="116" t="s">
        <v>83</v>
      </c>
      <c r="G14" s="116" t="s">
        <v>33</v>
      </c>
      <c r="H14" s="116" t="s">
        <v>75</v>
      </c>
      <c r="I14" s="116" t="s">
        <v>25</v>
      </c>
      <c r="J14" s="116">
        <v>0.7</v>
      </c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  <c r="Q14" s="116">
        <v>0</v>
      </c>
      <c r="R14" s="116">
        <v>0</v>
      </c>
      <c r="S14" s="116">
        <v>0</v>
      </c>
      <c r="T14" s="116">
        <v>0</v>
      </c>
      <c r="U14" s="116">
        <v>0</v>
      </c>
      <c r="V14" s="116">
        <v>0</v>
      </c>
      <c r="W14" s="116">
        <v>0</v>
      </c>
      <c r="X14" s="116">
        <v>0</v>
      </c>
      <c r="Y14" s="116">
        <v>0</v>
      </c>
      <c r="Z14" s="116">
        <v>0</v>
      </c>
      <c r="AA14" s="116">
        <v>0</v>
      </c>
      <c r="AB14" s="116">
        <v>0</v>
      </c>
      <c r="AC14" s="116">
        <v>0</v>
      </c>
      <c r="AD14" s="116">
        <v>0.41034314841640102</v>
      </c>
      <c r="AE14" s="116">
        <v>1.40782112509357E-2</v>
      </c>
      <c r="AF14" s="116">
        <v>0.27990611615321698</v>
      </c>
      <c r="AG14" s="116">
        <v>0</v>
      </c>
      <c r="AH14" s="116">
        <v>0</v>
      </c>
      <c r="AI14" s="116">
        <v>0</v>
      </c>
      <c r="AJ14" s="116">
        <v>0</v>
      </c>
      <c r="AK14" s="116">
        <v>0</v>
      </c>
      <c r="AL14" s="116">
        <v>0</v>
      </c>
      <c r="AM14" s="116">
        <v>0</v>
      </c>
      <c r="AN14" s="116">
        <v>0</v>
      </c>
      <c r="AO14" s="116">
        <v>0</v>
      </c>
      <c r="AP14" s="116">
        <v>0</v>
      </c>
      <c r="AQ14" s="116">
        <v>0</v>
      </c>
      <c r="AR14" s="117">
        <v>0</v>
      </c>
    </row>
    <row r="15" spans="2:44" ht="12" customHeight="1" x14ac:dyDescent="0.25">
      <c r="B15" s="115" t="s">
        <v>38</v>
      </c>
      <c r="C15" s="116" t="s">
        <v>39</v>
      </c>
      <c r="D15" s="116" t="s">
        <v>25</v>
      </c>
      <c r="E15" s="116" t="s">
        <v>25</v>
      </c>
      <c r="F15" s="116" t="s">
        <v>83</v>
      </c>
      <c r="G15" s="116" t="s">
        <v>25</v>
      </c>
      <c r="H15" s="116" t="s">
        <v>80</v>
      </c>
      <c r="I15" s="116" t="s">
        <v>25</v>
      </c>
      <c r="J15" s="116">
        <v>0</v>
      </c>
      <c r="K15" s="116">
        <v>0</v>
      </c>
      <c r="L15" s="116">
        <v>0</v>
      </c>
      <c r="M15" s="116">
        <v>0</v>
      </c>
      <c r="N15" s="116">
        <v>0</v>
      </c>
      <c r="O15" s="116">
        <v>0</v>
      </c>
      <c r="P15" s="116">
        <v>0</v>
      </c>
      <c r="Q15" s="116">
        <v>0</v>
      </c>
      <c r="R15" s="116">
        <v>0</v>
      </c>
      <c r="S15" s="116">
        <v>0</v>
      </c>
      <c r="T15" s="116">
        <v>0</v>
      </c>
      <c r="U15" s="116">
        <v>0</v>
      </c>
      <c r="V15" s="116">
        <v>0</v>
      </c>
      <c r="W15" s="116">
        <v>0</v>
      </c>
      <c r="X15" s="116">
        <v>0</v>
      </c>
      <c r="Y15" s="116">
        <v>0</v>
      </c>
      <c r="Z15" s="116">
        <v>0</v>
      </c>
      <c r="AA15" s="116">
        <v>0</v>
      </c>
      <c r="AB15" s="116">
        <v>0</v>
      </c>
      <c r="AC15" s="116">
        <v>0</v>
      </c>
      <c r="AD15" s="116">
        <v>0</v>
      </c>
      <c r="AE15" s="116">
        <v>0</v>
      </c>
      <c r="AF15" s="116">
        <v>0</v>
      </c>
      <c r="AG15" s="116">
        <v>0</v>
      </c>
      <c r="AH15" s="116">
        <v>0</v>
      </c>
      <c r="AI15" s="116">
        <v>0</v>
      </c>
      <c r="AJ15" s="116">
        <v>0</v>
      </c>
      <c r="AK15" s="116">
        <v>0</v>
      </c>
      <c r="AL15" s="116">
        <v>0</v>
      </c>
      <c r="AM15" s="116">
        <v>0</v>
      </c>
      <c r="AN15" s="116">
        <v>0</v>
      </c>
      <c r="AO15" s="116">
        <v>0</v>
      </c>
      <c r="AP15" s="116">
        <v>0</v>
      </c>
      <c r="AQ15" s="116">
        <v>0</v>
      </c>
      <c r="AR15" s="117">
        <v>0</v>
      </c>
    </row>
    <row r="16" spans="2:44" ht="12" customHeight="1" x14ac:dyDescent="0.25">
      <c r="B16" s="115" t="s">
        <v>38</v>
      </c>
      <c r="C16" s="116" t="s">
        <v>39</v>
      </c>
      <c r="D16" s="116" t="s">
        <v>25</v>
      </c>
      <c r="E16" s="116" t="s">
        <v>25</v>
      </c>
      <c r="F16" s="116" t="s">
        <v>83</v>
      </c>
      <c r="G16" s="116" t="s">
        <v>34</v>
      </c>
      <c r="H16" s="116" t="s">
        <v>75</v>
      </c>
      <c r="I16" s="116" t="s">
        <v>25</v>
      </c>
      <c r="J16" s="116">
        <v>0.7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116">
        <v>0</v>
      </c>
      <c r="Q16" s="116">
        <v>0</v>
      </c>
      <c r="R16" s="116">
        <v>0</v>
      </c>
      <c r="S16" s="116">
        <v>0</v>
      </c>
      <c r="T16" s="116">
        <v>0</v>
      </c>
      <c r="U16" s="116">
        <v>0</v>
      </c>
      <c r="V16" s="116">
        <v>0</v>
      </c>
      <c r="W16" s="116">
        <v>0</v>
      </c>
      <c r="X16" s="116">
        <v>0</v>
      </c>
      <c r="Y16" s="116">
        <v>0</v>
      </c>
      <c r="Z16" s="116">
        <v>0</v>
      </c>
      <c r="AA16" s="116">
        <v>0</v>
      </c>
      <c r="AB16" s="116">
        <v>0</v>
      </c>
      <c r="AC16" s="116">
        <v>0</v>
      </c>
      <c r="AD16" s="116">
        <v>0.41034314841640102</v>
      </c>
      <c r="AE16" s="116">
        <v>1.40782112509357E-2</v>
      </c>
      <c r="AF16" s="116">
        <v>0.27990611615321698</v>
      </c>
      <c r="AG16" s="116">
        <v>0</v>
      </c>
      <c r="AH16" s="116">
        <v>0</v>
      </c>
      <c r="AI16" s="116">
        <v>0</v>
      </c>
      <c r="AJ16" s="116">
        <v>0</v>
      </c>
      <c r="AK16" s="116">
        <v>0</v>
      </c>
      <c r="AL16" s="116">
        <v>0</v>
      </c>
      <c r="AM16" s="116">
        <v>0</v>
      </c>
      <c r="AN16" s="116">
        <v>0</v>
      </c>
      <c r="AO16" s="116">
        <v>0</v>
      </c>
      <c r="AP16" s="116">
        <v>0</v>
      </c>
      <c r="AQ16" s="116">
        <v>0</v>
      </c>
      <c r="AR16" s="117">
        <v>0</v>
      </c>
    </row>
    <row r="17" spans="2:44" ht="12" customHeight="1" x14ac:dyDescent="0.25">
      <c r="B17" s="115" t="s">
        <v>38</v>
      </c>
      <c r="C17" s="116" t="s">
        <v>39</v>
      </c>
      <c r="D17" s="116" t="s">
        <v>25</v>
      </c>
      <c r="E17" s="116" t="s">
        <v>25</v>
      </c>
      <c r="F17" s="116" t="s">
        <v>25</v>
      </c>
      <c r="G17" s="116" t="s">
        <v>33</v>
      </c>
      <c r="H17" s="116" t="s">
        <v>75</v>
      </c>
      <c r="I17" s="116" t="s">
        <v>25</v>
      </c>
      <c r="J17" s="116">
        <v>17.27</v>
      </c>
      <c r="K17" s="116">
        <v>67.150000000000006</v>
      </c>
      <c r="L17" s="116">
        <v>0</v>
      </c>
      <c r="M17" s="116">
        <v>0</v>
      </c>
      <c r="N17" s="116">
        <v>0</v>
      </c>
      <c r="O17" s="116">
        <v>0</v>
      </c>
      <c r="P17" s="116">
        <v>0</v>
      </c>
      <c r="Q17" s="116">
        <v>12.6972572118932</v>
      </c>
      <c r="R17" s="116">
        <v>3.8674263187489499</v>
      </c>
      <c r="S17" s="116">
        <v>0</v>
      </c>
      <c r="T17" s="116">
        <v>0</v>
      </c>
      <c r="U17" s="116">
        <v>0</v>
      </c>
      <c r="V17" s="116">
        <v>0</v>
      </c>
      <c r="W17" s="116">
        <v>0</v>
      </c>
      <c r="X17" s="116">
        <v>0</v>
      </c>
      <c r="Y17" s="116">
        <v>0</v>
      </c>
      <c r="Z17" s="116">
        <v>0</v>
      </c>
      <c r="AA17" s="116">
        <v>0</v>
      </c>
      <c r="AB17" s="116">
        <v>0</v>
      </c>
      <c r="AC17" s="116">
        <v>0</v>
      </c>
      <c r="AD17" s="116">
        <v>0.41034314841640102</v>
      </c>
      <c r="AE17" s="116">
        <v>1.40782112509357E-2</v>
      </c>
      <c r="AF17" s="116">
        <v>0.27990611615321698</v>
      </c>
      <c r="AG17" s="116">
        <v>0</v>
      </c>
      <c r="AH17" s="116">
        <v>0</v>
      </c>
      <c r="AI17" s="116">
        <v>0</v>
      </c>
      <c r="AJ17" s="116">
        <v>0</v>
      </c>
      <c r="AK17" s="116">
        <v>9.6761868327463691</v>
      </c>
      <c r="AL17" s="116">
        <v>0</v>
      </c>
      <c r="AM17" s="116">
        <v>54.213484217034598</v>
      </c>
      <c r="AN17" s="116">
        <v>2.1168172668982601</v>
      </c>
      <c r="AO17" s="116">
        <v>0.269013016943973</v>
      </c>
      <c r="AP17" s="116">
        <v>0</v>
      </c>
      <c r="AQ17" s="116">
        <v>0</v>
      </c>
      <c r="AR17" s="117">
        <v>0.87471075332607195</v>
      </c>
    </row>
    <row r="18" spans="2:44" ht="12" customHeight="1" x14ac:dyDescent="0.25">
      <c r="B18" s="115" t="s">
        <v>38</v>
      </c>
      <c r="C18" s="116" t="s">
        <v>39</v>
      </c>
      <c r="D18" s="116" t="s">
        <v>25</v>
      </c>
      <c r="E18" s="116" t="s">
        <v>25</v>
      </c>
      <c r="F18" s="116" t="s">
        <v>25</v>
      </c>
      <c r="G18" s="116" t="s">
        <v>25</v>
      </c>
      <c r="H18" s="116" t="s">
        <v>80</v>
      </c>
      <c r="I18" s="116" t="s">
        <v>25</v>
      </c>
      <c r="J18" s="116">
        <v>0</v>
      </c>
      <c r="K18" s="116">
        <v>0</v>
      </c>
      <c r="L18" s="116">
        <v>0</v>
      </c>
      <c r="M18" s="116">
        <v>0</v>
      </c>
      <c r="N18" s="116">
        <v>0</v>
      </c>
      <c r="O18" s="116">
        <v>0</v>
      </c>
      <c r="P18" s="116">
        <v>0</v>
      </c>
      <c r="Q18" s="116">
        <v>0</v>
      </c>
      <c r="R18" s="116">
        <v>0</v>
      </c>
      <c r="S18" s="116">
        <v>0</v>
      </c>
      <c r="T18" s="116">
        <v>0</v>
      </c>
      <c r="U18" s="116">
        <v>0</v>
      </c>
      <c r="V18" s="116">
        <v>0</v>
      </c>
      <c r="W18" s="116">
        <v>0</v>
      </c>
      <c r="X18" s="116">
        <v>0</v>
      </c>
      <c r="Y18" s="116">
        <v>0</v>
      </c>
      <c r="Z18" s="116">
        <v>0</v>
      </c>
      <c r="AA18" s="116">
        <v>0</v>
      </c>
      <c r="AB18" s="116">
        <v>0</v>
      </c>
      <c r="AC18" s="116">
        <v>0</v>
      </c>
      <c r="AD18" s="116">
        <v>0</v>
      </c>
      <c r="AE18" s="116">
        <v>0</v>
      </c>
      <c r="AF18" s="116">
        <v>0</v>
      </c>
      <c r="AG18" s="116">
        <v>0</v>
      </c>
      <c r="AH18" s="116">
        <v>0</v>
      </c>
      <c r="AI18" s="116">
        <v>0</v>
      </c>
      <c r="AJ18" s="116">
        <v>0</v>
      </c>
      <c r="AK18" s="116">
        <v>0</v>
      </c>
      <c r="AL18" s="116">
        <v>0</v>
      </c>
      <c r="AM18" s="116">
        <v>0</v>
      </c>
      <c r="AN18" s="116">
        <v>0</v>
      </c>
      <c r="AO18" s="116">
        <v>0</v>
      </c>
      <c r="AP18" s="116">
        <v>0</v>
      </c>
      <c r="AQ18" s="116">
        <v>0</v>
      </c>
      <c r="AR18" s="117">
        <v>0</v>
      </c>
    </row>
    <row r="19" spans="2:44" ht="12" customHeight="1" x14ac:dyDescent="0.25">
      <c r="B19" s="115" t="s">
        <v>38</v>
      </c>
      <c r="C19" s="116" t="s">
        <v>39</v>
      </c>
      <c r="D19" s="116" t="s">
        <v>25</v>
      </c>
      <c r="E19" s="116" t="s">
        <v>25</v>
      </c>
      <c r="F19" s="116" t="s">
        <v>25</v>
      </c>
      <c r="G19" s="116" t="s">
        <v>34</v>
      </c>
      <c r="H19" s="116" t="s">
        <v>75</v>
      </c>
      <c r="I19" s="116" t="s">
        <v>25</v>
      </c>
      <c r="J19" s="116">
        <v>17.27</v>
      </c>
      <c r="K19" s="116">
        <v>44.46</v>
      </c>
      <c r="L19" s="116">
        <v>0</v>
      </c>
      <c r="M19" s="116">
        <v>0</v>
      </c>
      <c r="N19" s="116">
        <v>0</v>
      </c>
      <c r="O19" s="116">
        <v>0</v>
      </c>
      <c r="P19" s="116">
        <v>0</v>
      </c>
      <c r="Q19" s="116">
        <v>12.6972572118932</v>
      </c>
      <c r="R19" s="116">
        <v>3.8674263187489499</v>
      </c>
      <c r="S19" s="116">
        <v>0</v>
      </c>
      <c r="T19" s="116">
        <v>0</v>
      </c>
      <c r="U19" s="116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6">
        <v>0</v>
      </c>
      <c r="AB19" s="116">
        <v>0</v>
      </c>
      <c r="AC19" s="116">
        <v>0</v>
      </c>
      <c r="AD19" s="116">
        <v>0.41034314841640102</v>
      </c>
      <c r="AE19" s="116">
        <v>1.40782112509357E-2</v>
      </c>
      <c r="AF19" s="116">
        <v>0.27990611615321698</v>
      </c>
      <c r="AG19" s="116">
        <v>0</v>
      </c>
      <c r="AH19" s="116">
        <v>0</v>
      </c>
      <c r="AI19" s="116">
        <v>0</v>
      </c>
      <c r="AJ19" s="116">
        <v>0</v>
      </c>
      <c r="AK19" s="116">
        <v>9.6761868327463691</v>
      </c>
      <c r="AL19" s="116">
        <v>0</v>
      </c>
      <c r="AM19" s="116">
        <v>31.5194675680434</v>
      </c>
      <c r="AN19" s="116">
        <v>2.1168172668982601</v>
      </c>
      <c r="AO19" s="116">
        <v>0.269013016943973</v>
      </c>
      <c r="AP19" s="116">
        <v>0</v>
      </c>
      <c r="AQ19" s="116">
        <v>0</v>
      </c>
      <c r="AR19" s="117">
        <v>0.87471075332607195</v>
      </c>
    </row>
    <row r="20" spans="2:44" ht="12" customHeight="1" x14ac:dyDescent="0.25">
      <c r="B20" s="115" t="s">
        <v>85</v>
      </c>
      <c r="C20" s="116" t="s">
        <v>84</v>
      </c>
      <c r="D20" s="116" t="s">
        <v>25</v>
      </c>
      <c r="E20" s="116" t="s">
        <v>25</v>
      </c>
      <c r="F20" s="116" t="s">
        <v>86</v>
      </c>
      <c r="G20" s="116" t="s">
        <v>25</v>
      </c>
      <c r="H20" s="116" t="s">
        <v>80</v>
      </c>
      <c r="I20" s="116" t="s">
        <v>25</v>
      </c>
      <c r="J20" s="116">
        <v>0</v>
      </c>
      <c r="K20" s="116">
        <v>0</v>
      </c>
      <c r="L20" s="116">
        <v>0</v>
      </c>
      <c r="M20" s="116">
        <v>0</v>
      </c>
      <c r="N20" s="116">
        <v>0</v>
      </c>
      <c r="O20" s="116">
        <v>0</v>
      </c>
      <c r="P20" s="116">
        <v>0</v>
      </c>
      <c r="Q20" s="116">
        <v>0</v>
      </c>
      <c r="R20" s="116">
        <v>0</v>
      </c>
      <c r="S20" s="116">
        <v>0</v>
      </c>
      <c r="T20" s="116">
        <v>0</v>
      </c>
      <c r="U20" s="116">
        <v>0</v>
      </c>
      <c r="V20" s="116">
        <v>0</v>
      </c>
      <c r="W20" s="116">
        <v>0</v>
      </c>
      <c r="X20" s="116">
        <v>0</v>
      </c>
      <c r="Y20" s="116">
        <v>0</v>
      </c>
      <c r="Z20" s="116">
        <v>0</v>
      </c>
      <c r="AA20" s="116">
        <v>0</v>
      </c>
      <c r="AB20" s="116">
        <v>0</v>
      </c>
      <c r="AC20" s="116">
        <v>0</v>
      </c>
      <c r="AD20" s="116">
        <v>0</v>
      </c>
      <c r="AE20" s="116">
        <v>0</v>
      </c>
      <c r="AF20" s="116">
        <v>0</v>
      </c>
      <c r="AG20" s="116">
        <v>0</v>
      </c>
      <c r="AH20" s="116">
        <v>0</v>
      </c>
      <c r="AI20" s="116">
        <v>0</v>
      </c>
      <c r="AJ20" s="116">
        <v>0</v>
      </c>
      <c r="AK20" s="116">
        <v>0</v>
      </c>
      <c r="AL20" s="116">
        <v>0</v>
      </c>
      <c r="AM20" s="116">
        <v>0</v>
      </c>
      <c r="AN20" s="116">
        <v>0</v>
      </c>
      <c r="AO20" s="116">
        <v>0</v>
      </c>
      <c r="AP20" s="116">
        <v>0</v>
      </c>
      <c r="AQ20" s="116">
        <v>0</v>
      </c>
      <c r="AR20" s="117">
        <v>0</v>
      </c>
    </row>
    <row r="21" spans="2:44" ht="12" customHeight="1" x14ac:dyDescent="0.25">
      <c r="B21" s="115" t="s">
        <v>85</v>
      </c>
      <c r="C21" s="116" t="s">
        <v>84</v>
      </c>
      <c r="D21" s="116" t="s">
        <v>25</v>
      </c>
      <c r="E21" s="116" t="s">
        <v>25</v>
      </c>
      <c r="F21" s="116" t="s">
        <v>87</v>
      </c>
      <c r="G21" s="116" t="s">
        <v>25</v>
      </c>
      <c r="H21" s="116" t="s">
        <v>80</v>
      </c>
      <c r="I21" s="116" t="s">
        <v>25</v>
      </c>
      <c r="J21" s="116">
        <v>0</v>
      </c>
      <c r="K21" s="116">
        <v>0</v>
      </c>
      <c r="L21" s="116">
        <v>0</v>
      </c>
      <c r="M21" s="116">
        <v>0</v>
      </c>
      <c r="N21" s="116">
        <v>0</v>
      </c>
      <c r="O21" s="116">
        <v>0</v>
      </c>
      <c r="P21" s="116">
        <v>0</v>
      </c>
      <c r="Q21" s="116">
        <v>0</v>
      </c>
      <c r="R21" s="116">
        <v>0</v>
      </c>
      <c r="S21" s="116">
        <v>0</v>
      </c>
      <c r="T21" s="116">
        <v>0</v>
      </c>
      <c r="U21" s="116">
        <v>0</v>
      </c>
      <c r="V21" s="116">
        <v>0</v>
      </c>
      <c r="W21" s="116">
        <v>0</v>
      </c>
      <c r="X21" s="116">
        <v>0</v>
      </c>
      <c r="Y21" s="116">
        <v>0</v>
      </c>
      <c r="Z21" s="116">
        <v>0</v>
      </c>
      <c r="AA21" s="116">
        <v>0</v>
      </c>
      <c r="AB21" s="116">
        <v>0</v>
      </c>
      <c r="AC21" s="116">
        <v>0</v>
      </c>
      <c r="AD21" s="116">
        <v>0</v>
      </c>
      <c r="AE21" s="116">
        <v>0</v>
      </c>
      <c r="AF21" s="116">
        <v>0</v>
      </c>
      <c r="AG21" s="116">
        <v>0</v>
      </c>
      <c r="AH21" s="116">
        <v>0</v>
      </c>
      <c r="AI21" s="116">
        <v>0</v>
      </c>
      <c r="AJ21" s="116">
        <v>0</v>
      </c>
      <c r="AK21" s="116">
        <v>0</v>
      </c>
      <c r="AL21" s="116">
        <v>0</v>
      </c>
      <c r="AM21" s="116">
        <v>0</v>
      </c>
      <c r="AN21" s="116">
        <v>0</v>
      </c>
      <c r="AO21" s="116">
        <v>0</v>
      </c>
      <c r="AP21" s="116">
        <v>0</v>
      </c>
      <c r="AQ21" s="116">
        <v>0</v>
      </c>
      <c r="AR21" s="117">
        <v>0</v>
      </c>
    </row>
    <row r="22" spans="2:44" ht="12" customHeight="1" x14ac:dyDescent="0.25">
      <c r="B22" s="115" t="s">
        <v>22</v>
      </c>
      <c r="C22" s="116" t="s">
        <v>32</v>
      </c>
      <c r="D22" s="116" t="s">
        <v>24</v>
      </c>
      <c r="E22" s="116" t="s">
        <v>24</v>
      </c>
      <c r="F22" s="116" t="s">
        <v>25</v>
      </c>
      <c r="G22" s="116" t="s">
        <v>33</v>
      </c>
      <c r="H22" s="116" t="s">
        <v>75</v>
      </c>
      <c r="I22" s="116" t="s">
        <v>25</v>
      </c>
      <c r="J22" s="116">
        <v>22.97</v>
      </c>
      <c r="K22" s="116">
        <v>67.150000000000006</v>
      </c>
      <c r="L22" s="116">
        <v>0</v>
      </c>
      <c r="M22" s="116">
        <v>0</v>
      </c>
      <c r="N22" s="116">
        <v>0</v>
      </c>
      <c r="O22" s="116">
        <v>0</v>
      </c>
      <c r="P22" s="116">
        <v>0</v>
      </c>
      <c r="Q22" s="116">
        <v>15.115782395110999</v>
      </c>
      <c r="R22" s="116">
        <v>3.8674263187489499</v>
      </c>
      <c r="S22" s="116">
        <v>0</v>
      </c>
      <c r="T22" s="116">
        <v>0</v>
      </c>
      <c r="U22" s="116">
        <v>0</v>
      </c>
      <c r="V22" s="116">
        <v>0</v>
      </c>
      <c r="W22" s="116">
        <v>0</v>
      </c>
      <c r="X22" s="116">
        <v>0</v>
      </c>
      <c r="Y22" s="116">
        <v>0</v>
      </c>
      <c r="Z22" s="116">
        <v>0</v>
      </c>
      <c r="AA22" s="116">
        <v>0</v>
      </c>
      <c r="AB22" s="116">
        <v>0</v>
      </c>
      <c r="AC22" s="116">
        <v>0</v>
      </c>
      <c r="AD22" s="116">
        <v>3.2453690829164801</v>
      </c>
      <c r="AE22" s="116">
        <v>0.111343376178881</v>
      </c>
      <c r="AF22" s="116">
        <v>0.62950534663476398</v>
      </c>
      <c r="AG22" s="116">
        <v>0</v>
      </c>
      <c r="AH22" s="116">
        <v>0</v>
      </c>
      <c r="AI22" s="116">
        <v>0</v>
      </c>
      <c r="AJ22" s="116">
        <v>0</v>
      </c>
      <c r="AK22" s="116">
        <v>9.6761868327463691</v>
      </c>
      <c r="AL22" s="116">
        <v>0</v>
      </c>
      <c r="AM22" s="116">
        <v>54.213484217034598</v>
      </c>
      <c r="AN22" s="116">
        <v>2.1168172668982601</v>
      </c>
      <c r="AO22" s="116">
        <v>0.269013016943973</v>
      </c>
      <c r="AP22" s="116">
        <v>0</v>
      </c>
      <c r="AQ22" s="116">
        <v>0</v>
      </c>
      <c r="AR22" s="117">
        <v>0.87471075332607195</v>
      </c>
    </row>
    <row r="23" spans="2:44" ht="12" customHeight="1" x14ac:dyDescent="0.25">
      <c r="B23" s="115" t="s">
        <v>22</v>
      </c>
      <c r="C23" s="116" t="s">
        <v>32</v>
      </c>
      <c r="D23" s="116" t="s">
        <v>24</v>
      </c>
      <c r="E23" s="116" t="s">
        <v>24</v>
      </c>
      <c r="F23" s="116" t="s">
        <v>25</v>
      </c>
      <c r="G23" s="116" t="s">
        <v>35</v>
      </c>
      <c r="H23" s="116" t="s">
        <v>75</v>
      </c>
      <c r="I23" s="116" t="s">
        <v>25</v>
      </c>
      <c r="J23" s="116">
        <v>22.97</v>
      </c>
      <c r="K23" s="116">
        <v>44.46</v>
      </c>
      <c r="L23" s="116">
        <v>0</v>
      </c>
      <c r="M23" s="116">
        <v>0</v>
      </c>
      <c r="N23" s="116">
        <v>0</v>
      </c>
      <c r="O23" s="116">
        <v>0</v>
      </c>
      <c r="P23" s="116">
        <v>0</v>
      </c>
      <c r="Q23" s="116">
        <v>15.115782395110999</v>
      </c>
      <c r="R23" s="116">
        <v>3.8674263187489499</v>
      </c>
      <c r="S23" s="116">
        <v>0</v>
      </c>
      <c r="T23" s="116">
        <v>0</v>
      </c>
      <c r="U23" s="116">
        <v>0</v>
      </c>
      <c r="V23" s="116">
        <v>0</v>
      </c>
      <c r="W23" s="116">
        <v>0</v>
      </c>
      <c r="X23" s="116">
        <v>0</v>
      </c>
      <c r="Y23" s="116">
        <v>0</v>
      </c>
      <c r="Z23" s="116">
        <v>0</v>
      </c>
      <c r="AA23" s="116">
        <v>0</v>
      </c>
      <c r="AB23" s="116">
        <v>0</v>
      </c>
      <c r="AC23" s="116">
        <v>0</v>
      </c>
      <c r="AD23" s="116">
        <v>3.2453690829164801</v>
      </c>
      <c r="AE23" s="116">
        <v>0.111343376178881</v>
      </c>
      <c r="AF23" s="116">
        <v>0.62950534663476398</v>
      </c>
      <c r="AG23" s="116">
        <v>0</v>
      </c>
      <c r="AH23" s="116">
        <v>0</v>
      </c>
      <c r="AI23" s="116">
        <v>0</v>
      </c>
      <c r="AJ23" s="116">
        <v>0</v>
      </c>
      <c r="AK23" s="116">
        <v>9.6761868327463691</v>
      </c>
      <c r="AL23" s="116">
        <v>0</v>
      </c>
      <c r="AM23" s="116">
        <v>31.5194675680434</v>
      </c>
      <c r="AN23" s="116">
        <v>2.1168172668982601</v>
      </c>
      <c r="AO23" s="116">
        <v>0.269013016943973</v>
      </c>
      <c r="AP23" s="116">
        <v>0</v>
      </c>
      <c r="AQ23" s="116">
        <v>0</v>
      </c>
      <c r="AR23" s="117">
        <v>0.87471075332607195</v>
      </c>
    </row>
    <row r="24" spans="2:44" ht="12" customHeight="1" x14ac:dyDescent="0.25">
      <c r="B24" s="115" t="s">
        <v>22</v>
      </c>
      <c r="C24" s="116" t="s">
        <v>32</v>
      </c>
      <c r="D24" s="116" t="s">
        <v>24</v>
      </c>
      <c r="E24" s="116" t="s">
        <v>24</v>
      </c>
      <c r="F24" s="116" t="s">
        <v>25</v>
      </c>
      <c r="G24" s="116" t="s">
        <v>34</v>
      </c>
      <c r="H24" s="116" t="s">
        <v>75</v>
      </c>
      <c r="I24" s="116" t="s">
        <v>25</v>
      </c>
      <c r="J24" s="116">
        <v>22.97</v>
      </c>
      <c r="K24" s="116">
        <v>44.46</v>
      </c>
      <c r="L24" s="116">
        <v>0</v>
      </c>
      <c r="M24" s="116">
        <v>0</v>
      </c>
      <c r="N24" s="116">
        <v>0</v>
      </c>
      <c r="O24" s="116">
        <v>0</v>
      </c>
      <c r="P24" s="116">
        <v>0</v>
      </c>
      <c r="Q24" s="116">
        <v>15.115782395110999</v>
      </c>
      <c r="R24" s="116">
        <v>3.8674263187489499</v>
      </c>
      <c r="S24" s="116">
        <v>0</v>
      </c>
      <c r="T24" s="116">
        <v>0</v>
      </c>
      <c r="U24" s="116">
        <v>0</v>
      </c>
      <c r="V24" s="116">
        <v>0</v>
      </c>
      <c r="W24" s="116">
        <v>0</v>
      </c>
      <c r="X24" s="116">
        <v>0</v>
      </c>
      <c r="Y24" s="116">
        <v>0</v>
      </c>
      <c r="Z24" s="116">
        <v>0</v>
      </c>
      <c r="AA24" s="116">
        <v>0</v>
      </c>
      <c r="AB24" s="116">
        <v>0</v>
      </c>
      <c r="AC24" s="116">
        <v>0</v>
      </c>
      <c r="AD24" s="116">
        <v>3.2453690829164801</v>
      </c>
      <c r="AE24" s="116">
        <v>0.111343376178881</v>
      </c>
      <c r="AF24" s="116">
        <v>0.62950534663476398</v>
      </c>
      <c r="AG24" s="116">
        <v>0</v>
      </c>
      <c r="AH24" s="116">
        <v>0</v>
      </c>
      <c r="AI24" s="116">
        <v>0</v>
      </c>
      <c r="AJ24" s="116">
        <v>0</v>
      </c>
      <c r="AK24" s="116">
        <v>9.6761868327463691</v>
      </c>
      <c r="AL24" s="116">
        <v>0</v>
      </c>
      <c r="AM24" s="116">
        <v>31.5194675680434</v>
      </c>
      <c r="AN24" s="116">
        <v>2.1168172668982601</v>
      </c>
      <c r="AO24" s="116">
        <v>0.269013016943973</v>
      </c>
      <c r="AP24" s="116">
        <v>0</v>
      </c>
      <c r="AQ24" s="116">
        <v>0</v>
      </c>
      <c r="AR24" s="117">
        <v>0.87471075332607195</v>
      </c>
    </row>
    <row r="25" spans="2:44" ht="12" customHeight="1" x14ac:dyDescent="0.25">
      <c r="B25" s="115" t="s">
        <v>22</v>
      </c>
      <c r="C25" s="116" t="s">
        <v>23</v>
      </c>
      <c r="D25" s="116" t="s">
        <v>24</v>
      </c>
      <c r="E25" s="116" t="s">
        <v>1333</v>
      </c>
      <c r="F25" s="116" t="s">
        <v>25</v>
      </c>
      <c r="G25" s="116" t="s">
        <v>25</v>
      </c>
      <c r="H25" s="116" t="s">
        <v>75</v>
      </c>
      <c r="I25" s="116" t="s">
        <v>25</v>
      </c>
      <c r="J25" s="116">
        <v>3.99</v>
      </c>
      <c r="K25" s="116">
        <v>46.35</v>
      </c>
      <c r="L25" s="116">
        <v>0</v>
      </c>
      <c r="M25" s="116">
        <v>0</v>
      </c>
      <c r="N25" s="116">
        <v>0</v>
      </c>
      <c r="O25" s="116">
        <v>0</v>
      </c>
      <c r="P25" s="116">
        <v>0</v>
      </c>
      <c r="Q25" s="116">
        <v>0</v>
      </c>
      <c r="R25" s="116">
        <v>0</v>
      </c>
      <c r="S25" s="116">
        <v>0</v>
      </c>
      <c r="T25" s="116">
        <v>0</v>
      </c>
      <c r="U25" s="116">
        <v>0</v>
      </c>
      <c r="V25" s="116">
        <v>0</v>
      </c>
      <c r="W25" s="116">
        <v>0</v>
      </c>
      <c r="X25" s="116">
        <v>0</v>
      </c>
      <c r="Y25" s="116">
        <v>0</v>
      </c>
      <c r="Z25" s="116">
        <v>0</v>
      </c>
      <c r="AA25" s="116">
        <v>0</v>
      </c>
      <c r="AB25" s="116">
        <v>0</v>
      </c>
      <c r="AC25" s="116">
        <v>0</v>
      </c>
      <c r="AD25" s="116">
        <v>3.2453690829164801</v>
      </c>
      <c r="AE25" s="116">
        <v>0.111343376178881</v>
      </c>
      <c r="AF25" s="116">
        <v>0.62950534663476398</v>
      </c>
      <c r="AG25" s="116">
        <v>0</v>
      </c>
      <c r="AH25" s="116">
        <v>0</v>
      </c>
      <c r="AI25" s="116">
        <v>0</v>
      </c>
      <c r="AJ25" s="116">
        <v>0</v>
      </c>
      <c r="AK25" s="116">
        <v>9.6761868327463691</v>
      </c>
      <c r="AL25" s="116">
        <v>0</v>
      </c>
      <c r="AM25" s="116">
        <v>33.410635622126001</v>
      </c>
      <c r="AN25" s="116">
        <v>2.1168172668982601</v>
      </c>
      <c r="AO25" s="116">
        <v>0.269013016943973</v>
      </c>
      <c r="AP25" s="116">
        <v>0</v>
      </c>
      <c r="AQ25" s="116">
        <v>0</v>
      </c>
      <c r="AR25" s="117">
        <v>0.87471075332607195</v>
      </c>
    </row>
    <row r="26" spans="2:44" ht="12" customHeight="1" x14ac:dyDescent="0.25">
      <c r="B26" s="115" t="s">
        <v>22</v>
      </c>
      <c r="C26" s="116" t="s">
        <v>23</v>
      </c>
      <c r="D26" s="116" t="s">
        <v>24</v>
      </c>
      <c r="E26" s="116" t="s">
        <v>24</v>
      </c>
      <c r="F26" s="116" t="s">
        <v>25</v>
      </c>
      <c r="G26" s="116" t="s">
        <v>25</v>
      </c>
      <c r="H26" s="116" t="s">
        <v>75</v>
      </c>
      <c r="I26" s="116" t="s">
        <v>25</v>
      </c>
      <c r="J26" s="116">
        <v>22.97</v>
      </c>
      <c r="K26" s="116">
        <v>46.35</v>
      </c>
      <c r="L26" s="116">
        <v>0</v>
      </c>
      <c r="M26" s="116">
        <v>0</v>
      </c>
      <c r="N26" s="116">
        <v>0</v>
      </c>
      <c r="O26" s="116">
        <v>0</v>
      </c>
      <c r="P26" s="116">
        <v>0</v>
      </c>
      <c r="Q26" s="116">
        <v>15.115782395110999</v>
      </c>
      <c r="R26" s="116">
        <v>3.8674263187489499</v>
      </c>
      <c r="S26" s="116">
        <v>0</v>
      </c>
      <c r="T26" s="116">
        <v>0</v>
      </c>
      <c r="U26" s="116">
        <v>0</v>
      </c>
      <c r="V26" s="116">
        <v>0</v>
      </c>
      <c r="W26" s="116">
        <v>0</v>
      </c>
      <c r="X26" s="116">
        <v>0</v>
      </c>
      <c r="Y26" s="116">
        <v>0</v>
      </c>
      <c r="Z26" s="116">
        <v>0</v>
      </c>
      <c r="AA26" s="116">
        <v>0</v>
      </c>
      <c r="AB26" s="116">
        <v>0</v>
      </c>
      <c r="AC26" s="116">
        <v>0</v>
      </c>
      <c r="AD26" s="116">
        <v>3.2453690829164801</v>
      </c>
      <c r="AE26" s="116">
        <v>0.111343376178881</v>
      </c>
      <c r="AF26" s="116">
        <v>0.62950534663476398</v>
      </c>
      <c r="AG26" s="116">
        <v>0</v>
      </c>
      <c r="AH26" s="116">
        <v>0</v>
      </c>
      <c r="AI26" s="116">
        <v>0</v>
      </c>
      <c r="AJ26" s="116">
        <v>0</v>
      </c>
      <c r="AK26" s="116">
        <v>9.6761868327463691</v>
      </c>
      <c r="AL26" s="116">
        <v>0</v>
      </c>
      <c r="AM26" s="116">
        <v>33.410635622126001</v>
      </c>
      <c r="AN26" s="116">
        <v>2.1168172668982601</v>
      </c>
      <c r="AO26" s="116">
        <v>0.269013016943973</v>
      </c>
      <c r="AP26" s="116">
        <v>0</v>
      </c>
      <c r="AQ26" s="116">
        <v>0</v>
      </c>
      <c r="AR26" s="117">
        <v>0.87471075332607195</v>
      </c>
    </row>
    <row r="27" spans="2:44" ht="12" customHeight="1" x14ac:dyDescent="0.25">
      <c r="B27" s="115" t="s">
        <v>22</v>
      </c>
      <c r="C27" s="116" t="s">
        <v>90</v>
      </c>
      <c r="D27" s="116" t="s">
        <v>24</v>
      </c>
      <c r="E27" s="116" t="s">
        <v>1333</v>
      </c>
      <c r="F27" s="116" t="s">
        <v>25</v>
      </c>
      <c r="G27" s="116" t="s">
        <v>25</v>
      </c>
      <c r="H27" s="116" t="s">
        <v>75</v>
      </c>
      <c r="I27" s="116" t="s">
        <v>25</v>
      </c>
      <c r="J27" s="116">
        <v>3.99</v>
      </c>
      <c r="K27" s="116">
        <v>46.35</v>
      </c>
      <c r="L27" s="116">
        <v>0</v>
      </c>
      <c r="M27" s="116">
        <v>0</v>
      </c>
      <c r="N27" s="116">
        <v>0</v>
      </c>
      <c r="O27" s="116">
        <v>0</v>
      </c>
      <c r="P27" s="116">
        <v>0</v>
      </c>
      <c r="Q27" s="116">
        <v>0</v>
      </c>
      <c r="R27" s="116">
        <v>0</v>
      </c>
      <c r="S27" s="116">
        <v>0</v>
      </c>
      <c r="T27" s="116">
        <v>0</v>
      </c>
      <c r="U27" s="116">
        <v>0</v>
      </c>
      <c r="V27" s="116">
        <v>0</v>
      </c>
      <c r="W27" s="116">
        <v>0</v>
      </c>
      <c r="X27" s="116">
        <v>0</v>
      </c>
      <c r="Y27" s="116">
        <v>0</v>
      </c>
      <c r="Z27" s="116">
        <v>0</v>
      </c>
      <c r="AA27" s="116">
        <v>0</v>
      </c>
      <c r="AB27" s="116">
        <v>0</v>
      </c>
      <c r="AC27" s="116">
        <v>0</v>
      </c>
      <c r="AD27" s="116">
        <v>3.2453690829164801</v>
      </c>
      <c r="AE27" s="116">
        <v>0.111343376178881</v>
      </c>
      <c r="AF27" s="116">
        <v>0.62950534663476398</v>
      </c>
      <c r="AG27" s="116">
        <v>0</v>
      </c>
      <c r="AH27" s="116">
        <v>0</v>
      </c>
      <c r="AI27" s="116">
        <v>0</v>
      </c>
      <c r="AJ27" s="116">
        <v>0</v>
      </c>
      <c r="AK27" s="116">
        <v>9.6761868327463691</v>
      </c>
      <c r="AL27" s="116">
        <v>0</v>
      </c>
      <c r="AM27" s="116">
        <v>33.410635622126001</v>
      </c>
      <c r="AN27" s="116">
        <v>2.1168172668982601</v>
      </c>
      <c r="AO27" s="116">
        <v>0.269013016943973</v>
      </c>
      <c r="AP27" s="116">
        <v>0</v>
      </c>
      <c r="AQ27" s="116">
        <v>0</v>
      </c>
      <c r="AR27" s="117">
        <v>0.87471075332607195</v>
      </c>
    </row>
    <row r="28" spans="2:44" ht="12" customHeight="1" x14ac:dyDescent="0.25">
      <c r="B28" s="115" t="s">
        <v>22</v>
      </c>
      <c r="C28" s="116" t="s">
        <v>90</v>
      </c>
      <c r="D28" s="116" t="s">
        <v>24</v>
      </c>
      <c r="E28" s="116" t="s">
        <v>24</v>
      </c>
      <c r="F28" s="116" t="s">
        <v>25</v>
      </c>
      <c r="G28" s="116" t="s">
        <v>25</v>
      </c>
      <c r="H28" s="116" t="s">
        <v>75</v>
      </c>
      <c r="I28" s="116" t="s">
        <v>25</v>
      </c>
      <c r="J28" s="116">
        <v>22.97</v>
      </c>
      <c r="K28" s="116">
        <v>46.35</v>
      </c>
      <c r="L28" s="116">
        <v>0</v>
      </c>
      <c r="M28" s="116">
        <v>0</v>
      </c>
      <c r="N28" s="116">
        <v>0</v>
      </c>
      <c r="O28" s="116">
        <v>0</v>
      </c>
      <c r="P28" s="116">
        <v>0</v>
      </c>
      <c r="Q28" s="116">
        <v>15.115782395110999</v>
      </c>
      <c r="R28" s="116">
        <v>3.8674263187489499</v>
      </c>
      <c r="S28" s="116">
        <v>0</v>
      </c>
      <c r="T28" s="116">
        <v>0</v>
      </c>
      <c r="U28" s="116">
        <v>0</v>
      </c>
      <c r="V28" s="116">
        <v>0</v>
      </c>
      <c r="W28" s="116">
        <v>0</v>
      </c>
      <c r="X28" s="116">
        <v>0</v>
      </c>
      <c r="Y28" s="116">
        <v>0</v>
      </c>
      <c r="Z28" s="116">
        <v>0</v>
      </c>
      <c r="AA28" s="116">
        <v>0</v>
      </c>
      <c r="AB28" s="116">
        <v>0</v>
      </c>
      <c r="AC28" s="116">
        <v>0</v>
      </c>
      <c r="AD28" s="116">
        <v>3.2453690829164801</v>
      </c>
      <c r="AE28" s="116">
        <v>0.111343376178881</v>
      </c>
      <c r="AF28" s="116">
        <v>0.62950534663476398</v>
      </c>
      <c r="AG28" s="116">
        <v>0</v>
      </c>
      <c r="AH28" s="116">
        <v>0</v>
      </c>
      <c r="AI28" s="116">
        <v>0</v>
      </c>
      <c r="AJ28" s="116">
        <v>0</v>
      </c>
      <c r="AK28" s="116">
        <v>9.6761868327463691</v>
      </c>
      <c r="AL28" s="116">
        <v>0</v>
      </c>
      <c r="AM28" s="116">
        <v>33.410635622126001</v>
      </c>
      <c r="AN28" s="116">
        <v>2.1168172668982601</v>
      </c>
      <c r="AO28" s="116">
        <v>0.269013016943973</v>
      </c>
      <c r="AP28" s="116">
        <v>0</v>
      </c>
      <c r="AQ28" s="116">
        <v>0</v>
      </c>
      <c r="AR28" s="117">
        <v>0.87471075332607195</v>
      </c>
    </row>
    <row r="29" spans="2:44" ht="12" customHeight="1" x14ac:dyDescent="0.25">
      <c r="B29" s="115" t="s">
        <v>41</v>
      </c>
      <c r="C29" s="116" t="s">
        <v>32</v>
      </c>
      <c r="D29" s="116" t="s">
        <v>42</v>
      </c>
      <c r="E29" s="116" t="s">
        <v>91</v>
      </c>
      <c r="F29" s="116" t="s">
        <v>25</v>
      </c>
      <c r="G29" s="116" t="s">
        <v>33</v>
      </c>
      <c r="H29" s="116" t="s">
        <v>75</v>
      </c>
      <c r="I29" s="116" t="s">
        <v>25</v>
      </c>
      <c r="J29" s="116">
        <v>21.59</v>
      </c>
      <c r="K29" s="116">
        <v>63.12</v>
      </c>
      <c r="L29" s="116">
        <v>0</v>
      </c>
      <c r="M29" s="116">
        <v>0</v>
      </c>
      <c r="N29" s="116">
        <v>0</v>
      </c>
      <c r="O29" s="116">
        <v>0</v>
      </c>
      <c r="P29" s="116">
        <v>0</v>
      </c>
      <c r="Q29" s="116">
        <v>14.208835451404299</v>
      </c>
      <c r="R29" s="116">
        <v>3.6353807396240101</v>
      </c>
      <c r="S29" s="116">
        <v>0</v>
      </c>
      <c r="T29" s="116">
        <v>0</v>
      </c>
      <c r="U29" s="116">
        <v>0</v>
      </c>
      <c r="V29" s="116">
        <v>0</v>
      </c>
      <c r="W29" s="116">
        <v>0</v>
      </c>
      <c r="X29" s="116">
        <v>0</v>
      </c>
      <c r="Y29" s="116">
        <v>0</v>
      </c>
      <c r="Z29" s="116">
        <v>0</v>
      </c>
      <c r="AA29" s="116">
        <v>0</v>
      </c>
      <c r="AB29" s="116">
        <v>0</v>
      </c>
      <c r="AC29" s="116">
        <v>0</v>
      </c>
      <c r="AD29" s="116">
        <v>3.0506469379414898</v>
      </c>
      <c r="AE29" s="116">
        <v>0.104662773608148</v>
      </c>
      <c r="AF29" s="116">
        <v>0.59173502583667803</v>
      </c>
      <c r="AG29" s="116">
        <v>0</v>
      </c>
      <c r="AH29" s="116">
        <v>0</v>
      </c>
      <c r="AI29" s="116">
        <v>0</v>
      </c>
      <c r="AJ29" s="116">
        <v>0</v>
      </c>
      <c r="AK29" s="116">
        <v>9.0956156227815903</v>
      </c>
      <c r="AL29" s="116">
        <v>0</v>
      </c>
      <c r="AM29" s="116">
        <v>50.9606751640125</v>
      </c>
      <c r="AN29" s="116">
        <v>1.9898082308843601</v>
      </c>
      <c r="AO29" s="116">
        <v>0.25287223592733499</v>
      </c>
      <c r="AP29" s="116">
        <v>0</v>
      </c>
      <c r="AQ29" s="116">
        <v>0</v>
      </c>
      <c r="AR29" s="117">
        <v>0.82222810812650704</v>
      </c>
    </row>
    <row r="30" spans="2:44" ht="12" customHeight="1" x14ac:dyDescent="0.25">
      <c r="B30" s="115" t="s">
        <v>41</v>
      </c>
      <c r="C30" s="116" t="s">
        <v>32</v>
      </c>
      <c r="D30" s="116" t="s">
        <v>42</v>
      </c>
      <c r="E30" s="116" t="s">
        <v>91</v>
      </c>
      <c r="F30" s="116" t="s">
        <v>25</v>
      </c>
      <c r="G30" s="116" t="s">
        <v>35</v>
      </c>
      <c r="H30" s="116" t="s">
        <v>75</v>
      </c>
      <c r="I30" s="116" t="s">
        <v>25</v>
      </c>
      <c r="J30" s="116">
        <v>21.59</v>
      </c>
      <c r="K30" s="116">
        <v>41.79</v>
      </c>
      <c r="L30" s="116">
        <v>0</v>
      </c>
      <c r="M30" s="116">
        <v>0</v>
      </c>
      <c r="N30" s="116">
        <v>0</v>
      </c>
      <c r="O30" s="116">
        <v>0</v>
      </c>
      <c r="P30" s="116">
        <v>0</v>
      </c>
      <c r="Q30" s="116">
        <v>14.208835451404299</v>
      </c>
      <c r="R30" s="116">
        <v>3.6353807396240101</v>
      </c>
      <c r="S30" s="116">
        <v>0</v>
      </c>
      <c r="T30" s="116">
        <v>0</v>
      </c>
      <c r="U30" s="116">
        <v>0</v>
      </c>
      <c r="V30" s="116">
        <v>0</v>
      </c>
      <c r="W30" s="116">
        <v>0</v>
      </c>
      <c r="X30" s="116">
        <v>0</v>
      </c>
      <c r="Y30" s="116">
        <v>0</v>
      </c>
      <c r="Z30" s="116">
        <v>0</v>
      </c>
      <c r="AA30" s="116">
        <v>0</v>
      </c>
      <c r="AB30" s="116">
        <v>0</v>
      </c>
      <c r="AC30" s="116">
        <v>0</v>
      </c>
      <c r="AD30" s="116">
        <v>3.0506469379414898</v>
      </c>
      <c r="AE30" s="116">
        <v>0.104662773608148</v>
      </c>
      <c r="AF30" s="116">
        <v>0.59173502583667803</v>
      </c>
      <c r="AG30" s="116">
        <v>0</v>
      </c>
      <c r="AH30" s="116">
        <v>0</v>
      </c>
      <c r="AI30" s="116">
        <v>0</v>
      </c>
      <c r="AJ30" s="116">
        <v>0</v>
      </c>
      <c r="AK30" s="116">
        <v>9.0956156227815903</v>
      </c>
      <c r="AL30" s="116">
        <v>0</v>
      </c>
      <c r="AM30" s="116">
        <v>29.628299513960702</v>
      </c>
      <c r="AN30" s="116">
        <v>1.9898082308843601</v>
      </c>
      <c r="AO30" s="116">
        <v>0.25287223592733499</v>
      </c>
      <c r="AP30" s="116">
        <v>0</v>
      </c>
      <c r="AQ30" s="116">
        <v>0</v>
      </c>
      <c r="AR30" s="117">
        <v>0.82222810812650704</v>
      </c>
    </row>
    <row r="31" spans="2:44" ht="12" customHeight="1" x14ac:dyDescent="0.25">
      <c r="B31" s="115" t="s">
        <v>41</v>
      </c>
      <c r="C31" s="116" t="s">
        <v>32</v>
      </c>
      <c r="D31" s="116" t="s">
        <v>42</v>
      </c>
      <c r="E31" s="116" t="s">
        <v>91</v>
      </c>
      <c r="F31" s="116" t="s">
        <v>25</v>
      </c>
      <c r="G31" s="116" t="s">
        <v>34</v>
      </c>
      <c r="H31" s="116" t="s">
        <v>75</v>
      </c>
      <c r="I31" s="116" t="s">
        <v>25</v>
      </c>
      <c r="J31" s="116">
        <v>21.59</v>
      </c>
      <c r="K31" s="116">
        <v>41.79</v>
      </c>
      <c r="L31" s="116">
        <v>0</v>
      </c>
      <c r="M31" s="116">
        <v>0</v>
      </c>
      <c r="N31" s="116">
        <v>0</v>
      </c>
      <c r="O31" s="116">
        <v>0</v>
      </c>
      <c r="P31" s="116">
        <v>0</v>
      </c>
      <c r="Q31" s="116">
        <v>14.208835451404299</v>
      </c>
      <c r="R31" s="116">
        <v>3.6353807396240101</v>
      </c>
      <c r="S31" s="116">
        <v>0</v>
      </c>
      <c r="T31" s="116">
        <v>0</v>
      </c>
      <c r="U31" s="116">
        <v>0</v>
      </c>
      <c r="V31" s="116">
        <v>0</v>
      </c>
      <c r="W31" s="116">
        <v>0</v>
      </c>
      <c r="X31" s="116">
        <v>0</v>
      </c>
      <c r="Y31" s="116">
        <v>0</v>
      </c>
      <c r="Z31" s="116">
        <v>0</v>
      </c>
      <c r="AA31" s="116">
        <v>0</v>
      </c>
      <c r="AB31" s="116">
        <v>0</v>
      </c>
      <c r="AC31" s="116">
        <v>0</v>
      </c>
      <c r="AD31" s="116">
        <v>3.0506469379414898</v>
      </c>
      <c r="AE31" s="116">
        <v>0.104662773608148</v>
      </c>
      <c r="AF31" s="116">
        <v>0.59173502583667803</v>
      </c>
      <c r="AG31" s="116">
        <v>0</v>
      </c>
      <c r="AH31" s="116">
        <v>0</v>
      </c>
      <c r="AI31" s="116">
        <v>0</v>
      </c>
      <c r="AJ31" s="116">
        <v>0</v>
      </c>
      <c r="AK31" s="116">
        <v>9.0956156227815903</v>
      </c>
      <c r="AL31" s="116">
        <v>0</v>
      </c>
      <c r="AM31" s="116">
        <v>29.628299513960702</v>
      </c>
      <c r="AN31" s="116">
        <v>1.9898082308843601</v>
      </c>
      <c r="AO31" s="116">
        <v>0.25287223592733499</v>
      </c>
      <c r="AP31" s="116">
        <v>0</v>
      </c>
      <c r="AQ31" s="116">
        <v>0</v>
      </c>
      <c r="AR31" s="117">
        <v>0.82222810812650704</v>
      </c>
    </row>
    <row r="32" spans="2:44" ht="12" customHeight="1" x14ac:dyDescent="0.25">
      <c r="B32" s="115" t="s">
        <v>41</v>
      </c>
      <c r="C32" s="116" t="s">
        <v>32</v>
      </c>
      <c r="D32" s="116" t="s">
        <v>42</v>
      </c>
      <c r="E32" s="116" t="s">
        <v>25</v>
      </c>
      <c r="F32" s="116" t="s">
        <v>25</v>
      </c>
      <c r="G32" s="116" t="s">
        <v>33</v>
      </c>
      <c r="H32" s="116" t="s">
        <v>75</v>
      </c>
      <c r="I32" s="116" t="s">
        <v>25</v>
      </c>
      <c r="J32" s="116">
        <v>21.59</v>
      </c>
      <c r="K32" s="116">
        <v>63.12</v>
      </c>
      <c r="L32" s="116">
        <v>0</v>
      </c>
      <c r="M32" s="116">
        <v>0</v>
      </c>
      <c r="N32" s="116">
        <v>0</v>
      </c>
      <c r="O32" s="116">
        <v>0</v>
      </c>
      <c r="P32" s="116">
        <v>0</v>
      </c>
      <c r="Q32" s="116">
        <v>14.208835451404299</v>
      </c>
      <c r="R32" s="116">
        <v>3.6353807396240101</v>
      </c>
      <c r="S32" s="116">
        <v>0</v>
      </c>
      <c r="T32" s="116">
        <v>0</v>
      </c>
      <c r="U32" s="116">
        <v>0</v>
      </c>
      <c r="V32" s="116">
        <v>0</v>
      </c>
      <c r="W32" s="116">
        <v>0</v>
      </c>
      <c r="X32" s="116">
        <v>0</v>
      </c>
      <c r="Y32" s="116">
        <v>0</v>
      </c>
      <c r="Z32" s="116">
        <v>0</v>
      </c>
      <c r="AA32" s="116">
        <v>0</v>
      </c>
      <c r="AB32" s="116">
        <v>0</v>
      </c>
      <c r="AC32" s="116">
        <v>0</v>
      </c>
      <c r="AD32" s="116">
        <v>3.0506469379414898</v>
      </c>
      <c r="AE32" s="116">
        <v>0.104662773608148</v>
      </c>
      <c r="AF32" s="116">
        <v>0.59173502583667803</v>
      </c>
      <c r="AG32" s="116">
        <v>0</v>
      </c>
      <c r="AH32" s="116">
        <v>0</v>
      </c>
      <c r="AI32" s="116">
        <v>0</v>
      </c>
      <c r="AJ32" s="116">
        <v>0</v>
      </c>
      <c r="AK32" s="116">
        <v>9.0956156227815903</v>
      </c>
      <c r="AL32" s="116">
        <v>0</v>
      </c>
      <c r="AM32" s="116">
        <v>50.9606751640125</v>
      </c>
      <c r="AN32" s="116">
        <v>1.9898082308843601</v>
      </c>
      <c r="AO32" s="116">
        <v>0.25287223592733499</v>
      </c>
      <c r="AP32" s="116">
        <v>0</v>
      </c>
      <c r="AQ32" s="116">
        <v>0</v>
      </c>
      <c r="AR32" s="117">
        <v>0.82222810812650704</v>
      </c>
    </row>
    <row r="33" spans="2:44" ht="12" customHeight="1" x14ac:dyDescent="0.25">
      <c r="B33" s="115" t="s">
        <v>41</v>
      </c>
      <c r="C33" s="116" t="s">
        <v>32</v>
      </c>
      <c r="D33" s="116" t="s">
        <v>42</v>
      </c>
      <c r="E33" s="116" t="s">
        <v>25</v>
      </c>
      <c r="F33" s="116" t="s">
        <v>25</v>
      </c>
      <c r="G33" s="116" t="s">
        <v>35</v>
      </c>
      <c r="H33" s="116" t="s">
        <v>75</v>
      </c>
      <c r="I33" s="116" t="s">
        <v>25</v>
      </c>
      <c r="J33" s="116">
        <v>21.59</v>
      </c>
      <c r="K33" s="116">
        <v>41.79</v>
      </c>
      <c r="L33" s="116">
        <v>0</v>
      </c>
      <c r="M33" s="116">
        <v>0</v>
      </c>
      <c r="N33" s="116">
        <v>0</v>
      </c>
      <c r="O33" s="116">
        <v>0</v>
      </c>
      <c r="P33" s="116">
        <v>0</v>
      </c>
      <c r="Q33" s="116">
        <v>14.208835451404299</v>
      </c>
      <c r="R33" s="116">
        <v>3.6353807396240101</v>
      </c>
      <c r="S33" s="116">
        <v>0</v>
      </c>
      <c r="T33" s="116">
        <v>0</v>
      </c>
      <c r="U33" s="116">
        <v>0</v>
      </c>
      <c r="V33" s="116">
        <v>0</v>
      </c>
      <c r="W33" s="116">
        <v>0</v>
      </c>
      <c r="X33" s="116">
        <v>0</v>
      </c>
      <c r="Y33" s="116">
        <v>0</v>
      </c>
      <c r="Z33" s="116">
        <v>0</v>
      </c>
      <c r="AA33" s="116">
        <v>0</v>
      </c>
      <c r="AB33" s="116">
        <v>0</v>
      </c>
      <c r="AC33" s="116">
        <v>0</v>
      </c>
      <c r="AD33" s="116">
        <v>3.0506469379414898</v>
      </c>
      <c r="AE33" s="116">
        <v>0.104662773608148</v>
      </c>
      <c r="AF33" s="116">
        <v>0.59173502583667803</v>
      </c>
      <c r="AG33" s="116">
        <v>0</v>
      </c>
      <c r="AH33" s="116">
        <v>0</v>
      </c>
      <c r="AI33" s="116">
        <v>0</v>
      </c>
      <c r="AJ33" s="116">
        <v>0</v>
      </c>
      <c r="AK33" s="116">
        <v>9.0956156227815903</v>
      </c>
      <c r="AL33" s="116">
        <v>0</v>
      </c>
      <c r="AM33" s="116">
        <v>29.628299513960702</v>
      </c>
      <c r="AN33" s="116">
        <v>1.9898082308843601</v>
      </c>
      <c r="AO33" s="116">
        <v>0.25287223592733499</v>
      </c>
      <c r="AP33" s="116">
        <v>0</v>
      </c>
      <c r="AQ33" s="116">
        <v>0</v>
      </c>
      <c r="AR33" s="117">
        <v>0.82222810812650704</v>
      </c>
    </row>
    <row r="34" spans="2:44" ht="12" customHeight="1" x14ac:dyDescent="0.25">
      <c r="B34" s="115" t="s">
        <v>41</v>
      </c>
      <c r="C34" s="116" t="s">
        <v>32</v>
      </c>
      <c r="D34" s="116" t="s">
        <v>42</v>
      </c>
      <c r="E34" s="116" t="s">
        <v>25</v>
      </c>
      <c r="F34" s="116" t="s">
        <v>25</v>
      </c>
      <c r="G34" s="116" t="s">
        <v>34</v>
      </c>
      <c r="H34" s="116" t="s">
        <v>75</v>
      </c>
      <c r="I34" s="116" t="s">
        <v>25</v>
      </c>
      <c r="J34" s="116">
        <v>21.59</v>
      </c>
      <c r="K34" s="116">
        <v>41.79</v>
      </c>
      <c r="L34" s="116">
        <v>0</v>
      </c>
      <c r="M34" s="116">
        <v>0</v>
      </c>
      <c r="N34" s="116">
        <v>0</v>
      </c>
      <c r="O34" s="116">
        <v>0</v>
      </c>
      <c r="P34" s="116">
        <v>0</v>
      </c>
      <c r="Q34" s="116">
        <v>14.208835451404299</v>
      </c>
      <c r="R34" s="116">
        <v>3.6353807396240101</v>
      </c>
      <c r="S34" s="116">
        <v>0</v>
      </c>
      <c r="T34" s="116">
        <v>0</v>
      </c>
      <c r="U34" s="116">
        <v>0</v>
      </c>
      <c r="V34" s="116">
        <v>0</v>
      </c>
      <c r="W34" s="116">
        <v>0</v>
      </c>
      <c r="X34" s="116">
        <v>0</v>
      </c>
      <c r="Y34" s="116">
        <v>0</v>
      </c>
      <c r="Z34" s="116">
        <v>0</v>
      </c>
      <c r="AA34" s="116">
        <v>0</v>
      </c>
      <c r="AB34" s="116">
        <v>0</v>
      </c>
      <c r="AC34" s="116">
        <v>0</v>
      </c>
      <c r="AD34" s="116">
        <v>3.0506469379414898</v>
      </c>
      <c r="AE34" s="116">
        <v>0.104662773608148</v>
      </c>
      <c r="AF34" s="116">
        <v>0.59173502583667803</v>
      </c>
      <c r="AG34" s="116">
        <v>0</v>
      </c>
      <c r="AH34" s="116">
        <v>0</v>
      </c>
      <c r="AI34" s="116">
        <v>0</v>
      </c>
      <c r="AJ34" s="116">
        <v>0</v>
      </c>
      <c r="AK34" s="116">
        <v>9.0956156227815903</v>
      </c>
      <c r="AL34" s="116">
        <v>0</v>
      </c>
      <c r="AM34" s="116">
        <v>29.628299513960702</v>
      </c>
      <c r="AN34" s="116">
        <v>1.9898082308843601</v>
      </c>
      <c r="AO34" s="116">
        <v>0.25287223592733499</v>
      </c>
      <c r="AP34" s="116">
        <v>0</v>
      </c>
      <c r="AQ34" s="116">
        <v>0</v>
      </c>
      <c r="AR34" s="117">
        <v>0.82222810812650704</v>
      </c>
    </row>
    <row r="35" spans="2:44" ht="12" customHeight="1" x14ac:dyDescent="0.25">
      <c r="B35" s="115" t="s">
        <v>41</v>
      </c>
      <c r="C35" s="116" t="s">
        <v>32</v>
      </c>
      <c r="D35" s="116" t="s">
        <v>42</v>
      </c>
      <c r="E35" s="116" t="s">
        <v>92</v>
      </c>
      <c r="F35" s="116" t="s">
        <v>25</v>
      </c>
      <c r="G35" s="116" t="s">
        <v>33</v>
      </c>
      <c r="H35" s="116" t="s">
        <v>75</v>
      </c>
      <c r="I35" s="116" t="s">
        <v>25</v>
      </c>
      <c r="J35" s="116">
        <v>21.13</v>
      </c>
      <c r="K35" s="116">
        <v>61.78</v>
      </c>
      <c r="L35" s="116">
        <v>0</v>
      </c>
      <c r="M35" s="116">
        <v>0</v>
      </c>
      <c r="N35" s="116">
        <v>0</v>
      </c>
      <c r="O35" s="116">
        <v>0</v>
      </c>
      <c r="P35" s="116">
        <v>0</v>
      </c>
      <c r="Q35" s="116">
        <v>13.9065198035021</v>
      </c>
      <c r="R35" s="116">
        <v>3.5580322132490299</v>
      </c>
      <c r="S35" s="116">
        <v>0</v>
      </c>
      <c r="T35" s="116">
        <v>0</v>
      </c>
      <c r="U35" s="116">
        <v>0</v>
      </c>
      <c r="V35" s="116">
        <v>0</v>
      </c>
      <c r="W35" s="116">
        <v>0</v>
      </c>
      <c r="X35" s="116">
        <v>0</v>
      </c>
      <c r="Y35" s="116">
        <v>0</v>
      </c>
      <c r="Z35" s="116">
        <v>0</v>
      </c>
      <c r="AA35" s="116">
        <v>0</v>
      </c>
      <c r="AB35" s="116">
        <v>0</v>
      </c>
      <c r="AC35" s="116">
        <v>0</v>
      </c>
      <c r="AD35" s="116">
        <v>2.9857395562831601</v>
      </c>
      <c r="AE35" s="116">
        <v>0.102435906084571</v>
      </c>
      <c r="AF35" s="116">
        <v>0.57914491890398201</v>
      </c>
      <c r="AG35" s="116">
        <v>0</v>
      </c>
      <c r="AH35" s="116">
        <v>0</v>
      </c>
      <c r="AI35" s="116">
        <v>0</v>
      </c>
      <c r="AJ35" s="116">
        <v>0</v>
      </c>
      <c r="AK35" s="116">
        <v>8.9020918861266605</v>
      </c>
      <c r="AL35" s="116">
        <v>0</v>
      </c>
      <c r="AM35" s="116">
        <v>49.876405479671803</v>
      </c>
      <c r="AN35" s="116">
        <v>1.9474718855463999</v>
      </c>
      <c r="AO35" s="116">
        <v>0.24749197558845601</v>
      </c>
      <c r="AP35" s="116">
        <v>0</v>
      </c>
      <c r="AQ35" s="116">
        <v>0</v>
      </c>
      <c r="AR35" s="117">
        <v>0.80473389305998599</v>
      </c>
    </row>
    <row r="36" spans="2:44" ht="12" customHeight="1" x14ac:dyDescent="0.25">
      <c r="B36" s="115" t="s">
        <v>41</v>
      </c>
      <c r="C36" s="116" t="s">
        <v>32</v>
      </c>
      <c r="D36" s="116" t="s">
        <v>42</v>
      </c>
      <c r="E36" s="116" t="s">
        <v>92</v>
      </c>
      <c r="F36" s="116" t="s">
        <v>25</v>
      </c>
      <c r="G36" s="116" t="s">
        <v>35</v>
      </c>
      <c r="H36" s="116" t="s">
        <v>75</v>
      </c>
      <c r="I36" s="116" t="s">
        <v>25</v>
      </c>
      <c r="J36" s="116">
        <v>21.13</v>
      </c>
      <c r="K36" s="116">
        <v>40.9</v>
      </c>
      <c r="L36" s="116">
        <v>0</v>
      </c>
      <c r="M36" s="116">
        <v>0</v>
      </c>
      <c r="N36" s="116">
        <v>0</v>
      </c>
      <c r="O36" s="116">
        <v>0</v>
      </c>
      <c r="P36" s="116">
        <v>0</v>
      </c>
      <c r="Q36" s="116">
        <v>13.9065198035021</v>
      </c>
      <c r="R36" s="116">
        <v>3.5580322132490299</v>
      </c>
      <c r="S36" s="116">
        <v>0</v>
      </c>
      <c r="T36" s="116">
        <v>0</v>
      </c>
      <c r="U36" s="116">
        <v>0</v>
      </c>
      <c r="V36" s="116">
        <v>0</v>
      </c>
      <c r="W36" s="116">
        <v>0</v>
      </c>
      <c r="X36" s="116">
        <v>0</v>
      </c>
      <c r="Y36" s="116">
        <v>0</v>
      </c>
      <c r="Z36" s="116">
        <v>0</v>
      </c>
      <c r="AA36" s="116">
        <v>0</v>
      </c>
      <c r="AB36" s="116">
        <v>0</v>
      </c>
      <c r="AC36" s="116">
        <v>0</v>
      </c>
      <c r="AD36" s="116">
        <v>2.9857395562831601</v>
      </c>
      <c r="AE36" s="116">
        <v>0.102435906084571</v>
      </c>
      <c r="AF36" s="116">
        <v>0.57914491890398201</v>
      </c>
      <c r="AG36" s="116">
        <v>0</v>
      </c>
      <c r="AH36" s="116">
        <v>0</v>
      </c>
      <c r="AI36" s="116">
        <v>0</v>
      </c>
      <c r="AJ36" s="116">
        <v>0</v>
      </c>
      <c r="AK36" s="116">
        <v>8.9020918861266605</v>
      </c>
      <c r="AL36" s="116">
        <v>0</v>
      </c>
      <c r="AM36" s="116">
        <v>28.997910162599901</v>
      </c>
      <c r="AN36" s="116">
        <v>1.9474718855463999</v>
      </c>
      <c r="AO36" s="116">
        <v>0.24749197558845601</v>
      </c>
      <c r="AP36" s="116">
        <v>0</v>
      </c>
      <c r="AQ36" s="116">
        <v>0</v>
      </c>
      <c r="AR36" s="117">
        <v>0.80473389305998599</v>
      </c>
    </row>
    <row r="37" spans="2:44" ht="12" customHeight="1" x14ac:dyDescent="0.25">
      <c r="B37" s="115" t="s">
        <v>41</v>
      </c>
      <c r="C37" s="116" t="s">
        <v>32</v>
      </c>
      <c r="D37" s="116" t="s">
        <v>42</v>
      </c>
      <c r="E37" s="116" t="s">
        <v>92</v>
      </c>
      <c r="F37" s="116" t="s">
        <v>25</v>
      </c>
      <c r="G37" s="116" t="s">
        <v>34</v>
      </c>
      <c r="H37" s="116" t="s">
        <v>75</v>
      </c>
      <c r="I37" s="116" t="s">
        <v>25</v>
      </c>
      <c r="J37" s="116">
        <v>21.13</v>
      </c>
      <c r="K37" s="116">
        <v>40.9</v>
      </c>
      <c r="L37" s="116">
        <v>0</v>
      </c>
      <c r="M37" s="116">
        <v>0</v>
      </c>
      <c r="N37" s="116">
        <v>0</v>
      </c>
      <c r="O37" s="116">
        <v>0</v>
      </c>
      <c r="P37" s="116">
        <v>0</v>
      </c>
      <c r="Q37" s="116">
        <v>13.9065198035021</v>
      </c>
      <c r="R37" s="116">
        <v>3.5580322132490299</v>
      </c>
      <c r="S37" s="116">
        <v>0</v>
      </c>
      <c r="T37" s="116">
        <v>0</v>
      </c>
      <c r="U37" s="116">
        <v>0</v>
      </c>
      <c r="V37" s="116">
        <v>0</v>
      </c>
      <c r="W37" s="116">
        <v>0</v>
      </c>
      <c r="X37" s="116">
        <v>0</v>
      </c>
      <c r="Y37" s="116">
        <v>0</v>
      </c>
      <c r="Z37" s="116">
        <v>0</v>
      </c>
      <c r="AA37" s="116">
        <v>0</v>
      </c>
      <c r="AB37" s="116">
        <v>0</v>
      </c>
      <c r="AC37" s="116">
        <v>0</v>
      </c>
      <c r="AD37" s="116">
        <v>2.9857395562831601</v>
      </c>
      <c r="AE37" s="116">
        <v>0.102435906084571</v>
      </c>
      <c r="AF37" s="116">
        <v>0.57914491890398201</v>
      </c>
      <c r="AG37" s="116">
        <v>0</v>
      </c>
      <c r="AH37" s="116">
        <v>0</v>
      </c>
      <c r="AI37" s="116">
        <v>0</v>
      </c>
      <c r="AJ37" s="116">
        <v>0</v>
      </c>
      <c r="AK37" s="116">
        <v>8.9020918861266605</v>
      </c>
      <c r="AL37" s="116">
        <v>0</v>
      </c>
      <c r="AM37" s="116">
        <v>28.997910162599901</v>
      </c>
      <c r="AN37" s="116">
        <v>1.9474718855463999</v>
      </c>
      <c r="AO37" s="116">
        <v>0.24749197558845601</v>
      </c>
      <c r="AP37" s="116">
        <v>0</v>
      </c>
      <c r="AQ37" s="116">
        <v>0</v>
      </c>
      <c r="AR37" s="117">
        <v>0.80473389305998599</v>
      </c>
    </row>
    <row r="38" spans="2:44" ht="12" customHeight="1" x14ac:dyDescent="0.25">
      <c r="B38" s="115" t="s">
        <v>41</v>
      </c>
      <c r="C38" s="116" t="s">
        <v>23</v>
      </c>
      <c r="D38" s="116" t="s">
        <v>42</v>
      </c>
      <c r="E38" s="116" t="s">
        <v>91</v>
      </c>
      <c r="F38" s="116" t="s">
        <v>25</v>
      </c>
      <c r="G38" s="116" t="s">
        <v>25</v>
      </c>
      <c r="H38" s="116" t="s">
        <v>75</v>
      </c>
      <c r="I38" s="116" t="s">
        <v>25</v>
      </c>
      <c r="J38" s="116">
        <v>21.59</v>
      </c>
      <c r="K38" s="116">
        <v>43.57</v>
      </c>
      <c r="L38" s="116">
        <v>0</v>
      </c>
      <c r="M38" s="116">
        <v>0</v>
      </c>
      <c r="N38" s="116">
        <v>0</v>
      </c>
      <c r="O38" s="116">
        <v>0</v>
      </c>
      <c r="P38" s="116">
        <v>0</v>
      </c>
      <c r="Q38" s="116">
        <v>14.208835451404299</v>
      </c>
      <c r="R38" s="116">
        <v>3.6353807396240101</v>
      </c>
      <c r="S38" s="116">
        <v>0</v>
      </c>
      <c r="T38" s="116">
        <v>0</v>
      </c>
      <c r="U38" s="116">
        <v>0</v>
      </c>
      <c r="V38" s="116">
        <v>0</v>
      </c>
      <c r="W38" s="116">
        <v>0</v>
      </c>
      <c r="X38" s="116">
        <v>0</v>
      </c>
      <c r="Y38" s="116">
        <v>0</v>
      </c>
      <c r="Z38" s="116">
        <v>0</v>
      </c>
      <c r="AA38" s="116">
        <v>0</v>
      </c>
      <c r="AB38" s="116">
        <v>0</v>
      </c>
      <c r="AC38" s="116">
        <v>0</v>
      </c>
      <c r="AD38" s="116">
        <v>3.0506469379414898</v>
      </c>
      <c r="AE38" s="116">
        <v>0.104662773608148</v>
      </c>
      <c r="AF38" s="116">
        <v>0.59173502583667803</v>
      </c>
      <c r="AG38" s="116">
        <v>0</v>
      </c>
      <c r="AH38" s="116">
        <v>0</v>
      </c>
      <c r="AI38" s="116">
        <v>0</v>
      </c>
      <c r="AJ38" s="116">
        <v>0</v>
      </c>
      <c r="AK38" s="116">
        <v>9.0956156227815903</v>
      </c>
      <c r="AL38" s="116">
        <v>0</v>
      </c>
      <c r="AM38" s="116">
        <v>31.405997484798402</v>
      </c>
      <c r="AN38" s="116">
        <v>1.9898082308843601</v>
      </c>
      <c r="AO38" s="116">
        <v>0.25287223592733499</v>
      </c>
      <c r="AP38" s="116">
        <v>0</v>
      </c>
      <c r="AQ38" s="116">
        <v>0</v>
      </c>
      <c r="AR38" s="117">
        <v>0.82222810812650704</v>
      </c>
    </row>
    <row r="39" spans="2:44" ht="12" customHeight="1" x14ac:dyDescent="0.25">
      <c r="B39" s="115" t="s">
        <v>41</v>
      </c>
      <c r="C39" s="116" t="s">
        <v>23</v>
      </c>
      <c r="D39" s="116" t="s">
        <v>42</v>
      </c>
      <c r="E39" s="116" t="s">
        <v>25</v>
      </c>
      <c r="F39" s="116" t="s">
        <v>25</v>
      </c>
      <c r="G39" s="116" t="s">
        <v>25</v>
      </c>
      <c r="H39" s="116" t="s">
        <v>75</v>
      </c>
      <c r="I39" s="116" t="s">
        <v>25</v>
      </c>
      <c r="J39" s="116">
        <v>21.59</v>
      </c>
      <c r="K39" s="116">
        <v>43.57</v>
      </c>
      <c r="L39" s="116">
        <v>0</v>
      </c>
      <c r="M39" s="116">
        <v>0</v>
      </c>
      <c r="N39" s="116">
        <v>0</v>
      </c>
      <c r="O39" s="116">
        <v>0</v>
      </c>
      <c r="P39" s="116">
        <v>0</v>
      </c>
      <c r="Q39" s="116">
        <v>14.208835451404299</v>
      </c>
      <c r="R39" s="116">
        <v>3.6353807396240101</v>
      </c>
      <c r="S39" s="116">
        <v>0</v>
      </c>
      <c r="T39" s="116">
        <v>0</v>
      </c>
      <c r="U39" s="116">
        <v>0</v>
      </c>
      <c r="V39" s="116">
        <v>0</v>
      </c>
      <c r="W39" s="116">
        <v>0</v>
      </c>
      <c r="X39" s="116">
        <v>0</v>
      </c>
      <c r="Y39" s="116">
        <v>0</v>
      </c>
      <c r="Z39" s="116">
        <v>0</v>
      </c>
      <c r="AA39" s="116">
        <v>0</v>
      </c>
      <c r="AB39" s="116">
        <v>0</v>
      </c>
      <c r="AC39" s="116">
        <v>0</v>
      </c>
      <c r="AD39" s="116">
        <v>3.0506469379414898</v>
      </c>
      <c r="AE39" s="116">
        <v>0.104662773608148</v>
      </c>
      <c r="AF39" s="116">
        <v>0.59173502583667803</v>
      </c>
      <c r="AG39" s="116">
        <v>0</v>
      </c>
      <c r="AH39" s="116">
        <v>0</v>
      </c>
      <c r="AI39" s="116">
        <v>0</v>
      </c>
      <c r="AJ39" s="116">
        <v>0</v>
      </c>
      <c r="AK39" s="116">
        <v>9.0956156227815903</v>
      </c>
      <c r="AL39" s="116">
        <v>0</v>
      </c>
      <c r="AM39" s="116">
        <v>31.405997484798402</v>
      </c>
      <c r="AN39" s="116">
        <v>1.9898082308843601</v>
      </c>
      <c r="AO39" s="116">
        <v>0.25287223592733499</v>
      </c>
      <c r="AP39" s="116">
        <v>0</v>
      </c>
      <c r="AQ39" s="116">
        <v>0</v>
      </c>
      <c r="AR39" s="117">
        <v>0.82222810812650704</v>
      </c>
    </row>
    <row r="40" spans="2:44" ht="12" customHeight="1" x14ac:dyDescent="0.25">
      <c r="B40" s="115" t="s">
        <v>41</v>
      </c>
      <c r="C40" s="116" t="s">
        <v>23</v>
      </c>
      <c r="D40" s="116" t="s">
        <v>42</v>
      </c>
      <c r="E40" s="116" t="s">
        <v>92</v>
      </c>
      <c r="F40" s="116" t="s">
        <v>25</v>
      </c>
      <c r="G40" s="116" t="s">
        <v>25</v>
      </c>
      <c r="H40" s="116" t="s">
        <v>75</v>
      </c>
      <c r="I40" s="116" t="s">
        <v>25</v>
      </c>
      <c r="J40" s="116">
        <v>21.13</v>
      </c>
      <c r="K40" s="116">
        <v>42.64</v>
      </c>
      <c r="L40" s="116">
        <v>0</v>
      </c>
      <c r="M40" s="116">
        <v>0</v>
      </c>
      <c r="N40" s="116">
        <v>0</v>
      </c>
      <c r="O40" s="116">
        <v>0</v>
      </c>
      <c r="P40" s="116">
        <v>0</v>
      </c>
      <c r="Q40" s="116">
        <v>13.9065198035021</v>
      </c>
      <c r="R40" s="116">
        <v>3.5580322132490299</v>
      </c>
      <c r="S40" s="116">
        <v>0</v>
      </c>
      <c r="T40" s="116">
        <v>0</v>
      </c>
      <c r="U40" s="116">
        <v>0</v>
      </c>
      <c r="V40" s="116">
        <v>0</v>
      </c>
      <c r="W40" s="116">
        <v>0</v>
      </c>
      <c r="X40" s="116">
        <v>0</v>
      </c>
      <c r="Y40" s="116">
        <v>0</v>
      </c>
      <c r="Z40" s="116">
        <v>0</v>
      </c>
      <c r="AA40" s="116">
        <v>0</v>
      </c>
      <c r="AB40" s="116">
        <v>0</v>
      </c>
      <c r="AC40" s="116">
        <v>0</v>
      </c>
      <c r="AD40" s="116">
        <v>2.9857395562831601</v>
      </c>
      <c r="AE40" s="116">
        <v>0.102435906084571</v>
      </c>
      <c r="AF40" s="116">
        <v>0.57914491890398201</v>
      </c>
      <c r="AG40" s="116">
        <v>0</v>
      </c>
      <c r="AH40" s="116">
        <v>0</v>
      </c>
      <c r="AI40" s="116">
        <v>0</v>
      </c>
      <c r="AJ40" s="116">
        <v>0</v>
      </c>
      <c r="AK40" s="116">
        <v>8.9020918861266605</v>
      </c>
      <c r="AL40" s="116">
        <v>0</v>
      </c>
      <c r="AM40" s="116">
        <v>30.737784772355901</v>
      </c>
      <c r="AN40" s="116">
        <v>1.9474718855463999</v>
      </c>
      <c r="AO40" s="116">
        <v>0.24749197558845601</v>
      </c>
      <c r="AP40" s="116">
        <v>0</v>
      </c>
      <c r="AQ40" s="116">
        <v>0</v>
      </c>
      <c r="AR40" s="117">
        <v>0.80473389305998599</v>
      </c>
    </row>
    <row r="41" spans="2:44" ht="12" customHeight="1" x14ac:dyDescent="0.25">
      <c r="B41" s="115" t="s">
        <v>41</v>
      </c>
      <c r="C41" s="116" t="s">
        <v>90</v>
      </c>
      <c r="D41" s="116" t="s">
        <v>42</v>
      </c>
      <c r="E41" s="116" t="s">
        <v>91</v>
      </c>
      <c r="F41" s="116" t="s">
        <v>25</v>
      </c>
      <c r="G41" s="116" t="s">
        <v>25</v>
      </c>
      <c r="H41" s="116" t="s">
        <v>75</v>
      </c>
      <c r="I41" s="116" t="s">
        <v>25</v>
      </c>
      <c r="J41" s="116">
        <v>21.59</v>
      </c>
      <c r="K41" s="116">
        <v>43.57</v>
      </c>
      <c r="L41" s="116">
        <v>0</v>
      </c>
      <c r="M41" s="116">
        <v>0</v>
      </c>
      <c r="N41" s="116">
        <v>0</v>
      </c>
      <c r="O41" s="116">
        <v>0</v>
      </c>
      <c r="P41" s="116">
        <v>0</v>
      </c>
      <c r="Q41" s="116">
        <v>14.208835451404299</v>
      </c>
      <c r="R41" s="116">
        <v>3.6353807396240101</v>
      </c>
      <c r="S41" s="116">
        <v>0</v>
      </c>
      <c r="T41" s="116">
        <v>0</v>
      </c>
      <c r="U41" s="116">
        <v>0</v>
      </c>
      <c r="V41" s="116">
        <v>0</v>
      </c>
      <c r="W41" s="116">
        <v>0</v>
      </c>
      <c r="X41" s="116">
        <v>0</v>
      </c>
      <c r="Y41" s="116">
        <v>0</v>
      </c>
      <c r="Z41" s="116">
        <v>0</v>
      </c>
      <c r="AA41" s="116">
        <v>0</v>
      </c>
      <c r="AB41" s="116">
        <v>0</v>
      </c>
      <c r="AC41" s="116">
        <v>0</v>
      </c>
      <c r="AD41" s="116">
        <v>3.0506469379414898</v>
      </c>
      <c r="AE41" s="116">
        <v>0.104662773608148</v>
      </c>
      <c r="AF41" s="116">
        <v>0.59173502583667803</v>
      </c>
      <c r="AG41" s="116">
        <v>0</v>
      </c>
      <c r="AH41" s="116">
        <v>0</v>
      </c>
      <c r="AI41" s="116">
        <v>0</v>
      </c>
      <c r="AJ41" s="116">
        <v>0</v>
      </c>
      <c r="AK41" s="116">
        <v>9.0956156227815903</v>
      </c>
      <c r="AL41" s="116">
        <v>0</v>
      </c>
      <c r="AM41" s="116">
        <v>31.405997484798402</v>
      </c>
      <c r="AN41" s="116">
        <v>1.9898082308843601</v>
      </c>
      <c r="AO41" s="116">
        <v>0.25287223592733499</v>
      </c>
      <c r="AP41" s="116">
        <v>0</v>
      </c>
      <c r="AQ41" s="116">
        <v>0</v>
      </c>
      <c r="AR41" s="117">
        <v>0.82222810812650704</v>
      </c>
    </row>
    <row r="42" spans="2:44" ht="12" customHeight="1" x14ac:dyDescent="0.25">
      <c r="B42" s="115" t="s">
        <v>41</v>
      </c>
      <c r="C42" s="116" t="s">
        <v>90</v>
      </c>
      <c r="D42" s="116" t="s">
        <v>42</v>
      </c>
      <c r="E42" s="116" t="s">
        <v>25</v>
      </c>
      <c r="F42" s="116" t="s">
        <v>25</v>
      </c>
      <c r="G42" s="116" t="s">
        <v>25</v>
      </c>
      <c r="H42" s="116" t="s">
        <v>75</v>
      </c>
      <c r="I42" s="116" t="s">
        <v>25</v>
      </c>
      <c r="J42" s="116">
        <v>21.59</v>
      </c>
      <c r="K42" s="116">
        <v>43.57</v>
      </c>
      <c r="L42" s="116">
        <v>0</v>
      </c>
      <c r="M42" s="116">
        <v>0</v>
      </c>
      <c r="N42" s="116">
        <v>0</v>
      </c>
      <c r="O42" s="116">
        <v>0</v>
      </c>
      <c r="P42" s="116">
        <v>0</v>
      </c>
      <c r="Q42" s="116">
        <v>14.208835451404299</v>
      </c>
      <c r="R42" s="116">
        <v>3.6353807396240101</v>
      </c>
      <c r="S42" s="116">
        <v>0</v>
      </c>
      <c r="T42" s="116">
        <v>0</v>
      </c>
      <c r="U42" s="116">
        <v>0</v>
      </c>
      <c r="V42" s="116">
        <v>0</v>
      </c>
      <c r="W42" s="116">
        <v>0</v>
      </c>
      <c r="X42" s="116">
        <v>0</v>
      </c>
      <c r="Y42" s="116">
        <v>0</v>
      </c>
      <c r="Z42" s="116">
        <v>0</v>
      </c>
      <c r="AA42" s="116">
        <v>0</v>
      </c>
      <c r="AB42" s="116">
        <v>0</v>
      </c>
      <c r="AC42" s="116">
        <v>0</v>
      </c>
      <c r="AD42" s="116">
        <v>3.0506469379414898</v>
      </c>
      <c r="AE42" s="116">
        <v>0.104662773608148</v>
      </c>
      <c r="AF42" s="116">
        <v>0.59173502583667803</v>
      </c>
      <c r="AG42" s="116">
        <v>0</v>
      </c>
      <c r="AH42" s="116">
        <v>0</v>
      </c>
      <c r="AI42" s="116">
        <v>0</v>
      </c>
      <c r="AJ42" s="116">
        <v>0</v>
      </c>
      <c r="AK42" s="116">
        <v>9.0956156227815903</v>
      </c>
      <c r="AL42" s="116">
        <v>0</v>
      </c>
      <c r="AM42" s="116">
        <v>31.405997484798402</v>
      </c>
      <c r="AN42" s="116">
        <v>1.9898082308843601</v>
      </c>
      <c r="AO42" s="116">
        <v>0.25287223592733499</v>
      </c>
      <c r="AP42" s="116">
        <v>0</v>
      </c>
      <c r="AQ42" s="116">
        <v>0</v>
      </c>
      <c r="AR42" s="117">
        <v>0.82222810812650704</v>
      </c>
    </row>
    <row r="43" spans="2:44" ht="12" customHeight="1" x14ac:dyDescent="0.25">
      <c r="B43" s="115" t="s">
        <v>41</v>
      </c>
      <c r="C43" s="116" t="s">
        <v>90</v>
      </c>
      <c r="D43" s="116" t="s">
        <v>42</v>
      </c>
      <c r="E43" s="116" t="s">
        <v>92</v>
      </c>
      <c r="F43" s="116" t="s">
        <v>25</v>
      </c>
      <c r="G43" s="116" t="s">
        <v>25</v>
      </c>
      <c r="H43" s="116" t="s">
        <v>75</v>
      </c>
      <c r="I43" s="116" t="s">
        <v>25</v>
      </c>
      <c r="J43" s="116">
        <v>21.13</v>
      </c>
      <c r="K43" s="116">
        <v>42.64</v>
      </c>
      <c r="L43" s="116">
        <v>0</v>
      </c>
      <c r="M43" s="116">
        <v>0</v>
      </c>
      <c r="N43" s="116">
        <v>0</v>
      </c>
      <c r="O43" s="116">
        <v>0</v>
      </c>
      <c r="P43" s="116">
        <v>0</v>
      </c>
      <c r="Q43" s="116">
        <v>13.9065198035021</v>
      </c>
      <c r="R43" s="116">
        <v>3.5580322132490299</v>
      </c>
      <c r="S43" s="116">
        <v>0</v>
      </c>
      <c r="T43" s="116">
        <v>0</v>
      </c>
      <c r="U43" s="116">
        <v>0</v>
      </c>
      <c r="V43" s="116">
        <v>0</v>
      </c>
      <c r="W43" s="116">
        <v>0</v>
      </c>
      <c r="X43" s="116">
        <v>0</v>
      </c>
      <c r="Y43" s="116">
        <v>0</v>
      </c>
      <c r="Z43" s="116">
        <v>0</v>
      </c>
      <c r="AA43" s="116">
        <v>0</v>
      </c>
      <c r="AB43" s="116">
        <v>0</v>
      </c>
      <c r="AC43" s="116">
        <v>0</v>
      </c>
      <c r="AD43" s="116">
        <v>2.9857395562831601</v>
      </c>
      <c r="AE43" s="116">
        <v>0.102435906084571</v>
      </c>
      <c r="AF43" s="116">
        <v>0.57914491890398201</v>
      </c>
      <c r="AG43" s="116">
        <v>0</v>
      </c>
      <c r="AH43" s="116">
        <v>0</v>
      </c>
      <c r="AI43" s="116">
        <v>0</v>
      </c>
      <c r="AJ43" s="116">
        <v>0</v>
      </c>
      <c r="AK43" s="116">
        <v>8.9020918861266605</v>
      </c>
      <c r="AL43" s="116">
        <v>0</v>
      </c>
      <c r="AM43" s="116">
        <v>30.737784772355901</v>
      </c>
      <c r="AN43" s="116">
        <v>1.9474718855463999</v>
      </c>
      <c r="AO43" s="116">
        <v>0.24749197558845601</v>
      </c>
      <c r="AP43" s="116">
        <v>0</v>
      </c>
      <c r="AQ43" s="116">
        <v>0</v>
      </c>
      <c r="AR43" s="117">
        <v>0.80473389305998599</v>
      </c>
    </row>
    <row r="44" spans="2:44" ht="12" customHeight="1" x14ac:dyDescent="0.25">
      <c r="B44" s="115" t="s">
        <v>36</v>
      </c>
      <c r="C44" s="116" t="s">
        <v>32</v>
      </c>
      <c r="D44" s="116" t="s">
        <v>25</v>
      </c>
      <c r="E44" s="116" t="s">
        <v>25</v>
      </c>
      <c r="F44" s="116" t="s">
        <v>25</v>
      </c>
      <c r="G44" s="116" t="s">
        <v>33</v>
      </c>
      <c r="H44" s="116" t="s">
        <v>75</v>
      </c>
      <c r="I44" s="116" t="s">
        <v>25</v>
      </c>
      <c r="J44" s="116">
        <v>22.97</v>
      </c>
      <c r="K44" s="116">
        <v>67.150000000000006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16">
        <v>15.115782395110999</v>
      </c>
      <c r="R44" s="116">
        <v>3.8674263187489499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0</v>
      </c>
      <c r="Y44" s="116">
        <v>0</v>
      </c>
      <c r="Z44" s="116">
        <v>0</v>
      </c>
      <c r="AA44" s="116">
        <v>0</v>
      </c>
      <c r="AB44" s="116">
        <v>0</v>
      </c>
      <c r="AC44" s="116">
        <v>0</v>
      </c>
      <c r="AD44" s="116">
        <v>3.2453690829164801</v>
      </c>
      <c r="AE44" s="116">
        <v>0.111343376178881</v>
      </c>
      <c r="AF44" s="116">
        <v>0.62950534663476398</v>
      </c>
      <c r="AG44" s="116">
        <v>0</v>
      </c>
      <c r="AH44" s="116">
        <v>0</v>
      </c>
      <c r="AI44" s="116">
        <v>0</v>
      </c>
      <c r="AJ44" s="116">
        <v>0</v>
      </c>
      <c r="AK44" s="116">
        <v>9.6761868327463691</v>
      </c>
      <c r="AL44" s="116">
        <v>0</v>
      </c>
      <c r="AM44" s="116">
        <v>54.213484217034598</v>
      </c>
      <c r="AN44" s="116">
        <v>2.1168172668982601</v>
      </c>
      <c r="AO44" s="116">
        <v>0.269013016943973</v>
      </c>
      <c r="AP44" s="116">
        <v>0</v>
      </c>
      <c r="AQ44" s="116">
        <v>0</v>
      </c>
      <c r="AR44" s="117">
        <v>0.87471075332607195</v>
      </c>
    </row>
    <row r="45" spans="2:44" ht="12" customHeight="1" x14ac:dyDescent="0.25">
      <c r="B45" s="115" t="s">
        <v>36</v>
      </c>
      <c r="C45" s="116" t="s">
        <v>32</v>
      </c>
      <c r="D45" s="116" t="s">
        <v>25</v>
      </c>
      <c r="E45" s="116" t="s">
        <v>25</v>
      </c>
      <c r="F45" s="116" t="s">
        <v>25</v>
      </c>
      <c r="G45" s="116" t="s">
        <v>35</v>
      </c>
      <c r="H45" s="116" t="s">
        <v>75</v>
      </c>
      <c r="I45" s="116" t="s">
        <v>25</v>
      </c>
      <c r="J45" s="116">
        <v>22.97</v>
      </c>
      <c r="K45" s="116">
        <v>44.46</v>
      </c>
      <c r="L45" s="116">
        <v>0</v>
      </c>
      <c r="M45" s="116">
        <v>0</v>
      </c>
      <c r="N45" s="116">
        <v>0</v>
      </c>
      <c r="O45" s="116">
        <v>0</v>
      </c>
      <c r="P45" s="116">
        <v>0</v>
      </c>
      <c r="Q45" s="116">
        <v>15.115782395110999</v>
      </c>
      <c r="R45" s="116">
        <v>3.8674263187489499</v>
      </c>
      <c r="S45" s="116">
        <v>0</v>
      </c>
      <c r="T45" s="116">
        <v>0</v>
      </c>
      <c r="U45" s="116">
        <v>0</v>
      </c>
      <c r="V45" s="116">
        <v>0</v>
      </c>
      <c r="W45" s="116">
        <v>0</v>
      </c>
      <c r="X45" s="116">
        <v>0</v>
      </c>
      <c r="Y45" s="116">
        <v>0</v>
      </c>
      <c r="Z45" s="116">
        <v>0</v>
      </c>
      <c r="AA45" s="116">
        <v>0</v>
      </c>
      <c r="AB45" s="116">
        <v>0</v>
      </c>
      <c r="AC45" s="116">
        <v>0</v>
      </c>
      <c r="AD45" s="116">
        <v>3.2453690829164801</v>
      </c>
      <c r="AE45" s="116">
        <v>0.111343376178881</v>
      </c>
      <c r="AF45" s="116">
        <v>0.62950534663476398</v>
      </c>
      <c r="AG45" s="116">
        <v>0</v>
      </c>
      <c r="AH45" s="116">
        <v>0</v>
      </c>
      <c r="AI45" s="116">
        <v>0</v>
      </c>
      <c r="AJ45" s="116">
        <v>0</v>
      </c>
      <c r="AK45" s="116">
        <v>9.6761868327463691</v>
      </c>
      <c r="AL45" s="116">
        <v>0</v>
      </c>
      <c r="AM45" s="116">
        <v>31.5194675680434</v>
      </c>
      <c r="AN45" s="116">
        <v>2.1168172668982601</v>
      </c>
      <c r="AO45" s="116">
        <v>0.269013016943973</v>
      </c>
      <c r="AP45" s="116">
        <v>0</v>
      </c>
      <c r="AQ45" s="116">
        <v>0</v>
      </c>
      <c r="AR45" s="117">
        <v>0.87471075332607195</v>
      </c>
    </row>
    <row r="46" spans="2:44" ht="12" customHeight="1" x14ac:dyDescent="0.25">
      <c r="B46" s="115" t="s">
        <v>36</v>
      </c>
      <c r="C46" s="116" t="s">
        <v>32</v>
      </c>
      <c r="D46" s="116" t="s">
        <v>25</v>
      </c>
      <c r="E46" s="116" t="s">
        <v>25</v>
      </c>
      <c r="F46" s="116" t="s">
        <v>25</v>
      </c>
      <c r="G46" s="116" t="s">
        <v>34</v>
      </c>
      <c r="H46" s="116" t="s">
        <v>75</v>
      </c>
      <c r="I46" s="116" t="s">
        <v>25</v>
      </c>
      <c r="J46" s="116">
        <v>22.97</v>
      </c>
      <c r="K46" s="116">
        <v>44.46</v>
      </c>
      <c r="L46" s="116">
        <v>0</v>
      </c>
      <c r="M46" s="116">
        <v>0</v>
      </c>
      <c r="N46" s="116">
        <v>0</v>
      </c>
      <c r="O46" s="116">
        <v>0</v>
      </c>
      <c r="P46" s="116">
        <v>0</v>
      </c>
      <c r="Q46" s="116">
        <v>15.115782395110999</v>
      </c>
      <c r="R46" s="116">
        <v>3.8674263187489499</v>
      </c>
      <c r="S46" s="116">
        <v>0</v>
      </c>
      <c r="T46" s="116">
        <v>0</v>
      </c>
      <c r="U46" s="116">
        <v>0</v>
      </c>
      <c r="V46" s="116">
        <v>0</v>
      </c>
      <c r="W46" s="116">
        <v>0</v>
      </c>
      <c r="X46" s="116">
        <v>0</v>
      </c>
      <c r="Y46" s="116">
        <v>0</v>
      </c>
      <c r="Z46" s="116">
        <v>0</v>
      </c>
      <c r="AA46" s="116">
        <v>0</v>
      </c>
      <c r="AB46" s="116">
        <v>0</v>
      </c>
      <c r="AC46" s="116">
        <v>0</v>
      </c>
      <c r="AD46" s="116">
        <v>3.2453690829164801</v>
      </c>
      <c r="AE46" s="116">
        <v>0.111343376178881</v>
      </c>
      <c r="AF46" s="116">
        <v>0.62950534663476398</v>
      </c>
      <c r="AG46" s="116">
        <v>0</v>
      </c>
      <c r="AH46" s="116">
        <v>0</v>
      </c>
      <c r="AI46" s="116">
        <v>0</v>
      </c>
      <c r="AJ46" s="116">
        <v>0</v>
      </c>
      <c r="AK46" s="116">
        <v>9.6761868327463691</v>
      </c>
      <c r="AL46" s="116">
        <v>0</v>
      </c>
      <c r="AM46" s="116">
        <v>31.5194675680434</v>
      </c>
      <c r="AN46" s="116">
        <v>2.1168172668982601</v>
      </c>
      <c r="AO46" s="116">
        <v>0.269013016943973</v>
      </c>
      <c r="AP46" s="116">
        <v>0</v>
      </c>
      <c r="AQ46" s="116">
        <v>0</v>
      </c>
      <c r="AR46" s="117">
        <v>0.87471075332607195</v>
      </c>
    </row>
    <row r="47" spans="2:44" ht="12" customHeight="1" x14ac:dyDescent="0.25">
      <c r="B47" s="115" t="s">
        <v>36</v>
      </c>
      <c r="C47" s="116" t="s">
        <v>23</v>
      </c>
      <c r="D47" s="116" t="s">
        <v>25</v>
      </c>
      <c r="E47" s="116" t="s">
        <v>25</v>
      </c>
      <c r="F47" s="116" t="s">
        <v>25</v>
      </c>
      <c r="G47" s="116" t="s">
        <v>25</v>
      </c>
      <c r="H47" s="116" t="s">
        <v>75</v>
      </c>
      <c r="I47" s="116" t="s">
        <v>25</v>
      </c>
      <c r="J47" s="116">
        <v>22.97</v>
      </c>
      <c r="K47" s="116">
        <v>46.35</v>
      </c>
      <c r="L47" s="116">
        <v>0</v>
      </c>
      <c r="M47" s="116">
        <v>0</v>
      </c>
      <c r="N47" s="116">
        <v>0</v>
      </c>
      <c r="O47" s="116">
        <v>0</v>
      </c>
      <c r="P47" s="116">
        <v>0</v>
      </c>
      <c r="Q47" s="116">
        <v>15.115782395110999</v>
      </c>
      <c r="R47" s="116">
        <v>3.8674263187489499</v>
      </c>
      <c r="S47" s="116">
        <v>0</v>
      </c>
      <c r="T47" s="116">
        <v>0</v>
      </c>
      <c r="U47" s="116">
        <v>0</v>
      </c>
      <c r="V47" s="116">
        <v>0</v>
      </c>
      <c r="W47" s="116">
        <v>0</v>
      </c>
      <c r="X47" s="116">
        <v>0</v>
      </c>
      <c r="Y47" s="116">
        <v>0</v>
      </c>
      <c r="Z47" s="116">
        <v>0</v>
      </c>
      <c r="AA47" s="116">
        <v>0</v>
      </c>
      <c r="AB47" s="116">
        <v>0</v>
      </c>
      <c r="AC47" s="116">
        <v>0</v>
      </c>
      <c r="AD47" s="116">
        <v>3.2453690829164801</v>
      </c>
      <c r="AE47" s="116">
        <v>0.111343376178881</v>
      </c>
      <c r="AF47" s="116">
        <v>0.62950534663476398</v>
      </c>
      <c r="AG47" s="116">
        <v>0</v>
      </c>
      <c r="AH47" s="116">
        <v>0</v>
      </c>
      <c r="AI47" s="116">
        <v>0</v>
      </c>
      <c r="AJ47" s="116">
        <v>0</v>
      </c>
      <c r="AK47" s="116">
        <v>9.6761868327463691</v>
      </c>
      <c r="AL47" s="116">
        <v>0</v>
      </c>
      <c r="AM47" s="116">
        <v>33.410635622126001</v>
      </c>
      <c r="AN47" s="116">
        <v>2.1168172668982601</v>
      </c>
      <c r="AO47" s="116">
        <v>0.269013016943973</v>
      </c>
      <c r="AP47" s="116">
        <v>0</v>
      </c>
      <c r="AQ47" s="116">
        <v>0</v>
      </c>
      <c r="AR47" s="117">
        <v>0.87471075332607195</v>
      </c>
    </row>
    <row r="48" spans="2:44" ht="12" customHeight="1" x14ac:dyDescent="0.25">
      <c r="B48" s="115" t="s">
        <v>36</v>
      </c>
      <c r="C48" s="116" t="s">
        <v>90</v>
      </c>
      <c r="D48" s="116" t="s">
        <v>25</v>
      </c>
      <c r="E48" s="116" t="s">
        <v>25</v>
      </c>
      <c r="F48" s="116" t="s">
        <v>25</v>
      </c>
      <c r="G48" s="116" t="s">
        <v>25</v>
      </c>
      <c r="H48" s="116" t="s">
        <v>75</v>
      </c>
      <c r="I48" s="116" t="s">
        <v>25</v>
      </c>
      <c r="J48" s="116">
        <v>22.97</v>
      </c>
      <c r="K48" s="116">
        <v>46.35</v>
      </c>
      <c r="L48" s="116">
        <v>0</v>
      </c>
      <c r="M48" s="116">
        <v>0</v>
      </c>
      <c r="N48" s="116">
        <v>0</v>
      </c>
      <c r="O48" s="116">
        <v>0</v>
      </c>
      <c r="P48" s="116">
        <v>0</v>
      </c>
      <c r="Q48" s="116">
        <v>15.115782395110999</v>
      </c>
      <c r="R48" s="116">
        <v>3.8674263187489499</v>
      </c>
      <c r="S48" s="116">
        <v>0</v>
      </c>
      <c r="T48" s="116">
        <v>0</v>
      </c>
      <c r="U48" s="116">
        <v>0</v>
      </c>
      <c r="V48" s="116">
        <v>0</v>
      </c>
      <c r="W48" s="116">
        <v>0</v>
      </c>
      <c r="X48" s="116">
        <v>0</v>
      </c>
      <c r="Y48" s="116">
        <v>0</v>
      </c>
      <c r="Z48" s="116">
        <v>0</v>
      </c>
      <c r="AA48" s="116">
        <v>0</v>
      </c>
      <c r="AB48" s="116">
        <v>0</v>
      </c>
      <c r="AC48" s="116">
        <v>0</v>
      </c>
      <c r="AD48" s="116">
        <v>3.2453690829164801</v>
      </c>
      <c r="AE48" s="116">
        <v>0.111343376178881</v>
      </c>
      <c r="AF48" s="116">
        <v>0.62950534663476398</v>
      </c>
      <c r="AG48" s="116">
        <v>0</v>
      </c>
      <c r="AH48" s="116">
        <v>0</v>
      </c>
      <c r="AI48" s="116">
        <v>0</v>
      </c>
      <c r="AJ48" s="116">
        <v>0</v>
      </c>
      <c r="AK48" s="116">
        <v>9.6761868327463691</v>
      </c>
      <c r="AL48" s="116">
        <v>0</v>
      </c>
      <c r="AM48" s="116">
        <v>33.410635622126001</v>
      </c>
      <c r="AN48" s="116">
        <v>2.1168172668982601</v>
      </c>
      <c r="AO48" s="116">
        <v>0.269013016943973</v>
      </c>
      <c r="AP48" s="116">
        <v>0</v>
      </c>
      <c r="AQ48" s="116">
        <v>0</v>
      </c>
      <c r="AR48" s="117">
        <v>0.87471075332607195</v>
      </c>
    </row>
    <row r="49" spans="2:44" ht="12" customHeight="1" x14ac:dyDescent="0.25">
      <c r="B49" s="115" t="s">
        <v>44</v>
      </c>
      <c r="C49" s="116" t="s">
        <v>23</v>
      </c>
      <c r="D49" s="116" t="s">
        <v>45</v>
      </c>
      <c r="E49" s="116" t="s">
        <v>93</v>
      </c>
      <c r="F49" s="116" t="s">
        <v>25</v>
      </c>
      <c r="G49" s="116" t="s">
        <v>25</v>
      </c>
      <c r="H49" s="116" t="s">
        <v>75</v>
      </c>
      <c r="I49" s="116" t="s">
        <v>25</v>
      </c>
      <c r="J49" s="116">
        <v>12.63</v>
      </c>
      <c r="K49" s="116">
        <v>25.49</v>
      </c>
      <c r="L49" s="116">
        <v>0</v>
      </c>
      <c r="M49" s="116">
        <v>0</v>
      </c>
      <c r="N49" s="116">
        <v>0</v>
      </c>
      <c r="O49" s="116">
        <v>0</v>
      </c>
      <c r="P49" s="116">
        <v>0</v>
      </c>
      <c r="Q49" s="116">
        <v>8.3136803173110305</v>
      </c>
      <c r="R49" s="116">
        <v>2.12708447531192</v>
      </c>
      <c r="S49" s="116">
        <v>0</v>
      </c>
      <c r="T49" s="116">
        <v>0</v>
      </c>
      <c r="U49" s="116">
        <v>0</v>
      </c>
      <c r="V49" s="116">
        <v>0</v>
      </c>
      <c r="W49" s="116">
        <v>0</v>
      </c>
      <c r="X49" s="116">
        <v>0</v>
      </c>
      <c r="Y49" s="116">
        <v>0</v>
      </c>
      <c r="Z49" s="116">
        <v>0</v>
      </c>
      <c r="AA49" s="116">
        <v>0</v>
      </c>
      <c r="AB49" s="116">
        <v>0</v>
      </c>
      <c r="AC49" s="116">
        <v>0</v>
      </c>
      <c r="AD49" s="116">
        <v>1.78495299560406</v>
      </c>
      <c r="AE49" s="116">
        <v>6.1238856898384597E-2</v>
      </c>
      <c r="AF49" s="116">
        <v>0.34622794064911999</v>
      </c>
      <c r="AG49" s="116">
        <v>0</v>
      </c>
      <c r="AH49" s="116">
        <v>0</v>
      </c>
      <c r="AI49" s="116">
        <v>0</v>
      </c>
      <c r="AJ49" s="116">
        <v>0</v>
      </c>
      <c r="AK49" s="116">
        <v>5.3219027580105003</v>
      </c>
      <c r="AL49" s="116">
        <v>0</v>
      </c>
      <c r="AM49" s="116">
        <v>18.375849592169299</v>
      </c>
      <c r="AN49" s="116">
        <v>1.16424949679404</v>
      </c>
      <c r="AO49" s="116">
        <v>0.14795715931918499</v>
      </c>
      <c r="AP49" s="116">
        <v>0</v>
      </c>
      <c r="AQ49" s="116">
        <v>0</v>
      </c>
      <c r="AR49" s="117">
        <v>0.48109091432933898</v>
      </c>
    </row>
    <row r="50" spans="2:44" ht="12" customHeight="1" x14ac:dyDescent="0.25">
      <c r="B50" s="118" t="s">
        <v>44</v>
      </c>
      <c r="C50" s="119" t="s">
        <v>23</v>
      </c>
      <c r="D50" s="119" t="s">
        <v>45</v>
      </c>
      <c r="E50" s="119" t="s">
        <v>46</v>
      </c>
      <c r="F50" s="119" t="s">
        <v>25</v>
      </c>
      <c r="G50" s="119" t="s">
        <v>25</v>
      </c>
      <c r="H50" s="119" t="s">
        <v>75</v>
      </c>
      <c r="I50" s="119" t="s">
        <v>25</v>
      </c>
      <c r="J50" s="119">
        <v>13.78</v>
      </c>
      <c r="K50" s="119">
        <v>27.81</v>
      </c>
      <c r="L50" s="119">
        <v>0</v>
      </c>
      <c r="M50" s="119">
        <v>0</v>
      </c>
      <c r="N50" s="119">
        <v>0</v>
      </c>
      <c r="O50" s="119">
        <v>0</v>
      </c>
      <c r="P50" s="119">
        <v>0</v>
      </c>
      <c r="Q50" s="119">
        <v>9.0694694370665694</v>
      </c>
      <c r="R50" s="119">
        <v>2.32045579124937</v>
      </c>
      <c r="S50" s="119">
        <v>0</v>
      </c>
      <c r="T50" s="119">
        <v>0</v>
      </c>
      <c r="U50" s="119">
        <v>0</v>
      </c>
      <c r="V50" s="119">
        <v>0</v>
      </c>
      <c r="W50" s="119">
        <v>0</v>
      </c>
      <c r="X50" s="119">
        <v>0</v>
      </c>
      <c r="Y50" s="119">
        <v>0</v>
      </c>
      <c r="Z50" s="119">
        <v>0</v>
      </c>
      <c r="AA50" s="119">
        <v>0</v>
      </c>
      <c r="AB50" s="119">
        <v>0</v>
      </c>
      <c r="AC50" s="119">
        <v>0</v>
      </c>
      <c r="AD50" s="119">
        <v>1.9472214497498901</v>
      </c>
      <c r="AE50" s="119">
        <v>6.6806025707328603E-2</v>
      </c>
      <c r="AF50" s="119">
        <v>0.37770320798085799</v>
      </c>
      <c r="AG50" s="119">
        <v>0</v>
      </c>
      <c r="AH50" s="119">
        <v>0</v>
      </c>
      <c r="AI50" s="119">
        <v>0</v>
      </c>
      <c r="AJ50" s="119">
        <v>0</v>
      </c>
      <c r="AK50" s="119">
        <v>5.8057120996478204</v>
      </c>
      <c r="AL50" s="119">
        <v>0</v>
      </c>
      <c r="AM50" s="119">
        <v>20.046381373275601</v>
      </c>
      <c r="AN50" s="119">
        <v>1.2700903601389499</v>
      </c>
      <c r="AO50" s="119">
        <v>0.161407810166384</v>
      </c>
      <c r="AP50" s="119">
        <v>0</v>
      </c>
      <c r="AQ50" s="119">
        <v>0</v>
      </c>
      <c r="AR50" s="120">
        <v>0.52482645199564304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36</vt:i4>
      </vt:variant>
    </vt:vector>
  </HeadingPairs>
  <TitlesOfParts>
    <vt:vector size="36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TAR FIN COPEL</vt:lpstr>
      <vt:lpstr>TUSD BF_350</vt:lpstr>
      <vt:lpstr>TE BF_350</vt:lpstr>
      <vt:lpstr>TabDinEfeito_350</vt:lpstr>
      <vt:lpstr>EFEITO_350</vt:lpstr>
      <vt:lpstr>TarifaMedia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2022-08-16T20:26:21Z</dcterms:created>
  <dcterms:modified xsi:type="dcterms:W3CDTF">2022-08-18T15:03:09Z</dcterms:modified>
</cp:coreProperties>
</file>